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 defaultThemeVersion="124226"/>
  <bookViews>
    <workbookView xWindow="0" yWindow="0" windowWidth="15600" windowHeight="7020" activeTab="3"/>
  </bookViews>
  <sheets>
    <sheet name="Forecast (Good)" sheetId="8" r:id="rId1"/>
    <sheet name="Forecast (Optimistic)" sheetId="10" r:id="rId2"/>
    <sheet name="junk" sheetId="9" state="hidden" r:id="rId3"/>
    <sheet name="Forecast (Bankruptcy Payoff)" sheetId="3" r:id="rId4"/>
    <sheet name="Amort Table" sheetId="2" r:id="rId5"/>
  </sheets>
  <externalReferences>
    <externalReference r:id="rId6"/>
    <externalReference r:id="rId7"/>
  </externalReferences>
  <definedNames>
    <definedName name="_xlnm.Print_Area" localSheetId="0">'Forecast (Good)'!$A$1:$N$150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8" i="8" l="1"/>
  <c r="B5" i="2" l="1"/>
  <c r="B4" i="2"/>
  <c r="B3" i="2"/>
  <c r="I93" i="3"/>
  <c r="A149" i="3"/>
  <c r="A150" i="3"/>
  <c r="A151" i="3"/>
  <c r="A153" i="3"/>
  <c r="A154" i="3"/>
  <c r="A156" i="3"/>
  <c r="A161" i="3"/>
  <c r="A164" i="3"/>
  <c r="A165" i="3"/>
  <c r="A148" i="3"/>
  <c r="D148" i="3"/>
  <c r="C87" i="3"/>
  <c r="D87" i="3" s="1"/>
  <c r="A88" i="3"/>
  <c r="C88" i="3"/>
  <c r="D88" i="3" s="1"/>
  <c r="I89" i="3"/>
  <c r="C117" i="3"/>
  <c r="G180" i="3"/>
  <c r="F180" i="3"/>
  <c r="E180" i="3"/>
  <c r="D180" i="3"/>
  <c r="C111" i="3"/>
  <c r="C178" i="3"/>
  <c r="C182" i="3" s="1"/>
  <c r="D78" i="3"/>
  <c r="D165" i="3"/>
  <c r="C68" i="3"/>
  <c r="C66" i="3"/>
  <c r="C114" i="3" s="1"/>
  <c r="D65" i="3"/>
  <c r="E65" i="3" s="1"/>
  <c r="F65" i="3" s="1"/>
  <c r="G65" i="3" s="1"/>
  <c r="C153" i="3" s="1"/>
  <c r="G52" i="3"/>
  <c r="H179" i="3" s="1"/>
  <c r="F52" i="3"/>
  <c r="G179" i="3" s="1"/>
  <c r="E52" i="3"/>
  <c r="F179" i="3" s="1"/>
  <c r="D52" i="3"/>
  <c r="E179" i="3" s="1"/>
  <c r="E182" i="3" s="1"/>
  <c r="C52" i="3"/>
  <c r="D179" i="3" s="1"/>
  <c r="D46" i="3"/>
  <c r="E46" i="3" s="1"/>
  <c r="F46" i="3" s="1"/>
  <c r="G46" i="3" s="1"/>
  <c r="D34" i="3"/>
  <c r="E34" i="3" s="1"/>
  <c r="F34" i="3" s="1"/>
  <c r="G34" i="3" s="1"/>
  <c r="D33" i="3"/>
  <c r="E33" i="3" s="1"/>
  <c r="F33" i="3" s="1"/>
  <c r="G33" i="3" s="1"/>
  <c r="G26" i="3"/>
  <c r="F26" i="3"/>
  <c r="E26" i="3"/>
  <c r="D26" i="3"/>
  <c r="C26" i="3"/>
  <c r="C69" i="3" s="1"/>
  <c r="D24" i="3"/>
  <c r="D68" i="3" s="1"/>
  <c r="G22" i="3"/>
  <c r="F22" i="3"/>
  <c r="E22" i="3"/>
  <c r="D22" i="3"/>
  <c r="C22" i="3"/>
  <c r="D20" i="3"/>
  <c r="E20" i="3" s="1"/>
  <c r="F20" i="3" s="1"/>
  <c r="G20" i="3" s="1"/>
  <c r="C17" i="3"/>
  <c r="C41" i="3" s="1"/>
  <c r="G16" i="3"/>
  <c r="F16" i="3"/>
  <c r="E16" i="3"/>
  <c r="D15" i="3"/>
  <c r="E15" i="3" s="1"/>
  <c r="F15" i="3" s="1"/>
  <c r="G15" i="3" s="1"/>
  <c r="D14" i="3"/>
  <c r="D9" i="3"/>
  <c r="E9" i="3" s="1"/>
  <c r="F9" i="3" s="1"/>
  <c r="G9" i="3" s="1"/>
  <c r="C7" i="3"/>
  <c r="D7" i="3" s="1"/>
  <c r="C6" i="3"/>
  <c r="D5" i="3"/>
  <c r="E5" i="3" s="1"/>
  <c r="F5" i="3" s="1"/>
  <c r="G5" i="3" s="1"/>
  <c r="D4" i="3"/>
  <c r="E4" i="3" s="1"/>
  <c r="E50" i="3" l="1"/>
  <c r="F106" i="3" s="1"/>
  <c r="D17" i="3"/>
  <c r="D41" i="3" s="1"/>
  <c r="D66" i="3"/>
  <c r="E66" i="3" s="1"/>
  <c r="F66" i="3" s="1"/>
  <c r="G66" i="3" s="1"/>
  <c r="C154" i="3" s="1"/>
  <c r="D182" i="3"/>
  <c r="D6" i="3"/>
  <c r="G50" i="3"/>
  <c r="H106" i="3" s="1"/>
  <c r="F182" i="3"/>
  <c r="E14" i="3"/>
  <c r="E17" i="3" s="1"/>
  <c r="E41" i="3" s="1"/>
  <c r="D50" i="3"/>
  <c r="E109" i="3" s="1"/>
  <c r="G182" i="3"/>
  <c r="E6" i="3"/>
  <c r="F50" i="3"/>
  <c r="G106" i="3" s="1"/>
  <c r="H47" i="3"/>
  <c r="D47" i="3" s="1"/>
  <c r="E47" i="3" s="1"/>
  <c r="F47" i="3" s="1"/>
  <c r="G47" i="3" s="1"/>
  <c r="E24" i="3"/>
  <c r="C163" i="3"/>
  <c r="E7" i="3"/>
  <c r="D8" i="3"/>
  <c r="D43" i="3" s="1"/>
  <c r="D73" i="3" s="1"/>
  <c r="C120" i="3"/>
  <c r="C136" i="3" s="1"/>
  <c r="C8" i="3"/>
  <c r="C67" i="3"/>
  <c r="D67" i="3" s="1"/>
  <c r="E67" i="3" s="1"/>
  <c r="F67" i="3" s="1"/>
  <c r="G67" i="3" s="1"/>
  <c r="C50" i="3"/>
  <c r="H109" i="3"/>
  <c r="F4" i="3"/>
  <c r="D69" i="3"/>
  <c r="E69" i="3" s="1"/>
  <c r="F69" i="3" s="1"/>
  <c r="G69" i="3" s="1"/>
  <c r="E78" i="3"/>
  <c r="F78" i="3" s="1"/>
  <c r="G78" i="3" s="1"/>
  <c r="E160" i="10"/>
  <c r="D160" i="10"/>
  <c r="F159" i="10"/>
  <c r="F160" i="10" s="1"/>
  <c r="E159" i="10"/>
  <c r="G157" i="10"/>
  <c r="H157" i="10" s="1"/>
  <c r="I157" i="10" s="1"/>
  <c r="C125" i="10"/>
  <c r="C119" i="10"/>
  <c r="L96" i="10"/>
  <c r="L92" i="10"/>
  <c r="G91" i="10"/>
  <c r="H91" i="10" s="1"/>
  <c r="E91" i="10"/>
  <c r="G90" i="10"/>
  <c r="H90" i="10" s="1"/>
  <c r="D77" i="10"/>
  <c r="E77" i="10" s="1"/>
  <c r="F77" i="10" s="1"/>
  <c r="G77" i="10" s="1"/>
  <c r="H77" i="10" s="1"/>
  <c r="I77" i="10" s="1"/>
  <c r="J77" i="10" s="1"/>
  <c r="K77" i="10" s="1"/>
  <c r="L77" i="10" s="1"/>
  <c r="L75" i="10"/>
  <c r="K75" i="10"/>
  <c r="J75" i="10"/>
  <c r="I75" i="10"/>
  <c r="H75" i="10"/>
  <c r="G75" i="10"/>
  <c r="F75" i="10"/>
  <c r="E75" i="10"/>
  <c r="D75" i="10"/>
  <c r="C75" i="10"/>
  <c r="C67" i="10"/>
  <c r="B102" i="10" s="1"/>
  <c r="B104" i="10" s="1"/>
  <c r="M129" i="10" s="1"/>
  <c r="C65" i="10"/>
  <c r="D64" i="10"/>
  <c r="E64" i="10" s="1"/>
  <c r="F64" i="10" s="1"/>
  <c r="G64" i="10" s="1"/>
  <c r="H64" i="10" s="1"/>
  <c r="I64" i="10" s="1"/>
  <c r="J64" i="10" s="1"/>
  <c r="K64" i="10" s="1"/>
  <c r="L64" i="10" s="1"/>
  <c r="B95" i="10" s="1"/>
  <c r="B97" i="10" s="1"/>
  <c r="L51" i="10"/>
  <c r="K51" i="10"/>
  <c r="J51" i="10"/>
  <c r="I51" i="10"/>
  <c r="H51" i="10"/>
  <c r="G51" i="10"/>
  <c r="F51" i="10"/>
  <c r="E51" i="10"/>
  <c r="D51" i="10"/>
  <c r="C51" i="10"/>
  <c r="L50" i="10"/>
  <c r="K50" i="10"/>
  <c r="J50" i="10"/>
  <c r="I50" i="10"/>
  <c r="H50" i="10"/>
  <c r="G50" i="10"/>
  <c r="F50" i="10"/>
  <c r="E50" i="10"/>
  <c r="D50" i="10"/>
  <c r="C50" i="10"/>
  <c r="D34" i="10"/>
  <c r="E34" i="10" s="1"/>
  <c r="F34" i="10" s="1"/>
  <c r="G34" i="10" s="1"/>
  <c r="H34" i="10" s="1"/>
  <c r="I34" i="10" s="1"/>
  <c r="J34" i="10" s="1"/>
  <c r="K34" i="10" s="1"/>
  <c r="L34" i="10" s="1"/>
  <c r="D33" i="10"/>
  <c r="E33" i="10" s="1"/>
  <c r="F33" i="10" s="1"/>
  <c r="G33" i="10" s="1"/>
  <c r="H33" i="10" s="1"/>
  <c r="I33" i="10" s="1"/>
  <c r="J33" i="10" s="1"/>
  <c r="K33" i="10" s="1"/>
  <c r="L33" i="10" s="1"/>
  <c r="I26" i="10"/>
  <c r="H26" i="10"/>
  <c r="G26" i="10"/>
  <c r="G49" i="10" s="1"/>
  <c r="H117" i="10" s="1"/>
  <c r="F26" i="10"/>
  <c r="E26" i="10"/>
  <c r="D26" i="10"/>
  <c r="C26" i="10"/>
  <c r="C68" i="10" s="1"/>
  <c r="D24" i="10"/>
  <c r="E24" i="10" s="1"/>
  <c r="E67" i="10" s="1"/>
  <c r="L22" i="10"/>
  <c r="L49" i="10" s="1"/>
  <c r="K22" i="10"/>
  <c r="K49" i="10" s="1"/>
  <c r="J22" i="10"/>
  <c r="J49" i="10" s="1"/>
  <c r="K117" i="10" s="1"/>
  <c r="I22" i="10"/>
  <c r="H22" i="10"/>
  <c r="G22" i="10"/>
  <c r="F22" i="10"/>
  <c r="F49" i="10" s="1"/>
  <c r="G114" i="10" s="1"/>
  <c r="E22" i="10"/>
  <c r="D22" i="10"/>
  <c r="C22" i="10"/>
  <c r="C66" i="10" s="1"/>
  <c r="E20" i="10"/>
  <c r="F20" i="10" s="1"/>
  <c r="G20" i="10" s="1"/>
  <c r="H20" i="10" s="1"/>
  <c r="I20" i="10" s="1"/>
  <c r="J20" i="10" s="1"/>
  <c r="K20" i="10" s="1"/>
  <c r="L20" i="10" s="1"/>
  <c r="D20" i="10"/>
  <c r="C17" i="10"/>
  <c r="L16" i="10"/>
  <c r="K16" i="10"/>
  <c r="J16" i="10"/>
  <c r="I16" i="10"/>
  <c r="H16" i="10"/>
  <c r="G16" i="10"/>
  <c r="F16" i="10"/>
  <c r="E16" i="10"/>
  <c r="D15" i="10"/>
  <c r="E14" i="10"/>
  <c r="F14" i="10" s="1"/>
  <c r="D14" i="10"/>
  <c r="D9" i="10"/>
  <c r="E9" i="10" s="1"/>
  <c r="F9" i="10" s="1"/>
  <c r="G9" i="10" s="1"/>
  <c r="H9" i="10" s="1"/>
  <c r="I9" i="10" s="1"/>
  <c r="J9" i="10" s="1"/>
  <c r="K9" i="10" s="1"/>
  <c r="L9" i="10" s="1"/>
  <c r="C7" i="10"/>
  <c r="C8" i="10" s="1"/>
  <c r="C42" i="10" s="1"/>
  <c r="C6" i="10"/>
  <c r="D5" i="10"/>
  <c r="E5" i="10" s="1"/>
  <c r="F5" i="10" s="1"/>
  <c r="G5" i="10" s="1"/>
  <c r="H5" i="10" s="1"/>
  <c r="I5" i="10" s="1"/>
  <c r="J5" i="10" s="1"/>
  <c r="K5" i="10" s="1"/>
  <c r="L5" i="10" s="1"/>
  <c r="D4" i="10"/>
  <c r="E4" i="10" s="1"/>
  <c r="D49" i="10" l="1"/>
  <c r="E117" i="10" s="1"/>
  <c r="H49" i="10"/>
  <c r="D17" i="10"/>
  <c r="D40" i="10" s="1"/>
  <c r="E49" i="10"/>
  <c r="F114" i="10" s="1"/>
  <c r="E114" i="10"/>
  <c r="G159" i="10"/>
  <c r="G160" i="10" s="1"/>
  <c r="D6" i="10"/>
  <c r="D66" i="10"/>
  <c r="E66" i="10" s="1"/>
  <c r="F66" i="10" s="1"/>
  <c r="G66" i="10" s="1"/>
  <c r="H66" i="10" s="1"/>
  <c r="I66" i="10" s="1"/>
  <c r="J66" i="10" s="1"/>
  <c r="K66" i="10" s="1"/>
  <c r="L66" i="10" s="1"/>
  <c r="D68" i="10"/>
  <c r="E68" i="10" s="1"/>
  <c r="F68" i="10" s="1"/>
  <c r="G68" i="10" s="1"/>
  <c r="H68" i="10" s="1"/>
  <c r="I68" i="10" s="1"/>
  <c r="J68" i="10" s="1"/>
  <c r="K68" i="10" s="1"/>
  <c r="L68" i="10" s="1"/>
  <c r="I49" i="10"/>
  <c r="J114" i="10" s="1"/>
  <c r="E15" i="10"/>
  <c r="F15" i="10" s="1"/>
  <c r="G15" i="10" s="1"/>
  <c r="H15" i="10" s="1"/>
  <c r="I15" i="10" s="1"/>
  <c r="J15" i="10" s="1"/>
  <c r="K15" i="10" s="1"/>
  <c r="L15" i="10" s="1"/>
  <c r="F24" i="10"/>
  <c r="F67" i="10" s="1"/>
  <c r="F109" i="3"/>
  <c r="E106" i="3"/>
  <c r="F14" i="3"/>
  <c r="G14" i="3" s="1"/>
  <c r="G17" i="3" s="1"/>
  <c r="G41" i="3" s="1"/>
  <c r="G109" i="3"/>
  <c r="D10" i="3"/>
  <c r="D11" i="3" s="1"/>
  <c r="D40" i="3" s="1"/>
  <c r="F24" i="3"/>
  <c r="E68" i="3"/>
  <c r="A89" i="3"/>
  <c r="C137" i="3"/>
  <c r="E8" i="3"/>
  <c r="E43" i="3" s="1"/>
  <c r="E73" i="3" s="1"/>
  <c r="F7" i="3"/>
  <c r="D106" i="3"/>
  <c r="D109" i="3"/>
  <c r="F6" i="3"/>
  <c r="G4" i="3"/>
  <c r="G6" i="3" s="1"/>
  <c r="C43" i="3"/>
  <c r="C10" i="3"/>
  <c r="E90" i="10"/>
  <c r="I159" i="10"/>
  <c r="I160" i="10" s="1"/>
  <c r="J157" i="10"/>
  <c r="H159" i="10"/>
  <c r="H160" i="10" s="1"/>
  <c r="E6" i="10"/>
  <c r="F4" i="10"/>
  <c r="G14" i="10"/>
  <c r="M114" i="10"/>
  <c r="M117" i="10"/>
  <c r="C62" i="10"/>
  <c r="C72" i="10"/>
  <c r="M126" i="10"/>
  <c r="B98" i="10"/>
  <c r="B99" i="10" s="1"/>
  <c r="M127" i="10" s="1"/>
  <c r="M46" i="10"/>
  <c r="D46" i="10" s="1"/>
  <c r="I117" i="10"/>
  <c r="I114" i="10"/>
  <c r="C49" i="10"/>
  <c r="C122" i="10"/>
  <c r="D65" i="10"/>
  <c r="E65" i="10" s="1"/>
  <c r="F65" i="10" s="1"/>
  <c r="G65" i="10" s="1"/>
  <c r="H65" i="10" s="1"/>
  <c r="I65" i="10" s="1"/>
  <c r="J65" i="10" s="1"/>
  <c r="K65" i="10" s="1"/>
  <c r="L65" i="10" s="1"/>
  <c r="K114" i="10"/>
  <c r="C10" i="10"/>
  <c r="D7" i="10"/>
  <c r="D67" i="10"/>
  <c r="E92" i="10"/>
  <c r="G117" i="10"/>
  <c r="L117" i="10"/>
  <c r="L114" i="10"/>
  <c r="C40" i="10"/>
  <c r="H114" i="10"/>
  <c r="C128" i="10"/>
  <c r="F78" i="9"/>
  <c r="G78" i="9" s="1"/>
  <c r="H78" i="9" s="1"/>
  <c r="I78" i="9" s="1"/>
  <c r="J78" i="9" s="1"/>
  <c r="K78" i="9" s="1"/>
  <c r="L78" i="9" s="1"/>
  <c r="M78" i="9" s="1"/>
  <c r="N78" i="9" s="1"/>
  <c r="E66" i="9"/>
  <c r="F66" i="9"/>
  <c r="G66" i="9" s="1"/>
  <c r="H66" i="9" s="1"/>
  <c r="I66" i="9" s="1"/>
  <c r="J66" i="9" s="1"/>
  <c r="K66" i="9" s="1"/>
  <c r="L66" i="9" s="1"/>
  <c r="M66" i="9" s="1"/>
  <c r="N66" i="9" s="1"/>
  <c r="E22" i="9"/>
  <c r="E67" i="9"/>
  <c r="F22" i="9"/>
  <c r="F50" i="9" s="1"/>
  <c r="F67" i="9"/>
  <c r="G67" i="9" s="1"/>
  <c r="H67" i="9" s="1"/>
  <c r="I67" i="9" s="1"/>
  <c r="J67" i="9" s="1"/>
  <c r="K67" i="9" s="1"/>
  <c r="L67" i="9" s="1"/>
  <c r="M67" i="9" s="1"/>
  <c r="N67" i="9" s="1"/>
  <c r="G22" i="9"/>
  <c r="H22" i="9"/>
  <c r="I22" i="9"/>
  <c r="J22" i="9"/>
  <c r="J50" i="9" s="1"/>
  <c r="K22" i="9"/>
  <c r="L22" i="9"/>
  <c r="M22" i="9"/>
  <c r="N22" i="9"/>
  <c r="N50" i="9" s="1"/>
  <c r="F65" i="9"/>
  <c r="G65" i="9"/>
  <c r="H65" i="9" s="1"/>
  <c r="I65" i="9" s="1"/>
  <c r="J65" i="9" s="1"/>
  <c r="K65" i="9" s="1"/>
  <c r="L65" i="9" s="1"/>
  <c r="M65" i="9" s="1"/>
  <c r="N65" i="9" s="1"/>
  <c r="E7" i="9"/>
  <c r="E8" i="9"/>
  <c r="E43" i="9" s="1"/>
  <c r="E63" i="9" s="1"/>
  <c r="F63" i="9" s="1"/>
  <c r="G63" i="9" s="1"/>
  <c r="H63" i="9" s="1"/>
  <c r="I63" i="9" s="1"/>
  <c r="J63" i="9" s="1"/>
  <c r="K63" i="9" s="1"/>
  <c r="L63" i="9" s="1"/>
  <c r="M63" i="9" s="1"/>
  <c r="N63" i="9" s="1"/>
  <c r="N113" i="9" s="1"/>
  <c r="E4" i="9"/>
  <c r="E6" i="9"/>
  <c r="E17" i="9"/>
  <c r="E41" i="9" s="1"/>
  <c r="G156" i="9"/>
  <c r="F156" i="9"/>
  <c r="E156" i="9"/>
  <c r="H154" i="9"/>
  <c r="H156" i="9" s="1"/>
  <c r="G145" i="9"/>
  <c r="F145" i="9"/>
  <c r="E145" i="9"/>
  <c r="H143" i="9"/>
  <c r="H145" i="9" s="1"/>
  <c r="I143" i="9"/>
  <c r="I145" i="9" s="1"/>
  <c r="G136" i="9"/>
  <c r="F136" i="9"/>
  <c r="E136" i="9"/>
  <c r="H134" i="9"/>
  <c r="H136" i="9" s="1"/>
  <c r="D98" i="9"/>
  <c r="D92" i="9"/>
  <c r="W84" i="9"/>
  <c r="W80" i="9"/>
  <c r="R77" i="9"/>
  <c r="S77" i="9" s="1"/>
  <c r="P77" i="9"/>
  <c r="R76" i="9"/>
  <c r="S76" i="9" s="1"/>
  <c r="E68" i="9"/>
  <c r="D95" i="9"/>
  <c r="N52" i="9"/>
  <c r="M52" i="9"/>
  <c r="L52" i="9"/>
  <c r="K52" i="9"/>
  <c r="J52" i="9"/>
  <c r="I52" i="9"/>
  <c r="H52" i="9"/>
  <c r="G52" i="9"/>
  <c r="F52" i="9"/>
  <c r="E52" i="9"/>
  <c r="F46" i="9"/>
  <c r="G46" i="9"/>
  <c r="H46" i="9" s="1"/>
  <c r="I46" i="9" s="1"/>
  <c r="J46" i="9" s="1"/>
  <c r="K46" i="9" s="1"/>
  <c r="L46" i="9" s="1"/>
  <c r="M46" i="9" s="1"/>
  <c r="N46" i="9" s="1"/>
  <c r="F34" i="9"/>
  <c r="G34" i="9" s="1"/>
  <c r="H34" i="9" s="1"/>
  <c r="I34" i="9" s="1"/>
  <c r="J34" i="9" s="1"/>
  <c r="K34" i="9" s="1"/>
  <c r="L34" i="9" s="1"/>
  <c r="M34" i="9" s="1"/>
  <c r="N34" i="9" s="1"/>
  <c r="F33" i="9"/>
  <c r="G33" i="9" s="1"/>
  <c r="H33" i="9" s="1"/>
  <c r="I33" i="9" s="1"/>
  <c r="J33" i="9" s="1"/>
  <c r="K33" i="9" s="1"/>
  <c r="L33" i="9" s="1"/>
  <c r="M33" i="9" s="1"/>
  <c r="N33" i="9" s="1"/>
  <c r="K26" i="9"/>
  <c r="K50" i="9" s="1"/>
  <c r="J26" i="9"/>
  <c r="I26" i="9"/>
  <c r="H26" i="9"/>
  <c r="G26" i="9"/>
  <c r="G50" i="9" s="1"/>
  <c r="F26" i="9"/>
  <c r="E26" i="9"/>
  <c r="E69" i="9" s="1"/>
  <c r="F69" i="9"/>
  <c r="F24" i="9"/>
  <c r="F68" i="9" s="1"/>
  <c r="M50" i="9"/>
  <c r="M90" i="9" s="1"/>
  <c r="L50" i="9"/>
  <c r="L90" i="9" s="1"/>
  <c r="I50" i="9"/>
  <c r="I90" i="9" s="1"/>
  <c r="H50" i="9"/>
  <c r="H87" i="9" s="1"/>
  <c r="E50" i="9"/>
  <c r="E90" i="9" s="1"/>
  <c r="F20" i="9"/>
  <c r="G20" i="9" s="1"/>
  <c r="H20" i="9" s="1"/>
  <c r="I20" i="9" s="1"/>
  <c r="J20" i="9" s="1"/>
  <c r="K20" i="9" s="1"/>
  <c r="L20" i="9" s="1"/>
  <c r="M20" i="9" s="1"/>
  <c r="N20" i="9" s="1"/>
  <c r="N16" i="9"/>
  <c r="M16" i="9"/>
  <c r="L16" i="9"/>
  <c r="K16" i="9"/>
  <c r="J16" i="9"/>
  <c r="I16" i="9"/>
  <c r="H16" i="9"/>
  <c r="G16" i="9"/>
  <c r="F15" i="9"/>
  <c r="G15" i="9" s="1"/>
  <c r="F14" i="9"/>
  <c r="F17" i="9" s="1"/>
  <c r="F9" i="9"/>
  <c r="G9" i="9" s="1"/>
  <c r="H9" i="9" s="1"/>
  <c r="I9" i="9" s="1"/>
  <c r="J9" i="9" s="1"/>
  <c r="K9" i="9" s="1"/>
  <c r="L9" i="9" s="1"/>
  <c r="M9" i="9" s="1"/>
  <c r="N9" i="9" s="1"/>
  <c r="F5" i="9"/>
  <c r="G5" i="9" s="1"/>
  <c r="H5" i="9" s="1"/>
  <c r="C124" i="8"/>
  <c r="C118" i="8"/>
  <c r="L96" i="8"/>
  <c r="L92" i="8"/>
  <c r="D77" i="8"/>
  <c r="E77" i="8" s="1"/>
  <c r="F77" i="8" s="1"/>
  <c r="F91" i="8"/>
  <c r="G91" i="8" s="1"/>
  <c r="D91" i="8"/>
  <c r="F90" i="8"/>
  <c r="G90" i="8" s="1"/>
  <c r="L75" i="8"/>
  <c r="K75" i="8"/>
  <c r="J75" i="8"/>
  <c r="I75" i="8"/>
  <c r="H75" i="8"/>
  <c r="G75" i="8"/>
  <c r="F75" i="8"/>
  <c r="E75" i="8"/>
  <c r="D75" i="8"/>
  <c r="C75" i="8"/>
  <c r="C67" i="8"/>
  <c r="B102" i="8" s="1"/>
  <c r="C65" i="8"/>
  <c r="C121" i="8" s="1"/>
  <c r="D64" i="8"/>
  <c r="E64" i="8" s="1"/>
  <c r="F64" i="8" s="1"/>
  <c r="G64" i="8" s="1"/>
  <c r="H64" i="8" s="1"/>
  <c r="I64" i="8" s="1"/>
  <c r="J64" i="8" s="1"/>
  <c r="K64" i="8" s="1"/>
  <c r="L64" i="8" s="1"/>
  <c r="L51" i="8"/>
  <c r="K51" i="8"/>
  <c r="J51" i="8"/>
  <c r="I51" i="8"/>
  <c r="H51" i="8"/>
  <c r="G51" i="8"/>
  <c r="F51" i="8"/>
  <c r="E51" i="8"/>
  <c r="D51" i="8"/>
  <c r="C51" i="8"/>
  <c r="L50" i="8"/>
  <c r="K50" i="8"/>
  <c r="J50" i="8"/>
  <c r="I50" i="8"/>
  <c r="H50" i="8"/>
  <c r="G50" i="8"/>
  <c r="F50" i="8"/>
  <c r="E50" i="8"/>
  <c r="D50" i="8"/>
  <c r="C50" i="8"/>
  <c r="D34" i="8"/>
  <c r="E34" i="8" s="1"/>
  <c r="F34" i="8" s="1"/>
  <c r="G34" i="8" s="1"/>
  <c r="H34" i="8" s="1"/>
  <c r="I34" i="8" s="1"/>
  <c r="J34" i="8" s="1"/>
  <c r="K34" i="8" s="1"/>
  <c r="L34" i="8" s="1"/>
  <c r="D33" i="8"/>
  <c r="E33" i="8" s="1"/>
  <c r="F33" i="8" s="1"/>
  <c r="G33" i="8" s="1"/>
  <c r="H33" i="8" s="1"/>
  <c r="I33" i="8" s="1"/>
  <c r="J33" i="8" s="1"/>
  <c r="K33" i="8" s="1"/>
  <c r="L33" i="8" s="1"/>
  <c r="I26" i="8"/>
  <c r="H26" i="8"/>
  <c r="G26" i="8"/>
  <c r="F26" i="8"/>
  <c r="E26" i="8"/>
  <c r="D26" i="8"/>
  <c r="C26" i="8"/>
  <c r="C68" i="8" s="1"/>
  <c r="D24" i="8"/>
  <c r="D67" i="8" s="1"/>
  <c r="L22" i="8"/>
  <c r="L49" i="8" s="1"/>
  <c r="M116" i="8" s="1"/>
  <c r="K22" i="8"/>
  <c r="K49" i="8" s="1"/>
  <c r="L113" i="8" s="1"/>
  <c r="J22" i="8"/>
  <c r="J49" i="8" s="1"/>
  <c r="K113" i="8" s="1"/>
  <c r="I22" i="8"/>
  <c r="I49" i="8" s="1"/>
  <c r="J113" i="8" s="1"/>
  <c r="H22" i="8"/>
  <c r="G22" i="8"/>
  <c r="F22" i="8"/>
  <c r="E22" i="8"/>
  <c r="E49" i="8" s="1"/>
  <c r="F113" i="8" s="1"/>
  <c r="D22" i="8"/>
  <c r="C22" i="8"/>
  <c r="D20" i="8"/>
  <c r="E20" i="8" s="1"/>
  <c r="F20" i="8" s="1"/>
  <c r="G20" i="8" s="1"/>
  <c r="H20" i="8" s="1"/>
  <c r="I20" i="8" s="1"/>
  <c r="J20" i="8" s="1"/>
  <c r="K20" i="8" s="1"/>
  <c r="L20" i="8" s="1"/>
  <c r="L16" i="8"/>
  <c r="K16" i="8"/>
  <c r="J16" i="8"/>
  <c r="I16" i="8"/>
  <c r="H16" i="8"/>
  <c r="G16" i="8"/>
  <c r="F16" i="8"/>
  <c r="E16" i="8"/>
  <c r="D15" i="8"/>
  <c r="E15" i="8" s="1"/>
  <c r="F15" i="8" s="1"/>
  <c r="G15" i="8" s="1"/>
  <c r="H15" i="8" s="1"/>
  <c r="I15" i="8" s="1"/>
  <c r="J15" i="8" s="1"/>
  <c r="K15" i="8" s="1"/>
  <c r="L15" i="8" s="1"/>
  <c r="D14" i="8"/>
  <c r="D9" i="8"/>
  <c r="E9" i="8" s="1"/>
  <c r="F9" i="8" s="1"/>
  <c r="G9" i="8" s="1"/>
  <c r="C7" i="8"/>
  <c r="D7" i="8" s="1"/>
  <c r="E7" i="8" s="1"/>
  <c r="F7" i="8" s="1"/>
  <c r="G7" i="8" s="1"/>
  <c r="G8" i="8" s="1"/>
  <c r="D5" i="8"/>
  <c r="E5" i="8" s="1"/>
  <c r="F5" i="8" s="1"/>
  <c r="G5" i="8" s="1"/>
  <c r="H5" i="8" s="1"/>
  <c r="I5" i="8" s="1"/>
  <c r="J5" i="8" s="1"/>
  <c r="K5" i="8" s="1"/>
  <c r="L5" i="8" s="1"/>
  <c r="C6" i="8"/>
  <c r="F7" i="9"/>
  <c r="F8" i="9" s="1"/>
  <c r="G7" i="9"/>
  <c r="H7" i="9" s="1"/>
  <c r="I7" i="9" s="1"/>
  <c r="J7" i="9" s="1"/>
  <c r="T91" i="9"/>
  <c r="T93" i="9" s="1"/>
  <c r="T94" i="9" s="1"/>
  <c r="T95" i="9" s="1"/>
  <c r="N100" i="9" s="1"/>
  <c r="I134" i="9"/>
  <c r="I136" i="9"/>
  <c r="F41" i="9"/>
  <c r="H90" i="9"/>
  <c r="F4" i="9"/>
  <c r="G14" i="9"/>
  <c r="H14" i="9" s="1"/>
  <c r="P47" i="9"/>
  <c r="F47" i="9" s="1"/>
  <c r="G47" i="9" s="1"/>
  <c r="H47" i="9" s="1"/>
  <c r="I47" i="9" s="1"/>
  <c r="J47" i="9" s="1"/>
  <c r="K47" i="9" s="1"/>
  <c r="L47" i="9" s="1"/>
  <c r="M47" i="9" s="1"/>
  <c r="N47" i="9" s="1"/>
  <c r="D101" i="9"/>
  <c r="D117" i="9"/>
  <c r="D118" i="9" s="1"/>
  <c r="R98" i="9"/>
  <c r="R100" i="9" s="1"/>
  <c r="N102" i="9" s="1"/>
  <c r="G24" i="9"/>
  <c r="D127" i="9"/>
  <c r="D145" i="9" s="1"/>
  <c r="J134" i="9"/>
  <c r="K134" i="9" s="1"/>
  <c r="L116" i="8"/>
  <c r="C17" i="8"/>
  <c r="M46" i="8" s="1"/>
  <c r="D4" i="8"/>
  <c r="E4" i="8" s="1"/>
  <c r="G68" i="9"/>
  <c r="H24" i="9"/>
  <c r="I24" i="9" s="1"/>
  <c r="P78" i="9"/>
  <c r="D156" i="9"/>
  <c r="D132" i="9"/>
  <c r="F6" i="9"/>
  <c r="G4" i="9"/>
  <c r="G6" i="9" s="1"/>
  <c r="H68" i="9"/>
  <c r="G107" i="9"/>
  <c r="H107" i="9"/>
  <c r="L107" i="9"/>
  <c r="L134" i="9" l="1"/>
  <c r="K136" i="9"/>
  <c r="G90" i="9"/>
  <c r="G87" i="9"/>
  <c r="K90" i="9"/>
  <c r="K87" i="9"/>
  <c r="N87" i="9"/>
  <c r="N90" i="9"/>
  <c r="J87" i="9"/>
  <c r="J90" i="9"/>
  <c r="R91" i="9"/>
  <c r="R93" i="9" s="1"/>
  <c r="I68" i="9"/>
  <c r="J24" i="9"/>
  <c r="I14" i="9"/>
  <c r="J14" i="9" s="1"/>
  <c r="K14" i="9" s="1"/>
  <c r="L14" i="9" s="1"/>
  <c r="M14" i="9" s="1"/>
  <c r="N14" i="9" s="1"/>
  <c r="H17" i="9"/>
  <c r="H41" i="9" s="1"/>
  <c r="F10" i="9"/>
  <c r="F11" i="9" s="1"/>
  <c r="F40" i="9" s="1"/>
  <c r="F43" i="9"/>
  <c r="F73" i="9" s="1"/>
  <c r="H15" i="9"/>
  <c r="I15" i="9" s="1"/>
  <c r="G17" i="9"/>
  <c r="G41" i="9" s="1"/>
  <c r="F87" i="9"/>
  <c r="F90" i="9"/>
  <c r="L87" i="9"/>
  <c r="G8" i="9"/>
  <c r="G43" i="9" s="1"/>
  <c r="G73" i="9" s="1"/>
  <c r="G108" i="9" s="1"/>
  <c r="H4" i="9"/>
  <c r="I4" i="9" s="1"/>
  <c r="J4" i="9" s="1"/>
  <c r="K4" i="9" s="1"/>
  <c r="L4" i="9" s="1"/>
  <c r="M4" i="9" s="1"/>
  <c r="N4" i="9" s="1"/>
  <c r="D136" i="9"/>
  <c r="J136" i="9"/>
  <c r="I154" i="9"/>
  <c r="M87" i="9"/>
  <c r="I87" i="9"/>
  <c r="E87" i="9"/>
  <c r="G24" i="10"/>
  <c r="N107" i="9"/>
  <c r="K107" i="9"/>
  <c r="J107" i="9"/>
  <c r="I107" i="9"/>
  <c r="I8" i="9"/>
  <c r="I43" i="9" s="1"/>
  <c r="I73" i="9" s="1"/>
  <c r="F107" i="9"/>
  <c r="E107" i="9"/>
  <c r="E73" i="9"/>
  <c r="E108" i="9" s="1"/>
  <c r="G69" i="9"/>
  <c r="H69" i="9" s="1"/>
  <c r="I69" i="9" s="1"/>
  <c r="J69" i="9" s="1"/>
  <c r="K69" i="9" s="1"/>
  <c r="L69" i="9" s="1"/>
  <c r="M69" i="9" s="1"/>
  <c r="N69" i="9" s="1"/>
  <c r="M107" i="9"/>
  <c r="H8" i="9"/>
  <c r="H43" i="9" s="1"/>
  <c r="H73" i="9" s="1"/>
  <c r="H108" i="9" s="1"/>
  <c r="J143" i="9"/>
  <c r="F117" i="10"/>
  <c r="B89" i="10"/>
  <c r="B91" i="10" s="1"/>
  <c r="B92" i="10" s="1"/>
  <c r="B93" i="10" s="1"/>
  <c r="M124" i="10" s="1"/>
  <c r="J117" i="10"/>
  <c r="E17" i="10"/>
  <c r="E40" i="10" s="1"/>
  <c r="E46" i="10" s="1"/>
  <c r="C159" i="10"/>
  <c r="C160" i="10" s="1"/>
  <c r="F17" i="10"/>
  <c r="F40" i="10" s="1"/>
  <c r="F46" i="10" s="1"/>
  <c r="M128" i="8"/>
  <c r="B104" i="8"/>
  <c r="F17" i="3"/>
  <c r="F41" i="3" s="1"/>
  <c r="E10" i="3"/>
  <c r="E11" i="3" s="1"/>
  <c r="E40" i="3" s="1"/>
  <c r="F68" i="3"/>
  <c r="G24" i="3"/>
  <c r="G68" i="3" s="1"/>
  <c r="D156" i="3" s="1"/>
  <c r="F8" i="3"/>
  <c r="F43" i="3" s="1"/>
  <c r="F73" i="3" s="1"/>
  <c r="G7" i="3"/>
  <c r="H48" i="3"/>
  <c r="D48" i="3" s="1"/>
  <c r="C11" i="3"/>
  <c r="C40" i="3" s="1"/>
  <c r="F127" i="3"/>
  <c r="C73" i="3"/>
  <c r="C63" i="3"/>
  <c r="J159" i="10"/>
  <c r="J160" i="10" s="1"/>
  <c r="K157" i="10"/>
  <c r="G67" i="10"/>
  <c r="H24" i="10"/>
  <c r="D135" i="10"/>
  <c r="E7" i="10"/>
  <c r="D8" i="10"/>
  <c r="D42" i="10" s="1"/>
  <c r="D72" i="10" s="1"/>
  <c r="M123" i="10"/>
  <c r="D134" i="10"/>
  <c r="D62" i="10"/>
  <c r="H14" i="10"/>
  <c r="G17" i="10"/>
  <c r="G40" i="10" s="1"/>
  <c r="G46" i="10" s="1"/>
  <c r="M45" i="10"/>
  <c r="C11" i="10"/>
  <c r="C39" i="10" s="1"/>
  <c r="C144" i="10"/>
  <c r="M47" i="10"/>
  <c r="D117" i="10"/>
  <c r="D114" i="10"/>
  <c r="F6" i="10"/>
  <c r="G4" i="10"/>
  <c r="F116" i="8"/>
  <c r="C49" i="8"/>
  <c r="D113" i="8" s="1"/>
  <c r="G49" i="8"/>
  <c r="H113" i="8" s="1"/>
  <c r="D90" i="8"/>
  <c r="C127" i="8"/>
  <c r="C143" i="8" s="1"/>
  <c r="D6" i="8"/>
  <c r="H116" i="8"/>
  <c r="K116" i="8"/>
  <c r="J116" i="8"/>
  <c r="C40" i="8"/>
  <c r="M113" i="8"/>
  <c r="C66" i="8"/>
  <c r="D66" i="8" s="1"/>
  <c r="E66" i="8" s="1"/>
  <c r="F66" i="8" s="1"/>
  <c r="G66" i="8" s="1"/>
  <c r="H66" i="8" s="1"/>
  <c r="I66" i="8" s="1"/>
  <c r="J66" i="8" s="1"/>
  <c r="K66" i="8" s="1"/>
  <c r="L66" i="8" s="1"/>
  <c r="B95" i="8"/>
  <c r="B97" i="8" s="1"/>
  <c r="B98" i="8" s="1"/>
  <c r="B99" i="8" s="1"/>
  <c r="M126" i="8" s="1"/>
  <c r="D17" i="8"/>
  <c r="D40" i="8" s="1"/>
  <c r="D46" i="8" s="1"/>
  <c r="D68" i="8"/>
  <c r="E68" i="8" s="1"/>
  <c r="F68" i="8" s="1"/>
  <c r="G68" i="8" s="1"/>
  <c r="H68" i="8" s="1"/>
  <c r="I68" i="8" s="1"/>
  <c r="J68" i="8" s="1"/>
  <c r="K68" i="8" s="1"/>
  <c r="L68" i="8" s="1"/>
  <c r="E6" i="8"/>
  <c r="F4" i="8"/>
  <c r="E24" i="8"/>
  <c r="D49" i="8"/>
  <c r="H49" i="8"/>
  <c r="D65" i="8"/>
  <c r="E65" i="8" s="1"/>
  <c r="F65" i="8" s="1"/>
  <c r="G65" i="8" s="1"/>
  <c r="H65" i="8" s="1"/>
  <c r="I65" i="8" s="1"/>
  <c r="J65" i="8" s="1"/>
  <c r="K65" i="8" s="1"/>
  <c r="L65" i="8" s="1"/>
  <c r="E14" i="8"/>
  <c r="F49" i="8"/>
  <c r="B8" i="2"/>
  <c r="C8" i="2"/>
  <c r="D8" i="2"/>
  <c r="H8" i="2" s="1"/>
  <c r="H9" i="8"/>
  <c r="I9" i="8" s="1"/>
  <c r="J9" i="8" s="1"/>
  <c r="K9" i="8" s="1"/>
  <c r="L9" i="8" s="1"/>
  <c r="G10" i="8"/>
  <c r="G42" i="8"/>
  <c r="G72" i="8" s="1"/>
  <c r="G77" i="8"/>
  <c r="K7" i="9"/>
  <c r="J8" i="9"/>
  <c r="I5" i="9"/>
  <c r="J5" i="9" s="1"/>
  <c r="H6" i="9"/>
  <c r="J15" i="9"/>
  <c r="I17" i="9"/>
  <c r="I41" i="9" s="1"/>
  <c r="H7" i="8"/>
  <c r="E8" i="8"/>
  <c r="E42" i="8" s="1"/>
  <c r="E72" i="8" s="1"/>
  <c r="N99" i="9"/>
  <c r="F8" i="8"/>
  <c r="F42" i="8" s="1"/>
  <c r="F72" i="8" s="1"/>
  <c r="D8" i="8"/>
  <c r="D42" i="8" s="1"/>
  <c r="D72" i="8" s="1"/>
  <c r="C8" i="8"/>
  <c r="C42" i="8" s="1"/>
  <c r="C72" i="8" s="1"/>
  <c r="E10" i="9"/>
  <c r="I108" i="9" l="1"/>
  <c r="I6" i="9"/>
  <c r="I10" i="9"/>
  <c r="J154" i="9"/>
  <c r="I156" i="9"/>
  <c r="N96" i="9"/>
  <c r="R94" i="9"/>
  <c r="R95" i="9" s="1"/>
  <c r="N97" i="9" s="1"/>
  <c r="G10" i="9"/>
  <c r="G11" i="9" s="1"/>
  <c r="G40" i="9" s="1"/>
  <c r="H10" i="9"/>
  <c r="H11" i="9" s="1"/>
  <c r="H40" i="9" s="1"/>
  <c r="K143" i="9"/>
  <c r="J145" i="9"/>
  <c r="F108" i="9"/>
  <c r="J68" i="9"/>
  <c r="K24" i="9"/>
  <c r="L136" i="9"/>
  <c r="M134" i="9"/>
  <c r="F10" i="3"/>
  <c r="F11" i="3" s="1"/>
  <c r="F40" i="3" s="1"/>
  <c r="E48" i="3"/>
  <c r="E105" i="3"/>
  <c r="E107" i="3" s="1"/>
  <c r="D63" i="3"/>
  <c r="D126" i="3"/>
  <c r="G8" i="3"/>
  <c r="G43" i="3" s="1"/>
  <c r="G73" i="3" s="1"/>
  <c r="D161" i="3" s="1"/>
  <c r="D127" i="3"/>
  <c r="E127" i="3"/>
  <c r="D105" i="3"/>
  <c r="D107" i="3" s="1"/>
  <c r="C62" i="3"/>
  <c r="G127" i="3"/>
  <c r="K159" i="10"/>
  <c r="L157" i="10"/>
  <c r="E135" i="10"/>
  <c r="D10" i="10"/>
  <c r="D11" i="10" s="1"/>
  <c r="D39" i="10" s="1"/>
  <c r="D113" i="10"/>
  <c r="D115" i="10" s="1"/>
  <c r="C61" i="10"/>
  <c r="C53" i="10"/>
  <c r="I14" i="10"/>
  <c r="H17" i="10"/>
  <c r="H40" i="10" s="1"/>
  <c r="H46" i="10" s="1"/>
  <c r="E62" i="10"/>
  <c r="E134" i="10"/>
  <c r="H67" i="10"/>
  <c r="I24" i="10"/>
  <c r="H4" i="10"/>
  <c r="G6" i="10"/>
  <c r="F7" i="10"/>
  <c r="E8" i="10"/>
  <c r="E42" i="10" s="1"/>
  <c r="E72" i="10" s="1"/>
  <c r="D116" i="8"/>
  <c r="M125" i="8"/>
  <c r="B89" i="8"/>
  <c r="B91" i="8" s="1"/>
  <c r="G116" i="8"/>
  <c r="G113" i="8"/>
  <c r="F6" i="8"/>
  <c r="G4" i="8"/>
  <c r="F14" i="8"/>
  <c r="E17" i="8"/>
  <c r="E40" i="8" s="1"/>
  <c r="E46" i="8" s="1"/>
  <c r="I116" i="8"/>
  <c r="I113" i="8"/>
  <c r="E116" i="8"/>
  <c r="E113" i="8"/>
  <c r="F24" i="8"/>
  <c r="E67" i="8"/>
  <c r="F8" i="2"/>
  <c r="A9" i="2" s="1"/>
  <c r="G8" i="2"/>
  <c r="H134" i="8"/>
  <c r="C10" i="8"/>
  <c r="M45" i="8" s="1"/>
  <c r="E10" i="8"/>
  <c r="E11" i="8" s="1"/>
  <c r="E39" i="8" s="1"/>
  <c r="D10" i="8"/>
  <c r="D11" i="8" s="1"/>
  <c r="D39" i="8" s="1"/>
  <c r="J43" i="9"/>
  <c r="J73" i="9" s="1"/>
  <c r="J10" i="9"/>
  <c r="E11" i="9"/>
  <c r="E40" i="9" s="1"/>
  <c r="P48" i="9"/>
  <c r="F48" i="9" s="1"/>
  <c r="C62" i="8"/>
  <c r="E134" i="8"/>
  <c r="F10" i="8"/>
  <c r="F11" i="8" s="1"/>
  <c r="F39" i="8" s="1"/>
  <c r="F134" i="8"/>
  <c r="K15" i="9"/>
  <c r="J17" i="9"/>
  <c r="J41" i="9" s="1"/>
  <c r="K5" i="9"/>
  <c r="J6" i="9"/>
  <c r="L7" i="9"/>
  <c r="K8" i="9"/>
  <c r="K43" i="9" s="1"/>
  <c r="K73" i="9" s="1"/>
  <c r="K10" i="9"/>
  <c r="H77" i="8"/>
  <c r="G134" i="8"/>
  <c r="H8" i="8"/>
  <c r="H42" i="8" s="1"/>
  <c r="H72" i="8" s="1"/>
  <c r="I7" i="8"/>
  <c r="K68" i="9" l="1"/>
  <c r="L24" i="9"/>
  <c r="L143" i="9"/>
  <c r="K145" i="9"/>
  <c r="I11" i="9"/>
  <c r="I40" i="9" s="1"/>
  <c r="J11" i="9"/>
  <c r="J40" i="9" s="1"/>
  <c r="M136" i="9"/>
  <c r="N134" i="9"/>
  <c r="N136" i="9" s="1"/>
  <c r="K154" i="9"/>
  <c r="J156" i="9"/>
  <c r="E126" i="3"/>
  <c r="E63" i="3"/>
  <c r="D62" i="3"/>
  <c r="D125" i="3"/>
  <c r="C70" i="3"/>
  <c r="G10" i="3"/>
  <c r="G11" i="3" s="1"/>
  <c r="G40" i="3" s="1"/>
  <c r="E108" i="3"/>
  <c r="E111" i="3" s="1"/>
  <c r="D108" i="3"/>
  <c r="D128" i="3" s="1"/>
  <c r="F48" i="3"/>
  <c r="F105" i="3"/>
  <c r="F107" i="3" s="1"/>
  <c r="H127" i="3"/>
  <c r="M157" i="10"/>
  <c r="M159" i="10" s="1"/>
  <c r="M160" i="10" s="1"/>
  <c r="L159" i="10"/>
  <c r="L160" i="10" s="1"/>
  <c r="K160" i="10"/>
  <c r="D47" i="10"/>
  <c r="D45" i="10"/>
  <c r="E113" i="10" s="1"/>
  <c r="E115" i="10" s="1"/>
  <c r="F135" i="10"/>
  <c r="I67" i="10"/>
  <c r="J24" i="10"/>
  <c r="E10" i="10"/>
  <c r="E11" i="10" s="1"/>
  <c r="E39" i="10" s="1"/>
  <c r="H6" i="10"/>
  <c r="I4" i="10"/>
  <c r="F62" i="10"/>
  <c r="F134" i="10"/>
  <c r="C54" i="10"/>
  <c r="C73" i="10" s="1"/>
  <c r="D133" i="10"/>
  <c r="D61" i="10"/>
  <c r="C69" i="10"/>
  <c r="F8" i="10"/>
  <c r="F42" i="10" s="1"/>
  <c r="F72" i="10" s="1"/>
  <c r="G7" i="10"/>
  <c r="I17" i="10"/>
  <c r="I40" i="10" s="1"/>
  <c r="I46" i="10" s="1"/>
  <c r="J14" i="10"/>
  <c r="D116" i="10"/>
  <c r="D136" i="10" s="1"/>
  <c r="B92" i="8"/>
  <c r="B93" i="8" s="1"/>
  <c r="M123" i="8" s="1"/>
  <c r="M122" i="8"/>
  <c r="F17" i="8"/>
  <c r="F40" i="8" s="1"/>
  <c r="F46" i="8" s="1"/>
  <c r="G14" i="8"/>
  <c r="D45" i="8"/>
  <c r="H4" i="8"/>
  <c r="G6" i="8"/>
  <c r="G11" i="8" s="1"/>
  <c r="G39" i="8" s="1"/>
  <c r="F67" i="8"/>
  <c r="G24" i="8"/>
  <c r="B9" i="2"/>
  <c r="D9" i="2"/>
  <c r="H9" i="2" s="1"/>
  <c r="E45" i="8"/>
  <c r="M47" i="8"/>
  <c r="E47" i="8" s="1"/>
  <c r="C11" i="8"/>
  <c r="C39" i="8" s="1"/>
  <c r="D112" i="8" s="1"/>
  <c r="D114" i="8" s="1"/>
  <c r="H10" i="8"/>
  <c r="I77" i="8"/>
  <c r="J77" i="8" s="1"/>
  <c r="K77" i="8" s="1"/>
  <c r="L77" i="8" s="1"/>
  <c r="K108" i="9"/>
  <c r="F45" i="8"/>
  <c r="D134" i="8"/>
  <c r="G48" i="9"/>
  <c r="F86" i="9"/>
  <c r="F88" i="9" s="1"/>
  <c r="J7" i="8"/>
  <c r="I8" i="8"/>
  <c r="I42" i="8" s="1"/>
  <c r="I72" i="8" s="1"/>
  <c r="I134" i="8"/>
  <c r="M7" i="9"/>
  <c r="L8" i="9"/>
  <c r="L43" i="9" s="1"/>
  <c r="L73" i="9" s="1"/>
  <c r="L5" i="9"/>
  <c r="K6" i="9"/>
  <c r="K11" i="9" s="1"/>
  <c r="K40" i="9" s="1"/>
  <c r="L15" i="9"/>
  <c r="K17" i="9"/>
  <c r="K41" i="9" s="1"/>
  <c r="D62" i="8"/>
  <c r="D133" i="8"/>
  <c r="E62" i="9"/>
  <c r="E86" i="9"/>
  <c r="E88" i="9" s="1"/>
  <c r="J108" i="9"/>
  <c r="L145" i="9" l="1"/>
  <c r="M143" i="9"/>
  <c r="L10" i="9"/>
  <c r="K156" i="9"/>
  <c r="L154" i="9"/>
  <c r="M24" i="9"/>
  <c r="L68" i="9"/>
  <c r="D141" i="9"/>
  <c r="C163" i="10"/>
  <c r="D53" i="10"/>
  <c r="D54" i="10" s="1"/>
  <c r="D73" i="10" s="1"/>
  <c r="D119" i="10"/>
  <c r="D144" i="10" s="1"/>
  <c r="G48" i="3"/>
  <c r="G105" i="3"/>
  <c r="G107" i="3" s="1"/>
  <c r="E125" i="3"/>
  <c r="E62" i="3"/>
  <c r="D70" i="3"/>
  <c r="D111" i="3"/>
  <c r="D136" i="3" s="1"/>
  <c r="F63" i="3"/>
  <c r="F126" i="3"/>
  <c r="F108" i="3"/>
  <c r="F128" i="3" s="1"/>
  <c r="E128" i="3"/>
  <c r="C55" i="10"/>
  <c r="C78" i="10" s="1"/>
  <c r="C80" i="10" s="1"/>
  <c r="C81" i="10" s="1"/>
  <c r="C164" i="10"/>
  <c r="E116" i="10"/>
  <c r="E136" i="10" s="1"/>
  <c r="E61" i="10"/>
  <c r="E133" i="10"/>
  <c r="D69" i="10"/>
  <c r="G135" i="10"/>
  <c r="I6" i="10"/>
  <c r="J4" i="10"/>
  <c r="H7" i="10"/>
  <c r="G8" i="10"/>
  <c r="G42" i="10" s="1"/>
  <c r="G72" i="10" s="1"/>
  <c r="E47" i="10"/>
  <c r="F113" i="10" s="1"/>
  <c r="F115" i="10" s="1"/>
  <c r="E45" i="10"/>
  <c r="J17" i="10"/>
  <c r="J40" i="10" s="1"/>
  <c r="J46" i="10" s="1"/>
  <c r="K14" i="10"/>
  <c r="F10" i="10"/>
  <c r="F11" i="10" s="1"/>
  <c r="F39" i="10" s="1"/>
  <c r="G134" i="10"/>
  <c r="G62" i="10"/>
  <c r="J67" i="10"/>
  <c r="K24" i="10"/>
  <c r="C9" i="2"/>
  <c r="G9" i="2" s="1"/>
  <c r="C53" i="8"/>
  <c r="F112" i="8"/>
  <c r="F114" i="8" s="1"/>
  <c r="F115" i="8" s="1"/>
  <c r="E53" i="8"/>
  <c r="E54" i="8" s="1"/>
  <c r="E73" i="8" s="1"/>
  <c r="I4" i="8"/>
  <c r="H6" i="8"/>
  <c r="H11" i="8" s="1"/>
  <c r="H39" i="8" s="1"/>
  <c r="D47" i="8"/>
  <c r="E112" i="8" s="1"/>
  <c r="E114" i="8" s="1"/>
  <c r="E115" i="8" s="1"/>
  <c r="E118" i="8" s="1"/>
  <c r="H24" i="8"/>
  <c r="G67" i="8"/>
  <c r="G17" i="8"/>
  <c r="G40" i="8" s="1"/>
  <c r="G46" i="8" s="1"/>
  <c r="H14" i="8"/>
  <c r="G45" i="8"/>
  <c r="C61" i="8"/>
  <c r="F47" i="8"/>
  <c r="F53" i="8" s="1"/>
  <c r="F54" i="8" s="1"/>
  <c r="F73" i="8" s="1"/>
  <c r="E62" i="8"/>
  <c r="E133" i="8"/>
  <c r="M15" i="9"/>
  <c r="L17" i="9"/>
  <c r="L41" i="9" s="1"/>
  <c r="E89" i="9"/>
  <c r="E109" i="9" s="1"/>
  <c r="L108" i="9"/>
  <c r="N7" i="9"/>
  <c r="M8" i="9"/>
  <c r="M43" i="9" s="1"/>
  <c r="M73" i="9" s="1"/>
  <c r="I10" i="8"/>
  <c r="D92" i="8"/>
  <c r="F62" i="9"/>
  <c r="E70" i="9"/>
  <c r="E106" i="9"/>
  <c r="M5" i="9"/>
  <c r="L6" i="9"/>
  <c r="J134" i="8"/>
  <c r="K7" i="8"/>
  <c r="J8" i="8"/>
  <c r="J42" i="8" s="1"/>
  <c r="J72" i="8" s="1"/>
  <c r="D115" i="8"/>
  <c r="D135" i="8" s="1"/>
  <c r="F89" i="9"/>
  <c r="H48" i="9"/>
  <c r="G86" i="9"/>
  <c r="G88" i="9" s="1"/>
  <c r="M68" i="9" l="1"/>
  <c r="N24" i="9"/>
  <c r="N68" i="9" s="1"/>
  <c r="R97" i="9" s="1"/>
  <c r="R101" i="9" s="1"/>
  <c r="R102" i="9" s="1"/>
  <c r="N103" i="9" s="1"/>
  <c r="M145" i="9"/>
  <c r="N143" i="9"/>
  <c r="N145" i="9" s="1"/>
  <c r="F109" i="9"/>
  <c r="L156" i="9"/>
  <c r="M154" i="9"/>
  <c r="L11" i="9"/>
  <c r="L40" i="9" s="1"/>
  <c r="E53" i="10"/>
  <c r="E136" i="3"/>
  <c r="E137" i="3" s="1"/>
  <c r="D137" i="3"/>
  <c r="G126" i="3"/>
  <c r="G63" i="3"/>
  <c r="H105" i="3"/>
  <c r="H107" i="3" s="1"/>
  <c r="F111" i="3"/>
  <c r="F62" i="3"/>
  <c r="G62" i="3" s="1"/>
  <c r="D150" i="3" s="1"/>
  <c r="F125" i="3"/>
  <c r="E70" i="3"/>
  <c r="G108" i="3"/>
  <c r="G128" i="3" s="1"/>
  <c r="E54" i="10"/>
  <c r="E73" i="10" s="1"/>
  <c r="I7" i="10"/>
  <c r="H8" i="10"/>
  <c r="H42" i="10" s="1"/>
  <c r="H72" i="10" s="1"/>
  <c r="F116" i="10"/>
  <c r="F136" i="10" s="1"/>
  <c r="K67" i="10"/>
  <c r="L24" i="10"/>
  <c r="L67" i="10" s="1"/>
  <c r="F45" i="10"/>
  <c r="F47" i="10"/>
  <c r="G10" i="10"/>
  <c r="G11" i="10" s="1"/>
  <c r="G39" i="10" s="1"/>
  <c r="D55" i="10"/>
  <c r="D78" i="10" s="1"/>
  <c r="D80" i="10" s="1"/>
  <c r="D81" i="10" s="1"/>
  <c r="L14" i="10"/>
  <c r="L17" i="10" s="1"/>
  <c r="L40" i="10" s="1"/>
  <c r="L46" i="10" s="1"/>
  <c r="K17" i="10"/>
  <c r="K40" i="10" s="1"/>
  <c r="K46" i="10" s="1"/>
  <c r="H134" i="10"/>
  <c r="H62" i="10"/>
  <c r="H135" i="10"/>
  <c r="J6" i="10"/>
  <c r="K4" i="10"/>
  <c r="F133" i="10"/>
  <c r="F61" i="10"/>
  <c r="E69" i="10"/>
  <c r="E119" i="10"/>
  <c r="E144" i="10" s="1"/>
  <c r="F9" i="2"/>
  <c r="A10" i="2" s="1"/>
  <c r="D10" i="2" s="1"/>
  <c r="H10" i="2" s="1"/>
  <c r="C54" i="8"/>
  <c r="C73" i="8" s="1"/>
  <c r="D53" i="8"/>
  <c r="D54" i="8" s="1"/>
  <c r="D73" i="8" s="1"/>
  <c r="G112" i="8"/>
  <c r="G114" i="8" s="1"/>
  <c r="G115" i="8" s="1"/>
  <c r="G118" i="8" s="1"/>
  <c r="H45" i="8"/>
  <c r="G47" i="8"/>
  <c r="G53" i="8" s="1"/>
  <c r="J4" i="8"/>
  <c r="I6" i="8"/>
  <c r="I11" i="8" s="1"/>
  <c r="I39" i="8" s="1"/>
  <c r="I45" i="8" s="1"/>
  <c r="I24" i="8"/>
  <c r="H67" i="8"/>
  <c r="H17" i="8"/>
  <c r="H40" i="8" s="1"/>
  <c r="H46" i="8" s="1"/>
  <c r="I14" i="8"/>
  <c r="D61" i="8"/>
  <c r="E132" i="8" s="1"/>
  <c r="D132" i="8"/>
  <c r="F135" i="8"/>
  <c r="F55" i="8"/>
  <c r="E55" i="8"/>
  <c r="I48" i="9"/>
  <c r="H86" i="9"/>
  <c r="H88" i="9" s="1"/>
  <c r="G89" i="9"/>
  <c r="G109" i="9" s="1"/>
  <c r="F92" i="9"/>
  <c r="D118" i="8"/>
  <c r="E135" i="8"/>
  <c r="J10" i="8"/>
  <c r="N5" i="9"/>
  <c r="N6" i="9" s="1"/>
  <c r="M6" i="9"/>
  <c r="F118" i="8"/>
  <c r="M10" i="9"/>
  <c r="E92" i="9"/>
  <c r="E117" i="9" s="1"/>
  <c r="K134" i="8"/>
  <c r="K8" i="8"/>
  <c r="K42" i="8" s="1"/>
  <c r="K72" i="8" s="1"/>
  <c r="L7" i="8"/>
  <c r="G62" i="9"/>
  <c r="F106" i="9"/>
  <c r="F70" i="9"/>
  <c r="C69" i="8"/>
  <c r="M108" i="9"/>
  <c r="N8" i="9"/>
  <c r="N43" i="9" s="1"/>
  <c r="N73" i="9" s="1"/>
  <c r="N15" i="9"/>
  <c r="N17" i="9" s="1"/>
  <c r="N41" i="9" s="1"/>
  <c r="M17" i="9"/>
  <c r="M41" i="9" s="1"/>
  <c r="F133" i="8"/>
  <c r="F62" i="8"/>
  <c r="M156" i="9" l="1"/>
  <c r="N154" i="9"/>
  <c r="N156" i="9" s="1"/>
  <c r="G92" i="9"/>
  <c r="N10" i="9"/>
  <c r="N11" i="9" s="1"/>
  <c r="N40" i="9" s="1"/>
  <c r="D150" i="9"/>
  <c r="F53" i="10"/>
  <c r="H10" i="10"/>
  <c r="H11" i="10" s="1"/>
  <c r="H39" i="10" s="1"/>
  <c r="H47" i="10" s="1"/>
  <c r="F136" i="3"/>
  <c r="F137" i="3" s="1"/>
  <c r="D151" i="3"/>
  <c r="H126" i="3"/>
  <c r="G125" i="3"/>
  <c r="H125" i="3"/>
  <c r="F70" i="3"/>
  <c r="G111" i="3"/>
  <c r="H108" i="3"/>
  <c r="H128" i="3" s="1"/>
  <c r="E55" i="10"/>
  <c r="F54" i="10"/>
  <c r="F73" i="10" s="1"/>
  <c r="G61" i="10"/>
  <c r="G133" i="10"/>
  <c r="F69" i="10"/>
  <c r="B101" i="10"/>
  <c r="B105" i="10" s="1"/>
  <c r="B106" i="10" s="1"/>
  <c r="M130" i="10" s="1"/>
  <c r="J7" i="10"/>
  <c r="I8" i="10"/>
  <c r="I42" i="10" s="1"/>
  <c r="I72" i="10" s="1"/>
  <c r="K6" i="10"/>
  <c r="L4" i="10"/>
  <c r="L6" i="10" s="1"/>
  <c r="I62" i="10"/>
  <c r="I134" i="10"/>
  <c r="E78" i="10"/>
  <c r="E80" i="10" s="1"/>
  <c r="E81" i="10" s="1"/>
  <c r="G113" i="10"/>
  <c r="G115" i="10" s="1"/>
  <c r="F119" i="10"/>
  <c r="F144" i="10" s="1"/>
  <c r="H45" i="10"/>
  <c r="G47" i="10"/>
  <c r="G53" i="10" s="1"/>
  <c r="G45" i="10"/>
  <c r="I135" i="10"/>
  <c r="B10" i="2"/>
  <c r="C10" i="2" s="1"/>
  <c r="C55" i="8"/>
  <c r="C78" i="8" s="1"/>
  <c r="C80" i="8" s="1"/>
  <c r="C81" i="8" s="1"/>
  <c r="K10" i="8"/>
  <c r="E61" i="8"/>
  <c r="F61" i="8" s="1"/>
  <c r="G61" i="8" s="1"/>
  <c r="G54" i="8"/>
  <c r="G73" i="8" s="1"/>
  <c r="H112" i="8"/>
  <c r="H114" i="8" s="1"/>
  <c r="H115" i="8" s="1"/>
  <c r="H118" i="8" s="1"/>
  <c r="J24" i="8"/>
  <c r="I67" i="8"/>
  <c r="J14" i="8"/>
  <c r="I17" i="8"/>
  <c r="I40" i="8" s="1"/>
  <c r="J6" i="8"/>
  <c r="J11" i="8" s="1"/>
  <c r="J39" i="8" s="1"/>
  <c r="K4" i="8"/>
  <c r="H47" i="8"/>
  <c r="I112" i="8" s="1"/>
  <c r="I114" i="8" s="1"/>
  <c r="D143" i="8"/>
  <c r="E143" i="8"/>
  <c r="H62" i="9"/>
  <c r="G106" i="9"/>
  <c r="G117" i="9" s="1"/>
  <c r="G118" i="9" s="1"/>
  <c r="G70" i="9"/>
  <c r="L134" i="8"/>
  <c r="H89" i="9"/>
  <c r="H109" i="9" s="1"/>
  <c r="G62" i="8"/>
  <c r="G133" i="8"/>
  <c r="N108" i="9"/>
  <c r="N114" i="9"/>
  <c r="L8" i="8"/>
  <c r="L42" i="8" s="1"/>
  <c r="L72" i="8" s="1"/>
  <c r="D55" i="8"/>
  <c r="E118" i="9"/>
  <c r="G135" i="8"/>
  <c r="M11" i="9"/>
  <c r="M40" i="9" s="1"/>
  <c r="F117" i="9"/>
  <c r="F118" i="9" s="1"/>
  <c r="J48" i="9"/>
  <c r="I86" i="9"/>
  <c r="I88" i="9" s="1"/>
  <c r="D161" i="9" l="1"/>
  <c r="I113" i="10"/>
  <c r="I115" i="10" s="1"/>
  <c r="H113" i="10"/>
  <c r="H115" i="10" s="1"/>
  <c r="H53" i="10"/>
  <c r="H54" i="10" s="1"/>
  <c r="H73" i="10" s="1"/>
  <c r="G136" i="3"/>
  <c r="G137" i="3" s="1"/>
  <c r="D163" i="3"/>
  <c r="G70" i="3"/>
  <c r="H111" i="3"/>
  <c r="F55" i="10"/>
  <c r="F78" i="10" s="1"/>
  <c r="F80" i="10" s="1"/>
  <c r="F81" i="10" s="1"/>
  <c r="I116" i="10"/>
  <c r="H116" i="10"/>
  <c r="H119" i="10" s="1"/>
  <c r="G54" i="10"/>
  <c r="G73" i="10" s="1"/>
  <c r="J135" i="10"/>
  <c r="J8" i="10"/>
  <c r="J42" i="10" s="1"/>
  <c r="J72" i="10" s="1"/>
  <c r="K7" i="10"/>
  <c r="I10" i="10"/>
  <c r="I11" i="10" s="1"/>
  <c r="I39" i="10" s="1"/>
  <c r="G116" i="10"/>
  <c r="G136" i="10" s="1"/>
  <c r="J134" i="10"/>
  <c r="J62" i="10"/>
  <c r="H61" i="10"/>
  <c r="H133" i="10"/>
  <c r="G69" i="10"/>
  <c r="F10" i="2"/>
  <c r="A11" i="2" s="1"/>
  <c r="D11" i="2" s="1"/>
  <c r="H11" i="2" s="1"/>
  <c r="G10" i="2"/>
  <c r="D78" i="8"/>
  <c r="D80" i="8" s="1"/>
  <c r="F132" i="8"/>
  <c r="F143" i="8" s="1"/>
  <c r="I115" i="8"/>
  <c r="I135" i="8" s="1"/>
  <c r="J45" i="8"/>
  <c r="H135" i="8"/>
  <c r="L10" i="8"/>
  <c r="I46" i="8"/>
  <c r="I47" i="8"/>
  <c r="J67" i="8"/>
  <c r="K24" i="8"/>
  <c r="H53" i="8"/>
  <c r="K14" i="8"/>
  <c r="J17" i="8"/>
  <c r="J40" i="8" s="1"/>
  <c r="J46" i="8" s="1"/>
  <c r="L4" i="8"/>
  <c r="L6" i="8" s="1"/>
  <c r="K6" i="8"/>
  <c r="K11" i="8" s="1"/>
  <c r="K39" i="8" s="1"/>
  <c r="G55" i="8"/>
  <c r="I89" i="9"/>
  <c r="I109" i="9" s="1"/>
  <c r="H133" i="8"/>
  <c r="H62" i="8"/>
  <c r="G132" i="8"/>
  <c r="G143" i="8" s="1"/>
  <c r="K48" i="9"/>
  <c r="J86" i="9"/>
  <c r="J88" i="9" s="1"/>
  <c r="M134" i="8"/>
  <c r="M140" i="8"/>
  <c r="H92" i="9"/>
  <c r="I62" i="9"/>
  <c r="H70" i="9"/>
  <c r="H106" i="9"/>
  <c r="G55" i="10" l="1"/>
  <c r="I136" i="10"/>
  <c r="G119" i="10"/>
  <c r="G144" i="10" s="1"/>
  <c r="H136" i="3"/>
  <c r="E78" i="8"/>
  <c r="E80" i="8" s="1"/>
  <c r="H55" i="10"/>
  <c r="I133" i="10"/>
  <c r="I61" i="10"/>
  <c r="H69" i="10"/>
  <c r="L7" i="10"/>
  <c r="K8" i="10"/>
  <c r="K42" i="10" s="1"/>
  <c r="K72" i="10" s="1"/>
  <c r="K62" i="10"/>
  <c r="K134" i="10"/>
  <c r="I47" i="10"/>
  <c r="I45" i="10"/>
  <c r="K135" i="10"/>
  <c r="I119" i="10"/>
  <c r="J10" i="10"/>
  <c r="J11" i="10" s="1"/>
  <c r="J39" i="10" s="1"/>
  <c r="G78" i="10"/>
  <c r="H136" i="10"/>
  <c r="H144" i="10" s="1"/>
  <c r="B11" i="2"/>
  <c r="K17" i="8"/>
  <c r="K40" i="8" s="1"/>
  <c r="K47" i="8" s="1"/>
  <c r="L14" i="8"/>
  <c r="L17" i="8" s="1"/>
  <c r="L40" i="8" s="1"/>
  <c r="L46" i="8" s="1"/>
  <c r="J47" i="8"/>
  <c r="K112" i="8" s="1"/>
  <c r="K114" i="8" s="1"/>
  <c r="K115" i="8" s="1"/>
  <c r="K45" i="8"/>
  <c r="H54" i="8"/>
  <c r="H73" i="8" s="1"/>
  <c r="J112" i="8"/>
  <c r="J114" i="8" s="1"/>
  <c r="I53" i="8"/>
  <c r="K67" i="8"/>
  <c r="L24" i="8"/>
  <c r="L67" i="8" s="1"/>
  <c r="B101" i="8" s="1"/>
  <c r="L11" i="8"/>
  <c r="L39" i="8" s="1"/>
  <c r="I118" i="8"/>
  <c r="C11" i="2"/>
  <c r="F11" i="2" s="1"/>
  <c r="A12" i="2" s="1"/>
  <c r="D69" i="8"/>
  <c r="D81" i="8" s="1"/>
  <c r="J62" i="9"/>
  <c r="I70" i="9"/>
  <c r="I106" i="9"/>
  <c r="H117" i="9"/>
  <c r="L48" i="9"/>
  <c r="K86" i="9"/>
  <c r="K88" i="9" s="1"/>
  <c r="H132" i="8"/>
  <c r="H61" i="8"/>
  <c r="J89" i="9"/>
  <c r="J109" i="9" s="1"/>
  <c r="J92" i="9"/>
  <c r="I133" i="8"/>
  <c r="I62" i="8"/>
  <c r="F78" i="8"/>
  <c r="I92" i="9"/>
  <c r="I117" i="9" s="1"/>
  <c r="I118" i="9" s="1"/>
  <c r="I53" i="10" l="1"/>
  <c r="I144" i="10"/>
  <c r="J113" i="10"/>
  <c r="J115" i="10" s="1"/>
  <c r="J116" i="10" s="1"/>
  <c r="J136" i="10" s="1"/>
  <c r="M129" i="8"/>
  <c r="B105" i="8"/>
  <c r="B106" i="8" s="1"/>
  <c r="J53" i="8"/>
  <c r="J54" i="8" s="1"/>
  <c r="J73" i="8" s="1"/>
  <c r="G11" i="2"/>
  <c r="H137" i="3"/>
  <c r="C141" i="3" s="1"/>
  <c r="C142" i="3"/>
  <c r="H78" i="10"/>
  <c r="H80" i="10" s="1"/>
  <c r="H81" i="10" s="1"/>
  <c r="G80" i="10"/>
  <c r="G81" i="10" s="1"/>
  <c r="J47" i="10"/>
  <c r="J45" i="10"/>
  <c r="L134" i="10"/>
  <c r="L62" i="10"/>
  <c r="K10" i="10"/>
  <c r="K11" i="10" s="1"/>
  <c r="K39" i="10" s="1"/>
  <c r="I54" i="10"/>
  <c r="I73" i="10" s="1"/>
  <c r="L135" i="10"/>
  <c r="J133" i="10"/>
  <c r="J61" i="10"/>
  <c r="I69" i="10"/>
  <c r="L8" i="10"/>
  <c r="L42" i="10" s="1"/>
  <c r="L72" i="10" s="1"/>
  <c r="H55" i="8"/>
  <c r="J55" i="8"/>
  <c r="K118" i="8"/>
  <c r="L45" i="8"/>
  <c r="L47" i="8"/>
  <c r="I54" i="8"/>
  <c r="I73" i="8" s="1"/>
  <c r="J115" i="8"/>
  <c r="J135" i="8" s="1"/>
  <c r="K46" i="8"/>
  <c r="L112" i="8" s="1"/>
  <c r="L114" i="8" s="1"/>
  <c r="D12" i="2"/>
  <c r="H12" i="2"/>
  <c r="B12" i="2"/>
  <c r="C12" i="2" s="1"/>
  <c r="E69" i="8"/>
  <c r="E81" i="8" s="1"/>
  <c r="J62" i="8"/>
  <c r="J133" i="8"/>
  <c r="G78" i="8"/>
  <c r="F80" i="8"/>
  <c r="I132" i="8"/>
  <c r="I143" i="8" s="1"/>
  <c r="I61" i="8"/>
  <c r="K89" i="9"/>
  <c r="K109" i="9" s="1"/>
  <c r="K62" i="9"/>
  <c r="J70" i="9"/>
  <c r="J106" i="9"/>
  <c r="J117" i="9"/>
  <c r="J118" i="9" s="1"/>
  <c r="H143" i="8"/>
  <c r="M48" i="9"/>
  <c r="L86" i="9"/>
  <c r="L88" i="9" s="1"/>
  <c r="H118" i="9"/>
  <c r="J53" i="10" l="1"/>
  <c r="K113" i="10"/>
  <c r="K115" i="10" s="1"/>
  <c r="J119" i="10"/>
  <c r="L10" i="10"/>
  <c r="L11" i="10" s="1"/>
  <c r="L39" i="10" s="1"/>
  <c r="L45" i="10" s="1"/>
  <c r="K61" i="10"/>
  <c r="K133" i="10"/>
  <c r="J69" i="10"/>
  <c r="J54" i="10"/>
  <c r="J73" i="10" s="1"/>
  <c r="K116" i="10"/>
  <c r="K136" i="10" s="1"/>
  <c r="M134" i="10"/>
  <c r="M140" i="10"/>
  <c r="I55" i="10"/>
  <c r="I78" i="10" s="1"/>
  <c r="I80" i="10" s="1"/>
  <c r="I81" i="10" s="1"/>
  <c r="M141" i="10"/>
  <c r="M135" i="10"/>
  <c r="J144" i="10"/>
  <c r="K47" i="10"/>
  <c r="K45" i="10"/>
  <c r="K53" i="8"/>
  <c r="K54" i="8" s="1"/>
  <c r="K73" i="8" s="1"/>
  <c r="J118" i="8"/>
  <c r="I55" i="8"/>
  <c r="L115" i="8"/>
  <c r="L135" i="8" s="1"/>
  <c r="L53" i="8"/>
  <c r="M112" i="8"/>
  <c r="M114" i="8" s="1"/>
  <c r="M115" i="8" s="1"/>
  <c r="K135" i="8"/>
  <c r="G12" i="2"/>
  <c r="F12" i="2"/>
  <c r="A13" i="2" s="1"/>
  <c r="F69" i="8"/>
  <c r="F81" i="8" s="1"/>
  <c r="N48" i="9"/>
  <c r="M86" i="9"/>
  <c r="M88" i="9" s="1"/>
  <c r="L89" i="9"/>
  <c r="L109" i="9" s="1"/>
  <c r="L62" i="9"/>
  <c r="K70" i="9"/>
  <c r="K106" i="9"/>
  <c r="K92" i="9"/>
  <c r="K117" i="9" s="1"/>
  <c r="J61" i="8"/>
  <c r="K61" i="8" s="1"/>
  <c r="J132" i="8"/>
  <c r="H78" i="8"/>
  <c r="G80" i="8"/>
  <c r="K133" i="8"/>
  <c r="K62" i="8"/>
  <c r="K53" i="10" l="1"/>
  <c r="K54" i="10" s="1"/>
  <c r="K73" i="10" s="1"/>
  <c r="L47" i="10"/>
  <c r="L53" i="10" s="1"/>
  <c r="L54" i="10" s="1"/>
  <c r="L73" i="10" s="1"/>
  <c r="K119" i="10"/>
  <c r="K144" i="10" s="1"/>
  <c r="J55" i="10"/>
  <c r="L113" i="10"/>
  <c r="L115" i="10" s="1"/>
  <c r="J78" i="10"/>
  <c r="L133" i="10"/>
  <c r="L61" i="10"/>
  <c r="K69" i="10"/>
  <c r="K55" i="8"/>
  <c r="J143" i="8"/>
  <c r="L118" i="8"/>
  <c r="M118" i="8"/>
  <c r="M135" i="8"/>
  <c r="M141" i="8"/>
  <c r="L54" i="8"/>
  <c r="L73" i="8" s="1"/>
  <c r="D13" i="2"/>
  <c r="H13" i="2" s="1"/>
  <c r="B13" i="2"/>
  <c r="G69" i="8"/>
  <c r="G81" i="8" s="1"/>
  <c r="M89" i="9"/>
  <c r="M109" i="9" s="1"/>
  <c r="M92" i="9"/>
  <c r="I78" i="8"/>
  <c r="H80" i="8"/>
  <c r="K118" i="9"/>
  <c r="L62" i="8"/>
  <c r="L133" i="8"/>
  <c r="K132" i="8"/>
  <c r="K143" i="8" s="1"/>
  <c r="M62" i="9"/>
  <c r="L70" i="9"/>
  <c r="L106" i="9"/>
  <c r="L92" i="9"/>
  <c r="N86" i="9"/>
  <c r="N88" i="9" s="1"/>
  <c r="M113" i="10" l="1"/>
  <c r="M115" i="10" s="1"/>
  <c r="M116" i="10" s="1"/>
  <c r="M119" i="10" s="1"/>
  <c r="L117" i="9"/>
  <c r="L118" i="9" s="1"/>
  <c r="K55" i="10"/>
  <c r="K78" i="10" s="1"/>
  <c r="K80" i="10" s="1"/>
  <c r="K81" i="10" s="1"/>
  <c r="L116" i="10"/>
  <c r="L136" i="10" s="1"/>
  <c r="J80" i="10"/>
  <c r="J81" i="10" s="1"/>
  <c r="M139" i="10"/>
  <c r="M133" i="10"/>
  <c r="L69" i="10"/>
  <c r="L55" i="10"/>
  <c r="L55" i="8"/>
  <c r="C13" i="2"/>
  <c r="H69" i="8"/>
  <c r="H81" i="8" s="1"/>
  <c r="N89" i="9"/>
  <c r="N92" i="9" s="1"/>
  <c r="N62" i="9"/>
  <c r="M70" i="9"/>
  <c r="M106" i="9"/>
  <c r="M117" i="9" s="1"/>
  <c r="M118" i="9" s="1"/>
  <c r="L132" i="8"/>
  <c r="L143" i="8" s="1"/>
  <c r="L61" i="8"/>
  <c r="M139" i="8"/>
  <c r="M133" i="8"/>
  <c r="J78" i="8"/>
  <c r="I80" i="8"/>
  <c r="M142" i="10" l="1"/>
  <c r="L78" i="10"/>
  <c r="E93" i="10" s="1"/>
  <c r="E94" i="10" s="1"/>
  <c r="L119" i="10"/>
  <c r="L144" i="10" s="1"/>
  <c r="M136" i="10"/>
  <c r="M144" i="10" s="1"/>
  <c r="C150" i="10" s="1"/>
  <c r="G13" i="2"/>
  <c r="F13" i="2"/>
  <c r="A14" i="2" s="1"/>
  <c r="I69" i="8"/>
  <c r="I81" i="8" s="1"/>
  <c r="K78" i="8"/>
  <c r="J80" i="8"/>
  <c r="M132" i="8"/>
  <c r="M138" i="8"/>
  <c r="N112" i="9"/>
  <c r="N106" i="9"/>
  <c r="N70" i="9"/>
  <c r="N115" i="9"/>
  <c r="N109" i="9"/>
  <c r="L80" i="10" l="1"/>
  <c r="L81" i="10" s="1"/>
  <c r="F92" i="10"/>
  <c r="L91" i="10" s="1"/>
  <c r="F91" i="10"/>
  <c r="I91" i="10" s="1"/>
  <c r="F90" i="10"/>
  <c r="D14" i="2"/>
  <c r="H14" i="2" s="1"/>
  <c r="B14" i="2"/>
  <c r="J69" i="8"/>
  <c r="J81" i="8" s="1"/>
  <c r="M143" i="8"/>
  <c r="C149" i="8" s="1"/>
  <c r="L78" i="8"/>
  <c r="K80" i="8"/>
  <c r="N117" i="9"/>
  <c r="F94" i="10" l="1"/>
  <c r="L90" i="10"/>
  <c r="L94" i="10" s="1"/>
  <c r="L98" i="10" s="1"/>
  <c r="H97" i="10" s="1"/>
  <c r="H100" i="10" s="1"/>
  <c r="G92" i="10" s="1"/>
  <c r="H92" i="10" s="1"/>
  <c r="I92" i="10" s="1"/>
  <c r="I90" i="10"/>
  <c r="C14" i="2"/>
  <c r="G14" i="2" s="1"/>
  <c r="K69" i="8"/>
  <c r="K81" i="8" s="1"/>
  <c r="L80" i="8"/>
  <c r="D93" i="8"/>
  <c r="N118" i="9"/>
  <c r="D122" i="9" s="1"/>
  <c r="D123" i="9"/>
  <c r="I94" i="10" l="1"/>
  <c r="C162" i="10" s="1"/>
  <c r="F14" i="2"/>
  <c r="A15" i="2" s="1"/>
  <c r="D15" i="2" s="1"/>
  <c r="H15" i="2" s="1"/>
  <c r="L69" i="8"/>
  <c r="L81" i="8" s="1"/>
  <c r="D94" i="8"/>
  <c r="K146" i="10" l="1"/>
  <c r="G146" i="10"/>
  <c r="C146" i="10"/>
  <c r="L146" i="10"/>
  <c r="F146" i="10"/>
  <c r="C148" i="10"/>
  <c r="I146" i="10"/>
  <c r="D146" i="10"/>
  <c r="E146" i="10"/>
  <c r="M146" i="10"/>
  <c r="J146" i="10"/>
  <c r="H146" i="10"/>
  <c r="B15" i="2"/>
  <c r="C15" i="2" s="1"/>
  <c r="F15" i="2" s="1"/>
  <c r="A16" i="2" s="1"/>
  <c r="E90" i="8"/>
  <c r="E91" i="8"/>
  <c r="H91" i="8" s="1"/>
  <c r="E92" i="8"/>
  <c r="C151" i="10" l="1"/>
  <c r="J145" i="10"/>
  <c r="F145" i="10"/>
  <c r="L145" i="10"/>
  <c r="G145" i="10"/>
  <c r="I145" i="10"/>
  <c r="D145" i="10"/>
  <c r="E145" i="10"/>
  <c r="M145" i="10"/>
  <c r="C145" i="10"/>
  <c r="K145" i="10"/>
  <c r="H145" i="10"/>
  <c r="G15" i="2"/>
  <c r="B16" i="2"/>
  <c r="D16" i="2"/>
  <c r="H16" i="2" s="1"/>
  <c r="L91" i="8"/>
  <c r="H90" i="8"/>
  <c r="L90" i="8"/>
  <c r="E94" i="8"/>
  <c r="C149" i="10" l="1"/>
  <c r="C16" i="2"/>
  <c r="G16" i="2" s="1"/>
  <c r="F16" i="2" l="1"/>
  <c r="A17" i="2" s="1"/>
  <c r="B17" i="2" s="1"/>
  <c r="G97" i="8"/>
  <c r="G100" i="8" s="1"/>
  <c r="F92" i="8" s="1"/>
  <c r="G92" i="8" s="1"/>
  <c r="H92" i="8" s="1"/>
  <c r="H94" i="8" s="1"/>
  <c r="D17" i="2" l="1"/>
  <c r="H17" i="2" s="1"/>
  <c r="D145" i="8"/>
  <c r="J145" i="8"/>
  <c r="G145" i="8"/>
  <c r="C147" i="8"/>
  <c r="C144" i="8" s="1"/>
  <c r="I145" i="8"/>
  <c r="F145" i="8"/>
  <c r="L145" i="8"/>
  <c r="K145" i="8"/>
  <c r="M145" i="8"/>
  <c r="H145" i="8"/>
  <c r="C145" i="8"/>
  <c r="E145" i="8"/>
  <c r="C17" i="2" l="1"/>
  <c r="F17" i="2" s="1"/>
  <c r="A18" i="2" s="1"/>
  <c r="B18" i="2" s="1"/>
  <c r="I144" i="8"/>
  <c r="G144" i="8"/>
  <c r="C150" i="8"/>
  <c r="M144" i="8"/>
  <c r="E144" i="8"/>
  <c r="J144" i="8"/>
  <c r="K144" i="8"/>
  <c r="D144" i="8"/>
  <c r="F144" i="8"/>
  <c r="H144" i="8"/>
  <c r="L144" i="8"/>
  <c r="D18" i="2" l="1"/>
  <c r="C18" i="2" s="1"/>
  <c r="F18" i="2" s="1"/>
  <c r="A19" i="2" s="1"/>
  <c r="B19" i="2" s="1"/>
  <c r="G17" i="2"/>
  <c r="C148" i="8"/>
  <c r="G18" i="2" l="1"/>
  <c r="H18" i="2"/>
  <c r="D19" i="2"/>
  <c r="C19" i="2" s="1"/>
  <c r="F19" i="2" s="1"/>
  <c r="E51" i="9" l="1"/>
  <c r="E54" i="9" s="1"/>
  <c r="E55" i="9" s="1"/>
  <c r="E74" i="9" s="1"/>
  <c r="H19" i="2"/>
  <c r="G19" i="2"/>
  <c r="A20" i="2"/>
  <c r="E76" i="9"/>
  <c r="E56" i="9" l="1"/>
  <c r="E79" i="9" s="1"/>
  <c r="E81" i="9" s="1"/>
  <c r="E82" i="9" s="1"/>
  <c r="B20" i="2"/>
  <c r="D20" i="2"/>
  <c r="H20" i="2" s="1"/>
  <c r="C20" i="2" l="1"/>
  <c r="G20" i="2" l="1"/>
  <c r="F20" i="2"/>
  <c r="A21" i="2" s="1"/>
  <c r="B21" i="2" l="1"/>
  <c r="D21" i="2"/>
  <c r="H21" i="2" s="1"/>
  <c r="C21" i="2" l="1"/>
  <c r="F21" i="2" l="1"/>
  <c r="A22" i="2" s="1"/>
  <c r="G21" i="2"/>
  <c r="D22" i="2" l="1"/>
  <c r="H22" i="2" s="1"/>
  <c r="B22" i="2"/>
  <c r="C22" i="2" l="1"/>
  <c r="F22" i="2" s="1"/>
  <c r="A23" i="2" s="1"/>
  <c r="G22" i="2" l="1"/>
  <c r="B23" i="2"/>
  <c r="D23" i="2"/>
  <c r="H23" i="2" s="1"/>
  <c r="C23" i="2" l="1"/>
  <c r="G23" i="2" l="1"/>
  <c r="F23" i="2"/>
  <c r="A24" i="2" s="1"/>
  <c r="D24" i="2" l="1"/>
  <c r="H24" i="2" s="1"/>
  <c r="B24" i="2"/>
  <c r="C24" i="2" l="1"/>
  <c r="F24" i="2" s="1"/>
  <c r="A25" i="2" s="1"/>
  <c r="D25" i="2" s="1"/>
  <c r="H25" i="2" s="1"/>
  <c r="G24" i="2" l="1"/>
  <c r="B25" i="2"/>
  <c r="C25" i="2" s="1"/>
  <c r="G25" i="2" s="1"/>
  <c r="F25" i="2" l="1"/>
  <c r="A26" i="2" s="1"/>
  <c r="B26" i="2" s="1"/>
  <c r="D26" i="2" l="1"/>
  <c r="C26" i="2" s="1"/>
  <c r="F26" i="2" s="1"/>
  <c r="A27" i="2" s="1"/>
  <c r="D27" i="2" s="1"/>
  <c r="G26" i="2" l="1"/>
  <c r="H26" i="2"/>
  <c r="H27" i="2" s="1"/>
  <c r="B27" i="2"/>
  <c r="C27" i="2" s="1"/>
  <c r="F27" i="2" s="1"/>
  <c r="A28" i="2" s="1"/>
  <c r="G27" i="2" l="1"/>
  <c r="B28" i="2"/>
  <c r="D28" i="2"/>
  <c r="C28" i="2" l="1"/>
  <c r="G28" i="2" s="1"/>
  <c r="H28" i="2"/>
  <c r="F28" i="2" l="1"/>
  <c r="A29" i="2" s="1"/>
  <c r="B29" i="2" s="1"/>
  <c r="D29" i="2" l="1"/>
  <c r="H29" i="2" s="1"/>
  <c r="C29" i="2" l="1"/>
  <c r="G29" i="2" s="1"/>
  <c r="F29" i="2" l="1"/>
  <c r="A30" i="2" s="1"/>
  <c r="D30" i="2" s="1"/>
  <c r="B30" i="2" l="1"/>
  <c r="C30" i="2" s="1"/>
  <c r="F30" i="2" s="1"/>
  <c r="A31" i="2" s="1"/>
  <c r="B31" i="2" s="1"/>
  <c r="H30" i="2"/>
  <c r="G30" i="2" l="1"/>
  <c r="D31" i="2"/>
  <c r="H31" i="2"/>
  <c r="C31" i="2"/>
  <c r="G31" i="2" s="1"/>
  <c r="F51" i="9"/>
  <c r="F54" i="9" s="1"/>
  <c r="F31" i="2" l="1"/>
  <c r="F76" i="9" s="1"/>
  <c r="F55" i="9"/>
  <c r="F74" i="9" s="1"/>
  <c r="A32" i="2" l="1"/>
  <c r="D32" i="2" s="1"/>
  <c r="H32" i="2" s="1"/>
  <c r="F56" i="9"/>
  <c r="F79" i="9" s="1"/>
  <c r="F81" i="9" s="1"/>
  <c r="F82" i="9" s="1"/>
  <c r="B32" i="2" l="1"/>
  <c r="C32" i="2" s="1"/>
  <c r="G32" i="2" s="1"/>
  <c r="F32" i="2" l="1"/>
  <c r="A33" i="2" s="1"/>
  <c r="D33" i="2" s="1"/>
  <c r="H33" i="2" l="1"/>
  <c r="B33" i="2"/>
  <c r="C33" i="2" s="1"/>
  <c r="F33" i="2" s="1"/>
  <c r="A34" i="2" s="1"/>
  <c r="B34" i="2" s="1"/>
  <c r="G33" i="2" l="1"/>
  <c r="D34" i="2"/>
  <c r="H34" i="2" s="1"/>
  <c r="C34" i="2" l="1"/>
  <c r="F34" i="2" s="1"/>
  <c r="A35" i="2" s="1"/>
  <c r="D35" i="2" s="1"/>
  <c r="H35" i="2" s="1"/>
  <c r="G34" i="2"/>
  <c r="B35" i="2" l="1"/>
  <c r="C35" i="2" s="1"/>
  <c r="G35" i="2" s="1"/>
  <c r="F35" i="2" l="1"/>
  <c r="A36" i="2" s="1"/>
  <c r="D36" i="2" s="1"/>
  <c r="H36" i="2" s="1"/>
  <c r="B36" i="2" l="1"/>
  <c r="C36" i="2" s="1"/>
  <c r="G36" i="2" s="1"/>
  <c r="F36" i="2" l="1"/>
  <c r="A37" i="2" s="1"/>
  <c r="B37" i="2" l="1"/>
  <c r="C37" i="2" s="1"/>
  <c r="F37" i="2" s="1"/>
  <c r="A38" i="2" s="1"/>
  <c r="D37" i="2"/>
  <c r="H37" i="2" s="1"/>
  <c r="G37" i="2" l="1"/>
  <c r="D38" i="2"/>
  <c r="H38" i="2" s="1"/>
  <c r="B38" i="2"/>
  <c r="C38" i="2" s="1"/>
  <c r="F38" i="2" l="1"/>
  <c r="A39" i="2" s="1"/>
  <c r="G38" i="2"/>
  <c r="D39" i="2"/>
  <c r="H39" i="2" s="1"/>
  <c r="B39" i="2"/>
  <c r="C39" i="2" s="1"/>
  <c r="G39" i="2" s="1"/>
  <c r="F39" i="2" l="1"/>
  <c r="A40" i="2" s="1"/>
  <c r="D40" i="2" l="1"/>
  <c r="B40" i="2"/>
  <c r="C40" i="2" s="1"/>
  <c r="F40" i="2" l="1"/>
  <c r="A41" i="2" s="1"/>
  <c r="B41" i="2" s="1"/>
  <c r="G40" i="2"/>
  <c r="H40" i="2"/>
  <c r="D41" i="2" l="1"/>
  <c r="H41" i="2" s="1"/>
  <c r="C41" i="2" l="1"/>
  <c r="F41" i="2" s="1"/>
  <c r="A42" i="2" s="1"/>
  <c r="G41" i="2" l="1"/>
  <c r="D42" i="2"/>
  <c r="B42" i="2"/>
  <c r="C42" i="2" l="1"/>
  <c r="F42" i="2" s="1"/>
  <c r="A43" i="2" s="1"/>
  <c r="D43" i="2" s="1"/>
  <c r="H42" i="2"/>
  <c r="B43" i="2" l="1"/>
  <c r="C43" i="2" s="1"/>
  <c r="F43" i="2" s="1"/>
  <c r="G76" i="9" s="1"/>
  <c r="G42" i="2"/>
  <c r="H43" i="2"/>
  <c r="G51" i="9"/>
  <c r="G54" i="9" s="1"/>
  <c r="G43" i="2" l="1"/>
  <c r="A44" i="2"/>
  <c r="D44" i="2" s="1"/>
  <c r="H44" i="2" s="1"/>
  <c r="G55" i="9"/>
  <c r="G74" i="9" s="1"/>
  <c r="B44" i="2" l="1"/>
  <c r="C44" i="2" s="1"/>
  <c r="F44" i="2" s="1"/>
  <c r="A45" i="2" s="1"/>
  <c r="G56" i="9"/>
  <c r="G79" i="9" s="1"/>
  <c r="G81" i="9" s="1"/>
  <c r="G82" i="9" s="1"/>
  <c r="G44" i="2" l="1"/>
  <c r="B45" i="2"/>
  <c r="D45" i="2"/>
  <c r="C45" i="2" l="1"/>
  <c r="H45" i="2"/>
  <c r="G45" i="2" l="1"/>
  <c r="F45" i="2"/>
  <c r="A46" i="2" s="1"/>
  <c r="B46" i="2" l="1"/>
  <c r="D46" i="2"/>
  <c r="H46" i="2" s="1"/>
  <c r="C46" i="2" l="1"/>
  <c r="F46" i="2" l="1"/>
  <c r="A47" i="2" s="1"/>
  <c r="G46" i="2"/>
  <c r="B47" i="2" l="1"/>
  <c r="D47" i="2"/>
  <c r="H47" i="2" s="1"/>
  <c r="C47" i="2" l="1"/>
  <c r="G47" i="2" s="1"/>
  <c r="F47" i="2" l="1"/>
  <c r="A48" i="2" s="1"/>
  <c r="D48" i="2" s="1"/>
  <c r="H48" i="2" s="1"/>
  <c r="B48" i="2" l="1"/>
  <c r="C48" i="2" s="1"/>
  <c r="F48" i="2" l="1"/>
  <c r="A49" i="2" s="1"/>
  <c r="D49" i="2" s="1"/>
  <c r="H49" i="2" s="1"/>
  <c r="G48" i="2"/>
  <c r="B49" i="2" l="1"/>
  <c r="C49" i="2" s="1"/>
  <c r="F49" i="2" s="1"/>
  <c r="A50" i="2" s="1"/>
  <c r="B50" i="2" s="1"/>
  <c r="D50" i="2" l="1"/>
  <c r="H50" i="2" s="1"/>
  <c r="G49" i="2"/>
  <c r="C50" i="2" l="1"/>
  <c r="G50" i="2" s="1"/>
  <c r="F50" i="2" l="1"/>
  <c r="A51" i="2" s="1"/>
  <c r="D51" i="2" s="1"/>
  <c r="H51" i="2" s="1"/>
  <c r="B51" i="2" l="1"/>
  <c r="C51" i="2" s="1"/>
  <c r="F51" i="2" s="1"/>
  <c r="A52" i="2" s="1"/>
  <c r="D52" i="2" s="1"/>
  <c r="G51" i="2" l="1"/>
  <c r="B52" i="2"/>
  <c r="C52" i="2" s="1"/>
  <c r="G52" i="2" s="1"/>
  <c r="H52" i="2"/>
  <c r="F52" i="2" l="1"/>
  <c r="A53" i="2" s="1"/>
  <c r="D53" i="2" s="1"/>
  <c r="B53" i="2" l="1"/>
  <c r="C53" i="2" s="1"/>
  <c r="H53" i="2"/>
  <c r="F53" i="2" l="1"/>
  <c r="A54" i="2" s="1"/>
  <c r="G53" i="2"/>
  <c r="D54" i="2" l="1"/>
  <c r="B54" i="2"/>
  <c r="C54" i="2" s="1"/>
  <c r="G54" i="2" l="1"/>
  <c r="F54" i="2"/>
  <c r="A55" i="2" s="1"/>
  <c r="H54" i="2"/>
  <c r="B55" i="2" l="1"/>
  <c r="D55" i="2"/>
  <c r="H55" i="2" s="1"/>
  <c r="C55" i="2" l="1"/>
  <c r="F55" i="2" s="1"/>
  <c r="H51" i="9"/>
  <c r="H54" i="9" s="1"/>
  <c r="G55" i="2" l="1"/>
  <c r="H55" i="9"/>
  <c r="H74" i="9" s="1"/>
  <c r="A56" i="2"/>
  <c r="H76" i="9"/>
  <c r="B56" i="2" l="1"/>
  <c r="D56" i="2"/>
  <c r="H56" i="2" s="1"/>
  <c r="H56" i="9"/>
  <c r="H79" i="9" s="1"/>
  <c r="H81" i="9" s="1"/>
  <c r="H82" i="9" s="1"/>
  <c r="C56" i="2" l="1"/>
  <c r="F56" i="2" l="1"/>
  <c r="A57" i="2" s="1"/>
  <c r="G56" i="2"/>
  <c r="D57" i="2" l="1"/>
  <c r="H57" i="2" s="1"/>
  <c r="B57" i="2"/>
  <c r="C57" i="2" l="1"/>
  <c r="G57" i="2" s="1"/>
  <c r="F57" i="2" l="1"/>
  <c r="A58" i="2" s="1"/>
  <c r="D58" i="2" s="1"/>
  <c r="H58" i="2" s="1"/>
  <c r="B58" i="2" l="1"/>
  <c r="C58" i="2" s="1"/>
  <c r="F58" i="2" s="1"/>
  <c r="A59" i="2" s="1"/>
  <c r="G58" i="2" l="1"/>
  <c r="B59" i="2"/>
  <c r="D59" i="2"/>
  <c r="H59" i="2" s="1"/>
  <c r="C59" i="2" l="1"/>
  <c r="F59" i="2" s="1"/>
  <c r="A60" i="2" s="1"/>
  <c r="G59" i="2" l="1"/>
  <c r="D60" i="2"/>
  <c r="H60" i="2" s="1"/>
  <c r="B60" i="2"/>
  <c r="C60" i="2" l="1"/>
  <c r="G60" i="2" s="1"/>
  <c r="F60" i="2" l="1"/>
  <c r="A61" i="2" s="1"/>
  <c r="D61" i="2" s="1"/>
  <c r="H61" i="2" s="1"/>
  <c r="B61" i="2" l="1"/>
  <c r="C61" i="2" s="1"/>
  <c r="G61" i="2" s="1"/>
  <c r="F61" i="2" l="1"/>
  <c r="A62" i="2" s="1"/>
  <c r="D62" i="2" s="1"/>
  <c r="H62" i="2" s="1"/>
  <c r="B62" i="2" l="1"/>
  <c r="C62" i="2" s="1"/>
  <c r="G62" i="2" s="1"/>
  <c r="F62" i="2" l="1"/>
  <c r="A63" i="2" s="1"/>
  <c r="B63" i="2" s="1"/>
  <c r="D63" i="2" l="1"/>
  <c r="C63" i="2" s="1"/>
  <c r="F63" i="2" s="1"/>
  <c r="A64" i="2" s="1"/>
  <c r="B64" i="2" s="1"/>
  <c r="H63" i="2"/>
  <c r="G63" i="2" l="1"/>
  <c r="D64" i="2"/>
  <c r="C64" i="2" s="1"/>
  <c r="F64" i="2" l="1"/>
  <c r="A65" i="2" s="1"/>
  <c r="D65" i="2" s="1"/>
  <c r="G64" i="2"/>
  <c r="H64" i="2"/>
  <c r="H65" i="2" l="1"/>
  <c r="B65" i="2"/>
  <c r="C65" i="2" s="1"/>
  <c r="G65" i="2" s="1"/>
  <c r="F65" i="2" l="1"/>
  <c r="A66" i="2" s="1"/>
  <c r="D66" i="2" l="1"/>
  <c r="H66" i="2" s="1"/>
  <c r="B66" i="2"/>
  <c r="C66" i="2" l="1"/>
  <c r="F66" i="2" l="1"/>
  <c r="A67" i="2" s="1"/>
  <c r="G66" i="2"/>
  <c r="B67" i="2" l="1"/>
  <c r="D67" i="2"/>
  <c r="I51" i="9" l="1"/>
  <c r="I54" i="9" s="1"/>
  <c r="C67" i="2"/>
  <c r="H67" i="2"/>
  <c r="I55" i="9" l="1"/>
  <c r="I74" i="9" s="1"/>
  <c r="G67" i="2"/>
  <c r="F67" i="2"/>
  <c r="I56" i="9" l="1"/>
  <c r="I79" i="9" s="1"/>
  <c r="I76" i="9"/>
  <c r="A68" i="2"/>
  <c r="I81" i="9" l="1"/>
  <c r="I82" i="9" s="1"/>
  <c r="D68" i="2"/>
  <c r="H68" i="2" s="1"/>
  <c r="B68" i="2"/>
  <c r="C68" i="2" l="1"/>
  <c r="G68" i="2" l="1"/>
  <c r="F68" i="2"/>
  <c r="A69" i="2" s="1"/>
  <c r="D69" i="2" l="1"/>
  <c r="H69" i="2" s="1"/>
  <c r="B69" i="2"/>
  <c r="C69" i="2" l="1"/>
  <c r="F69" i="2" l="1"/>
  <c r="A70" i="2" s="1"/>
  <c r="G69" i="2"/>
  <c r="B70" i="2" l="1"/>
  <c r="D70" i="2"/>
  <c r="H70" i="2" s="1"/>
  <c r="C70" i="2" l="1"/>
  <c r="F70" i="2" s="1"/>
  <c r="A71" i="2" s="1"/>
  <c r="G70" i="2" l="1"/>
  <c r="B71" i="2"/>
  <c r="D71" i="2"/>
  <c r="H71" i="2" s="1"/>
  <c r="C71" i="2" l="1"/>
  <c r="G71" i="2" s="1"/>
  <c r="F71" i="2" l="1"/>
  <c r="A72" i="2" s="1"/>
  <c r="B72" i="2" s="1"/>
  <c r="D72" i="2" l="1"/>
  <c r="H72" i="2" s="1"/>
  <c r="C72" i="2" l="1"/>
  <c r="F72" i="2" l="1"/>
  <c r="A73" i="2" s="1"/>
  <c r="G72" i="2"/>
  <c r="B73" i="2" l="1"/>
  <c r="C73" i="2" s="1"/>
  <c r="G73" i="2" s="1"/>
  <c r="D73" i="2"/>
  <c r="H73" i="2" s="1"/>
  <c r="F73" i="2" l="1"/>
  <c r="A74" i="2" s="1"/>
  <c r="D74" i="2" l="1"/>
  <c r="H74" i="2" s="1"/>
  <c r="B74" i="2"/>
  <c r="C74" i="2" l="1"/>
  <c r="F74" i="2" l="1"/>
  <c r="A75" i="2" s="1"/>
  <c r="G74" i="2"/>
  <c r="B75" i="2" l="1"/>
  <c r="D75" i="2"/>
  <c r="H75" i="2" s="1"/>
  <c r="C75" i="2" l="1"/>
  <c r="G75" i="2" s="1"/>
  <c r="F75" i="2" l="1"/>
  <c r="A76" i="2" s="1"/>
  <c r="B76" i="2" s="1"/>
  <c r="D76" i="2" l="1"/>
  <c r="H76" i="2" s="1"/>
  <c r="C76" i="2" l="1"/>
  <c r="F76" i="2" l="1"/>
  <c r="A77" i="2" s="1"/>
  <c r="G76" i="2"/>
  <c r="B77" i="2" l="1"/>
  <c r="D77" i="2"/>
  <c r="C77" i="2" s="1"/>
  <c r="F77" i="2" s="1"/>
  <c r="A78" i="2" s="1"/>
  <c r="D78" i="2" l="1"/>
  <c r="H78" i="2" s="1"/>
  <c r="B78" i="2"/>
  <c r="C78" i="2" s="1"/>
  <c r="G77" i="2"/>
  <c r="H77" i="2"/>
  <c r="F78" i="2" l="1"/>
  <c r="A79" i="2" s="1"/>
  <c r="B79" i="2" s="1"/>
  <c r="G78" i="2"/>
  <c r="D79" i="2" l="1"/>
  <c r="C79" i="2" s="1"/>
  <c r="H79" i="2"/>
  <c r="J51" i="9"/>
  <c r="J54" i="9" s="1"/>
  <c r="G79" i="2" l="1"/>
  <c r="F79" i="2"/>
  <c r="A80" i="2"/>
  <c r="J76" i="9"/>
  <c r="J55" i="9"/>
  <c r="J74" i="9" s="1"/>
  <c r="J56" i="9" l="1"/>
  <c r="J79" i="9" s="1"/>
  <c r="J81" i="9" s="1"/>
  <c r="J82" i="9" s="1"/>
  <c r="B80" i="2"/>
  <c r="C80" i="2" s="1"/>
  <c r="D80" i="2"/>
  <c r="H80" i="2" s="1"/>
  <c r="G80" i="2" l="1"/>
  <c r="F80" i="2"/>
  <c r="A81" i="2" s="1"/>
  <c r="D81" i="2" l="1"/>
  <c r="H81" i="2" s="1"/>
  <c r="B81" i="2"/>
  <c r="C81" i="2" s="1"/>
  <c r="F81" i="2" s="1"/>
  <c r="A82" i="2" s="1"/>
  <c r="D82" i="2" l="1"/>
  <c r="H82" i="2" s="1"/>
  <c r="B82" i="2"/>
  <c r="C82" i="2" s="1"/>
  <c r="G82" i="2" s="1"/>
  <c r="G81" i="2"/>
  <c r="F82" i="2" l="1"/>
  <c r="A83" i="2" s="1"/>
  <c r="D83" i="2" l="1"/>
  <c r="H83" i="2" s="1"/>
  <c r="B83" i="2"/>
  <c r="C83" i="2" s="1"/>
  <c r="G83" i="2" s="1"/>
  <c r="F83" i="2" l="1"/>
  <c r="A84" i="2" s="1"/>
  <c r="D84" i="2" l="1"/>
  <c r="H84" i="2" s="1"/>
  <c r="B84" i="2"/>
  <c r="C84" i="2" s="1"/>
  <c r="F84" i="2" l="1"/>
  <c r="A85" i="2" s="1"/>
  <c r="D85" i="2" s="1"/>
  <c r="H85" i="2" s="1"/>
  <c r="G84" i="2"/>
  <c r="B85" i="2" l="1"/>
  <c r="C85" i="2" s="1"/>
  <c r="F85" i="2" s="1"/>
  <c r="A86" i="2" s="1"/>
  <c r="G85" i="2" l="1"/>
  <c r="B86" i="2"/>
  <c r="D86" i="2"/>
  <c r="H86" i="2" s="1"/>
  <c r="C86" i="2" l="1"/>
  <c r="F86" i="2" s="1"/>
  <c r="A87" i="2" s="1"/>
  <c r="G86" i="2"/>
  <c r="D87" i="2" l="1"/>
  <c r="H87" i="2" s="1"/>
  <c r="B87" i="2"/>
  <c r="C87" i="2" s="1"/>
  <c r="F87" i="2" s="1"/>
  <c r="A88" i="2" s="1"/>
  <c r="G87" i="2" l="1"/>
  <c r="D88" i="2"/>
  <c r="H88" i="2" s="1"/>
  <c r="B88" i="2"/>
  <c r="C88" i="2" l="1"/>
  <c r="G88" i="2" s="1"/>
  <c r="F88" i="2"/>
  <c r="A89" i="2" s="1"/>
  <c r="D89" i="2" l="1"/>
  <c r="H89" i="2" s="1"/>
  <c r="B89" i="2"/>
  <c r="C89" i="2" s="1"/>
  <c r="F89" i="2" l="1"/>
  <c r="A90" i="2" s="1"/>
  <c r="G89" i="2"/>
  <c r="B90" i="2" l="1"/>
  <c r="D90" i="2"/>
  <c r="H90" i="2" s="1"/>
  <c r="C90" i="2" l="1"/>
  <c r="G90" i="2" s="1"/>
  <c r="F90" i="2"/>
  <c r="A91" i="2" s="1"/>
  <c r="D91" i="2" s="1"/>
  <c r="B91" i="2" l="1"/>
  <c r="C91" i="2" s="1"/>
  <c r="G91" i="2" s="1"/>
  <c r="H91" i="2"/>
  <c r="K51" i="9"/>
  <c r="K54" i="9" s="1"/>
  <c r="F91" i="2" l="1"/>
  <c r="K76" i="9" s="1"/>
  <c r="K55" i="9"/>
  <c r="K74" i="9" s="1"/>
  <c r="A92" i="2" l="1"/>
  <c r="B92" i="2" s="1"/>
  <c r="K56" i="9"/>
  <c r="K79" i="9" s="1"/>
  <c r="K81" i="9" s="1"/>
  <c r="K82" i="9" s="1"/>
  <c r="D92" i="2" l="1"/>
  <c r="H92" i="2" s="1"/>
  <c r="C92" i="2" l="1"/>
  <c r="G92" i="2" l="1"/>
  <c r="F92" i="2"/>
  <c r="A93" i="2" s="1"/>
  <c r="C93" i="2" l="1"/>
  <c r="F93" i="2" s="1"/>
  <c r="A94" i="2" s="1"/>
  <c r="B93" i="2"/>
  <c r="D93" i="2"/>
  <c r="H93" i="2" s="1"/>
  <c r="G93" i="2" l="1"/>
  <c r="B94" i="2"/>
  <c r="D94" i="2"/>
  <c r="H94" i="2" s="1"/>
  <c r="C94" i="2" l="1"/>
  <c r="G94" i="2" s="1"/>
  <c r="F94" i="2" l="1"/>
  <c r="A95" i="2" s="1"/>
  <c r="D95" i="2" s="1"/>
  <c r="H95" i="2" s="1"/>
  <c r="B95" i="2" l="1"/>
  <c r="C95" i="2" s="1"/>
  <c r="F95" i="2" s="1"/>
  <c r="A96" i="2" s="1"/>
  <c r="G95" i="2" l="1"/>
  <c r="B96" i="2"/>
  <c r="D96" i="2"/>
  <c r="H96" i="2" s="1"/>
  <c r="C96" i="2" l="1"/>
  <c r="F96" i="2" s="1"/>
  <c r="A97" i="2" s="1"/>
  <c r="G96" i="2"/>
  <c r="B97" i="2" l="1"/>
  <c r="D97" i="2"/>
  <c r="H97" i="2" s="1"/>
  <c r="C97" i="2" l="1"/>
  <c r="F97" i="2"/>
  <c r="A98" i="2" s="1"/>
  <c r="G97" i="2"/>
  <c r="B98" i="2" l="1"/>
  <c r="D98" i="2"/>
  <c r="H98" i="2" s="1"/>
  <c r="C98" i="2" l="1"/>
  <c r="G98" i="2"/>
  <c r="F98" i="2"/>
  <c r="A99" i="2" s="1"/>
  <c r="B99" i="2" l="1"/>
  <c r="D99" i="2"/>
  <c r="H99" i="2" s="1"/>
  <c r="C99" i="2" l="1"/>
  <c r="F99" i="2" l="1"/>
  <c r="A100" i="2" s="1"/>
  <c r="G99" i="2"/>
  <c r="B100" i="2" l="1"/>
  <c r="D100" i="2"/>
  <c r="H100" i="2" s="1"/>
  <c r="C100" i="2" l="1"/>
  <c r="G100" i="2" s="1"/>
  <c r="F100" i="2" l="1"/>
  <c r="A101" i="2" s="1"/>
  <c r="B101" i="2" s="1"/>
  <c r="D101" i="2" l="1"/>
  <c r="H101" i="2" s="1"/>
  <c r="C101" i="2" l="1"/>
  <c r="F101" i="2" s="1"/>
  <c r="A102" i="2" s="1"/>
  <c r="G101" i="2" l="1"/>
  <c r="D102" i="2"/>
  <c r="H102" i="2" s="1"/>
  <c r="B102" i="2"/>
  <c r="C102" i="2" s="1"/>
  <c r="G102" i="2" s="1"/>
  <c r="F102" i="2" l="1"/>
  <c r="A103" i="2" s="1"/>
  <c r="D103" i="2" l="1"/>
  <c r="L51" i="9" s="1"/>
  <c r="L54" i="9" s="1"/>
  <c r="B103" i="2"/>
  <c r="C103" i="2" s="1"/>
  <c r="H103" i="2" l="1"/>
  <c r="G103" i="2"/>
  <c r="F103" i="2"/>
  <c r="L55" i="9"/>
  <c r="L74" i="9" s="1"/>
  <c r="L56" i="9" l="1"/>
  <c r="L79" i="9" s="1"/>
  <c r="A104" i="2"/>
  <c r="L76" i="9"/>
  <c r="L81" i="9" l="1"/>
  <c r="L82" i="9" s="1"/>
  <c r="D104" i="2"/>
  <c r="H104" i="2" s="1"/>
  <c r="B104" i="2"/>
  <c r="C104" i="2" l="1"/>
  <c r="F104" i="2" s="1"/>
  <c r="A105" i="2" s="1"/>
  <c r="G104" i="2" l="1"/>
  <c r="B105" i="2"/>
  <c r="D105" i="2"/>
  <c r="H105" i="2" s="1"/>
  <c r="C105" i="2" l="1"/>
  <c r="G105" i="2" l="1"/>
  <c r="F105" i="2"/>
  <c r="A106" i="2" s="1"/>
  <c r="D106" i="2" l="1"/>
  <c r="H106" i="2" s="1"/>
  <c r="B106" i="2"/>
  <c r="C106" i="2" s="1"/>
  <c r="F106" i="2" s="1"/>
  <c r="A107" i="2" s="1"/>
  <c r="G106" i="2" l="1"/>
  <c r="B107" i="2"/>
  <c r="C107" i="2" s="1"/>
  <c r="D107" i="2"/>
  <c r="H107" i="2" s="1"/>
  <c r="G107" i="2" l="1"/>
  <c r="F107" i="2"/>
  <c r="A108" i="2" s="1"/>
  <c r="D108" i="2" l="1"/>
  <c r="H108" i="2" s="1"/>
  <c r="B108" i="2"/>
  <c r="C108" i="2" s="1"/>
  <c r="F108" i="2" l="1"/>
  <c r="A109" i="2" s="1"/>
  <c r="G108" i="2"/>
  <c r="B109" i="2" l="1"/>
  <c r="D109" i="2"/>
  <c r="H109" i="2" s="1"/>
  <c r="C109" i="2" l="1"/>
  <c r="G109" i="2" s="1"/>
  <c r="F109" i="2" l="1"/>
  <c r="A110" i="2" s="1"/>
  <c r="D110" i="2" s="1"/>
  <c r="H110" i="2" s="1"/>
  <c r="B110" i="2" l="1"/>
  <c r="C110" i="2" s="1"/>
  <c r="F110" i="2" s="1"/>
  <c r="A111" i="2" s="1"/>
  <c r="D111" i="2" s="1"/>
  <c r="H111" i="2" s="1"/>
  <c r="G110" i="2" l="1"/>
  <c r="B111" i="2"/>
  <c r="C111" i="2" s="1"/>
  <c r="F111" i="2" s="1"/>
  <c r="A112" i="2" s="1"/>
  <c r="B112" i="2" s="1"/>
  <c r="D112" i="2" l="1"/>
  <c r="H112" i="2" s="1"/>
  <c r="G111" i="2"/>
  <c r="C112" i="2"/>
  <c r="F112" i="2" s="1"/>
  <c r="A113" i="2" s="1"/>
  <c r="G112" i="2" l="1"/>
  <c r="B113" i="2"/>
  <c r="D113" i="2"/>
  <c r="H113" i="2" s="1"/>
  <c r="C113" i="2" l="1"/>
  <c r="G113" i="2" l="1"/>
  <c r="F113" i="2"/>
  <c r="A114" i="2" s="1"/>
  <c r="B114" i="2" l="1"/>
  <c r="D114" i="2"/>
  <c r="C114" i="2" l="1"/>
  <c r="F114" i="2" s="1"/>
  <c r="A115" i="2" s="1"/>
  <c r="H114" i="2"/>
  <c r="G114" i="2" l="1"/>
  <c r="B115" i="2"/>
  <c r="D115" i="2"/>
  <c r="M51" i="9" s="1"/>
  <c r="M54" i="9" s="1"/>
  <c r="H115" i="2" l="1"/>
  <c r="M55" i="9"/>
  <c r="M74" i="9" s="1"/>
  <c r="C115" i="2"/>
  <c r="G115" i="2" l="1"/>
  <c r="F115" i="2"/>
  <c r="M56" i="9"/>
  <c r="M79" i="9" s="1"/>
  <c r="A116" i="2" l="1"/>
  <c r="M76" i="9"/>
  <c r="M81" i="9" s="1"/>
  <c r="M82" i="9" s="1"/>
  <c r="D116" i="2" l="1"/>
  <c r="H116" i="2" s="1"/>
  <c r="B116" i="2"/>
  <c r="C116" i="2" l="1"/>
  <c r="F116" i="2" s="1"/>
  <c r="A117" i="2" s="1"/>
  <c r="G116" i="2" l="1"/>
  <c r="B117" i="2"/>
  <c r="D117" i="2"/>
  <c r="H117" i="2" s="1"/>
  <c r="C117" i="2" l="1"/>
  <c r="G117" i="2" l="1"/>
  <c r="F117" i="2"/>
  <c r="A118" i="2" s="1"/>
  <c r="B118" i="2" l="1"/>
  <c r="D118" i="2"/>
  <c r="H118" i="2" s="1"/>
  <c r="C118" i="2" l="1"/>
  <c r="G118" i="2" s="1"/>
  <c r="F118" i="2" l="1"/>
  <c r="A119" i="2" s="1"/>
  <c r="D119" i="2" s="1"/>
  <c r="H119" i="2" s="1"/>
  <c r="B119" i="2" l="1"/>
  <c r="C119" i="2" s="1"/>
  <c r="F119" i="2" l="1"/>
  <c r="A120" i="2" s="1"/>
  <c r="B120" i="2" s="1"/>
  <c r="G119" i="2"/>
  <c r="D120" i="2"/>
  <c r="H120" i="2" s="1"/>
  <c r="C120" i="2" l="1"/>
  <c r="F120" i="2" s="1"/>
  <c r="A121" i="2" s="1"/>
  <c r="B121" i="2" s="1"/>
  <c r="G120" i="2" l="1"/>
  <c r="D121" i="2"/>
  <c r="H121" i="2" s="1"/>
  <c r="C121" i="2"/>
  <c r="G121" i="2" s="1"/>
  <c r="F121" i="2"/>
  <c r="A122" i="2" s="1"/>
  <c r="B122" i="2" l="1"/>
  <c r="D122" i="2"/>
  <c r="H122" i="2" s="1"/>
  <c r="C122" i="2" l="1"/>
  <c r="G122" i="2" l="1"/>
  <c r="F122" i="2"/>
  <c r="A123" i="2" s="1"/>
  <c r="B123" i="2" l="1"/>
  <c r="D123" i="2"/>
  <c r="H123" i="2" s="1"/>
  <c r="C123" i="2" l="1"/>
  <c r="F123" i="2" l="1"/>
  <c r="A124" i="2" s="1"/>
  <c r="G123" i="2"/>
  <c r="B124" i="2" l="1"/>
  <c r="D124" i="2"/>
  <c r="C124" i="2" l="1"/>
  <c r="G124" i="2" s="1"/>
  <c r="F124" i="2"/>
  <c r="A125" i="2" s="1"/>
  <c r="H124" i="2"/>
  <c r="B125" i="2" l="1"/>
  <c r="D125" i="2"/>
  <c r="H125" i="2" s="1"/>
  <c r="C125" i="2" l="1"/>
  <c r="F125" i="2" l="1"/>
  <c r="A126" i="2" s="1"/>
  <c r="G125" i="2"/>
  <c r="D126" i="2" l="1"/>
  <c r="H126" i="2" s="1"/>
  <c r="B126" i="2"/>
  <c r="C126" i="2" s="1"/>
  <c r="G126" i="2" s="1"/>
  <c r="F126" i="2" l="1"/>
  <c r="A127" i="2" s="1"/>
  <c r="B127" i="2" l="1"/>
  <c r="C127" i="2" s="1"/>
  <c r="D127" i="2"/>
  <c r="N51" i="9" s="1"/>
  <c r="N54" i="9" s="1"/>
  <c r="G127" i="2" l="1"/>
  <c r="F127" i="2"/>
  <c r="N55" i="9"/>
  <c r="N74" i="9" s="1"/>
  <c r="N56" i="9"/>
  <c r="N79" i="9" s="1"/>
  <c r="P79" i="9" s="1"/>
  <c r="H127" i="2"/>
  <c r="N76" i="9" l="1"/>
  <c r="P76" i="9" s="1"/>
  <c r="P80" i="9" s="1"/>
  <c r="Q78" i="9" s="1"/>
  <c r="W79" i="9" s="1"/>
  <c r="A128" i="2"/>
  <c r="N81" i="9" l="1"/>
  <c r="N82" i="9" s="1"/>
  <c r="B128" i="2"/>
  <c r="D128" i="2"/>
  <c r="H128" i="2" s="1"/>
  <c r="Q76" i="9"/>
  <c r="Q77" i="9"/>
  <c r="T77" i="9" s="1"/>
  <c r="C128" i="2" l="1"/>
  <c r="G128" i="2" s="1"/>
  <c r="T76" i="9"/>
  <c r="Q80" i="9"/>
  <c r="W78" i="9"/>
  <c r="W82" i="9" s="1"/>
  <c r="W86" i="9" s="1"/>
  <c r="S83" i="9" s="1"/>
  <c r="S86" i="9" s="1"/>
  <c r="R78" i="9" s="1"/>
  <c r="S78" i="9" s="1"/>
  <c r="T78" i="9" s="1"/>
  <c r="T80" i="9" s="1"/>
  <c r="F128" i="2"/>
  <c r="A129" i="2" s="1"/>
  <c r="H119" i="9" l="1"/>
  <c r="I119" i="9"/>
  <c r="N119" i="9"/>
  <c r="G119" i="9"/>
  <c r="F119" i="9"/>
  <c r="D130" i="9"/>
  <c r="L119" i="9"/>
  <c r="D159" i="9"/>
  <c r="J119" i="9"/>
  <c r="M119" i="9"/>
  <c r="D119" i="9"/>
  <c r="E119" i="9"/>
  <c r="K119" i="9"/>
  <c r="D139" i="9"/>
  <c r="D148" i="9"/>
  <c r="B129" i="2"/>
  <c r="D129" i="2"/>
  <c r="H129" i="2" s="1"/>
  <c r="C129" i="2" l="1"/>
  <c r="F129" i="2" s="1"/>
  <c r="A130" i="2" s="1"/>
  <c r="G129" i="2"/>
  <c r="N146" i="9"/>
  <c r="K137" i="9"/>
  <c r="M128" i="9"/>
  <c r="F157" i="9"/>
  <c r="I146" i="9"/>
  <c r="J137" i="9"/>
  <c r="I137" i="9"/>
  <c r="K128" i="9"/>
  <c r="D128" i="9"/>
  <c r="D146" i="9"/>
  <c r="H137" i="9"/>
  <c r="I157" i="9"/>
  <c r="L146" i="9"/>
  <c r="N128" i="9"/>
  <c r="G137" i="9"/>
  <c r="H128" i="9"/>
  <c r="N157" i="9"/>
  <c r="N137" i="9"/>
  <c r="J146" i="9"/>
  <c r="M146" i="9"/>
  <c r="E128" i="9"/>
  <c r="H146" i="9"/>
  <c r="F146" i="9"/>
  <c r="L157" i="9"/>
  <c r="L137" i="9"/>
  <c r="D137" i="9"/>
  <c r="E157" i="9"/>
  <c r="H157" i="9"/>
  <c r="K146" i="9"/>
  <c r="L128" i="9"/>
  <c r="F137" i="9"/>
  <c r="G157" i="9"/>
  <c r="F128" i="9"/>
  <c r="E146" i="9"/>
  <c r="G128" i="9"/>
  <c r="J128" i="9"/>
  <c r="M137" i="9"/>
  <c r="K157" i="9"/>
  <c r="I128" i="9"/>
  <c r="M157" i="9"/>
  <c r="J157" i="9"/>
  <c r="D157" i="9"/>
  <c r="G146" i="9"/>
  <c r="E137" i="9"/>
  <c r="D124" i="9"/>
  <c r="D160" i="9" l="1"/>
  <c r="D140" i="9"/>
  <c r="D149" i="9"/>
  <c r="D131" i="9"/>
  <c r="D130" i="2"/>
  <c r="H130" i="2" s="1"/>
  <c r="B130" i="2"/>
  <c r="C130" i="2" s="1"/>
  <c r="G130" i="2" s="1"/>
  <c r="F130" i="2" l="1"/>
  <c r="A131" i="2" s="1"/>
  <c r="D131" i="2" s="1"/>
  <c r="H131" i="2" s="1"/>
  <c r="D152" i="9"/>
  <c r="B131" i="2" l="1"/>
  <c r="C131" i="2" s="1"/>
  <c r="G131" i="2" l="1"/>
  <c r="F131" i="2"/>
  <c r="A132" i="2" s="1"/>
  <c r="B132" i="2" l="1"/>
  <c r="D132" i="2"/>
  <c r="H132" i="2" s="1"/>
  <c r="C132" i="2" l="1"/>
  <c r="F132" i="2" l="1"/>
  <c r="A133" i="2" s="1"/>
  <c r="G132" i="2"/>
  <c r="D133" i="2" l="1"/>
  <c r="H133" i="2" s="1"/>
  <c r="B133" i="2"/>
  <c r="C133" i="2" l="1"/>
  <c r="G133" i="2" s="1"/>
  <c r="F133" i="2" l="1"/>
  <c r="A134" i="2" s="1"/>
  <c r="B134" i="2" s="1"/>
  <c r="D134" i="2" l="1"/>
  <c r="H134" i="2" s="1"/>
  <c r="C134" i="2" l="1"/>
  <c r="F134" i="2" l="1"/>
  <c r="A135" i="2" s="1"/>
  <c r="G134" i="2"/>
  <c r="D135" i="2" l="1"/>
  <c r="H135" i="2" s="1"/>
  <c r="B135" i="2"/>
  <c r="C135" i="2" s="1"/>
  <c r="G135" i="2" s="1"/>
  <c r="F135" i="2" l="1"/>
  <c r="A136" i="2" s="1"/>
  <c r="D136" i="2" l="1"/>
  <c r="H136" i="2" s="1"/>
  <c r="B136" i="2"/>
  <c r="C136" i="2" s="1"/>
  <c r="G136" i="2" s="1"/>
  <c r="F136" i="2" l="1"/>
  <c r="A137" i="2" s="1"/>
  <c r="D137" i="2" l="1"/>
  <c r="H137" i="2" s="1"/>
  <c r="B137" i="2"/>
  <c r="C137" i="2" s="1"/>
  <c r="F137" i="2" s="1"/>
  <c r="A138" i="2" s="1"/>
  <c r="B138" i="2" l="1"/>
  <c r="D138" i="2"/>
  <c r="H138" i="2" s="1"/>
  <c r="G137" i="2"/>
  <c r="C138" i="2" l="1"/>
  <c r="G138" i="2" s="1"/>
  <c r="F138" i="2" l="1"/>
  <c r="A139" i="2" s="1"/>
  <c r="B139" i="2" s="1"/>
  <c r="D139" i="2" l="1"/>
  <c r="H139" i="2" s="1"/>
  <c r="C139" i="2" l="1"/>
  <c r="G139" i="2" l="1"/>
  <c r="F139" i="2"/>
  <c r="A140" i="2" s="1"/>
  <c r="B140" i="2" l="1"/>
  <c r="C140" i="2" s="1"/>
  <c r="F140" i="2" s="1"/>
  <c r="A141" i="2" s="1"/>
  <c r="D140" i="2"/>
  <c r="H140" i="2" s="1"/>
  <c r="G140" i="2" l="1"/>
  <c r="D141" i="2"/>
  <c r="H141" i="2" s="1"/>
  <c r="B141" i="2"/>
  <c r="C141" i="2" s="1"/>
  <c r="G141" i="2" l="1"/>
  <c r="F141" i="2"/>
  <c r="A142" i="2" s="1"/>
  <c r="D142" i="2" s="1"/>
  <c r="H142" i="2" s="1"/>
  <c r="B142" i="2" l="1"/>
  <c r="C142" i="2" s="1"/>
  <c r="F142" i="2" s="1"/>
  <c r="A143" i="2" s="1"/>
  <c r="B143" i="2" s="1"/>
  <c r="G142" i="2" l="1"/>
  <c r="D143" i="2"/>
  <c r="H143" i="2" s="1"/>
  <c r="C143" i="2" l="1"/>
  <c r="F143" i="2" l="1"/>
  <c r="A144" i="2" s="1"/>
  <c r="G143" i="2"/>
  <c r="B144" i="2" l="1"/>
  <c r="D144" i="2"/>
  <c r="H144" i="2" s="1"/>
  <c r="C144" i="2" l="1"/>
  <c r="F144" i="2" l="1"/>
  <c r="A145" i="2" s="1"/>
  <c r="G144" i="2"/>
  <c r="B145" i="2" l="1"/>
  <c r="C145" i="2" s="1"/>
  <c r="D145" i="2"/>
  <c r="H145" i="2" s="1"/>
  <c r="G145" i="2" l="1"/>
  <c r="F145" i="2"/>
  <c r="A146" i="2" s="1"/>
  <c r="D146" i="2" l="1"/>
  <c r="H146" i="2" s="1"/>
  <c r="B146" i="2"/>
  <c r="C146" i="2" s="1"/>
  <c r="G146" i="2" l="1"/>
  <c r="F146" i="2"/>
  <c r="A147" i="2" s="1"/>
  <c r="B147" i="2" s="1"/>
  <c r="D147" i="2" l="1"/>
  <c r="H147" i="2" s="1"/>
  <c r="C147" i="2" l="1"/>
  <c r="G147" i="2" l="1"/>
  <c r="F147" i="2"/>
  <c r="A148" i="2" s="1"/>
  <c r="D148" i="2" l="1"/>
  <c r="H148" i="2" s="1"/>
  <c r="B148" i="2"/>
  <c r="C148" i="2" s="1"/>
  <c r="F148" i="2" s="1"/>
  <c r="A149" i="2" s="1"/>
  <c r="D149" i="2" l="1"/>
  <c r="H149" i="2" s="1"/>
  <c r="B149" i="2"/>
  <c r="C149" i="2" s="1"/>
  <c r="G149" i="2" s="1"/>
  <c r="G148" i="2"/>
  <c r="F149" i="2" l="1"/>
  <c r="A150" i="2" s="1"/>
  <c r="D150" i="2" l="1"/>
  <c r="H150" i="2" s="1"/>
  <c r="B150" i="2"/>
  <c r="C150" i="2" s="1"/>
  <c r="G150" i="2" l="1"/>
  <c r="F150" i="2"/>
  <c r="A151" i="2" s="1"/>
  <c r="B151" i="2" l="1"/>
  <c r="C151" i="2" s="1"/>
  <c r="D151" i="2"/>
  <c r="H151" i="2" s="1"/>
  <c r="F151" i="2" l="1"/>
  <c r="A152" i="2" s="1"/>
  <c r="G151" i="2"/>
  <c r="D152" i="2" l="1"/>
  <c r="H152" i="2" s="1"/>
  <c r="B152" i="2"/>
  <c r="C152" i="2" s="1"/>
  <c r="G152" i="2" s="1"/>
  <c r="F152" i="2" l="1"/>
  <c r="A153" i="2" s="1"/>
  <c r="B153" i="2" l="1"/>
  <c r="C153" i="2" s="1"/>
  <c r="D153" i="2"/>
  <c r="H153" i="2" s="1"/>
  <c r="F153" i="2" l="1"/>
  <c r="A154" i="2" s="1"/>
  <c r="G153" i="2"/>
  <c r="C154" i="2" l="1"/>
  <c r="G154" i="2" s="1"/>
  <c r="B154" i="2"/>
  <c r="D154" i="2"/>
  <c r="H154" i="2" s="1"/>
  <c r="F154" i="2" l="1"/>
  <c r="A155" i="2" s="1"/>
  <c r="B155" i="2" s="1"/>
  <c r="D155" i="2" l="1"/>
  <c r="H155" i="2" s="1"/>
  <c r="C155" i="2"/>
  <c r="G155" i="2" s="1"/>
  <c r="F155" i="2"/>
  <c r="A156" i="2" s="1"/>
  <c r="D156" i="2" l="1"/>
  <c r="H156" i="2" s="1"/>
  <c r="B156" i="2"/>
  <c r="C156" i="2" s="1"/>
  <c r="G156" i="2" s="1"/>
  <c r="F156" i="2" l="1"/>
  <c r="A157" i="2" s="1"/>
  <c r="D157" i="2" l="1"/>
  <c r="H157" i="2" s="1"/>
  <c r="B157" i="2"/>
  <c r="C157" i="2" s="1"/>
  <c r="G157" i="2" s="1"/>
  <c r="F157" i="2" l="1"/>
  <c r="A158" i="2" s="1"/>
  <c r="B158" i="2" l="1"/>
  <c r="C158" i="2" s="1"/>
  <c r="F158" i="2" s="1"/>
  <c r="A159" i="2" s="1"/>
  <c r="D158" i="2"/>
  <c r="H158" i="2" s="1"/>
  <c r="G158" i="2" l="1"/>
  <c r="B159" i="2"/>
  <c r="D159" i="2"/>
  <c r="H159" i="2" s="1"/>
  <c r="C159" i="2" l="1"/>
  <c r="F159" i="2" s="1"/>
  <c r="A160" i="2" s="1"/>
  <c r="G159" i="2" l="1"/>
  <c r="B160" i="2"/>
  <c r="C160" i="2" s="1"/>
  <c r="D160" i="2"/>
  <c r="H160" i="2" s="1"/>
  <c r="F160" i="2" l="1"/>
  <c r="A161" i="2" s="1"/>
  <c r="G160" i="2"/>
  <c r="D161" i="2"/>
  <c r="H161" i="2" s="1"/>
  <c r="B161" i="2"/>
  <c r="C161" i="2" s="1"/>
  <c r="F161" i="2" s="1"/>
  <c r="A162" i="2" s="1"/>
  <c r="B162" i="2" l="1"/>
  <c r="D162" i="2"/>
  <c r="H162" i="2" s="1"/>
  <c r="G161" i="2"/>
  <c r="C162" i="2" l="1"/>
  <c r="F162" i="2" s="1"/>
  <c r="A163" i="2" s="1"/>
  <c r="B163" i="2" s="1"/>
  <c r="G162" i="2" l="1"/>
  <c r="D163" i="2"/>
  <c r="H163" i="2" s="1"/>
  <c r="C163" i="2" l="1"/>
  <c r="G163" i="2" l="1"/>
  <c r="F163" i="2"/>
  <c r="A164" i="2" s="1"/>
  <c r="B164" i="2" l="1"/>
  <c r="C164" i="2" s="1"/>
  <c r="F164" i="2" s="1"/>
  <c r="A165" i="2" s="1"/>
  <c r="D164" i="2"/>
  <c r="H164" i="2" s="1"/>
  <c r="B165" i="2" l="1"/>
  <c r="D165" i="2"/>
  <c r="H165" i="2" s="1"/>
  <c r="G164" i="2"/>
  <c r="C165" i="2" l="1"/>
  <c r="G165" i="2" s="1"/>
  <c r="F165" i="2"/>
  <c r="A166" i="2" s="1"/>
  <c r="B166" i="2" l="1"/>
  <c r="D166" i="2"/>
  <c r="H166" i="2" s="1"/>
  <c r="C166" i="2" l="1"/>
  <c r="G166" i="2" l="1"/>
  <c r="F166" i="2"/>
  <c r="A167" i="2" s="1"/>
  <c r="D167" i="2" l="1"/>
  <c r="H167" i="2" s="1"/>
  <c r="B167" i="2"/>
  <c r="C167" i="2" s="1"/>
  <c r="F167" i="2" s="1"/>
  <c r="A168" i="2" s="1"/>
  <c r="G167" i="2" l="1"/>
  <c r="B168" i="2"/>
  <c r="C168" i="2" s="1"/>
  <c r="F168" i="2" s="1"/>
  <c r="A169" i="2" s="1"/>
  <c r="D168" i="2"/>
  <c r="H168" i="2" s="1"/>
  <c r="B169" i="2" l="1"/>
  <c r="C169" i="2" s="1"/>
  <c r="D169" i="2"/>
  <c r="H169" i="2" s="1"/>
  <c r="G168" i="2"/>
  <c r="G169" i="2" l="1"/>
  <c r="F169" i="2"/>
  <c r="A170" i="2" s="1"/>
  <c r="B170" i="2" s="1"/>
  <c r="D170" i="2" l="1"/>
  <c r="H170" i="2" s="1"/>
  <c r="C170" i="2" l="1"/>
  <c r="F170" i="2" l="1"/>
  <c r="A171" i="2" s="1"/>
  <c r="G170" i="2"/>
  <c r="D171" i="2" l="1"/>
  <c r="H171" i="2" s="1"/>
  <c r="B171" i="2"/>
  <c r="C171" i="2" s="1"/>
  <c r="F171" i="2" s="1"/>
  <c r="A172" i="2" s="1"/>
  <c r="B172" i="2" l="1"/>
  <c r="C172" i="2" s="1"/>
  <c r="G172" i="2" s="1"/>
  <c r="D172" i="2"/>
  <c r="H172" i="2" s="1"/>
  <c r="G171" i="2"/>
  <c r="F172" i="2" l="1"/>
  <c r="A173" i="2" s="1"/>
  <c r="D173" i="2" l="1"/>
  <c r="H173" i="2" s="1"/>
  <c r="B173" i="2"/>
  <c r="C173" i="2" s="1"/>
  <c r="G173" i="2" s="1"/>
  <c r="F173" i="2" l="1"/>
  <c r="A174" i="2" s="1"/>
  <c r="D174" i="2" l="1"/>
  <c r="H174" i="2" s="1"/>
  <c r="B174" i="2"/>
  <c r="C174" i="2" s="1"/>
  <c r="F174" i="2" s="1"/>
  <c r="A175" i="2" s="1"/>
  <c r="G174" i="2"/>
  <c r="B175" i="2" l="1"/>
  <c r="C175" i="2" s="1"/>
  <c r="F175" i="2" s="1"/>
  <c r="A176" i="2" s="1"/>
  <c r="D175" i="2"/>
  <c r="H175" i="2" s="1"/>
  <c r="G175" i="2" l="1"/>
  <c r="B176" i="2"/>
  <c r="D176" i="2"/>
  <c r="H176" i="2" s="1"/>
  <c r="C176" i="2" l="1"/>
  <c r="F176" i="2" s="1"/>
  <c r="A177" i="2" s="1"/>
  <c r="G176" i="2" l="1"/>
  <c r="B177" i="2"/>
  <c r="C177" i="2" s="1"/>
  <c r="D177" i="2"/>
  <c r="H177" i="2" s="1"/>
  <c r="G177" i="2" l="1"/>
  <c r="F177" i="2"/>
  <c r="A178" i="2" s="1"/>
  <c r="D178" i="2" l="1"/>
  <c r="H178" i="2" s="1"/>
  <c r="B178" i="2"/>
  <c r="C178" i="2" s="1"/>
  <c r="F178" i="2" l="1"/>
  <c r="A179" i="2" s="1"/>
  <c r="B179" i="2" s="1"/>
  <c r="G178" i="2"/>
  <c r="D179" i="2" l="1"/>
  <c r="H179" i="2" s="1"/>
  <c r="C179" i="2" l="1"/>
  <c r="F179" i="2" l="1"/>
  <c r="A180" i="2" s="1"/>
  <c r="G179" i="2"/>
  <c r="C180" i="2" l="1"/>
  <c r="F180" i="2" s="1"/>
  <c r="A181" i="2" s="1"/>
  <c r="B180" i="2"/>
  <c r="D180" i="2"/>
  <c r="H180" i="2" s="1"/>
  <c r="G180" i="2" l="1"/>
  <c r="B181" i="2"/>
  <c r="C181" i="2" s="1"/>
  <c r="D181" i="2"/>
  <c r="H181" i="2" s="1"/>
  <c r="F181" i="2" l="1"/>
  <c r="A182" i="2" s="1"/>
  <c r="G181" i="2"/>
  <c r="D182" i="2" l="1"/>
  <c r="H182" i="2" s="1"/>
  <c r="B182" i="2"/>
  <c r="C182" i="2" s="1"/>
  <c r="G182" i="2" l="1"/>
  <c r="F182" i="2"/>
  <c r="A183" i="2" s="1"/>
  <c r="B183" i="2" s="1"/>
  <c r="D183" i="2" l="1"/>
  <c r="H183" i="2" s="1"/>
  <c r="C183" i="2" l="1"/>
  <c r="G183" i="2" l="1"/>
  <c r="F183" i="2"/>
  <c r="A184" i="2" s="1"/>
  <c r="D184" i="2" l="1"/>
  <c r="H184" i="2" s="1"/>
  <c r="B184" i="2"/>
  <c r="C184" i="2" s="1"/>
  <c r="F184" i="2" l="1"/>
  <c r="A185" i="2" s="1"/>
  <c r="G184" i="2"/>
  <c r="B185" i="2" l="1"/>
  <c r="D185" i="2"/>
  <c r="H185" i="2" s="1"/>
  <c r="C185" i="2" l="1"/>
  <c r="G185" i="2" s="1"/>
  <c r="F185" i="2"/>
  <c r="A186" i="2" s="1"/>
  <c r="B186" i="2" s="1"/>
  <c r="D186" i="2" l="1"/>
  <c r="H186" i="2" s="1"/>
  <c r="C186" i="2" l="1"/>
  <c r="G186" i="2" l="1"/>
  <c r="F186" i="2"/>
  <c r="A187" i="2" s="1"/>
  <c r="B187" i="2" l="1"/>
  <c r="D187" i="2"/>
  <c r="H187" i="2" s="1"/>
  <c r="C187" i="2" l="1"/>
  <c r="G187" i="2" l="1"/>
  <c r="F187" i="2"/>
  <c r="A188" i="2" s="1"/>
  <c r="B188" i="2" l="1"/>
  <c r="D188" i="2"/>
  <c r="H188" i="2" s="1"/>
  <c r="C188" i="2" l="1"/>
  <c r="F188" i="2" l="1"/>
  <c r="A189" i="2" s="1"/>
  <c r="G188" i="2"/>
  <c r="D189" i="2" l="1"/>
  <c r="H189" i="2" s="1"/>
  <c r="B189" i="2"/>
  <c r="C189" i="2" s="1"/>
  <c r="F189" i="2" s="1"/>
  <c r="A190" i="2" s="1"/>
  <c r="B190" i="2" l="1"/>
  <c r="C190" i="2" s="1"/>
  <c r="F190" i="2" s="1"/>
  <c r="A191" i="2" s="1"/>
  <c r="D190" i="2"/>
  <c r="H190" i="2" s="1"/>
  <c r="G189" i="2"/>
  <c r="D191" i="2" l="1"/>
  <c r="H191" i="2" s="1"/>
  <c r="B191" i="2"/>
  <c r="C191" i="2" s="1"/>
  <c r="G190" i="2"/>
  <c r="F191" i="2" l="1"/>
  <c r="A192" i="2" s="1"/>
  <c r="G191" i="2"/>
  <c r="B192" i="2" l="1"/>
  <c r="D192" i="2"/>
  <c r="H192" i="2" s="1"/>
  <c r="C192" i="2" l="1"/>
  <c r="F192" i="2" s="1"/>
  <c r="A193" i="2" s="1"/>
  <c r="G192" i="2" l="1"/>
  <c r="B193" i="2"/>
  <c r="C193" i="2" s="1"/>
  <c r="F193" i="2" s="1"/>
  <c r="A194" i="2" s="1"/>
  <c r="D193" i="2"/>
  <c r="H193" i="2" s="1"/>
  <c r="B194" i="2" l="1"/>
  <c r="D194" i="2"/>
  <c r="H194" i="2" s="1"/>
  <c r="G193" i="2"/>
  <c r="C194" i="2" l="1"/>
  <c r="F194" i="2" l="1"/>
  <c r="A195" i="2" s="1"/>
  <c r="G194" i="2"/>
  <c r="D195" i="2" l="1"/>
  <c r="H195" i="2" s="1"/>
  <c r="B195" i="2"/>
  <c r="C195" i="2" s="1"/>
  <c r="F195" i="2" l="1"/>
  <c r="A196" i="2" s="1"/>
  <c r="G195" i="2"/>
  <c r="B196" i="2" l="1"/>
  <c r="D196" i="2"/>
  <c r="H196" i="2" s="1"/>
  <c r="C196" i="2" l="1"/>
  <c r="F196" i="2" s="1"/>
  <c r="A197" i="2" s="1"/>
  <c r="G196" i="2" l="1"/>
  <c r="D197" i="2"/>
  <c r="H197" i="2" s="1"/>
  <c r="B197" i="2"/>
  <c r="C197" i="2" s="1"/>
  <c r="G197" i="2" s="1"/>
  <c r="F197" i="2" l="1"/>
  <c r="A198" i="2" s="1"/>
  <c r="D198" i="2" l="1"/>
  <c r="H198" i="2" s="1"/>
  <c r="B198" i="2"/>
  <c r="C198" i="2" s="1"/>
  <c r="F198" i="2" s="1"/>
  <c r="A199" i="2" s="1"/>
  <c r="B199" i="2" l="1"/>
  <c r="C199" i="2" s="1"/>
  <c r="D199" i="2"/>
  <c r="H199" i="2" s="1"/>
  <c r="G198" i="2"/>
  <c r="G199" i="2" l="1"/>
  <c r="F199" i="2"/>
  <c r="A200" i="2" s="1"/>
  <c r="D200" i="2" l="1"/>
  <c r="H200" i="2" s="1"/>
  <c r="B200" i="2"/>
  <c r="C200" i="2" s="1"/>
  <c r="F200" i="2" l="1"/>
  <c r="A201" i="2" s="1"/>
  <c r="G200" i="2"/>
  <c r="D201" i="2" l="1"/>
  <c r="H201" i="2" s="1"/>
  <c r="B201" i="2"/>
  <c r="C201" i="2" s="1"/>
  <c r="F201" i="2" s="1"/>
  <c r="A202" i="2" s="1"/>
  <c r="B202" i="2" l="1"/>
  <c r="C202" i="2" s="1"/>
  <c r="F202" i="2" s="1"/>
  <c r="A203" i="2" s="1"/>
  <c r="D202" i="2"/>
  <c r="H202" i="2" s="1"/>
  <c r="G201" i="2"/>
  <c r="B203" i="2" l="1"/>
  <c r="D203" i="2"/>
  <c r="H203" i="2" s="1"/>
  <c r="G202" i="2"/>
  <c r="C203" i="2" l="1"/>
  <c r="F203" i="2" s="1"/>
  <c r="A204" i="2" s="1"/>
  <c r="G203" i="2" l="1"/>
  <c r="B204" i="2"/>
  <c r="C204" i="2" s="1"/>
  <c r="G204" i="2" s="1"/>
  <c r="D204" i="2"/>
  <c r="H204" i="2" s="1"/>
  <c r="F204" i="2" l="1"/>
  <c r="A205" i="2" s="1"/>
  <c r="D205" i="2" l="1"/>
  <c r="H205" i="2" s="1"/>
  <c r="B205" i="2"/>
  <c r="C205" i="2" l="1"/>
  <c r="G205" i="2" s="1"/>
  <c r="F205" i="2" l="1"/>
  <c r="A206" i="2" s="1"/>
  <c r="D206" i="2" s="1"/>
  <c r="H206" i="2" s="1"/>
  <c r="B206" i="2" l="1"/>
  <c r="C206" i="2" s="1"/>
  <c r="F206" i="2" s="1"/>
  <c r="A207" i="2" s="1"/>
  <c r="G206" i="2" l="1"/>
  <c r="B207" i="2"/>
  <c r="D207" i="2"/>
  <c r="H207" i="2" s="1"/>
  <c r="C207" i="2" l="1"/>
  <c r="F207" i="2" s="1"/>
  <c r="A208" i="2" s="1"/>
  <c r="G207" i="2" l="1"/>
  <c r="B208" i="2"/>
  <c r="C208" i="2" s="1"/>
  <c r="D208" i="2"/>
  <c r="H208" i="2" s="1"/>
  <c r="G208" i="2" l="1"/>
  <c r="F208" i="2"/>
  <c r="A209" i="2" s="1"/>
  <c r="B209" i="2" l="1"/>
  <c r="D209" i="2"/>
  <c r="H209" i="2" s="1"/>
  <c r="C209" i="2" l="1"/>
  <c r="G209" i="2" s="1"/>
  <c r="F209" i="2" l="1"/>
  <c r="A210" i="2" s="1"/>
  <c r="B210" i="2" s="1"/>
  <c r="D210" i="2" l="1"/>
  <c r="H210" i="2" s="1"/>
  <c r="C210" i="2" l="1"/>
  <c r="F210" i="2" s="1"/>
  <c r="A211" i="2" s="1"/>
  <c r="G210" i="2" l="1"/>
  <c r="D211" i="2"/>
  <c r="H211" i="2" s="1"/>
  <c r="B211" i="2"/>
  <c r="C211" i="2" s="1"/>
  <c r="F211" i="2" s="1"/>
  <c r="A212" i="2" s="1"/>
  <c r="B212" i="2" l="1"/>
  <c r="D212" i="2"/>
  <c r="H212" i="2" s="1"/>
  <c r="G211" i="2"/>
  <c r="C212" i="2" l="1"/>
  <c r="G212" i="2" s="1"/>
  <c r="F212" i="2"/>
  <c r="A213" i="2" s="1"/>
  <c r="B213" i="2" l="1"/>
  <c r="D213" i="2"/>
  <c r="H213" i="2" s="1"/>
  <c r="C213" i="2" l="1"/>
  <c r="F213" i="2" l="1"/>
  <c r="A214" i="2" s="1"/>
  <c r="G213" i="2"/>
  <c r="D214" i="2" l="1"/>
  <c r="H214" i="2" s="1"/>
  <c r="B214" i="2"/>
  <c r="C214" i="2" s="1"/>
  <c r="F214" i="2" l="1"/>
  <c r="A215" i="2" s="1"/>
  <c r="G214" i="2"/>
  <c r="D215" i="2" l="1"/>
  <c r="H215" i="2" s="1"/>
  <c r="B215" i="2"/>
  <c r="C215" i="2" s="1"/>
  <c r="F215" i="2" s="1"/>
  <c r="A216" i="2" s="1"/>
  <c r="B216" i="2" l="1"/>
  <c r="D216" i="2"/>
  <c r="H216" i="2" s="1"/>
  <c r="G215" i="2"/>
  <c r="C216" i="2" l="1"/>
  <c r="F216" i="2" s="1"/>
  <c r="A217" i="2" s="1"/>
  <c r="G216" i="2" l="1"/>
  <c r="D217" i="2"/>
  <c r="H217" i="2" s="1"/>
  <c r="B217" i="2"/>
  <c r="C217" i="2" l="1"/>
  <c r="F217" i="2" s="1"/>
  <c r="A218" i="2" s="1"/>
  <c r="B218" i="2" s="1"/>
  <c r="G217" i="2"/>
  <c r="D218" i="2" l="1"/>
  <c r="H218" i="2" s="1"/>
  <c r="C218" i="2" l="1"/>
  <c r="G218" i="2" l="1"/>
  <c r="F218" i="2"/>
  <c r="A219" i="2" s="1"/>
  <c r="B219" i="2" l="1"/>
  <c r="D219" i="2"/>
  <c r="H219" i="2" s="1"/>
  <c r="C219" i="2" l="1"/>
  <c r="G219" i="2" l="1"/>
  <c r="F219" i="2"/>
  <c r="A220" i="2" s="1"/>
  <c r="D220" i="2" l="1"/>
  <c r="H220" i="2" s="1"/>
  <c r="B220" i="2"/>
  <c r="C220" i="2" s="1"/>
  <c r="F220" i="2" s="1"/>
  <c r="A221" i="2" s="1"/>
  <c r="G220" i="2" l="1"/>
  <c r="D221" i="2"/>
  <c r="H221" i="2" s="1"/>
  <c r="B221" i="2"/>
  <c r="C221" i="2" s="1"/>
  <c r="G221" i="2" s="1"/>
  <c r="F221" i="2" l="1"/>
  <c r="A222" i="2" s="1"/>
  <c r="B222" i="2" s="1"/>
  <c r="D222" i="2" l="1"/>
  <c r="H222" i="2" s="1"/>
  <c r="C222" i="2"/>
  <c r="G222" i="2" l="1"/>
  <c r="F222" i="2"/>
  <c r="A223" i="2" s="1"/>
  <c r="B223" i="2" l="1"/>
  <c r="C223" i="2" s="1"/>
  <c r="F223" i="2" s="1"/>
  <c r="A224" i="2" s="1"/>
  <c r="D223" i="2"/>
  <c r="H223" i="2" s="1"/>
  <c r="D224" i="2" l="1"/>
  <c r="H224" i="2" s="1"/>
  <c r="B224" i="2"/>
  <c r="C224" i="2" s="1"/>
  <c r="F224" i="2" s="1"/>
  <c r="A225" i="2" s="1"/>
  <c r="D225" i="2" s="1"/>
  <c r="H225" i="2" s="1"/>
  <c r="G223" i="2"/>
  <c r="G224" i="2" l="1"/>
  <c r="B225" i="2"/>
  <c r="C225" i="2" s="1"/>
  <c r="G225" i="2" s="1"/>
  <c r="F225" i="2" l="1"/>
  <c r="A226" i="2" s="1"/>
  <c r="B226" i="2" s="1"/>
  <c r="D226" i="2" l="1"/>
  <c r="H226" i="2" s="1"/>
  <c r="C226" i="2" l="1"/>
  <c r="F226" i="2" l="1"/>
  <c r="A227" i="2" s="1"/>
  <c r="G226" i="2"/>
  <c r="D227" i="2" l="1"/>
  <c r="H227" i="2" s="1"/>
  <c r="B227" i="2"/>
  <c r="C227" i="2" s="1"/>
  <c r="G227" i="2" s="1"/>
  <c r="F227" i="2" l="1"/>
  <c r="A228" i="2" s="1"/>
  <c r="D228" i="2" l="1"/>
  <c r="H228" i="2" s="1"/>
  <c r="B228" i="2"/>
  <c r="C228" i="2" l="1"/>
  <c r="F228" i="2" l="1"/>
  <c r="A229" i="2" s="1"/>
  <c r="G228" i="2"/>
  <c r="B229" i="2" l="1"/>
  <c r="D229" i="2"/>
  <c r="H229" i="2" s="1"/>
  <c r="C229" i="2" l="1"/>
  <c r="F229" i="2" l="1"/>
  <c r="A230" i="2" s="1"/>
  <c r="G229" i="2"/>
  <c r="D230" i="2" l="1"/>
  <c r="H230" i="2" s="1"/>
  <c r="B230" i="2"/>
  <c r="C230" i="2" s="1"/>
  <c r="G230" i="2" s="1"/>
  <c r="F230" i="2" l="1"/>
  <c r="A231" i="2" s="1"/>
  <c r="B231" i="2" l="1"/>
  <c r="D231" i="2"/>
  <c r="H231" i="2" s="1"/>
  <c r="C231" i="2" l="1"/>
  <c r="F231" i="2" l="1"/>
  <c r="A232" i="2" s="1"/>
  <c r="G231" i="2"/>
  <c r="D232" i="2" l="1"/>
  <c r="H232" i="2" s="1"/>
  <c r="B232" i="2"/>
  <c r="C232" i="2" s="1"/>
  <c r="F232" i="2" l="1"/>
  <c r="A233" i="2" s="1"/>
  <c r="G232" i="2"/>
  <c r="B233" i="2" l="1"/>
  <c r="D233" i="2"/>
  <c r="H233" i="2" s="1"/>
  <c r="C233" i="2" l="1"/>
  <c r="G233" i="2" l="1"/>
  <c r="F233" i="2"/>
  <c r="A234" i="2" s="1"/>
  <c r="B234" i="2" l="1"/>
  <c r="C234" i="2" s="1"/>
  <c r="D234" i="2"/>
  <c r="H234" i="2" s="1"/>
  <c r="F234" i="2" l="1"/>
  <c r="A235" i="2" s="1"/>
  <c r="G234" i="2"/>
  <c r="B235" i="2" l="1"/>
  <c r="C235" i="2" s="1"/>
  <c r="D235" i="2"/>
  <c r="H235" i="2" s="1"/>
  <c r="F235" i="2" l="1"/>
  <c r="A236" i="2" s="1"/>
  <c r="G235" i="2"/>
  <c r="D236" i="2" l="1"/>
  <c r="H236" i="2" s="1"/>
  <c r="B236" i="2"/>
  <c r="C236" i="2" s="1"/>
  <c r="F236" i="2" s="1"/>
  <c r="A237" i="2" s="1"/>
  <c r="D237" i="2" l="1"/>
  <c r="H237" i="2" s="1"/>
  <c r="B237" i="2"/>
  <c r="C237" i="2" s="1"/>
  <c r="G236" i="2"/>
  <c r="G237" i="2" l="1"/>
  <c r="F237" i="2"/>
  <c r="A238" i="2" s="1"/>
  <c r="D238" i="2" l="1"/>
  <c r="H238" i="2" s="1"/>
  <c r="B238" i="2"/>
  <c r="C238" i="2" s="1"/>
  <c r="G238" i="2" s="1"/>
  <c r="F238" i="2" l="1"/>
  <c r="A239" i="2" s="1"/>
  <c r="B239" i="2" l="1"/>
  <c r="D239" i="2"/>
  <c r="H239" i="2" s="1"/>
  <c r="C239" i="2" l="1"/>
  <c r="F239" i="2" l="1"/>
  <c r="A240" i="2" s="1"/>
  <c r="G239" i="2"/>
  <c r="D240" i="2" l="1"/>
  <c r="H240" i="2" s="1"/>
  <c r="B240" i="2"/>
  <c r="C240" i="2" l="1"/>
  <c r="G240" i="2" l="1"/>
  <c r="F240" i="2"/>
  <c r="A241" i="2" s="1"/>
  <c r="D241" i="2" l="1"/>
  <c r="H241" i="2" s="1"/>
  <c r="B241" i="2"/>
  <c r="C241" i="2" s="1"/>
  <c r="G241" i="2" s="1"/>
  <c r="F241" i="2" l="1"/>
  <c r="A242" i="2" s="1"/>
  <c r="D242" i="2" l="1"/>
  <c r="H242" i="2" s="1"/>
  <c r="B242" i="2"/>
  <c r="C242" i="2" s="1"/>
  <c r="F242" i="2" l="1"/>
  <c r="A243" i="2" s="1"/>
  <c r="G242" i="2"/>
  <c r="B243" i="2" l="1"/>
  <c r="C243" i="2" s="1"/>
  <c r="D243" i="2"/>
  <c r="H243" i="2" s="1"/>
  <c r="G243" i="2" l="1"/>
  <c r="F243" i="2"/>
  <c r="A244" i="2" s="1"/>
  <c r="B244" i="2" l="1"/>
  <c r="D244" i="2"/>
  <c r="H244" i="2" s="1"/>
  <c r="C244" i="2" l="1"/>
  <c r="G244" i="2" l="1"/>
  <c r="F244" i="2"/>
  <c r="A245" i="2" s="1"/>
  <c r="D245" i="2" l="1"/>
  <c r="H245" i="2" s="1"/>
  <c r="B245" i="2"/>
  <c r="C245" i="2" s="1"/>
  <c r="G245" i="2" s="1"/>
  <c r="F245" i="2" l="1"/>
  <c r="A246" i="2" s="1"/>
  <c r="D246" i="2" l="1"/>
  <c r="H246" i="2" s="1"/>
  <c r="B246" i="2"/>
  <c r="C246" i="2" s="1"/>
  <c r="F246" i="2" s="1"/>
  <c r="A247" i="2" s="1"/>
  <c r="D247" i="2" l="1"/>
  <c r="H247" i="2" s="1"/>
  <c r="B247" i="2"/>
  <c r="C247" i="2" s="1"/>
  <c r="F247" i="2" s="1"/>
  <c r="A248" i="2" s="1"/>
  <c r="G246" i="2"/>
  <c r="D248" i="2" l="1"/>
  <c r="H248" i="2" s="1"/>
  <c r="B248" i="2"/>
  <c r="C248" i="2" s="1"/>
  <c r="G248" i="2" s="1"/>
  <c r="G247" i="2"/>
  <c r="F248" i="2" l="1"/>
  <c r="A249" i="2" s="1"/>
  <c r="D249" i="2" l="1"/>
  <c r="H249" i="2" s="1"/>
  <c r="B249" i="2"/>
  <c r="C249" i="2" s="1"/>
  <c r="G249" i="2" s="1"/>
  <c r="F249" i="2" l="1"/>
  <c r="A250" i="2" s="1"/>
  <c r="B250" i="2" s="1"/>
  <c r="C250" i="2" l="1"/>
  <c r="F250" i="2" s="1"/>
  <c r="A251" i="2" s="1"/>
  <c r="D250" i="2"/>
  <c r="H250" i="2" s="1"/>
  <c r="G250" i="2" l="1"/>
  <c r="D251" i="2"/>
  <c r="H251" i="2" s="1"/>
  <c r="B251" i="2"/>
  <c r="C251" i="2" s="1"/>
  <c r="G251" i="2" l="1"/>
  <c r="F251" i="2"/>
  <c r="A252" i="2" s="1"/>
  <c r="B252" i="2" l="1"/>
  <c r="C252" i="2" s="1"/>
  <c r="D252" i="2"/>
  <c r="H252" i="2" s="1"/>
  <c r="G252" i="2" l="1"/>
  <c r="F252" i="2"/>
  <c r="A253" i="2" s="1"/>
  <c r="D253" i="2" l="1"/>
  <c r="H253" i="2" s="1"/>
  <c r="B253" i="2"/>
  <c r="C253" i="2" s="1"/>
  <c r="G253" i="2" l="1"/>
  <c r="F253" i="2"/>
  <c r="A254" i="2" s="1"/>
  <c r="D254" i="2" l="1"/>
  <c r="H254" i="2" s="1"/>
  <c r="B254" i="2"/>
  <c r="C254" i="2" s="1"/>
  <c r="F254" i="2" s="1"/>
  <c r="A255" i="2" s="1"/>
  <c r="D255" i="2" l="1"/>
  <c r="H255" i="2" s="1"/>
  <c r="B255" i="2"/>
  <c r="G254" i="2"/>
  <c r="C255" i="2" l="1"/>
  <c r="G255" i="2" l="1"/>
  <c r="F255" i="2"/>
  <c r="A256" i="2" s="1"/>
  <c r="D256" i="2" l="1"/>
  <c r="H256" i="2" s="1"/>
  <c r="B256" i="2"/>
  <c r="C256" i="2" s="1"/>
  <c r="F256" i="2" l="1"/>
  <c r="A257" i="2" s="1"/>
  <c r="G256" i="2"/>
  <c r="B257" i="2" l="1"/>
  <c r="C257" i="2" s="1"/>
  <c r="D257" i="2"/>
  <c r="H257" i="2" s="1"/>
  <c r="G257" i="2" l="1"/>
  <c r="F257" i="2"/>
  <c r="A258" i="2" s="1"/>
  <c r="B258" i="2" s="1"/>
  <c r="C258" i="2" l="1"/>
  <c r="G258" i="2" s="1"/>
  <c r="D258" i="2"/>
  <c r="H258" i="2" s="1"/>
  <c r="F258" i="2" l="1"/>
  <c r="A259" i="2" s="1"/>
  <c r="D259" i="2" s="1"/>
  <c r="H259" i="2" s="1"/>
  <c r="B259" i="2" l="1"/>
  <c r="C259" i="2" s="1"/>
  <c r="F259" i="2" s="1"/>
  <c r="A260" i="2" s="1"/>
  <c r="D260" i="2" s="1"/>
  <c r="H260" i="2" s="1"/>
  <c r="G259" i="2" l="1"/>
  <c r="B260" i="2"/>
  <c r="C260" i="2" s="1"/>
  <c r="F260" i="2" s="1"/>
  <c r="A261" i="2" s="1"/>
  <c r="D261" i="2" s="1"/>
  <c r="H261" i="2" s="1"/>
  <c r="B261" i="2" l="1"/>
  <c r="C261" i="2" s="1"/>
  <c r="F261" i="2" s="1"/>
  <c r="A262" i="2" s="1"/>
  <c r="D262" i="2" s="1"/>
  <c r="H262" i="2" s="1"/>
  <c r="G260" i="2"/>
  <c r="B262" i="2" l="1"/>
  <c r="C262" i="2" s="1"/>
  <c r="G262" i="2" s="1"/>
  <c r="G261" i="2"/>
  <c r="F262" i="2" l="1"/>
  <c r="A263" i="2" s="1"/>
  <c r="B263" i="2" s="1"/>
  <c r="D263" i="2" l="1"/>
  <c r="H263" i="2" s="1"/>
  <c r="C263" i="2" l="1"/>
  <c r="G263" i="2" l="1"/>
  <c r="F263" i="2"/>
  <c r="A264" i="2" s="1"/>
  <c r="B264" i="2" l="1"/>
  <c r="C264" i="2" s="1"/>
  <c r="G264" i="2" s="1"/>
  <c r="D264" i="2"/>
  <c r="H264" i="2" s="1"/>
  <c r="F264" i="2" l="1"/>
  <c r="A265" i="2" s="1"/>
  <c r="D265" i="2" l="1"/>
  <c r="H265" i="2" s="1"/>
  <c r="B265" i="2"/>
  <c r="C265" i="2" s="1"/>
  <c r="G265" i="2" s="1"/>
  <c r="F265" i="2" l="1"/>
  <c r="A266" i="2" s="1"/>
  <c r="D266" i="2" l="1"/>
  <c r="H266" i="2" s="1"/>
  <c r="B266" i="2"/>
  <c r="C266" i="2" s="1"/>
  <c r="G266" i="2" s="1"/>
  <c r="F266" i="2" l="1"/>
  <c r="A267" i="2" s="1"/>
  <c r="D267" i="2" l="1"/>
  <c r="H267" i="2" s="1"/>
  <c r="B267" i="2"/>
  <c r="C267" i="2" s="1"/>
  <c r="G267" i="2" l="1"/>
  <c r="F267" i="2"/>
  <c r="A268" i="2" s="1"/>
  <c r="D268" i="2" s="1"/>
  <c r="H268" i="2" s="1"/>
  <c r="B268" i="2" l="1"/>
  <c r="C268" i="2" s="1"/>
  <c r="G268" i="2" s="1"/>
  <c r="F268" i="2" l="1"/>
  <c r="A269" i="2" s="1"/>
  <c r="B269" i="2" s="1"/>
  <c r="C269" i="2" l="1"/>
  <c r="F269" i="2" s="1"/>
  <c r="A270" i="2" s="1"/>
  <c r="D269" i="2"/>
  <c r="H269" i="2" s="1"/>
  <c r="B270" i="2" l="1"/>
  <c r="C270" i="2" s="1"/>
  <c r="G270" i="2" s="1"/>
  <c r="G269" i="2"/>
  <c r="D270" i="2"/>
  <c r="H270" i="2" s="1"/>
  <c r="F270" i="2" l="1"/>
  <c r="A271" i="2" s="1"/>
  <c r="D271" i="2" l="1"/>
  <c r="H271" i="2" s="1"/>
  <c r="B271" i="2"/>
  <c r="C271" i="2" s="1"/>
  <c r="F271" i="2" l="1"/>
  <c r="A272" i="2" s="1"/>
  <c r="B272" i="2" s="1"/>
  <c r="G271" i="2"/>
  <c r="D272" i="2" l="1"/>
  <c r="H272" i="2" s="1"/>
  <c r="C272" i="2"/>
  <c r="F272" i="2" l="1"/>
  <c r="A273" i="2" s="1"/>
  <c r="G272" i="2"/>
  <c r="B273" i="2" l="1"/>
  <c r="D273" i="2"/>
  <c r="H273" i="2" s="1"/>
  <c r="C273" i="2" l="1"/>
  <c r="G273" i="2" l="1"/>
  <c r="F273" i="2"/>
  <c r="A274" i="2" s="1"/>
  <c r="B274" i="2" l="1"/>
  <c r="D274" i="2"/>
  <c r="H274" i="2" s="1"/>
  <c r="C274" i="2" l="1"/>
  <c r="F274" i="2" l="1"/>
  <c r="A275" i="2" s="1"/>
  <c r="G274" i="2"/>
  <c r="D275" i="2" l="1"/>
  <c r="H275" i="2" s="1"/>
  <c r="B275" i="2"/>
  <c r="C275" i="2" s="1"/>
  <c r="F275" i="2" l="1"/>
  <c r="A276" i="2" s="1"/>
  <c r="G275" i="2"/>
  <c r="B276" i="2" l="1"/>
  <c r="C276" i="2" s="1"/>
  <c r="F276" i="2" s="1"/>
  <c r="A277" i="2" s="1"/>
  <c r="D276" i="2"/>
  <c r="H276" i="2" s="1"/>
  <c r="D277" i="2" l="1"/>
  <c r="H277" i="2" s="1"/>
  <c r="B277" i="2"/>
  <c r="G276" i="2"/>
  <c r="C277" i="2" l="1"/>
  <c r="G277" i="2" l="1"/>
  <c r="F277" i="2"/>
  <c r="A278" i="2" s="1"/>
  <c r="D278" i="2" l="1"/>
  <c r="H278" i="2" s="1"/>
  <c r="B278" i="2"/>
  <c r="C278" i="2" l="1"/>
  <c r="G278" i="2" l="1"/>
  <c r="F278" i="2"/>
  <c r="A279" i="2" s="1"/>
  <c r="D279" i="2" l="1"/>
  <c r="H279" i="2" s="1"/>
  <c r="B279" i="2"/>
  <c r="C279" i="2" s="1"/>
  <c r="F279" i="2" s="1"/>
  <c r="A280" i="2" s="1"/>
  <c r="G279" i="2" l="1"/>
  <c r="B280" i="2"/>
  <c r="C280" i="2" s="1"/>
  <c r="F280" i="2" s="1"/>
  <c r="A281" i="2" s="1"/>
  <c r="D280" i="2"/>
  <c r="H280" i="2" s="1"/>
  <c r="B281" i="2" l="1"/>
  <c r="D281" i="2"/>
  <c r="H281" i="2" s="1"/>
  <c r="G280" i="2"/>
  <c r="C281" i="2" l="1"/>
  <c r="F281" i="2" l="1"/>
  <c r="A282" i="2" s="1"/>
  <c r="G281" i="2"/>
  <c r="D282" i="2" l="1"/>
  <c r="H282" i="2" s="1"/>
  <c r="B282" i="2"/>
  <c r="C282" i="2" s="1"/>
  <c r="F282" i="2" s="1"/>
  <c r="A283" i="2" s="1"/>
  <c r="D283" i="2" l="1"/>
  <c r="H283" i="2" s="1"/>
  <c r="B283" i="2"/>
  <c r="C283" i="2" s="1"/>
  <c r="G282" i="2"/>
  <c r="G283" i="2" l="1"/>
  <c r="F283" i="2"/>
  <c r="A284" i="2" s="1"/>
  <c r="D284" i="2" s="1"/>
  <c r="H284" i="2" s="1"/>
  <c r="B284" i="2" l="1"/>
  <c r="C284" i="2" s="1"/>
  <c r="G284" i="2" s="1"/>
  <c r="F284" i="2" l="1"/>
  <c r="A285" i="2" s="1"/>
  <c r="B285" i="2" s="1"/>
  <c r="C285" i="2" l="1"/>
  <c r="F285" i="2" s="1"/>
  <c r="A286" i="2" s="1"/>
  <c r="D286" i="2" s="1"/>
  <c r="H286" i="2" s="1"/>
  <c r="D285" i="2"/>
  <c r="H285" i="2" s="1"/>
  <c r="G285" i="2"/>
  <c r="B286" i="2" l="1"/>
  <c r="C286" i="2" s="1"/>
  <c r="G286" i="2" s="1"/>
  <c r="F286" i="2" l="1"/>
  <c r="A287" i="2" s="1"/>
  <c r="D287" i="2" s="1"/>
  <c r="H287" i="2" s="1"/>
  <c r="B287" i="2" l="1"/>
  <c r="C287" i="2" s="1"/>
  <c r="F287" i="2" s="1"/>
  <c r="A288" i="2" s="1"/>
  <c r="G287" i="2" l="1"/>
  <c r="B288" i="2"/>
  <c r="D288" i="2"/>
  <c r="H288" i="2" s="1"/>
  <c r="C288" i="2" l="1"/>
  <c r="G288" i="2" l="1"/>
  <c r="F288" i="2"/>
  <c r="A289" i="2" s="1"/>
  <c r="D289" i="2" l="1"/>
  <c r="H289" i="2" s="1"/>
  <c r="B289" i="2"/>
  <c r="C289" i="2" l="1"/>
  <c r="G289" i="2" l="1"/>
  <c r="F289" i="2"/>
  <c r="A290" i="2" s="1"/>
  <c r="B290" i="2" l="1"/>
  <c r="C290" i="2" s="1"/>
  <c r="D290" i="2"/>
  <c r="H290" i="2" s="1"/>
  <c r="F290" i="2" l="1"/>
  <c r="A291" i="2" s="1"/>
  <c r="G290" i="2"/>
  <c r="D291" i="2" l="1"/>
  <c r="H291" i="2" s="1"/>
  <c r="B291" i="2"/>
  <c r="C291" i="2" s="1"/>
  <c r="G291" i="2" s="1"/>
  <c r="F291" i="2" l="1"/>
  <c r="A292" i="2" s="1"/>
  <c r="D292" i="2" l="1"/>
  <c r="H292" i="2" s="1"/>
  <c r="B292" i="2"/>
  <c r="C292" i="2" s="1"/>
  <c r="F292" i="2" s="1"/>
  <c r="A293" i="2" s="1"/>
  <c r="G292" i="2" l="1"/>
  <c r="D293" i="2"/>
  <c r="H293" i="2" s="1"/>
  <c r="B293" i="2"/>
  <c r="C293" i="2" s="1"/>
  <c r="F293" i="2" s="1"/>
  <c r="A294" i="2" s="1"/>
  <c r="D294" i="2" l="1"/>
  <c r="H294" i="2" s="1"/>
  <c r="B294" i="2"/>
  <c r="C294" i="2" s="1"/>
  <c r="G293" i="2"/>
  <c r="F294" i="2" l="1"/>
  <c r="A295" i="2" s="1"/>
  <c r="G294" i="2"/>
  <c r="B295" i="2" l="1"/>
  <c r="D295" i="2"/>
  <c r="H295" i="2" s="1"/>
  <c r="C295" i="2" l="1"/>
  <c r="F295" i="2" l="1"/>
  <c r="A296" i="2" s="1"/>
  <c r="G295" i="2"/>
  <c r="D296" i="2" l="1"/>
  <c r="H296" i="2" s="1"/>
  <c r="B296" i="2"/>
  <c r="C296" i="2" s="1"/>
  <c r="F296" i="2" s="1"/>
  <c r="A297" i="2" s="1"/>
  <c r="B297" i="2" l="1"/>
  <c r="C297" i="2" s="1"/>
  <c r="G297" i="2" s="1"/>
  <c r="D297" i="2"/>
  <c r="H297" i="2" s="1"/>
  <c r="G296" i="2"/>
  <c r="F297" i="2" l="1"/>
  <c r="A298" i="2" s="1"/>
  <c r="D298" i="2" l="1"/>
  <c r="H298" i="2" s="1"/>
  <c r="B298" i="2"/>
  <c r="C298" i="2" s="1"/>
  <c r="G298" i="2" s="1"/>
  <c r="F298" i="2" l="1"/>
  <c r="A299" i="2" s="1"/>
  <c r="D299" i="2" l="1"/>
  <c r="H299" i="2"/>
  <c r="B299" i="2"/>
  <c r="C299" i="2" s="1"/>
  <c r="F299" i="2" s="1"/>
  <c r="A300" i="2" s="1"/>
  <c r="G299" i="2" l="1"/>
  <c r="D300" i="2"/>
  <c r="H300" i="2" s="1"/>
  <c r="B300" i="2"/>
  <c r="C300" i="2" s="1"/>
  <c r="G300" i="2" l="1"/>
  <c r="F300" i="2"/>
  <c r="A301" i="2" s="1"/>
  <c r="D301" i="2" l="1"/>
  <c r="H301" i="2" s="1"/>
  <c r="B301" i="2"/>
  <c r="C301" i="2" s="1"/>
  <c r="F301" i="2" s="1"/>
  <c r="A302" i="2" s="1"/>
  <c r="G301" i="2" l="1"/>
  <c r="B302" i="2"/>
  <c r="C302" i="2" s="1"/>
  <c r="D302" i="2"/>
  <c r="H302" i="2" s="1"/>
  <c r="F302" i="2" l="1"/>
  <c r="A303" i="2" s="1"/>
  <c r="G302" i="2"/>
  <c r="B303" i="2" l="1"/>
  <c r="D303" i="2"/>
  <c r="H303" i="2" s="1"/>
  <c r="C303" i="2" l="1"/>
  <c r="F303" i="2" l="1"/>
  <c r="A304" i="2" s="1"/>
  <c r="G303" i="2"/>
  <c r="B304" i="2" l="1"/>
  <c r="D304" i="2"/>
  <c r="H304" i="2" s="1"/>
  <c r="C304" i="2" l="1"/>
  <c r="G304" i="2" l="1"/>
  <c r="F304" i="2"/>
  <c r="A305" i="2" s="1"/>
  <c r="D305" i="2" l="1"/>
  <c r="H305" i="2" s="1"/>
  <c r="B305" i="2"/>
  <c r="C305" i="2" s="1"/>
  <c r="G305" i="2" l="1"/>
  <c r="F305" i="2"/>
  <c r="A306" i="2" s="1"/>
  <c r="D306" i="2" l="1"/>
  <c r="H306" i="2" s="1"/>
  <c r="B306" i="2"/>
  <c r="C306" i="2" s="1"/>
  <c r="F306" i="2" s="1"/>
  <c r="A307" i="2" s="1"/>
  <c r="B307" i="2" l="1"/>
  <c r="D307" i="2"/>
  <c r="H307" i="2" s="1"/>
  <c r="G306" i="2"/>
  <c r="C307" i="2" l="1"/>
  <c r="F307" i="2" l="1"/>
  <c r="A308" i="2" s="1"/>
  <c r="G307" i="2"/>
  <c r="D308" i="2" l="1"/>
  <c r="H308" i="2" s="1"/>
  <c r="B308" i="2"/>
  <c r="C308" i="2" l="1"/>
  <c r="F308" i="2" l="1"/>
  <c r="A309" i="2" s="1"/>
  <c r="G308" i="2"/>
  <c r="D309" i="2" l="1"/>
  <c r="H309" i="2" s="1"/>
  <c r="B309" i="2"/>
  <c r="C309" i="2" s="1"/>
  <c r="F309" i="2" l="1"/>
  <c r="A310" i="2" s="1"/>
  <c r="G309" i="2"/>
  <c r="B310" i="2" l="1"/>
  <c r="D310" i="2"/>
  <c r="H310" i="2" s="1"/>
  <c r="C310" i="2" l="1"/>
  <c r="G310" i="2" s="1"/>
  <c r="F310" i="2"/>
  <c r="A311" i="2" s="1"/>
  <c r="D311" i="2" l="1"/>
  <c r="H311" i="2" s="1"/>
  <c r="B311" i="2"/>
  <c r="C311" i="2" l="1"/>
  <c r="F311" i="2" l="1"/>
  <c r="A312" i="2" s="1"/>
  <c r="G311" i="2"/>
  <c r="B312" i="2" l="1"/>
  <c r="D312" i="2"/>
  <c r="H312" i="2" s="1"/>
  <c r="C312" i="2" l="1"/>
  <c r="F312" i="2" l="1"/>
  <c r="A313" i="2" s="1"/>
  <c r="G312" i="2"/>
  <c r="B313" i="2" l="1"/>
  <c r="C313" i="2" s="1"/>
  <c r="D313" i="2"/>
  <c r="H313" i="2" s="1"/>
  <c r="G313" i="2" l="1"/>
  <c r="F313" i="2"/>
  <c r="A314" i="2" s="1"/>
  <c r="B314" i="2" l="1"/>
  <c r="C314" i="2" s="1"/>
  <c r="D314" i="2"/>
  <c r="H314" i="2" s="1"/>
  <c r="F314" i="2" l="1"/>
  <c r="A315" i="2" s="1"/>
  <c r="G314" i="2"/>
  <c r="D315" i="2" l="1"/>
  <c r="H315" i="2" s="1"/>
  <c r="B315" i="2"/>
  <c r="C315" i="2" s="1"/>
  <c r="F315" i="2" s="1"/>
  <c r="A316" i="2" s="1"/>
  <c r="D316" i="2" l="1"/>
  <c r="H316" i="2" s="1"/>
  <c r="B316" i="2"/>
  <c r="G315" i="2"/>
  <c r="C316" i="2" l="1"/>
  <c r="F316" i="2" l="1"/>
  <c r="A317" i="2" s="1"/>
  <c r="G316" i="2"/>
  <c r="D317" i="2" l="1"/>
  <c r="H317" i="2" s="1"/>
  <c r="B317" i="2"/>
  <c r="C317" i="2" s="1"/>
  <c r="G317" i="2" s="1"/>
  <c r="F317" i="2" l="1"/>
  <c r="A318" i="2" s="1"/>
  <c r="B318" i="2" l="1"/>
  <c r="C318" i="2" s="1"/>
  <c r="D318" i="2"/>
  <c r="H318" i="2" s="1"/>
  <c r="F318" i="2" l="1"/>
  <c r="A319" i="2" s="1"/>
  <c r="G318" i="2"/>
  <c r="D319" i="2" l="1"/>
  <c r="H319" i="2" s="1"/>
  <c r="B319" i="2"/>
  <c r="C319" i="2" s="1"/>
  <c r="G319" i="2" l="1"/>
  <c r="F319" i="2"/>
  <c r="A320" i="2" s="1"/>
  <c r="B320" i="2" l="1"/>
  <c r="C320" i="2" s="1"/>
  <c r="F320" i="2" s="1"/>
  <c r="A321" i="2" s="1"/>
  <c r="D320" i="2"/>
  <c r="H320" i="2" s="1"/>
  <c r="D321" i="2" l="1"/>
  <c r="H321" i="2" s="1"/>
  <c r="B321" i="2"/>
  <c r="C321" i="2" s="1"/>
  <c r="F321" i="2" s="1"/>
  <c r="A322" i="2" s="1"/>
  <c r="G320" i="2"/>
  <c r="D322" i="2" l="1"/>
  <c r="H322" i="2" s="1"/>
  <c r="B322" i="2"/>
  <c r="C322" i="2" s="1"/>
  <c r="G321" i="2"/>
  <c r="F322" i="2" l="1"/>
  <c r="A323" i="2" s="1"/>
  <c r="G322" i="2"/>
  <c r="D323" i="2" l="1"/>
  <c r="H323" i="2" s="1"/>
  <c r="B323" i="2"/>
  <c r="C323" i="2" l="1"/>
  <c r="F323" i="2" l="1"/>
  <c r="A324" i="2" s="1"/>
  <c r="G323" i="2"/>
  <c r="B324" i="2" l="1"/>
  <c r="D324" i="2"/>
  <c r="H324" i="2" s="1"/>
  <c r="C324" i="2" l="1"/>
  <c r="G324" i="2" l="1"/>
  <c r="F324" i="2"/>
  <c r="A325" i="2" s="1"/>
  <c r="B325" i="2" l="1"/>
  <c r="D325" i="2"/>
  <c r="H325" i="2" s="1"/>
  <c r="C325" i="2" l="1"/>
  <c r="F325" i="2" l="1"/>
  <c r="A326" i="2" s="1"/>
  <c r="G325" i="2"/>
  <c r="B326" i="2" l="1"/>
  <c r="D326" i="2"/>
  <c r="H326" i="2" s="1"/>
  <c r="C326" i="2" l="1"/>
  <c r="F326" i="2" l="1"/>
  <c r="A327" i="2" s="1"/>
  <c r="G326" i="2"/>
  <c r="B327" i="2" l="1"/>
  <c r="D327" i="2"/>
  <c r="H327" i="2" s="1"/>
  <c r="C327" i="2" l="1"/>
  <c r="G327" i="2" l="1"/>
  <c r="F327" i="2"/>
  <c r="A328" i="2" s="1"/>
  <c r="D328" i="2" l="1"/>
  <c r="H328" i="2" s="1"/>
  <c r="B328" i="2"/>
  <c r="C328" i="2" s="1"/>
  <c r="F328" i="2" s="1"/>
  <c r="A329" i="2" s="1"/>
  <c r="G328" i="2" l="1"/>
  <c r="D329" i="2"/>
  <c r="H329" i="2" s="1"/>
  <c r="B329" i="2"/>
  <c r="C329" i="2" s="1"/>
  <c r="G329" i="2" s="1"/>
  <c r="F329" i="2" l="1"/>
  <c r="A330" i="2" s="1"/>
  <c r="D330" i="2" l="1"/>
  <c r="H330" i="2" s="1"/>
  <c r="B330" i="2"/>
  <c r="C330" i="2" s="1"/>
  <c r="F330" i="2" s="1"/>
  <c r="A331" i="2" s="1"/>
  <c r="G330" i="2"/>
  <c r="D331" i="2" l="1"/>
  <c r="H331" i="2" s="1"/>
  <c r="B331" i="2"/>
  <c r="C331" i="2" s="1"/>
  <c r="G331" i="2" s="1"/>
  <c r="F331" i="2" l="1"/>
  <c r="A332" i="2" s="1"/>
  <c r="B332" i="2" l="1"/>
  <c r="C332" i="2" s="1"/>
  <c r="F332" i="2" s="1"/>
  <c r="A333" i="2" s="1"/>
  <c r="D332" i="2"/>
  <c r="H332" i="2" s="1"/>
  <c r="B333" i="2" l="1"/>
  <c r="D333" i="2"/>
  <c r="H333" i="2" s="1"/>
  <c r="G332" i="2"/>
  <c r="C333" i="2" l="1"/>
  <c r="G333" i="2" l="1"/>
  <c r="F333" i="2"/>
  <c r="A334" i="2" s="1"/>
  <c r="D334" i="2" l="1"/>
  <c r="H334" i="2" s="1"/>
  <c r="B334" i="2"/>
  <c r="C334" i="2" l="1"/>
  <c r="G334" i="2" l="1"/>
  <c r="F334" i="2"/>
  <c r="A335" i="2" s="1"/>
  <c r="D335" i="2" l="1"/>
  <c r="H335" i="2" s="1"/>
  <c r="B335" i="2"/>
  <c r="C335" i="2" s="1"/>
  <c r="G335" i="2" s="1"/>
  <c r="F335" i="2" l="1"/>
  <c r="A336" i="2" s="1"/>
  <c r="B336" i="2" l="1"/>
  <c r="C336" i="2" s="1"/>
  <c r="D336" i="2"/>
  <c r="H336" i="2" s="1"/>
  <c r="F336" i="2" l="1"/>
  <c r="A337" i="2" s="1"/>
  <c r="G336" i="2"/>
  <c r="B337" i="2" l="1"/>
  <c r="C337" i="2" s="1"/>
  <c r="D337" i="2"/>
  <c r="H337" i="2" s="1"/>
  <c r="F337" i="2" l="1"/>
  <c r="A338" i="2" s="1"/>
  <c r="G337" i="2"/>
  <c r="D338" i="2" l="1"/>
  <c r="H338" i="2" s="1"/>
  <c r="B338" i="2"/>
  <c r="C338" i="2" l="1"/>
  <c r="G338" i="2" l="1"/>
  <c r="F338" i="2"/>
  <c r="A339" i="2" s="1"/>
  <c r="D339" i="2" l="1"/>
  <c r="H339" i="2" s="1"/>
  <c r="B339" i="2"/>
  <c r="C339" i="2" s="1"/>
  <c r="G339" i="2" s="1"/>
  <c r="F339" i="2" l="1"/>
  <c r="A340" i="2" s="1"/>
  <c r="D340" i="2" l="1"/>
  <c r="H340" i="2" s="1"/>
  <c r="B340" i="2"/>
  <c r="C340" i="2" s="1"/>
  <c r="F340" i="2" l="1"/>
  <c r="A341" i="2" s="1"/>
  <c r="G340" i="2"/>
  <c r="D341" i="2"/>
  <c r="H341" i="2" s="1"/>
  <c r="B341" i="2"/>
  <c r="C341" i="2" s="1"/>
  <c r="G341" i="2" s="1"/>
  <c r="F341" i="2" l="1"/>
  <c r="A342" i="2" s="1"/>
  <c r="D342" i="2" s="1"/>
  <c r="H342" i="2" s="1"/>
  <c r="B342" i="2" l="1"/>
  <c r="C342" i="2" s="1"/>
  <c r="F342" i="2" s="1"/>
  <c r="A343" i="2" s="1"/>
  <c r="D343" i="2" l="1"/>
  <c r="H343" i="2" s="1"/>
  <c r="B343" i="2"/>
  <c r="C343" i="2" s="1"/>
  <c r="G342" i="2"/>
  <c r="F343" i="2" l="1"/>
  <c r="A344" i="2" s="1"/>
  <c r="G343" i="2"/>
  <c r="D344" i="2" l="1"/>
  <c r="H344" i="2" s="1"/>
  <c r="B344" i="2"/>
  <c r="C344" i="2" s="1"/>
  <c r="F344" i="2" s="1"/>
  <c r="A345" i="2" s="1"/>
  <c r="B345" i="2" l="1"/>
  <c r="C345" i="2" s="1"/>
  <c r="D345" i="2"/>
  <c r="H345" i="2" s="1"/>
  <c r="G344" i="2"/>
  <c r="G345" i="2" l="1"/>
  <c r="F345" i="2"/>
  <c r="A346" i="2" s="1"/>
  <c r="B346" i="2" l="1"/>
  <c r="C346" i="2" s="1"/>
  <c r="F346" i="2" s="1"/>
  <c r="A347" i="2" s="1"/>
  <c r="D346" i="2"/>
  <c r="H346" i="2" s="1"/>
  <c r="B347" i="2" l="1"/>
  <c r="C347" i="2" s="1"/>
  <c r="F347" i="2" s="1"/>
  <c r="A348" i="2" s="1"/>
  <c r="D348" i="2" s="1"/>
  <c r="H348" i="2" s="1"/>
  <c r="D347" i="2"/>
  <c r="H347" i="2" s="1"/>
  <c r="G346" i="2"/>
  <c r="G347" i="2"/>
  <c r="B348" i="2"/>
  <c r="C348" i="2" l="1"/>
  <c r="G348" i="2" s="1"/>
  <c r="F348" i="2"/>
  <c r="A349" i="2" s="1"/>
  <c r="D349" i="2" l="1"/>
  <c r="H349" i="2" s="1"/>
  <c r="B349" i="2"/>
  <c r="C349" i="2" s="1"/>
  <c r="F349" i="2" s="1"/>
  <c r="A350" i="2" s="1"/>
  <c r="G349" i="2" l="1"/>
  <c r="D350" i="2"/>
  <c r="H350" i="2" s="1"/>
  <c r="B350" i="2"/>
  <c r="C350" i="2" s="1"/>
  <c r="G350" i="2" s="1"/>
  <c r="F350" i="2" l="1"/>
  <c r="A351" i="2" s="1"/>
  <c r="D351" i="2" l="1"/>
  <c r="H351" i="2" s="1"/>
  <c r="B351" i="2"/>
  <c r="C351" i="2" s="1"/>
  <c r="F351" i="2" s="1"/>
  <c r="A352" i="2" s="1"/>
  <c r="G351" i="2" l="1"/>
  <c r="D352" i="2"/>
  <c r="H352" i="2" s="1"/>
  <c r="B352" i="2"/>
  <c r="C352" i="2" s="1"/>
  <c r="G352" i="2" s="1"/>
  <c r="F352" i="2" l="1"/>
  <c r="A353" i="2" s="1"/>
  <c r="B353" i="2" l="1"/>
  <c r="C353" i="2" s="1"/>
  <c r="D353" i="2"/>
  <c r="H353" i="2" s="1"/>
  <c r="C51" i="3"/>
  <c r="G353" i="2" l="1"/>
  <c r="F353" i="2"/>
  <c r="A354" i="2" s="1"/>
  <c r="C76" i="3"/>
  <c r="D172" i="3"/>
  <c r="C54" i="3"/>
  <c r="D354" i="2" l="1"/>
  <c r="H354" i="2" s="1"/>
  <c r="B354" i="2"/>
  <c r="C354" i="2" s="1"/>
  <c r="G354" i="2" s="1"/>
  <c r="C171" i="3"/>
  <c r="C175" i="3" s="1"/>
  <c r="C55" i="3"/>
  <c r="C74" i="3" s="1"/>
  <c r="F354" i="2" l="1"/>
  <c r="A355" i="2" s="1"/>
  <c r="C56" i="3"/>
  <c r="C79" i="3" s="1"/>
  <c r="B355" i="2" l="1"/>
  <c r="C355" i="2" s="1"/>
  <c r="D355" i="2"/>
  <c r="H355" i="2" s="1"/>
  <c r="C81" i="3"/>
  <c r="C82" i="3" s="1"/>
  <c r="G355" i="2" l="1"/>
  <c r="F355" i="2"/>
  <c r="A356" i="2" s="1"/>
  <c r="D356" i="2" l="1"/>
  <c r="H356" i="2" s="1"/>
  <c r="B356" i="2"/>
  <c r="C356" i="2" s="1"/>
  <c r="F356" i="2" l="1"/>
  <c r="A357" i="2" s="1"/>
  <c r="G356" i="2"/>
  <c r="B357" i="2" l="1"/>
  <c r="D357" i="2"/>
  <c r="H357" i="2" s="1"/>
  <c r="C357" i="2" l="1"/>
  <c r="F357" i="2" l="1"/>
  <c r="A358" i="2" s="1"/>
  <c r="G357" i="2"/>
  <c r="D358" i="2" l="1"/>
  <c r="H358" i="2" s="1"/>
  <c r="B358" i="2"/>
  <c r="C358" i="2" s="1"/>
  <c r="F358" i="2" s="1"/>
  <c r="A359" i="2" s="1"/>
  <c r="D359" i="2" l="1"/>
  <c r="H359" i="2" s="1"/>
  <c r="B359" i="2"/>
  <c r="C359" i="2" s="1"/>
  <c r="G358" i="2"/>
  <c r="G359" i="2" l="1"/>
  <c r="F359" i="2"/>
  <c r="A360" i="2" s="1"/>
  <c r="D360" i="2" l="1"/>
  <c r="H360" i="2" s="1"/>
  <c r="B360" i="2"/>
  <c r="C360" i="2" s="1"/>
  <c r="F360" i="2" l="1"/>
  <c r="A361" i="2" s="1"/>
  <c r="G360" i="2"/>
  <c r="D361" i="2" l="1"/>
  <c r="H361" i="2" s="1"/>
  <c r="B361" i="2"/>
  <c r="C361" i="2" s="1"/>
  <c r="F361" i="2" l="1"/>
  <c r="A362" i="2" s="1"/>
  <c r="G361" i="2"/>
  <c r="D362" i="2" l="1"/>
  <c r="H362" i="2" s="1"/>
  <c r="B362" i="2"/>
  <c r="C362" i="2" s="1"/>
  <c r="F362" i="2" s="1"/>
  <c r="A363" i="2" s="1"/>
  <c r="G362" i="2" l="1"/>
  <c r="D363" i="2"/>
  <c r="H363" i="2" s="1"/>
  <c r="B363" i="2"/>
  <c r="C363" i="2" s="1"/>
  <c r="F363" i="2" s="1"/>
  <c r="A364" i="2" s="1"/>
  <c r="B364" i="2" l="1"/>
  <c r="C364" i="2" s="1"/>
  <c r="D364" i="2"/>
  <c r="H364" i="2" s="1"/>
  <c r="G363" i="2"/>
  <c r="F364" i="2" l="1"/>
  <c r="A365" i="2" s="1"/>
  <c r="B365" i="2" s="1"/>
  <c r="G364" i="2"/>
  <c r="D365" i="2" l="1"/>
  <c r="H365" i="2" s="1"/>
  <c r="C365" i="2"/>
  <c r="G365" i="2" l="1"/>
  <c r="F365" i="2"/>
  <c r="A366" i="2" s="1"/>
  <c r="D366" i="2" l="1"/>
  <c r="H366" i="2" s="1"/>
  <c r="B366" i="2"/>
  <c r="C366" i="2" l="1"/>
  <c r="F366" i="2" l="1"/>
  <c r="A367" i="2" s="1"/>
  <c r="G366" i="2"/>
  <c r="D51" i="3"/>
  <c r="D367" i="2" l="1"/>
  <c r="H367" i="2" s="1"/>
  <c r="B367" i="2"/>
  <c r="E172" i="3"/>
  <c r="D54" i="3"/>
  <c r="D76" i="3"/>
  <c r="C367" i="2" l="1"/>
  <c r="D173" i="3"/>
  <c r="D175" i="3" s="1"/>
  <c r="D55" i="3"/>
  <c r="D74" i="3" s="1"/>
  <c r="F367" i="2" l="1"/>
  <c r="G367" i="2"/>
  <c r="D56" i="3"/>
  <c r="D79" i="3" s="1"/>
  <c r="D81" i="3" l="1"/>
  <c r="D82" i="3" s="1"/>
  <c r="E51" i="3" l="1"/>
  <c r="F172" i="3" l="1"/>
  <c r="E54" i="3"/>
  <c r="E76" i="3"/>
  <c r="E55" i="3" l="1"/>
  <c r="E74" i="3" s="1"/>
  <c r="E173" i="3"/>
  <c r="E175" i="3" s="1"/>
  <c r="E56" i="3" l="1"/>
  <c r="E79" i="3" s="1"/>
  <c r="E81" i="3" l="1"/>
  <c r="E82" i="3" s="1"/>
  <c r="F51" i="3" l="1"/>
  <c r="G172" i="3" l="1"/>
  <c r="F54" i="3"/>
  <c r="F76" i="3"/>
  <c r="F173" i="3" l="1"/>
  <c r="F175" i="3" s="1"/>
  <c r="F55" i="3"/>
  <c r="F74" i="3" s="1"/>
  <c r="F56" i="3" l="1"/>
  <c r="F79" i="3" s="1"/>
  <c r="F81" i="3" s="1"/>
  <c r="F82" i="3" s="1"/>
  <c r="G51" i="3" l="1"/>
  <c r="H172" i="3" l="1"/>
  <c r="G54" i="3"/>
  <c r="G55" i="3" l="1"/>
  <c r="G74" i="3" s="1"/>
  <c r="G76" i="3" l="1"/>
  <c r="C164" i="3" s="1"/>
  <c r="C165" i="3" s="1"/>
  <c r="G56" i="3"/>
  <c r="G79" i="3" s="1"/>
  <c r="A90" i="3" s="1"/>
  <c r="A87" i="3" l="1"/>
  <c r="A91" i="3" s="1"/>
  <c r="B88" i="3" s="1"/>
  <c r="E88" i="3" s="1"/>
  <c r="G81" i="3"/>
  <c r="G82" i="3" s="1"/>
  <c r="G173" i="3"/>
  <c r="G175" i="3" s="1"/>
  <c r="D164" i="3" l="1"/>
  <c r="D166" i="3" s="1"/>
  <c r="E165" i="3" s="1"/>
  <c r="F165" i="3" s="1"/>
  <c r="G165" i="3" s="1"/>
  <c r="B87" i="3"/>
  <c r="I87" i="3" s="1"/>
  <c r="B89" i="3"/>
  <c r="I88" i="3" s="1"/>
  <c r="E164" i="3" l="1"/>
  <c r="F164" i="3" s="1"/>
  <c r="G164" i="3" s="1"/>
  <c r="E87" i="3"/>
  <c r="I95" i="3"/>
  <c r="D94" i="3" s="1"/>
  <c r="D97" i="3" s="1"/>
  <c r="C89" i="3" s="1"/>
  <c r="D89" i="3" s="1"/>
  <c r="E89" i="3" s="1"/>
  <c r="B91" i="3"/>
  <c r="H181" i="3"/>
  <c r="H182" i="3" s="1"/>
  <c r="C183" i="3" s="1"/>
  <c r="H165" i="3"/>
  <c r="E91" i="3" l="1"/>
  <c r="H164" i="3"/>
  <c r="H174" i="3"/>
  <c r="H175" i="3" s="1"/>
  <c r="C176" i="3" s="1"/>
  <c r="G138" i="3" l="1"/>
  <c r="D138" i="3"/>
  <c r="C138" i="3"/>
  <c r="F138" i="3"/>
  <c r="H138" i="3"/>
  <c r="E138" i="3"/>
  <c r="C143" i="3" l="1"/>
</calcChain>
</file>

<file path=xl/sharedStrings.xml><?xml version="1.0" encoding="utf-8"?>
<sst xmlns="http://schemas.openxmlformats.org/spreadsheetml/2006/main" count="675" uniqueCount="198">
  <si>
    <t>Building</t>
  </si>
  <si>
    <t>Cost</t>
  </si>
  <si>
    <t>Depreciation year</t>
  </si>
  <si>
    <t>Depreciation expense per year</t>
  </si>
  <si>
    <t>Funding</t>
  </si>
  <si>
    <t>Mortgage Loan</t>
  </si>
  <si>
    <t>Life of loan</t>
  </si>
  <si>
    <t>Interest</t>
  </si>
  <si>
    <t>Days</t>
  </si>
  <si>
    <t>Inventory</t>
  </si>
  <si>
    <t>INCOME STATEMENT</t>
  </si>
  <si>
    <t>Revenue</t>
  </si>
  <si>
    <t>Cost of Goods Sold</t>
  </si>
  <si>
    <t>Operating Expenses</t>
  </si>
  <si>
    <t>General and Admin</t>
  </si>
  <si>
    <t>Depreciation</t>
  </si>
  <si>
    <t>Mortgage Loan Interest</t>
  </si>
  <si>
    <t>Extra Bank Loan Interest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</si>
  <si>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</si>
  <si>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</si>
  <si>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</si>
  <si>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</si>
  <si>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</si>
  <si>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</si>
  <si>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 Above Minimum</t>
  </si>
  <si>
    <t>Accounts Receivable</t>
  </si>
  <si>
    <t>Buildings</t>
  </si>
  <si>
    <t>Total Assets</t>
  </si>
  <si>
    <t>Liabilities and Owners Equity</t>
  </si>
  <si>
    <t>Accounts Payable</t>
  </si>
  <si>
    <t>Income Tax Payable</t>
  </si>
  <si>
    <t>Extra Bank Loan</t>
  </si>
  <si>
    <t>Common Stock</t>
  </si>
  <si>
    <t>Retained Earnings</t>
  </si>
  <si>
    <t>Total Liabilities and Owners Equity</t>
  </si>
  <si>
    <t>DFN</t>
  </si>
  <si>
    <t>FCF, NPV, IRR</t>
  </si>
  <si>
    <t>Cash from Operations</t>
  </si>
  <si>
    <t>Operating Profit</t>
  </si>
  <si>
    <t>Less: Depreciation</t>
  </si>
  <si>
    <t>Taxable Operating Income</t>
  </si>
  <si>
    <t>Taxes on Operations Only ( = taxes payable)</t>
  </si>
  <si>
    <t>Add back Depreciation</t>
  </si>
  <si>
    <t>Total Cash from Operations</t>
  </si>
  <si>
    <t>Cash in/out from Capital Expenditures</t>
  </si>
  <si>
    <t>Buy Building</t>
  </si>
  <si>
    <t>Sell Building</t>
  </si>
  <si>
    <t>Taxes on Sale of Building</t>
  </si>
  <si>
    <t>Gain</t>
  </si>
  <si>
    <t>Cash in/out from Changes in Working Capital</t>
  </si>
  <si>
    <t xml:space="preserve"> - </t>
  </si>
  <si>
    <t xml:space="preserve"> + </t>
  </si>
  <si>
    <t>Cash in/out from Liquidation of Working Capital</t>
  </si>
  <si>
    <t xml:space="preserve"> +</t>
  </si>
  <si>
    <t xml:space="preserve"> -  </t>
  </si>
  <si>
    <t>Total Free Cash Flows</t>
  </si>
  <si>
    <t>Present Value of Total Free Cash Flows</t>
  </si>
  <si>
    <t>Nper</t>
  </si>
  <si>
    <t>Cost of capital</t>
  </si>
  <si>
    <t>NPV of Total Free Cash Flows</t>
  </si>
  <si>
    <t>IRR</t>
  </si>
  <si>
    <t>Loan Amortization Table</t>
  </si>
  <si>
    <t>.</t>
  </si>
  <si>
    <t>Principal</t>
  </si>
  <si>
    <t>Annual Interest</t>
  </si>
  <si>
    <t>Number of Years</t>
  </si>
  <si>
    <t>Payment Number</t>
  </si>
  <si>
    <t>Payment Amount</t>
  </si>
  <si>
    <t>Amount of Payment to Principal</t>
  </si>
  <si>
    <t>Amount of Payment to Interest</t>
  </si>
  <si>
    <t>Extra Payment</t>
  </si>
  <si>
    <t>Total principal Remaining</t>
  </si>
  <si>
    <t>Total Principal Paid</t>
  </si>
  <si>
    <t>Total Interest Paid</t>
  </si>
  <si>
    <t>Land</t>
  </si>
  <si>
    <t xml:space="preserve">Equipment </t>
  </si>
  <si>
    <t>Less Accumulated Depreciation</t>
  </si>
  <si>
    <t>Equipment</t>
  </si>
  <si>
    <t>Batteries</t>
  </si>
  <si>
    <t>Rentals of Equipment</t>
  </si>
  <si>
    <t>Battery Revenue</t>
  </si>
  <si>
    <t>Equipment Rental Revenue</t>
  </si>
  <si>
    <t>General Store Labor</t>
  </si>
  <si>
    <t>Maintenance Labor</t>
  </si>
  <si>
    <t>Average price per battery</t>
  </si>
  <si>
    <t>COGS per battery</t>
  </si>
  <si>
    <t>Average batteries sold per year</t>
  </si>
  <si>
    <t>% change &lt; 2018</t>
  </si>
  <si>
    <t>Change 2018+</t>
  </si>
  <si>
    <t>Average repair price</t>
  </si>
  <si>
    <t>Total Battery Repairs</t>
  </si>
  <si>
    <t>Total New battery Rev</t>
  </si>
  <si>
    <t>Total Battery Revenue</t>
  </si>
  <si>
    <t>Average daily rental price</t>
  </si>
  <si>
    <t>Average rentals per year</t>
  </si>
  <si>
    <t>Average days per rentals</t>
  </si>
  <si>
    <t>Total Rev of Rentals</t>
  </si>
  <si>
    <t xml:space="preserve">Accounts Payable </t>
  </si>
  <si>
    <t>BV of Building</t>
  </si>
  <si>
    <t>% of BV we sell it for</t>
  </si>
  <si>
    <t>Sell Price</t>
  </si>
  <si>
    <t>Battery repairs per year</t>
  </si>
  <si>
    <t>(new repair technology)</t>
  </si>
  <si>
    <t>INPUT DATA</t>
  </si>
  <si>
    <t>Buy Land</t>
  </si>
  <si>
    <t>Sell Land</t>
  </si>
  <si>
    <t>Buy Equipment</t>
  </si>
  <si>
    <t>Sell Equipment</t>
  </si>
  <si>
    <t>Taxes on Sale of Equipment</t>
  </si>
  <si>
    <t>Taxes on sale of Land</t>
  </si>
  <si>
    <t>BV of Land</t>
  </si>
  <si>
    <t>Tax</t>
  </si>
  <si>
    <t>% of original purchase price we sell it for</t>
  </si>
  <si>
    <t>Original Purchase Price</t>
  </si>
  <si>
    <t>BV of Equipment</t>
  </si>
  <si>
    <t>Beta</t>
  </si>
  <si>
    <t>S&amp;P 500</t>
  </si>
  <si>
    <t>WACC</t>
  </si>
  <si>
    <t>Average</t>
  </si>
  <si>
    <t>Proportion</t>
  </si>
  <si>
    <t>Interest Rate</t>
  </si>
  <si>
    <t>Weighted</t>
  </si>
  <si>
    <t>Tax Adjusted ratio</t>
  </si>
  <si>
    <t>(Battery technology will result in longer battery life)</t>
  </si>
  <si>
    <t xml:space="preserve">Accounts Receivable </t>
  </si>
  <si>
    <t>10 year average</t>
  </si>
  <si>
    <t>What equity holders demand</t>
  </si>
  <si>
    <t>New Present Value of Total Free Cash Flows</t>
  </si>
  <si>
    <t>New NPV of Total Free Cash Flows</t>
  </si>
  <si>
    <t>www.treasury.gov</t>
  </si>
  <si>
    <t>T-Bill (10 year)</t>
  </si>
  <si>
    <t>Levered/Unlevered beta</t>
  </si>
  <si>
    <t>Equity Beta</t>
  </si>
  <si>
    <t>REAL, measured</t>
  </si>
  <si>
    <t>Current Debt Proportion</t>
  </si>
  <si>
    <t>Debt ALWAYS goes with Beta!</t>
  </si>
  <si>
    <t>Current Equity Proportion</t>
  </si>
  <si>
    <t>Tax rates</t>
  </si>
  <si>
    <t>Unlevered Beta</t>
  </si>
  <si>
    <t>Theoretical beta….</t>
  </si>
  <si>
    <t>What is if had no debt</t>
  </si>
  <si>
    <t>Theoretical Debt Proportion</t>
  </si>
  <si>
    <t>Re-levered</t>
  </si>
  <si>
    <t>Re-lever it either lower or higher</t>
  </si>
  <si>
    <t>Equity Proportion</t>
  </si>
  <si>
    <t>Relevered Beta</t>
  </si>
  <si>
    <t>Leverage = Debt</t>
  </si>
  <si>
    <t>New Debt Proportion</t>
  </si>
  <si>
    <t>Theoretical</t>
  </si>
  <si>
    <t>New Equity Proportion</t>
  </si>
  <si>
    <t>prop</t>
  </si>
  <si>
    <t>Rate</t>
  </si>
  <si>
    <t xml:space="preserve">After tax </t>
  </si>
  <si>
    <t>weight</t>
  </si>
  <si>
    <t>Existing</t>
  </si>
  <si>
    <t>Strong</t>
  </si>
  <si>
    <t>Weak</t>
  </si>
  <si>
    <t>Buy building</t>
  </si>
  <si>
    <t>Sell building</t>
  </si>
  <si>
    <t>Increased (decreased) cash flows</t>
  </si>
  <si>
    <t>Probability</t>
  </si>
  <si>
    <t>Expected NPV of entire project</t>
  </si>
  <si>
    <t>Strong with option</t>
  </si>
  <si>
    <t>Secured</t>
  </si>
  <si>
    <t>Unsecured</t>
  </si>
  <si>
    <t>Total</t>
  </si>
  <si>
    <t>Mortgage</t>
  </si>
  <si>
    <t>Extra Cash</t>
  </si>
  <si>
    <t>WAAC</t>
  </si>
  <si>
    <t>Tax Rate</t>
  </si>
  <si>
    <t>% of BV we sell for</t>
  </si>
  <si>
    <t>Original  Price</t>
  </si>
  <si>
    <t>Outside numbers</t>
  </si>
  <si>
    <t>Delivered Beta</t>
  </si>
  <si>
    <t>Average Battery Price</t>
  </si>
  <si>
    <t>Total Battery Repair Revenue</t>
  </si>
  <si>
    <t>Total Combined Battery Revenue</t>
  </si>
  <si>
    <t>Total New Battery Sales  Revenue</t>
  </si>
  <si>
    <t>% chg &lt; 2018</t>
  </si>
  <si>
    <t>Chg  2018+</t>
  </si>
  <si>
    <t>Sell of Buildings, Land and Equipment</t>
  </si>
  <si>
    <t xml:space="preserve">T-Bill </t>
  </si>
  <si>
    <t>Chg2018+</t>
  </si>
  <si>
    <t>Sell for</t>
  </si>
  <si>
    <t>Prop</t>
  </si>
  <si>
    <t>Paid</t>
  </si>
  <si>
    <t>Total Paid</t>
  </si>
  <si>
    <t>On the dollar</t>
  </si>
  <si>
    <t>Debt Return in Bankruptcy</t>
  </si>
  <si>
    <t>Initial Loan</t>
  </si>
  <si>
    <t>Interest Paid</t>
  </si>
  <si>
    <t>Principal Paid</t>
  </si>
  <si>
    <t>Final Pay off</t>
  </si>
  <si>
    <t>Levered/Unlevered Beta</t>
  </si>
  <si>
    <t>Bankruptcy Payoff</t>
  </si>
  <si>
    <t>Income Statement</t>
  </si>
  <si>
    <t>Change for more optimistic with Option to buy</t>
  </si>
  <si>
    <t>Total New Battery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</si>
</sst>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_);_(\$* \(#,##0\);_(\$* \-??_);_(@_)"/>
    <numFmt numFmtId="165" formatCode="0.0%"/>
    <numFmt numFmtId="166" formatCode="_(* #,##0_);_(* \(#,##0\);_(* &quot;-&quot;??_);_(@_)"/>
    <numFmt numFmtId="167" formatCode="_(* #,##0_);_(* \(#,##0\);_(* \-??_);_(@_)"/>
    <numFmt numFmtId="168" formatCode="_(&quot;$&quot;* #,##0_);_(&quot;$&quot;* \(#,##0\);_(&quot;$&quot;* &quot;-&quot;??_);_(@_)"/>
    <numFmt numFmtId="169" formatCode="0.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</font>
    <font>
      <b/>
      <sz val="12"/>
      <color theme="0"/>
      <name val="Calibri"/>
      <family val="2"/>
    </font>
    <font>
      <b/>
      <sz val="12"/>
      <color theme="0"/>
      <name val="Calibri"/>
      <family val="2"/>
      <charset val="1"/>
    </font>
    <font>
      <b/>
      <sz val="11"/>
      <color theme="0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u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4" tint="-0.249977111117893"/>
        <bgColor indexed="22"/>
      </patternFill>
    </fill>
    <fill>
      <patternFill patternType="solid">
        <fgColor rgb="FF92D0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thin">
        <color auto="1"/>
      </right>
      <top/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628">
    <xf numFmtId="0" fontId="0" fillId="0" borderId="0" xfId="0"/>
    <xf numFmtId="0" fontId="4" fillId="2" borderId="0" xfId="4" applyFont="1" applyFill="1"/>
    <xf numFmtId="0" fontId="3" fillId="2" borderId="0" xfId="4" applyFill="1"/>
    <xf numFmtId="0" fontId="3" fillId="2" borderId="1" xfId="4" applyFill="1" applyBorder="1"/>
    <xf numFmtId="0" fontId="3" fillId="0" borderId="0" xfId="4"/>
    <xf numFmtId="0" fontId="3" fillId="2" borderId="2" xfId="4" applyFill="1" applyBorder="1"/>
    <xf numFmtId="0" fontId="3" fillId="2" borderId="4" xfId="4" applyFill="1" applyBorder="1"/>
    <xf numFmtId="0" fontId="3" fillId="2" borderId="0" xfId="4" applyFill="1" applyBorder="1"/>
    <xf numFmtId="43" fontId="3" fillId="2" borderId="4" xfId="4" applyNumberFormat="1" applyFill="1" applyBorder="1"/>
    <xf numFmtId="0" fontId="4" fillId="2" borderId="0" xfId="4" applyFont="1" applyFill="1" applyBorder="1"/>
    <xf numFmtId="43" fontId="3" fillId="2" borderId="1" xfId="4" applyNumberFormat="1" applyFill="1" applyBorder="1"/>
    <xf numFmtId="9" fontId="1" fillId="2" borderId="1" xfId="3" applyFill="1" applyBorder="1"/>
    <xf numFmtId="0" fontId="3" fillId="2" borderId="4" xfId="4" applyNumberFormat="1" applyFill="1" applyBorder="1"/>
    <xf numFmtId="0" fontId="3" fillId="2" borderId="1" xfId="4" applyNumberFormat="1" applyFill="1" applyBorder="1"/>
    <xf numFmtId="0" fontId="5" fillId="4" borderId="1" xfId="4" applyFont="1" applyFill="1" applyBorder="1"/>
    <xf numFmtId="165" fontId="6" fillId="0" borderId="0" xfId="3" applyNumberFormat="1" applyFont="1" applyFill="1" applyBorder="1" applyAlignment="1" applyProtection="1"/>
    <xf numFmtId="0" fontId="4" fillId="5" borderId="0" xfId="4" applyFont="1" applyFill="1"/>
    <xf numFmtId="0" fontId="3" fillId="5" borderId="0" xfId="4" applyFont="1" applyFill="1"/>
    <xf numFmtId="164" fontId="3" fillId="5" borderId="0" xfId="2" applyNumberFormat="1" applyFont="1" applyFill="1"/>
    <xf numFmtId="0" fontId="3" fillId="6" borderId="0" xfId="4" applyFill="1"/>
    <xf numFmtId="166" fontId="3" fillId="7" borderId="1" xfId="2" applyNumberFormat="1" applyFont="1" applyFill="1" applyBorder="1"/>
    <xf numFmtId="164" fontId="3" fillId="7" borderId="1" xfId="2" applyNumberFormat="1" applyFont="1" applyFill="1" applyBorder="1"/>
    <xf numFmtId="164" fontId="7" fillId="4" borderId="0" xfId="2" applyNumberFormat="1" applyFont="1" applyFill="1"/>
    <xf numFmtId="0" fontId="9" fillId="0" borderId="0" xfId="4" applyFont="1"/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68" fontId="0" fillId="0" borderId="10" xfId="2" applyNumberFormat="1" applyFont="1" applyBorder="1"/>
    <xf numFmtId="8" fontId="0" fillId="0" borderId="0" xfId="0" applyNumberFormat="1"/>
    <xf numFmtId="0" fontId="2" fillId="0" borderId="11" xfId="0" applyFont="1" applyBorder="1" applyAlignment="1">
      <alignment horizontal="left"/>
    </xf>
    <xf numFmtId="10" fontId="0" fillId="0" borderId="12" xfId="3" applyNumberFormat="1" applyFont="1" applyBorder="1"/>
    <xf numFmtId="0" fontId="2" fillId="0" borderId="13" xfId="0" applyFont="1" applyBorder="1" applyAlignment="1">
      <alignment horizontal="left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9" borderId="0" xfId="0" applyFill="1" applyAlignment="1">
      <alignment horizontal="center"/>
    </xf>
    <xf numFmtId="8" fontId="0" fillId="9" borderId="0" xfId="0" applyNumberFormat="1" applyFill="1"/>
    <xf numFmtId="0" fontId="0" fillId="2" borderId="0" xfId="0" applyFill="1" applyAlignment="1">
      <alignment horizontal="center"/>
    </xf>
    <xf numFmtId="8" fontId="0" fillId="2" borderId="0" xfId="0" applyNumberFormat="1" applyFill="1"/>
    <xf numFmtId="0" fontId="0" fillId="10" borderId="0" xfId="0" applyFill="1" applyAlignment="1">
      <alignment horizontal="center"/>
    </xf>
    <xf numFmtId="8" fontId="0" fillId="10" borderId="0" xfId="0" applyNumberFormat="1" applyFill="1"/>
    <xf numFmtId="0" fontId="0" fillId="11" borderId="0" xfId="0" applyFill="1" applyAlignment="1">
      <alignment horizontal="center"/>
    </xf>
    <xf numFmtId="8" fontId="0" fillId="11" borderId="0" xfId="0" applyNumberFormat="1" applyFill="1"/>
    <xf numFmtId="168" fontId="5" fillId="4" borderId="1" xfId="2" applyNumberFormat="1" applyFont="1" applyFill="1" applyBorder="1"/>
    <xf numFmtId="168" fontId="3" fillId="2" borderId="1" xfId="2" applyNumberFormat="1" applyFont="1" applyFill="1" applyBorder="1"/>
    <xf numFmtId="168" fontId="3" fillId="2" borderId="4" xfId="2" applyNumberFormat="1" applyFont="1" applyFill="1" applyBorder="1"/>
    <xf numFmtId="168" fontId="1" fillId="2" borderId="1" xfId="2" applyNumberFormat="1" applyFill="1" applyBorder="1"/>
    <xf numFmtId="168" fontId="3" fillId="5" borderId="1" xfId="2" applyNumberFormat="1" applyFont="1" applyFill="1" applyBorder="1"/>
    <xf numFmtId="168" fontId="3" fillId="7" borderId="1" xfId="2" applyNumberFormat="1" applyFont="1" applyFill="1" applyBorder="1"/>
    <xf numFmtId="168" fontId="0" fillId="0" borderId="0" xfId="2" applyNumberFormat="1" applyFont="1"/>
    <xf numFmtId="0" fontId="3" fillId="2" borderId="1" xfId="2" applyNumberFormat="1" applyFont="1" applyFill="1" applyBorder="1"/>
    <xf numFmtId="0" fontId="1" fillId="2" borderId="1" xfId="2" applyNumberFormat="1" applyFill="1" applyBorder="1"/>
    <xf numFmtId="1" fontId="3" fillId="2" borderId="4" xfId="4" applyNumberFormat="1" applyFill="1" applyBorder="1"/>
    <xf numFmtId="0" fontId="0" fillId="12" borderId="0" xfId="0" applyFill="1" applyAlignment="1">
      <alignment horizontal="center"/>
    </xf>
    <xf numFmtId="8" fontId="0" fillId="12" borderId="0" xfId="0" applyNumberFormat="1" applyFill="1"/>
    <xf numFmtId="0" fontId="0" fillId="13" borderId="0" xfId="0" applyFill="1" applyAlignment="1">
      <alignment horizontal="center"/>
    </xf>
    <xf numFmtId="8" fontId="0" fillId="13" borderId="0" xfId="0" applyNumberFormat="1" applyFill="1"/>
    <xf numFmtId="0" fontId="0" fillId="14" borderId="0" xfId="0" applyFill="1" applyAlignment="1">
      <alignment horizontal="center"/>
    </xf>
    <xf numFmtId="8" fontId="0" fillId="14" borderId="0" xfId="0" applyNumberFormat="1" applyFill="1"/>
    <xf numFmtId="0" fontId="0" fillId="8" borderId="0" xfId="0" applyFill="1" applyAlignment="1">
      <alignment horizontal="center"/>
    </xf>
    <xf numFmtId="8" fontId="0" fillId="8" borderId="0" xfId="0" applyNumberFormat="1" applyFill="1"/>
    <xf numFmtId="0" fontId="3" fillId="8" borderId="1" xfId="4" applyFill="1" applyBorder="1"/>
    <xf numFmtId="168" fontId="3" fillId="3" borderId="1" xfId="2" applyNumberFormat="1" applyFont="1" applyFill="1" applyBorder="1"/>
    <xf numFmtId="164" fontId="3" fillId="3" borderId="1" xfId="2" applyNumberFormat="1" applyFont="1" applyFill="1" applyBorder="1"/>
    <xf numFmtId="166" fontId="3" fillId="3" borderId="1" xfId="2" applyNumberFormat="1" applyFont="1" applyFill="1" applyBorder="1"/>
    <xf numFmtId="0" fontId="3" fillId="7" borderId="0" xfId="4" applyFont="1" applyFill="1"/>
    <xf numFmtId="0" fontId="3" fillId="7" borderId="1" xfId="4" applyFont="1" applyFill="1" applyBorder="1"/>
    <xf numFmtId="164" fontId="3" fillId="7" borderId="0" xfId="2" applyNumberFormat="1" applyFont="1" applyFill="1"/>
    <xf numFmtId="0" fontId="3" fillId="3" borderId="0" xfId="4" applyFont="1" applyFill="1"/>
    <xf numFmtId="164" fontId="3" fillId="3" borderId="0" xfId="2" applyNumberFormat="1" applyFont="1" applyFill="1"/>
    <xf numFmtId="0" fontId="3" fillId="3" borderId="0" xfId="4" applyFont="1" applyFill="1" applyAlignment="1">
      <alignment horizontal="left" indent="1"/>
    </xf>
    <xf numFmtId="0" fontId="3" fillId="3" borderId="0" xfId="4" applyFont="1" applyFill="1" applyAlignment="1">
      <alignment horizontal="left" indent="3"/>
    </xf>
    <xf numFmtId="168" fontId="3" fillId="3" borderId="5" xfId="2" applyNumberFormat="1" applyFont="1" applyFill="1" applyBorder="1"/>
    <xf numFmtId="164" fontId="3" fillId="3" borderId="5" xfId="2" applyNumberFormat="1" applyFont="1" applyFill="1" applyBorder="1"/>
    <xf numFmtId="0" fontId="4" fillId="3" borderId="2" xfId="4" applyFont="1" applyFill="1" applyBorder="1"/>
    <xf numFmtId="164" fontId="4" fillId="3" borderId="2" xfId="2" applyNumberFormat="1" applyFont="1" applyFill="1" applyBorder="1"/>
    <xf numFmtId="168" fontId="4" fillId="3" borderId="3" xfId="2" applyNumberFormat="1" applyFont="1" applyFill="1" applyBorder="1"/>
    <xf numFmtId="164" fontId="4" fillId="3" borderId="3" xfId="2" applyNumberFormat="1" applyFont="1" applyFill="1" applyBorder="1"/>
    <xf numFmtId="168" fontId="3" fillId="3" borderId="4" xfId="2" applyNumberFormat="1" applyFont="1" applyFill="1" applyBorder="1"/>
    <xf numFmtId="164" fontId="3" fillId="3" borderId="4" xfId="2" applyNumberFormat="1" applyFont="1" applyFill="1" applyBorder="1"/>
    <xf numFmtId="164" fontId="3" fillId="2" borderId="4" xfId="4" applyNumberFormat="1" applyFill="1" applyBorder="1"/>
    <xf numFmtId="0" fontId="9" fillId="4" borderId="0" xfId="4" applyFont="1" applyFill="1"/>
    <xf numFmtId="0" fontId="3" fillId="4" borderId="0" xfId="4" applyFill="1"/>
    <xf numFmtId="0" fontId="0" fillId="15" borderId="0" xfId="0" applyFill="1"/>
    <xf numFmtId="0" fontId="3" fillId="16" borderId="0" xfId="4" applyFill="1"/>
    <xf numFmtId="0" fontId="3" fillId="16" borderId="1" xfId="4" applyFill="1" applyBorder="1"/>
    <xf numFmtId="168" fontId="3" fillId="16" borderId="1" xfId="2" applyNumberFormat="1" applyFont="1" applyFill="1" applyBorder="1"/>
    <xf numFmtId="0" fontId="3" fillId="10" borderId="1" xfId="4" applyFill="1" applyBorder="1"/>
    <xf numFmtId="0" fontId="9" fillId="16" borderId="0" xfId="4" applyFont="1" applyFill="1"/>
    <xf numFmtId="164" fontId="3" fillId="16" borderId="1" xfId="4" applyNumberFormat="1" applyFill="1" applyBorder="1"/>
    <xf numFmtId="166" fontId="3" fillId="16" borderId="1" xfId="4" applyNumberFormat="1" applyFill="1" applyBorder="1"/>
    <xf numFmtId="167" fontId="1" fillId="10" borderId="1" xfId="1" applyNumberFormat="1" applyFill="1" applyBorder="1"/>
    <xf numFmtId="168" fontId="1" fillId="10" borderId="1" xfId="2" applyNumberFormat="1" applyFill="1" applyBorder="1"/>
    <xf numFmtId="43" fontId="3" fillId="16" borderId="1" xfId="4" applyNumberFormat="1" applyFill="1" applyBorder="1"/>
    <xf numFmtId="6" fontId="3" fillId="10" borderId="1" xfId="4" applyNumberFormat="1" applyFill="1" applyBorder="1"/>
    <xf numFmtId="9" fontId="1" fillId="10" borderId="1" xfId="3" applyFill="1" applyBorder="1"/>
    <xf numFmtId="167" fontId="3" fillId="16" borderId="1" xfId="4" applyNumberFormat="1" applyFill="1" applyBorder="1"/>
    <xf numFmtId="0" fontId="3" fillId="5" borderId="0" xfId="4" applyFont="1" applyFill="1" applyAlignment="1">
      <alignment horizontal="left" indent="1"/>
    </xf>
    <xf numFmtId="164" fontId="3" fillId="5" borderId="1" xfId="2" applyNumberFormat="1" applyFont="1" applyFill="1" applyBorder="1"/>
    <xf numFmtId="9" fontId="1" fillId="0" borderId="0" xfId="3" applyFill="1" applyAlignment="1">
      <alignment horizontal="center"/>
    </xf>
    <xf numFmtId="0" fontId="3" fillId="2" borderId="17" xfId="4" applyFill="1" applyBorder="1"/>
    <xf numFmtId="0" fontId="3" fillId="3" borderId="17" xfId="4" applyFont="1" applyFill="1" applyBorder="1"/>
    <xf numFmtId="0" fontId="3" fillId="3" borderId="16" xfId="4" applyFont="1" applyFill="1" applyBorder="1"/>
    <xf numFmtId="44" fontId="3" fillId="6" borderId="1" xfId="2" applyFont="1" applyFill="1" applyBorder="1"/>
    <xf numFmtId="168" fontId="3" fillId="6" borderId="1" xfId="2" applyNumberFormat="1" applyFont="1" applyFill="1" applyBorder="1"/>
    <xf numFmtId="6" fontId="3" fillId="2" borderId="1" xfId="4" applyNumberFormat="1" applyFill="1" applyBorder="1"/>
    <xf numFmtId="44" fontId="3" fillId="2" borderId="1" xfId="2" applyNumberFormat="1" applyFont="1" applyFill="1" applyBorder="1"/>
    <xf numFmtId="44" fontId="3" fillId="3" borderId="1" xfId="2" applyNumberFormat="1" applyFont="1" applyFill="1" applyBorder="1"/>
    <xf numFmtId="0" fontId="3" fillId="3" borderId="18" xfId="4" applyFont="1" applyFill="1" applyBorder="1" applyAlignment="1">
      <alignment horizontal="left" indent="1"/>
    </xf>
    <xf numFmtId="0" fontId="3" fillId="3" borderId="18" xfId="4" applyFont="1" applyFill="1" applyBorder="1"/>
    <xf numFmtId="164" fontId="3" fillId="3" borderId="19" xfId="2" applyNumberFormat="1" applyFont="1" applyFill="1" applyBorder="1"/>
    <xf numFmtId="168" fontId="3" fillId="3" borderId="20" xfId="2" applyNumberFormat="1" applyFont="1" applyFill="1" applyBorder="1"/>
    <xf numFmtId="168" fontId="3" fillId="2" borderId="5" xfId="2" applyNumberFormat="1" applyFont="1" applyFill="1" applyBorder="1"/>
    <xf numFmtId="0" fontId="3" fillId="2" borderId="15" xfId="4" applyFill="1" applyBorder="1"/>
    <xf numFmtId="168" fontId="3" fillId="17" borderId="15" xfId="2" applyNumberFormat="1" applyFont="1" applyFill="1" applyBorder="1"/>
    <xf numFmtId="0" fontId="3" fillId="2" borderId="5" xfId="2" applyNumberFormat="1" applyFont="1" applyFill="1" applyBorder="1"/>
    <xf numFmtId="1" fontId="3" fillId="2" borderId="5" xfId="2" applyNumberFormat="1" applyFont="1" applyFill="1" applyBorder="1"/>
    <xf numFmtId="168" fontId="3" fillId="17" borderId="21" xfId="2" applyNumberFormat="1" applyFont="1" applyFill="1" applyBorder="1"/>
    <xf numFmtId="168" fontId="3" fillId="17" borderId="22" xfId="2" applyNumberFormat="1" applyFont="1" applyFill="1" applyBorder="1"/>
    <xf numFmtId="168" fontId="3" fillId="18" borderId="21" xfId="2" applyNumberFormat="1" applyFont="1" applyFill="1" applyBorder="1"/>
    <xf numFmtId="168" fontId="3" fillId="18" borderId="23" xfId="2" applyNumberFormat="1" applyFont="1" applyFill="1" applyBorder="1"/>
    <xf numFmtId="168" fontId="3" fillId="18" borderId="15" xfId="2" applyNumberFormat="1" applyFont="1" applyFill="1" applyBorder="1"/>
    <xf numFmtId="0" fontId="3" fillId="2" borderId="4" xfId="2" applyNumberFormat="1" applyFont="1" applyFill="1" applyBorder="1"/>
    <xf numFmtId="44" fontId="11" fillId="0" borderId="0" xfId="2" applyFont="1" applyFill="1" applyAlignment="1">
      <alignment horizontal="center"/>
    </xf>
    <xf numFmtId="44" fontId="3" fillId="16" borderId="1" xfId="2" applyNumberFormat="1" applyFont="1" applyFill="1" applyBorder="1"/>
    <xf numFmtId="1" fontId="3" fillId="16" borderId="1" xfId="4" applyNumberFormat="1" applyFill="1" applyBorder="1"/>
    <xf numFmtId="1" fontId="3" fillId="16" borderId="1" xfId="2" applyNumberFormat="1" applyFont="1" applyFill="1" applyBorder="1"/>
    <xf numFmtId="168" fontId="3" fillId="16" borderId="28" xfId="2" applyNumberFormat="1" applyFont="1" applyFill="1" applyBorder="1"/>
    <xf numFmtId="164" fontId="3" fillId="16" borderId="28" xfId="4" applyNumberFormat="1" applyFill="1" applyBorder="1"/>
    <xf numFmtId="0" fontId="0" fillId="0" borderId="0" xfId="0" applyFill="1"/>
    <xf numFmtId="9" fontId="0" fillId="0" borderId="0" xfId="3" applyFont="1" applyFill="1" applyAlignment="1">
      <alignment horizontal="center"/>
    </xf>
    <xf numFmtId="0" fontId="3" fillId="0" borderId="0" xfId="4" applyFill="1"/>
    <xf numFmtId="9" fontId="3" fillId="0" borderId="0" xfId="3" applyFont="1" applyFill="1"/>
    <xf numFmtId="9" fontId="3" fillId="0" borderId="0" xfId="3" applyFont="1" applyFill="1" applyAlignment="1">
      <alignment horizontal="center"/>
    </xf>
    <xf numFmtId="9" fontId="3" fillId="0" borderId="0" xfId="4" applyNumberFormat="1" applyFill="1"/>
    <xf numFmtId="0" fontId="3" fillId="0" borderId="0" xfId="4" applyFont="1" applyFill="1"/>
    <xf numFmtId="2" fontId="3" fillId="0" borderId="0" xfId="4" applyNumberFormat="1" applyFont="1" applyFill="1"/>
    <xf numFmtId="165" fontId="3" fillId="0" borderId="0" xfId="4" applyNumberFormat="1" applyFont="1" applyFill="1"/>
    <xf numFmtId="9" fontId="8" fillId="0" borderId="0" xfId="3" applyFont="1" applyFill="1" applyAlignment="1">
      <alignment horizontal="center"/>
    </xf>
    <xf numFmtId="0" fontId="9" fillId="0" borderId="0" xfId="4" applyFont="1" applyFill="1"/>
    <xf numFmtId="167" fontId="1" fillId="0" borderId="0" xfId="3" applyNumberFormat="1" applyFill="1" applyAlignment="1">
      <alignment horizontal="center"/>
    </xf>
    <xf numFmtId="0" fontId="4" fillId="0" borderId="0" xfId="4" applyFont="1" applyFill="1"/>
    <xf numFmtId="0" fontId="4" fillId="0" borderId="24" xfId="4" applyFont="1" applyFill="1" applyBorder="1"/>
    <xf numFmtId="164" fontId="4" fillId="0" borderId="25" xfId="4" applyNumberFormat="1" applyFont="1" applyFill="1" applyBorder="1"/>
    <xf numFmtId="0" fontId="4" fillId="0" borderId="26" xfId="4" applyFont="1" applyFill="1" applyBorder="1"/>
    <xf numFmtId="9" fontId="4" fillId="0" borderId="27" xfId="4" applyNumberFormat="1" applyFont="1" applyFill="1" applyBorder="1"/>
    <xf numFmtId="43" fontId="4" fillId="0" borderId="25" xfId="4" applyNumberFormat="1" applyFont="1" applyFill="1" applyBorder="1"/>
    <xf numFmtId="43" fontId="4" fillId="0" borderId="27" xfId="4" applyNumberFormat="1" applyFont="1" applyFill="1" applyBorder="1"/>
    <xf numFmtId="164" fontId="3" fillId="0" borderId="0" xfId="4" applyNumberFormat="1" applyFill="1"/>
    <xf numFmtId="165" fontId="3" fillId="0" borderId="0" xfId="3" applyNumberFormat="1" applyFont="1" applyFill="1"/>
    <xf numFmtId="10" fontId="3" fillId="0" borderId="0" xfId="3" applyNumberFormat="1" applyFont="1" applyFill="1"/>
    <xf numFmtId="166" fontId="3" fillId="2" borderId="1" xfId="1" applyNumberFormat="1" applyFont="1" applyFill="1" applyBorder="1"/>
    <xf numFmtId="0" fontId="13" fillId="4" borderId="1" xfId="4" applyFont="1" applyFill="1" applyBorder="1"/>
    <xf numFmtId="168" fontId="13" fillId="4" borderId="1" xfId="2" applyNumberFormat="1" applyFont="1" applyFill="1" applyBorder="1"/>
    <xf numFmtId="0" fontId="13" fillId="15" borderId="1" xfId="4" applyFont="1" applyFill="1" applyBorder="1"/>
    <xf numFmtId="0" fontId="14" fillId="4" borderId="1" xfId="4" applyFont="1" applyFill="1" applyBorder="1"/>
    <xf numFmtId="0" fontId="14" fillId="3" borderId="6" xfId="4" applyFont="1" applyFill="1" applyBorder="1"/>
    <xf numFmtId="0" fontId="14" fillId="4" borderId="1" xfId="2" applyNumberFormat="1" applyFont="1" applyFill="1" applyBorder="1"/>
    <xf numFmtId="0" fontId="14" fillId="4" borderId="0" xfId="4" applyFont="1" applyFill="1"/>
    <xf numFmtId="168" fontId="14" fillId="4" borderId="1" xfId="2" applyNumberFormat="1" applyFont="1" applyFill="1" applyBorder="1"/>
    <xf numFmtId="0" fontId="3" fillId="10" borderId="28" xfId="4" applyFill="1" applyBorder="1"/>
    <xf numFmtId="0" fontId="15" fillId="4" borderId="0" xfId="4" applyFont="1" applyFill="1"/>
    <xf numFmtId="0" fontId="16" fillId="15" borderId="0" xfId="4" applyFont="1" applyFill="1"/>
    <xf numFmtId="0" fontId="16" fillId="0" borderId="0" xfId="4" applyFont="1"/>
    <xf numFmtId="0" fontId="16" fillId="15" borderId="18" xfId="4" applyFont="1" applyFill="1" applyBorder="1"/>
    <xf numFmtId="0" fontId="12" fillId="0" borderId="0" xfId="0" applyFont="1"/>
    <xf numFmtId="0" fontId="3" fillId="16" borderId="0" xfId="4" applyFill="1" applyAlignment="1">
      <alignment horizontal="left" indent="2"/>
    </xf>
    <xf numFmtId="168" fontId="3" fillId="16" borderId="1" xfId="4" applyNumberFormat="1" applyFill="1" applyBorder="1"/>
    <xf numFmtId="0" fontId="4" fillId="0" borderId="26" xfId="4" applyFont="1" applyFill="1" applyBorder="1" applyAlignment="1">
      <alignment wrapText="1"/>
    </xf>
    <xf numFmtId="0" fontId="4" fillId="0" borderId="31" xfId="4" applyFont="1" applyFill="1" applyBorder="1"/>
    <xf numFmtId="168" fontId="4" fillId="0" borderId="32" xfId="4" applyNumberFormat="1" applyFont="1" applyFill="1" applyBorder="1"/>
    <xf numFmtId="0" fontId="4" fillId="0" borderId="7" xfId="4" applyFont="1" applyFill="1" applyBorder="1"/>
    <xf numFmtId="43" fontId="4" fillId="0" borderId="8" xfId="4" applyNumberFormat="1" applyFont="1" applyFill="1" applyBorder="1"/>
    <xf numFmtId="0" fontId="3" fillId="16" borderId="0" xfId="4" applyFill="1" applyAlignment="1">
      <alignment horizontal="left" vertical="center" indent="2"/>
    </xf>
    <xf numFmtId="164" fontId="3" fillId="0" borderId="0" xfId="2" applyNumberFormat="1" applyFont="1" applyFill="1" applyBorder="1" applyAlignment="1" applyProtection="1"/>
    <xf numFmtId="9" fontId="1" fillId="0" borderId="0" xfId="3"/>
    <xf numFmtId="0" fontId="14" fillId="0" borderId="0" xfId="4" applyFont="1" applyFill="1" applyBorder="1"/>
    <xf numFmtId="0" fontId="5" fillId="0" borderId="0" xfId="4" applyFont="1" applyFill="1" applyBorder="1"/>
    <xf numFmtId="0" fontId="3" fillId="0" borderId="0" xfId="4" applyFill="1" applyBorder="1"/>
    <xf numFmtId="166" fontId="3" fillId="0" borderId="0" xfId="1" applyNumberFormat="1" applyFont="1" applyFill="1" applyBorder="1"/>
    <xf numFmtId="168" fontId="3" fillId="0" borderId="0" xfId="2" applyNumberFormat="1" applyFont="1" applyFill="1" applyBorder="1"/>
    <xf numFmtId="44" fontId="3" fillId="0" borderId="0" xfId="2" applyNumberFormat="1" applyFont="1" applyFill="1" applyBorder="1"/>
    <xf numFmtId="1" fontId="3" fillId="0" borderId="0" xfId="2" applyNumberFormat="1" applyFont="1" applyFill="1" applyBorder="1"/>
    <xf numFmtId="0" fontId="3" fillId="0" borderId="0" xfId="2" applyNumberFormat="1" applyFont="1" applyFill="1" applyBorder="1"/>
    <xf numFmtId="43" fontId="3" fillId="0" borderId="0" xfId="4" applyNumberFormat="1" applyFill="1" applyBorder="1"/>
    <xf numFmtId="1" fontId="3" fillId="0" borderId="0" xfId="4" applyNumberFormat="1" applyFill="1" applyBorder="1"/>
    <xf numFmtId="0" fontId="3" fillId="0" borderId="0" xfId="4" applyNumberFormat="1" applyFill="1" applyBorder="1"/>
    <xf numFmtId="0" fontId="3" fillId="0" borderId="0" xfId="4" applyFont="1" applyFill="1" applyBorder="1"/>
    <xf numFmtId="164" fontId="3" fillId="0" borderId="0" xfId="2" applyNumberFormat="1" applyFont="1" applyFill="1" applyBorder="1"/>
    <xf numFmtId="43" fontId="3" fillId="0" borderId="0" xfId="2" applyNumberFormat="1" applyFont="1" applyFill="1" applyBorder="1"/>
    <xf numFmtId="166" fontId="3" fillId="0" borderId="0" xfId="2" applyNumberFormat="1" applyFont="1" applyFill="1" applyBorder="1"/>
    <xf numFmtId="164" fontId="7" fillId="0" borderId="0" xfId="2" applyNumberFormat="1" applyFont="1" applyFill="1"/>
    <xf numFmtId="6" fontId="3" fillId="0" borderId="0" xfId="4" applyNumberFormat="1" applyFill="1" applyBorder="1"/>
    <xf numFmtId="164" fontId="3" fillId="0" borderId="0" xfId="4" applyNumberFormat="1" applyFill="1" applyBorder="1"/>
    <xf numFmtId="166" fontId="3" fillId="0" borderId="0" xfId="4" applyNumberFormat="1" applyFill="1" applyBorder="1"/>
    <xf numFmtId="168" fontId="1" fillId="0" borderId="0" xfId="2" applyNumberFormat="1" applyFill="1" applyBorder="1"/>
    <xf numFmtId="167" fontId="1" fillId="0" borderId="0" xfId="1" applyNumberFormat="1" applyFill="1" applyBorder="1"/>
    <xf numFmtId="168" fontId="17" fillId="0" borderId="0" xfId="2" applyNumberFormat="1" applyFont="1" applyFill="1" applyBorder="1"/>
    <xf numFmtId="6" fontId="3" fillId="16" borderId="1" xfId="4" applyNumberFormat="1" applyFill="1" applyBorder="1"/>
    <xf numFmtId="10" fontId="3" fillId="16" borderId="5" xfId="4" applyNumberFormat="1" applyFill="1" applyBorder="1"/>
    <xf numFmtId="168" fontId="3" fillId="16" borderId="5" xfId="2" applyNumberFormat="1" applyFont="1" applyFill="1" applyBorder="1"/>
    <xf numFmtId="0" fontId="3" fillId="16" borderId="5" xfId="4" applyFill="1" applyBorder="1"/>
    <xf numFmtId="0" fontId="3" fillId="10" borderId="5" xfId="4" applyFill="1" applyBorder="1"/>
    <xf numFmtId="0" fontId="0" fillId="10" borderId="1" xfId="0" applyFill="1" applyBorder="1"/>
    <xf numFmtId="6" fontId="0" fillId="10" borderId="1" xfId="0" applyNumberFormat="1" applyFill="1" applyBorder="1"/>
    <xf numFmtId="168" fontId="0" fillId="10" borderId="1" xfId="2" applyNumberFormat="1" applyFont="1" applyFill="1" applyBorder="1"/>
    <xf numFmtId="0" fontId="3" fillId="0" borderId="6" xfId="4" applyFill="1" applyBorder="1"/>
    <xf numFmtId="0" fontId="9" fillId="16" borderId="0" xfId="4" applyFont="1" applyFill="1" applyBorder="1"/>
    <xf numFmtId="0" fontId="0" fillId="10" borderId="0" xfId="0" applyFill="1" applyBorder="1"/>
    <xf numFmtId="0" fontId="3" fillId="2" borderId="33" xfId="4" applyFill="1" applyBorder="1"/>
    <xf numFmtId="6" fontId="3" fillId="2" borderId="28" xfId="4" applyNumberFormat="1" applyFill="1" applyBorder="1"/>
    <xf numFmtId="44" fontId="3" fillId="6" borderId="28" xfId="2" applyFont="1" applyFill="1" applyBorder="1"/>
    <xf numFmtId="168" fontId="3" fillId="3" borderId="28" xfId="2" applyNumberFormat="1" applyFont="1" applyFill="1" applyBorder="1"/>
    <xf numFmtId="164" fontId="3" fillId="3" borderId="28" xfId="2" applyNumberFormat="1" applyFont="1" applyFill="1" applyBorder="1"/>
    <xf numFmtId="0" fontId="3" fillId="2" borderId="28" xfId="4" applyFill="1" applyBorder="1"/>
    <xf numFmtId="164" fontId="4" fillId="3" borderId="34" xfId="2" applyNumberFormat="1" applyFont="1" applyFill="1" applyBorder="1"/>
    <xf numFmtId="164" fontId="3" fillId="2" borderId="33" xfId="4" applyNumberFormat="1" applyFill="1" applyBorder="1"/>
    <xf numFmtId="0" fontId="13" fillId="4" borderId="28" xfId="4" applyFont="1" applyFill="1" applyBorder="1"/>
    <xf numFmtId="164" fontId="4" fillId="11" borderId="35" xfId="2" applyNumberFormat="1" applyFont="1" applyFill="1" applyBorder="1" applyAlignment="1" applyProtection="1"/>
    <xf numFmtId="0" fontId="4" fillId="11" borderId="35" xfId="4" applyFont="1" applyFill="1" applyBorder="1"/>
    <xf numFmtId="9" fontId="4" fillId="11" borderId="35" xfId="4" applyNumberFormat="1" applyFont="1" applyFill="1" applyBorder="1"/>
    <xf numFmtId="164" fontId="4" fillId="11" borderId="31" xfId="2" applyNumberFormat="1" applyFont="1" applyFill="1" applyBorder="1"/>
    <xf numFmtId="0" fontId="4" fillId="11" borderId="24" xfId="4" applyFont="1" applyFill="1" applyBorder="1"/>
    <xf numFmtId="0" fontId="4" fillId="11" borderId="25" xfId="4" applyFont="1" applyFill="1" applyBorder="1"/>
    <xf numFmtId="6" fontId="4" fillId="11" borderId="31" xfId="4" applyNumberFormat="1" applyFont="1" applyFill="1" applyBorder="1"/>
    <xf numFmtId="168" fontId="4" fillId="11" borderId="0" xfId="4" applyNumberFormat="1" applyFont="1" applyFill="1" applyBorder="1"/>
    <xf numFmtId="10" fontId="4" fillId="11" borderId="0" xfId="3" applyNumberFormat="1" applyFont="1" applyFill="1" applyBorder="1"/>
    <xf numFmtId="9" fontId="4" fillId="11" borderId="0" xfId="4" applyNumberFormat="1" applyFont="1" applyFill="1" applyBorder="1"/>
    <xf numFmtId="10" fontId="4" fillId="11" borderId="0" xfId="4" applyNumberFormat="1" applyFont="1" applyFill="1" applyBorder="1"/>
    <xf numFmtId="0" fontId="4" fillId="11" borderId="32" xfId="4" applyFont="1" applyFill="1" applyBorder="1"/>
    <xf numFmtId="44" fontId="4" fillId="11" borderId="31" xfId="2" applyFont="1" applyFill="1" applyBorder="1"/>
    <xf numFmtId="168" fontId="4" fillId="11" borderId="31" xfId="2" applyNumberFormat="1" applyFont="1" applyFill="1" applyBorder="1"/>
    <xf numFmtId="10" fontId="4" fillId="11" borderId="15" xfId="4" applyNumberFormat="1" applyFont="1" applyFill="1" applyBorder="1"/>
    <xf numFmtId="0" fontId="4" fillId="11" borderId="0" xfId="4" applyFont="1" applyFill="1" applyBorder="1"/>
    <xf numFmtId="0" fontId="4" fillId="11" borderId="31" xfId="4" applyFont="1" applyFill="1" applyBorder="1"/>
    <xf numFmtId="169" fontId="17" fillId="11" borderId="15" xfId="4" applyNumberFormat="1" applyFont="1" applyFill="1" applyBorder="1"/>
    <xf numFmtId="0" fontId="17" fillId="11" borderId="8" xfId="4" applyFont="1" applyFill="1" applyBorder="1"/>
    <xf numFmtId="164" fontId="4" fillId="11" borderId="0" xfId="2" applyNumberFormat="1" applyFont="1" applyFill="1" applyBorder="1" applyAlignment="1" applyProtection="1"/>
    <xf numFmtId="164" fontId="4" fillId="11" borderId="31" xfId="4" applyNumberFormat="1" applyFont="1" applyFill="1" applyBorder="1"/>
    <xf numFmtId="0" fontId="16" fillId="11" borderId="31" xfId="4" applyFont="1" applyFill="1" applyBorder="1"/>
    <xf numFmtId="43" fontId="4" fillId="11" borderId="0" xfId="1" applyFont="1" applyFill="1" applyBorder="1"/>
    <xf numFmtId="10" fontId="2" fillId="11" borderId="0" xfId="3" applyNumberFormat="1" applyFont="1" applyFill="1" applyBorder="1"/>
    <xf numFmtId="10" fontId="19" fillId="11" borderId="0" xfId="5" applyNumberFormat="1" applyFont="1" applyFill="1" applyBorder="1"/>
    <xf numFmtId="9" fontId="2" fillId="11" borderId="0" xfId="3" applyFont="1" applyFill="1" applyBorder="1"/>
    <xf numFmtId="10" fontId="4" fillId="11" borderId="8" xfId="4" applyNumberFormat="1" applyFont="1" applyFill="1" applyBorder="1"/>
    <xf numFmtId="164" fontId="4" fillId="11" borderId="26" xfId="4" applyNumberFormat="1" applyFont="1" applyFill="1" applyBorder="1"/>
    <xf numFmtId="164" fontId="4" fillId="11" borderId="17" xfId="2" applyNumberFormat="1" applyFont="1" applyFill="1" applyBorder="1" applyAlignment="1" applyProtection="1"/>
    <xf numFmtId="9" fontId="2" fillId="11" borderId="17" xfId="3" applyFont="1" applyFill="1" applyBorder="1"/>
    <xf numFmtId="0" fontId="4" fillId="11" borderId="17" xfId="4" applyFont="1" applyFill="1" applyBorder="1"/>
    <xf numFmtId="10" fontId="4" fillId="11" borderId="17" xfId="4" applyNumberFormat="1" applyFont="1" applyFill="1" applyBorder="1"/>
    <xf numFmtId="0" fontId="4" fillId="11" borderId="27" xfId="4" applyFont="1" applyFill="1" applyBorder="1"/>
    <xf numFmtId="168" fontId="4" fillId="11" borderId="6" xfId="4" applyNumberFormat="1" applyFont="1" applyFill="1" applyBorder="1"/>
    <xf numFmtId="9" fontId="0" fillId="0" borderId="0" xfId="0" applyNumberFormat="1"/>
    <xf numFmtId="2" fontId="0" fillId="0" borderId="0" xfId="0" applyNumberFormat="1"/>
    <xf numFmtId="10" fontId="0" fillId="0" borderId="0" xfId="0" applyNumberFormat="1"/>
    <xf numFmtId="2" fontId="2" fillId="19" borderId="15" xfId="0" applyNumberFormat="1" applyFont="1" applyFill="1" applyBorder="1"/>
    <xf numFmtId="2" fontId="4" fillId="11" borderId="0" xfId="3" applyNumberFormat="1" applyFont="1" applyFill="1" applyBorder="1"/>
    <xf numFmtId="10" fontId="1" fillId="10" borderId="1" xfId="3" applyNumberFormat="1" applyFill="1" applyBorder="1"/>
    <xf numFmtId="10" fontId="3" fillId="16" borderId="5" xfId="3" applyNumberFormat="1" applyFont="1" applyFill="1" applyBorder="1"/>
    <xf numFmtId="0" fontId="20" fillId="0" borderId="0" xfId="4" applyFont="1" applyFill="1" applyBorder="1"/>
    <xf numFmtId="166" fontId="0" fillId="0" borderId="0" xfId="1" applyNumberFormat="1" applyFont="1"/>
    <xf numFmtId="9" fontId="0" fillId="0" borderId="0" xfId="0" applyNumberFormat="1" applyFill="1"/>
    <xf numFmtId="43" fontId="0" fillId="0" borderId="0" xfId="0" applyNumberFormat="1"/>
    <xf numFmtId="9" fontId="0" fillId="0" borderId="0" xfId="2" applyNumberFormat="1" applyFont="1" applyAlignment="1">
      <alignment horizontal="left"/>
    </xf>
    <xf numFmtId="0" fontId="3" fillId="0" borderId="1" xfId="4" applyFill="1" applyBorder="1"/>
    <xf numFmtId="168" fontId="3" fillId="0" borderId="1" xfId="2" applyNumberFormat="1" applyFont="1" applyFill="1" applyBorder="1"/>
    <xf numFmtId="6" fontId="3" fillId="0" borderId="1" xfId="4" applyNumberFormat="1" applyFill="1" applyBorder="1"/>
    <xf numFmtId="167" fontId="1" fillId="0" borderId="1" xfId="1" applyNumberFormat="1" applyFill="1" applyBorder="1"/>
    <xf numFmtId="1" fontId="3" fillId="0" borderId="1" xfId="4" applyNumberFormat="1" applyFill="1" applyBorder="1"/>
    <xf numFmtId="1" fontId="3" fillId="0" borderId="1" xfId="2" applyNumberFormat="1" applyFont="1" applyFill="1" applyBorder="1"/>
    <xf numFmtId="10" fontId="1" fillId="0" borderId="1" xfId="3" applyNumberFormat="1" applyFill="1" applyBorder="1"/>
    <xf numFmtId="167" fontId="3" fillId="0" borderId="1" xfId="4" applyNumberFormat="1" applyFill="1" applyBorder="1"/>
    <xf numFmtId="0" fontId="17" fillId="0" borderId="0" xfId="4" applyFont="1" applyFill="1" applyBorder="1"/>
    <xf numFmtId="0" fontId="17" fillId="0" borderId="41" xfId="4" applyFont="1" applyFill="1" applyBorder="1"/>
    <xf numFmtId="168" fontId="6" fillId="0" borderId="4" xfId="2" applyNumberFormat="1" applyFont="1" applyFill="1" applyBorder="1"/>
    <xf numFmtId="0" fontId="6" fillId="0" borderId="4" xfId="4" applyFont="1" applyFill="1" applyBorder="1"/>
    <xf numFmtId="0" fontId="6" fillId="0" borderId="1" xfId="4" applyFont="1" applyFill="1" applyBorder="1"/>
    <xf numFmtId="0" fontId="6" fillId="0" borderId="0" xfId="4" applyFont="1" applyFill="1"/>
    <xf numFmtId="0" fontId="6" fillId="0" borderId="4" xfId="2" applyNumberFormat="1" applyFont="1" applyFill="1" applyBorder="1"/>
    <xf numFmtId="167" fontId="0" fillId="0" borderId="1" xfId="1" applyNumberFormat="1" applyFont="1" applyFill="1" applyBorder="1"/>
    <xf numFmtId="165" fontId="21" fillId="0" borderId="0" xfId="3" applyNumberFormat="1" applyFont="1" applyFill="1" applyBorder="1" applyAlignment="1" applyProtection="1"/>
    <xf numFmtId="9" fontId="17" fillId="0" borderId="0" xfId="3" applyFont="1" applyFill="1" applyAlignment="1">
      <alignment horizontal="center"/>
    </xf>
    <xf numFmtId="0" fontId="21" fillId="0" borderId="4" xfId="2" applyNumberFormat="1" applyFont="1" applyFill="1" applyBorder="1"/>
    <xf numFmtId="0" fontId="21" fillId="0" borderId="4" xfId="4" applyFont="1" applyFill="1" applyBorder="1"/>
    <xf numFmtId="0" fontId="21" fillId="0" borderId="1" xfId="4" applyFont="1" applyFill="1" applyBorder="1"/>
    <xf numFmtId="0" fontId="21" fillId="0" borderId="0" xfId="0" applyFont="1" applyFill="1"/>
    <xf numFmtId="0" fontId="17" fillId="0" borderId="0" xfId="4" applyFont="1" applyFill="1"/>
    <xf numFmtId="0" fontId="21" fillId="0" borderId="0" xfId="4" applyFont="1" applyFill="1"/>
    <xf numFmtId="168" fontId="21" fillId="0" borderId="1" xfId="2" applyNumberFormat="1" applyFont="1" applyFill="1" applyBorder="1"/>
    <xf numFmtId="9" fontId="21" fillId="0" borderId="0" xfId="3" applyFont="1" applyFill="1" applyAlignment="1">
      <alignment horizontal="center"/>
    </xf>
    <xf numFmtId="0" fontId="21" fillId="0" borderId="1" xfId="2" applyNumberFormat="1" applyFont="1" applyFill="1" applyBorder="1"/>
    <xf numFmtId="166" fontId="21" fillId="0" borderId="1" xfId="1" applyNumberFormat="1" applyFont="1" applyFill="1" applyBorder="1"/>
    <xf numFmtId="10" fontId="21" fillId="0" borderId="0" xfId="3" applyNumberFormat="1" applyFont="1" applyFill="1"/>
    <xf numFmtId="0" fontId="22" fillId="0" borderId="0" xfId="0" applyFont="1"/>
    <xf numFmtId="168" fontId="21" fillId="0" borderId="5" xfId="2" applyNumberFormat="1" applyFont="1" applyFill="1" applyBorder="1"/>
    <xf numFmtId="165" fontId="21" fillId="0" borderId="0" xfId="3" applyNumberFormat="1" applyFont="1" applyFill="1"/>
    <xf numFmtId="0" fontId="21" fillId="0" borderId="0" xfId="4" applyFont="1" applyFill="1" applyBorder="1"/>
    <xf numFmtId="168" fontId="21" fillId="0" borderId="4" xfId="2" applyNumberFormat="1" applyFont="1" applyFill="1" applyBorder="1"/>
    <xf numFmtId="9" fontId="21" fillId="0" borderId="0" xfId="4" applyNumberFormat="1" applyFont="1" applyFill="1"/>
    <xf numFmtId="44" fontId="21" fillId="0" borderId="1" xfId="2" applyNumberFormat="1" applyFont="1" applyFill="1" applyBorder="1"/>
    <xf numFmtId="9" fontId="21" fillId="0" borderId="0" xfId="3" applyFont="1" applyFill="1"/>
    <xf numFmtId="43" fontId="21" fillId="0" borderId="4" xfId="4" applyNumberFormat="1" applyFont="1" applyFill="1" applyBorder="1"/>
    <xf numFmtId="43" fontId="21" fillId="0" borderId="1" xfId="4" applyNumberFormat="1" applyFont="1" applyFill="1" applyBorder="1"/>
    <xf numFmtId="9" fontId="21" fillId="0" borderId="1" xfId="3" applyFont="1" applyFill="1" applyBorder="1"/>
    <xf numFmtId="0" fontId="21" fillId="0" borderId="4" xfId="4" applyNumberFormat="1" applyFont="1" applyFill="1" applyBorder="1"/>
    <xf numFmtId="1" fontId="21" fillId="0" borderId="4" xfId="4" applyNumberFormat="1" applyFont="1" applyFill="1" applyBorder="1"/>
    <xf numFmtId="164" fontId="21" fillId="0" borderId="1" xfId="2" applyNumberFormat="1" applyFont="1" applyFill="1" applyBorder="1"/>
    <xf numFmtId="2" fontId="21" fillId="0" borderId="0" xfId="4" applyNumberFormat="1" applyFont="1" applyFill="1"/>
    <xf numFmtId="43" fontId="21" fillId="0" borderId="1" xfId="2" applyNumberFormat="1" applyFont="1" applyFill="1" applyBorder="1"/>
    <xf numFmtId="165" fontId="21" fillId="0" borderId="0" xfId="4" applyNumberFormat="1" applyFont="1" applyFill="1"/>
    <xf numFmtId="166" fontId="21" fillId="0" borderId="1" xfId="2" applyNumberFormat="1" applyFont="1" applyFill="1" applyBorder="1"/>
    <xf numFmtId="164" fontId="21" fillId="0" borderId="5" xfId="2" applyNumberFormat="1" applyFont="1" applyFill="1" applyBorder="1"/>
    <xf numFmtId="0" fontId="17" fillId="0" borderId="2" xfId="4" applyFont="1" applyFill="1" applyBorder="1"/>
    <xf numFmtId="164" fontId="17" fillId="0" borderId="2" xfId="2" applyNumberFormat="1" applyFont="1" applyFill="1" applyBorder="1"/>
    <xf numFmtId="168" fontId="17" fillId="0" borderId="3" xfId="2" applyNumberFormat="1" applyFont="1" applyFill="1" applyBorder="1"/>
    <xf numFmtId="164" fontId="21" fillId="0" borderId="4" xfId="2" applyNumberFormat="1" applyFont="1" applyFill="1" applyBorder="1"/>
    <xf numFmtId="0" fontId="17" fillId="0" borderId="7" xfId="4" applyFont="1" applyFill="1" applyBorder="1"/>
    <xf numFmtId="0" fontId="21" fillId="0" borderId="17" xfId="4" applyFont="1" applyFill="1" applyBorder="1"/>
    <xf numFmtId="0" fontId="21" fillId="0" borderId="16" xfId="4" applyFont="1" applyFill="1" applyBorder="1"/>
    <xf numFmtId="0" fontId="21" fillId="0" borderId="33" xfId="4" applyFont="1" applyFill="1" applyBorder="1"/>
    <xf numFmtId="6" fontId="21" fillId="0" borderId="1" xfId="4" applyNumberFormat="1" applyFont="1" applyFill="1" applyBorder="1"/>
    <xf numFmtId="44" fontId="21" fillId="0" borderId="1" xfId="2" applyFont="1" applyFill="1" applyBorder="1"/>
    <xf numFmtId="164" fontId="17" fillId="0" borderId="3" xfId="2" applyNumberFormat="1" applyFont="1" applyFill="1" applyBorder="1"/>
    <xf numFmtId="168" fontId="21" fillId="0" borderId="0" xfId="2" applyNumberFormat="1" applyFont="1" applyFill="1"/>
    <xf numFmtId="168" fontId="21" fillId="0" borderId="0" xfId="2" applyNumberFormat="1" applyFont="1" applyFill="1" applyBorder="1"/>
    <xf numFmtId="164" fontId="21" fillId="0" borderId="1" xfId="4" applyNumberFormat="1" applyFont="1" applyFill="1" applyBorder="1"/>
    <xf numFmtId="166" fontId="21" fillId="0" borderId="1" xfId="4" applyNumberFormat="1" applyFont="1" applyFill="1" applyBorder="1"/>
    <xf numFmtId="167" fontId="21" fillId="0" borderId="1" xfId="1" applyNumberFormat="1" applyFont="1" applyFill="1" applyBorder="1"/>
    <xf numFmtId="168" fontId="21" fillId="0" borderId="1" xfId="4" applyNumberFormat="1" applyFont="1" applyFill="1" applyBorder="1"/>
    <xf numFmtId="1" fontId="21" fillId="0" borderId="1" xfId="4" applyNumberFormat="1" applyFont="1" applyFill="1" applyBorder="1"/>
    <xf numFmtId="1" fontId="21" fillId="0" borderId="1" xfId="2" applyNumberFormat="1" applyFont="1" applyFill="1" applyBorder="1"/>
    <xf numFmtId="10" fontId="21" fillId="0" borderId="1" xfId="3" applyNumberFormat="1" applyFont="1" applyFill="1" applyBorder="1"/>
    <xf numFmtId="167" fontId="21" fillId="0" borderId="1" xfId="4" applyNumberFormat="1" applyFont="1" applyFill="1" applyBorder="1"/>
    <xf numFmtId="10" fontId="21" fillId="0" borderId="5" xfId="4" applyNumberFormat="1" applyFont="1" applyFill="1" applyBorder="1"/>
    <xf numFmtId="0" fontId="21" fillId="0" borderId="5" xfId="4" applyFont="1" applyFill="1" applyBorder="1"/>
    <xf numFmtId="6" fontId="21" fillId="0" borderId="1" xfId="0" applyNumberFormat="1" applyFont="1" applyFill="1" applyBorder="1"/>
    <xf numFmtId="0" fontId="21" fillId="0" borderId="1" xfId="0" applyFont="1" applyFill="1" applyBorder="1"/>
    <xf numFmtId="0" fontId="17" fillId="0" borderId="4" xfId="4" applyFont="1" applyFill="1" applyBorder="1"/>
    <xf numFmtId="168" fontId="21" fillId="0" borderId="37" xfId="2" applyNumberFormat="1" applyFont="1" applyFill="1" applyBorder="1"/>
    <xf numFmtId="0" fontId="21" fillId="0" borderId="37" xfId="4" applyNumberFormat="1" applyFont="1" applyFill="1" applyBorder="1"/>
    <xf numFmtId="0" fontId="21" fillId="0" borderId="37" xfId="4" applyFont="1" applyFill="1" applyBorder="1"/>
    <xf numFmtId="0" fontId="21" fillId="0" borderId="0" xfId="4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17" fillId="0" borderId="15" xfId="4" applyFont="1" applyFill="1" applyBorder="1" applyAlignment="1"/>
    <xf numFmtId="0" fontId="0" fillId="0" borderId="0" xfId="0" applyBorder="1"/>
    <xf numFmtId="168" fontId="17" fillId="0" borderId="5" xfId="2" applyNumberFormat="1" applyFont="1" applyFill="1" applyBorder="1"/>
    <xf numFmtId="0" fontId="17" fillId="0" borderId="15" xfId="4" applyFont="1" applyFill="1" applyBorder="1"/>
    <xf numFmtId="166" fontId="0" fillId="0" borderId="1" xfId="1" applyNumberFormat="1" applyFont="1" applyBorder="1"/>
    <xf numFmtId="0" fontId="0" fillId="0" borderId="5" xfId="0" applyBorder="1"/>
    <xf numFmtId="9" fontId="17" fillId="0" borderId="0" xfId="3" applyFont="1" applyFill="1" applyBorder="1" applyAlignment="1">
      <alignment horizontal="right"/>
    </xf>
    <xf numFmtId="0" fontId="22" fillId="0" borderId="0" xfId="0" applyFont="1" applyFill="1"/>
    <xf numFmtId="0" fontId="25" fillId="0" borderId="1" xfId="4" applyFont="1" applyFill="1" applyBorder="1"/>
    <xf numFmtId="0" fontId="25" fillId="0" borderId="0" xfId="4" applyFont="1" applyFill="1" applyBorder="1"/>
    <xf numFmtId="168" fontId="6" fillId="0" borderId="1" xfId="2" applyNumberFormat="1" applyFont="1" applyFill="1" applyBorder="1"/>
    <xf numFmtId="0" fontId="6" fillId="0" borderId="0" xfId="4" applyFont="1" applyFill="1" applyBorder="1"/>
    <xf numFmtId="9" fontId="22" fillId="0" borderId="0" xfId="3" applyFont="1" applyFill="1" applyAlignment="1">
      <alignment horizontal="center"/>
    </xf>
    <xf numFmtId="0" fontId="6" fillId="0" borderId="1" xfId="2" applyNumberFormat="1" applyFont="1" applyFill="1" applyBorder="1"/>
    <xf numFmtId="166" fontId="6" fillId="0" borderId="1" xfId="1" applyNumberFormat="1" applyFont="1" applyFill="1" applyBorder="1"/>
    <xf numFmtId="10" fontId="6" fillId="0" borderId="0" xfId="3" applyNumberFormat="1" applyFont="1" applyFill="1"/>
    <xf numFmtId="168" fontId="6" fillId="0" borderId="5" xfId="2" applyNumberFormat="1" applyFont="1" applyFill="1" applyBorder="1"/>
    <xf numFmtId="168" fontId="6" fillId="0" borderId="0" xfId="2" applyNumberFormat="1" applyFont="1" applyFill="1" applyBorder="1"/>
    <xf numFmtId="165" fontId="6" fillId="0" borderId="0" xfId="3" applyNumberFormat="1" applyFont="1" applyFill="1"/>
    <xf numFmtId="9" fontId="6" fillId="0" borderId="0" xfId="3" applyFont="1" applyFill="1" applyAlignment="1">
      <alignment horizontal="center"/>
    </xf>
    <xf numFmtId="9" fontId="6" fillId="0" borderId="0" xfId="4" applyNumberFormat="1" applyFont="1" applyFill="1"/>
    <xf numFmtId="44" fontId="6" fillId="0" borderId="1" xfId="2" applyNumberFormat="1" applyFont="1" applyFill="1" applyBorder="1"/>
    <xf numFmtId="9" fontId="6" fillId="0" borderId="0" xfId="3" applyFont="1" applyFill="1"/>
    <xf numFmtId="168" fontId="6" fillId="0" borderId="21" xfId="2" applyNumberFormat="1" applyFont="1" applyFill="1" applyBorder="1"/>
    <xf numFmtId="43" fontId="6" fillId="0" borderId="4" xfId="4" applyNumberFormat="1" applyFont="1" applyFill="1" applyBorder="1"/>
    <xf numFmtId="43" fontId="6" fillId="0" borderId="1" xfId="4" applyNumberFormat="1" applyFont="1" applyFill="1" applyBorder="1"/>
    <xf numFmtId="9" fontId="22" fillId="0" borderId="1" xfId="3" applyFont="1" applyFill="1" applyBorder="1"/>
    <xf numFmtId="168" fontId="22" fillId="0" borderId="1" xfId="2" applyNumberFormat="1" applyFont="1" applyFill="1" applyBorder="1"/>
    <xf numFmtId="0" fontId="22" fillId="0" borderId="1" xfId="2" applyNumberFormat="1" applyFont="1" applyFill="1" applyBorder="1"/>
    <xf numFmtId="0" fontId="6" fillId="0" borderId="4" xfId="4" applyNumberFormat="1" applyFont="1" applyFill="1" applyBorder="1"/>
    <xf numFmtId="1" fontId="6" fillId="0" borderId="4" xfId="4" applyNumberFormat="1" applyFont="1" applyFill="1" applyBorder="1"/>
    <xf numFmtId="0" fontId="6" fillId="0" borderId="1" xfId="4" applyNumberFormat="1" applyFont="1" applyFill="1" applyBorder="1"/>
    <xf numFmtId="0" fontId="25" fillId="0" borderId="6" xfId="4" applyFont="1" applyFill="1" applyBorder="1"/>
    <xf numFmtId="0" fontId="25" fillId="0" borderId="1" xfId="2" applyNumberFormat="1" applyFont="1" applyFill="1" applyBorder="1"/>
    <xf numFmtId="164" fontId="6" fillId="0" borderId="1" xfId="2" applyNumberFormat="1" applyFont="1" applyFill="1" applyBorder="1"/>
    <xf numFmtId="164" fontId="6" fillId="0" borderId="0" xfId="2" applyNumberFormat="1" applyFont="1" applyFill="1" applyBorder="1"/>
    <xf numFmtId="2" fontId="6" fillId="0" borderId="0" xfId="4" applyNumberFormat="1" applyFont="1" applyFill="1"/>
    <xf numFmtId="165" fontId="6" fillId="0" borderId="0" xfId="4" applyNumberFormat="1" applyFont="1" applyFill="1"/>
    <xf numFmtId="166" fontId="6" fillId="0" borderId="1" xfId="2" applyNumberFormat="1" applyFont="1" applyFill="1" applyBorder="1"/>
    <xf numFmtId="0" fontId="27" fillId="0" borderId="0" xfId="4" applyFont="1" applyFill="1"/>
    <xf numFmtId="164" fontId="6" fillId="0" borderId="5" xfId="2" applyNumberFormat="1" applyFont="1" applyFill="1" applyBorder="1"/>
    <xf numFmtId="44" fontId="22" fillId="0" borderId="0" xfId="2" applyFont="1" applyFill="1" applyAlignment="1">
      <alignment horizontal="center"/>
    </xf>
    <xf numFmtId="164" fontId="6" fillId="0" borderId="4" xfId="2" applyNumberFormat="1" applyFont="1" applyFill="1" applyBorder="1"/>
    <xf numFmtId="6" fontId="6" fillId="0" borderId="1" xfId="4" applyNumberFormat="1" applyFont="1" applyFill="1" applyBorder="1"/>
    <xf numFmtId="0" fontId="6" fillId="0" borderId="0" xfId="4" applyFont="1"/>
    <xf numFmtId="0" fontId="22" fillId="0" borderId="6" xfId="4" applyFont="1" applyFill="1" applyBorder="1"/>
    <xf numFmtId="164" fontId="22" fillId="0" borderId="6" xfId="4" applyNumberFormat="1" applyFont="1" applyFill="1" applyBorder="1"/>
    <xf numFmtId="164" fontId="21" fillId="0" borderId="0" xfId="2" applyNumberFormat="1" applyFont="1" applyFill="1" applyBorder="1" applyAlignment="1" applyProtection="1"/>
    <xf numFmtId="164" fontId="22" fillId="0" borderId="0" xfId="2" applyNumberFormat="1" applyFont="1" applyFill="1" applyBorder="1" applyAlignment="1" applyProtection="1"/>
    <xf numFmtId="0" fontId="22" fillId="0" borderId="6" xfId="4" applyFont="1" applyBorder="1"/>
    <xf numFmtId="0" fontId="21" fillId="0" borderId="0" xfId="4" applyFont="1"/>
    <xf numFmtId="0" fontId="17" fillId="0" borderId="6" xfId="4" applyFont="1" applyBorder="1"/>
    <xf numFmtId="0" fontId="21" fillId="0" borderId="6" xfId="4" applyFont="1" applyBorder="1"/>
    <xf numFmtId="0" fontId="21" fillId="0" borderId="0" xfId="4" applyFont="1" applyAlignment="1">
      <alignment horizontal="right"/>
    </xf>
    <xf numFmtId="0" fontId="21" fillId="0" borderId="6" xfId="4" applyFont="1" applyBorder="1" applyAlignment="1">
      <alignment horizontal="right"/>
    </xf>
    <xf numFmtId="164" fontId="21" fillId="0" borderId="6" xfId="4" applyNumberFormat="1" applyFont="1" applyBorder="1"/>
    <xf numFmtId="10" fontId="21" fillId="0" borderId="0" xfId="4" applyNumberFormat="1" applyFont="1"/>
    <xf numFmtId="9" fontId="22" fillId="0" borderId="0" xfId="3" applyFont="1"/>
    <xf numFmtId="168" fontId="22" fillId="0" borderId="0" xfId="2" applyNumberFormat="1" applyFont="1"/>
    <xf numFmtId="164" fontId="17" fillId="0" borderId="8" xfId="2" applyNumberFormat="1" applyFont="1" applyFill="1" applyBorder="1"/>
    <xf numFmtId="166" fontId="6" fillId="0" borderId="5" xfId="2" applyNumberFormat="1" applyFont="1" applyFill="1" applyBorder="1"/>
    <xf numFmtId="164" fontId="6" fillId="0" borderId="22" xfId="2" applyNumberFormat="1" applyFont="1" applyFill="1" applyBorder="1"/>
    <xf numFmtId="164" fontId="6" fillId="0" borderId="1" xfId="4" applyNumberFormat="1" applyFont="1" applyFill="1" applyBorder="1"/>
    <xf numFmtId="166" fontId="6" fillId="0" borderId="1" xfId="4" applyNumberFormat="1" applyFont="1" applyFill="1" applyBorder="1"/>
    <xf numFmtId="167" fontId="22" fillId="0" borderId="1" xfId="1" applyNumberFormat="1" applyFont="1" applyFill="1" applyBorder="1"/>
    <xf numFmtId="168" fontId="6" fillId="0" borderId="1" xfId="4" applyNumberFormat="1" applyFont="1" applyFill="1" applyBorder="1"/>
    <xf numFmtId="1" fontId="6" fillId="0" borderId="1" xfId="4" applyNumberFormat="1" applyFont="1" applyFill="1" applyBorder="1"/>
    <xf numFmtId="1" fontId="6" fillId="0" borderId="1" xfId="2" applyNumberFormat="1" applyFont="1" applyFill="1" applyBorder="1"/>
    <xf numFmtId="167" fontId="6" fillId="0" borderId="1" xfId="4" applyNumberFormat="1" applyFont="1" applyFill="1" applyBorder="1"/>
    <xf numFmtId="10" fontId="6" fillId="0" borderId="5" xfId="4" applyNumberFormat="1" applyFont="1" applyFill="1" applyBorder="1"/>
    <xf numFmtId="0" fontId="6" fillId="0" borderId="5" xfId="4" applyFont="1" applyFill="1" applyBorder="1"/>
    <xf numFmtId="0" fontId="22" fillId="0" borderId="0" xfId="0" applyFont="1" applyFill="1" applyBorder="1"/>
    <xf numFmtId="6" fontId="22" fillId="0" borderId="1" xfId="0" applyNumberFormat="1" applyFont="1" applyFill="1" applyBorder="1"/>
    <xf numFmtId="0" fontId="22" fillId="0" borderId="1" xfId="0" applyFont="1" applyFill="1" applyBorder="1"/>
    <xf numFmtId="0" fontId="6" fillId="0" borderId="0" xfId="4" applyNumberFormat="1" applyFont="1" applyFill="1"/>
    <xf numFmtId="0" fontId="22" fillId="0" borderId="0" xfId="4" applyFont="1" applyBorder="1"/>
    <xf numFmtId="0" fontId="22" fillId="0" borderId="0" xfId="0" applyFont="1" applyBorder="1"/>
    <xf numFmtId="9" fontId="21" fillId="0" borderId="0" xfId="3" applyFont="1" applyBorder="1"/>
    <xf numFmtId="164" fontId="22" fillId="0" borderId="0" xfId="4" applyNumberFormat="1" applyFont="1" applyFill="1" applyBorder="1"/>
    <xf numFmtId="0" fontId="29" fillId="0" borderId="0" xfId="4" applyFont="1" applyFill="1" applyBorder="1"/>
    <xf numFmtId="0" fontId="29" fillId="0" borderId="0" xfId="4" applyFont="1" applyBorder="1"/>
    <xf numFmtId="166" fontId="22" fillId="0" borderId="0" xfId="4" applyNumberFormat="1" applyFont="1" applyFill="1" applyBorder="1"/>
    <xf numFmtId="164" fontId="22" fillId="0" borderId="0" xfId="4" applyNumberFormat="1" applyFont="1" applyBorder="1"/>
    <xf numFmtId="0" fontId="22" fillId="0" borderId="0" xfId="4" applyFont="1" applyFill="1" applyBorder="1"/>
    <xf numFmtId="9" fontId="21" fillId="0" borderId="0" xfId="3" applyFont="1" applyBorder="1" applyAlignment="1">
      <alignment horizontal="right"/>
    </xf>
    <xf numFmtId="9" fontId="21" fillId="0" borderId="0" xfId="3" applyNumberFormat="1" applyFont="1" applyBorder="1"/>
    <xf numFmtId="165" fontId="22" fillId="0" borderId="0" xfId="3" applyNumberFormat="1" applyFont="1" applyBorder="1"/>
    <xf numFmtId="164" fontId="22" fillId="0" borderId="0" xfId="2" applyNumberFormat="1" applyFont="1" applyBorder="1"/>
    <xf numFmtId="0" fontId="17" fillId="0" borderId="0" xfId="4" applyFont="1" applyBorder="1"/>
    <xf numFmtId="0" fontId="21" fillId="0" borderId="0" xfId="4" applyFont="1" applyBorder="1"/>
    <xf numFmtId="0" fontId="21" fillId="0" borderId="0" xfId="4" applyFont="1" applyBorder="1" applyAlignment="1">
      <alignment horizontal="right"/>
    </xf>
    <xf numFmtId="164" fontId="21" fillId="0" borderId="0" xfId="4" applyNumberFormat="1" applyFont="1" applyBorder="1"/>
    <xf numFmtId="0" fontId="17" fillId="0" borderId="0" xfId="4" applyFont="1" applyBorder="1" applyAlignment="1">
      <alignment horizontal="right"/>
    </xf>
    <xf numFmtId="10" fontId="17" fillId="0" borderId="0" xfId="4" applyNumberFormat="1" applyFont="1" applyBorder="1"/>
    <xf numFmtId="0" fontId="6" fillId="0" borderId="38" xfId="4" applyFont="1" applyFill="1" applyBorder="1"/>
    <xf numFmtId="0" fontId="24" fillId="0" borderId="49" xfId="4" applyFont="1" applyFill="1" applyBorder="1"/>
    <xf numFmtId="0" fontId="0" fillId="0" borderId="39" xfId="0" applyBorder="1"/>
    <xf numFmtId="0" fontId="21" fillId="0" borderId="46" xfId="4" applyFont="1" applyFill="1" applyBorder="1"/>
    <xf numFmtId="0" fontId="21" fillId="0" borderId="0" xfId="0" applyFont="1" applyBorder="1"/>
    <xf numFmtId="0" fontId="21" fillId="0" borderId="38" xfId="0" applyFont="1" applyBorder="1"/>
    <xf numFmtId="0" fontId="17" fillId="0" borderId="46" xfId="4" applyFont="1" applyFill="1" applyBorder="1"/>
    <xf numFmtId="0" fontId="21" fillId="0" borderId="0" xfId="0" applyFont="1" applyFill="1" applyBorder="1"/>
    <xf numFmtId="0" fontId="21" fillId="0" borderId="46" xfId="4" applyFont="1" applyFill="1" applyBorder="1" applyAlignment="1">
      <alignment horizontal="left" indent="2"/>
    </xf>
    <xf numFmtId="0" fontId="21" fillId="0" borderId="46" xfId="4" applyFont="1" applyFill="1" applyBorder="1" applyAlignment="1">
      <alignment horizontal="left" vertical="center" indent="2"/>
    </xf>
    <xf numFmtId="0" fontId="17" fillId="0" borderId="33" xfId="4" applyFont="1" applyFill="1" applyBorder="1"/>
    <xf numFmtId="0" fontId="21" fillId="0" borderId="6" xfId="0" applyFont="1" applyFill="1" applyBorder="1"/>
    <xf numFmtId="0" fontId="17" fillId="0" borderId="46" xfId="0" applyFont="1" applyFill="1" applyBorder="1" applyAlignment="1">
      <alignment horizontal="left"/>
    </xf>
    <xf numFmtId="0" fontId="22" fillId="0" borderId="46" xfId="0" applyFont="1" applyBorder="1"/>
    <xf numFmtId="0" fontId="21" fillId="0" borderId="51" xfId="4" applyFont="1" applyFill="1" applyBorder="1"/>
    <xf numFmtId="0" fontId="23" fillId="0" borderId="46" xfId="4" applyFont="1" applyFill="1" applyBorder="1"/>
    <xf numFmtId="164" fontId="21" fillId="0" borderId="0" xfId="2" applyNumberFormat="1" applyFont="1" applyFill="1" applyBorder="1"/>
    <xf numFmtId="0" fontId="21" fillId="0" borderId="46" xfId="4" applyFont="1" applyFill="1" applyBorder="1" applyAlignment="1">
      <alignment horizontal="left" indent="1"/>
    </xf>
    <xf numFmtId="0" fontId="21" fillId="0" borderId="46" xfId="4" applyFont="1" applyFill="1" applyBorder="1" applyAlignment="1">
      <alignment horizontal="left" indent="3"/>
    </xf>
    <xf numFmtId="0" fontId="17" fillId="0" borderId="34" xfId="4" applyFont="1" applyFill="1" applyBorder="1"/>
    <xf numFmtId="0" fontId="21" fillId="0" borderId="6" xfId="4" applyFont="1" applyFill="1" applyBorder="1"/>
    <xf numFmtId="0" fontId="21" fillId="0" borderId="46" xfId="0" applyFont="1" applyFill="1" applyBorder="1"/>
    <xf numFmtId="0" fontId="21" fillId="0" borderId="38" xfId="0" applyFont="1" applyFill="1" applyBorder="1"/>
    <xf numFmtId="168" fontId="0" fillId="0" borderId="0" xfId="2" applyNumberFormat="1" applyFont="1" applyBorder="1"/>
    <xf numFmtId="9" fontId="0" fillId="0" borderId="0" xfId="2" applyNumberFormat="1" applyFont="1" applyBorder="1" applyAlignment="1">
      <alignment horizontal="left"/>
    </xf>
    <xf numFmtId="0" fontId="9" fillId="0" borderId="46" xfId="4" applyFont="1" applyFill="1" applyBorder="1"/>
    <xf numFmtId="0" fontId="9" fillId="0" borderId="33" xfId="4" applyFont="1" applyFill="1" applyBorder="1"/>
    <xf numFmtId="10" fontId="3" fillId="0" borderId="1" xfId="3" applyNumberFormat="1" applyFont="1" applyFill="1" applyBorder="1"/>
    <xf numFmtId="0" fontId="6" fillId="0" borderId="46" xfId="4" applyFont="1" applyFill="1" applyBorder="1"/>
    <xf numFmtId="0" fontId="27" fillId="0" borderId="46" xfId="4" applyFont="1" applyFill="1" applyBorder="1"/>
    <xf numFmtId="0" fontId="6" fillId="0" borderId="33" xfId="4" applyFont="1" applyFill="1" applyBorder="1"/>
    <xf numFmtId="0" fontId="6" fillId="0" borderId="6" xfId="4" applyFont="1" applyFill="1" applyBorder="1"/>
    <xf numFmtId="0" fontId="27" fillId="0" borderId="49" xfId="4" applyFont="1" applyFill="1" applyBorder="1"/>
    <xf numFmtId="0" fontId="6" fillId="0" borderId="39" xfId="4" applyFont="1" applyFill="1" applyBorder="1"/>
    <xf numFmtId="0" fontId="27" fillId="0" borderId="33" xfId="4" applyFont="1" applyFill="1" applyBorder="1"/>
    <xf numFmtId="0" fontId="22" fillId="0" borderId="6" xfId="0" applyFont="1" applyFill="1" applyBorder="1"/>
    <xf numFmtId="0" fontId="22" fillId="0" borderId="39" xfId="0" applyFont="1" applyBorder="1"/>
    <xf numFmtId="168" fontId="6" fillId="0" borderId="39" xfId="2" applyNumberFormat="1" applyFont="1" applyFill="1" applyBorder="1"/>
    <xf numFmtId="168" fontId="6" fillId="0" borderId="42" xfId="2" applyNumberFormat="1" applyFont="1" applyFill="1" applyBorder="1"/>
    <xf numFmtId="0" fontId="22" fillId="0" borderId="38" xfId="4" applyFont="1" applyBorder="1"/>
    <xf numFmtId="0" fontId="6" fillId="0" borderId="46" xfId="4" applyFont="1" applyBorder="1" applyAlignment="1"/>
    <xf numFmtId="2" fontId="22" fillId="0" borderId="38" xfId="4" applyNumberFormat="1" applyFont="1" applyBorder="1"/>
    <xf numFmtId="9" fontId="22" fillId="0" borderId="38" xfId="4" applyNumberFormat="1" applyFont="1" applyBorder="1"/>
    <xf numFmtId="0" fontId="6" fillId="0" borderId="46" xfId="4" applyFont="1" applyBorder="1"/>
    <xf numFmtId="10" fontId="22" fillId="0" borderId="38" xfId="3" applyNumberFormat="1" applyFont="1" applyBorder="1"/>
    <xf numFmtId="0" fontId="22" fillId="0" borderId="45" xfId="4" applyFont="1" applyBorder="1"/>
    <xf numFmtId="44" fontId="21" fillId="0" borderId="38" xfId="2" applyFont="1" applyBorder="1"/>
    <xf numFmtId="0" fontId="21" fillId="0" borderId="38" xfId="4" applyFont="1" applyBorder="1"/>
    <xf numFmtId="0" fontId="21" fillId="0" borderId="45" xfId="4" applyFont="1" applyBorder="1"/>
    <xf numFmtId="164" fontId="21" fillId="0" borderId="38" xfId="4" applyNumberFormat="1" applyFont="1" applyBorder="1"/>
    <xf numFmtId="164" fontId="21" fillId="0" borderId="45" xfId="4" applyNumberFormat="1" applyFont="1" applyBorder="1"/>
    <xf numFmtId="0" fontId="17" fillId="0" borderId="6" xfId="4" applyFont="1" applyBorder="1" applyAlignment="1">
      <alignment horizontal="right"/>
    </xf>
    <xf numFmtId="10" fontId="17" fillId="0" borderId="6" xfId="4" applyNumberFormat="1" applyFont="1" applyBorder="1"/>
    <xf numFmtId="0" fontId="22" fillId="0" borderId="42" xfId="0" applyFont="1" applyBorder="1" applyAlignment="1">
      <alignment horizontal="left"/>
    </xf>
    <xf numFmtId="10" fontId="22" fillId="0" borderId="38" xfId="0" applyNumberFormat="1" applyFont="1" applyBorder="1" applyAlignment="1">
      <alignment horizontal="left"/>
    </xf>
    <xf numFmtId="10" fontId="22" fillId="0" borderId="45" xfId="0" applyNumberFormat="1" applyFont="1" applyBorder="1" applyAlignment="1">
      <alignment horizontal="left"/>
    </xf>
    <xf numFmtId="9" fontId="22" fillId="0" borderId="38" xfId="0" applyNumberFormat="1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2" fontId="22" fillId="0" borderId="38" xfId="0" applyNumberFormat="1" applyFont="1" applyBorder="1" applyAlignment="1">
      <alignment horizontal="left"/>
    </xf>
    <xf numFmtId="9" fontId="21" fillId="0" borderId="0" xfId="3" applyFont="1" applyFill="1" applyBorder="1" applyAlignment="1">
      <alignment horizontal="center"/>
    </xf>
    <xf numFmtId="0" fontId="21" fillId="0" borderId="5" xfId="4" applyNumberFormat="1" applyFont="1" applyFill="1" applyBorder="1"/>
    <xf numFmtId="164" fontId="17" fillId="0" borderId="41" xfId="2" applyNumberFormat="1" applyFont="1" applyFill="1" applyBorder="1"/>
    <xf numFmtId="164" fontId="17" fillId="0" borderId="23" xfId="2" applyNumberFormat="1" applyFont="1" applyFill="1" applyBorder="1"/>
    <xf numFmtId="0" fontId="17" fillId="0" borderId="22" xfId="2" applyNumberFormat="1" applyFont="1" applyFill="1" applyBorder="1"/>
    <xf numFmtId="0" fontId="17" fillId="0" borderId="22" xfId="4" applyFont="1" applyFill="1" applyBorder="1"/>
    <xf numFmtId="168" fontId="17" fillId="0" borderId="4" xfId="2" applyNumberFormat="1" applyFont="1" applyFill="1" applyBorder="1"/>
    <xf numFmtId="0" fontId="17" fillId="0" borderId="7" xfId="0" applyFont="1" applyFill="1" applyBorder="1"/>
    <xf numFmtId="0" fontId="21" fillId="0" borderId="41" xfId="0" applyFont="1" applyFill="1" applyBorder="1"/>
    <xf numFmtId="0" fontId="17" fillId="0" borderId="47" xfId="4" applyFont="1" applyFill="1" applyBorder="1"/>
    <xf numFmtId="0" fontId="24" fillId="0" borderId="7" xfId="4" applyFont="1" applyFill="1" applyBorder="1"/>
    <xf numFmtId="0" fontId="0" fillId="0" borderId="41" xfId="0" applyBorder="1"/>
    <xf numFmtId="0" fontId="21" fillId="0" borderId="22" xfId="4" applyFont="1" applyFill="1" applyBorder="1"/>
    <xf numFmtId="0" fontId="21" fillId="0" borderId="22" xfId="2" applyNumberFormat="1" applyFont="1" applyFill="1" applyBorder="1"/>
    <xf numFmtId="0" fontId="21" fillId="0" borderId="47" xfId="4" applyFont="1" applyFill="1" applyBorder="1"/>
    <xf numFmtId="0" fontId="17" fillId="0" borderId="50" xfId="4" applyFont="1" applyFill="1" applyBorder="1"/>
    <xf numFmtId="44" fontId="21" fillId="0" borderId="5" xfId="2" applyNumberFormat="1" applyFont="1" applyFill="1" applyBorder="1"/>
    <xf numFmtId="0" fontId="17" fillId="0" borderId="48" xfId="0" applyFont="1" applyFill="1" applyBorder="1"/>
    <xf numFmtId="164" fontId="21" fillId="0" borderId="28" xfId="2" applyNumberFormat="1" applyFont="1" applyFill="1" applyBorder="1" applyAlignment="1" applyProtection="1"/>
    <xf numFmtId="0" fontId="21" fillId="0" borderId="43" xfId="4" applyFont="1" applyFill="1" applyBorder="1"/>
    <xf numFmtId="9" fontId="21" fillId="0" borderId="43" xfId="4" applyNumberFormat="1" applyFont="1" applyFill="1" applyBorder="1"/>
    <xf numFmtId="0" fontId="21" fillId="0" borderId="36" xfId="4" applyFont="1" applyFill="1" applyBorder="1"/>
    <xf numFmtId="168" fontId="21" fillId="0" borderId="46" xfId="4" applyNumberFormat="1" applyFont="1" applyFill="1" applyBorder="1"/>
    <xf numFmtId="10" fontId="21" fillId="0" borderId="0" xfId="3" applyNumberFormat="1" applyFont="1" applyFill="1" applyBorder="1"/>
    <xf numFmtId="9" fontId="21" fillId="0" borderId="0" xfId="4" applyNumberFormat="1" applyFont="1" applyFill="1" applyBorder="1"/>
    <xf numFmtId="10" fontId="21" fillId="0" borderId="0" xfId="4" applyNumberFormat="1" applyFont="1" applyFill="1" applyBorder="1"/>
    <xf numFmtId="0" fontId="21" fillId="0" borderId="38" xfId="4" applyFont="1" applyFill="1" applyBorder="1"/>
    <xf numFmtId="168" fontId="21" fillId="0" borderId="33" xfId="4" applyNumberFormat="1" applyFont="1" applyFill="1" applyBorder="1"/>
    <xf numFmtId="164" fontId="21" fillId="0" borderId="46" xfId="2" applyNumberFormat="1" applyFont="1" applyFill="1" applyBorder="1" applyAlignment="1" applyProtection="1"/>
    <xf numFmtId="43" fontId="21" fillId="0" borderId="0" xfId="1" applyFont="1" applyFill="1" applyBorder="1"/>
    <xf numFmtId="2" fontId="21" fillId="0" borderId="0" xfId="3" applyNumberFormat="1" applyFont="1" applyFill="1" applyBorder="1"/>
    <xf numFmtId="10" fontId="23" fillId="0" borderId="0" xfId="5" applyNumberFormat="1" applyFont="1" applyFill="1" applyBorder="1"/>
    <xf numFmtId="9" fontId="21" fillId="0" borderId="0" xfId="3" applyFont="1" applyFill="1" applyBorder="1"/>
    <xf numFmtId="164" fontId="21" fillId="0" borderId="33" xfId="2" applyNumberFormat="1" applyFont="1" applyFill="1" applyBorder="1" applyAlignment="1" applyProtection="1"/>
    <xf numFmtId="10" fontId="21" fillId="0" borderId="6" xfId="4" applyNumberFormat="1" applyFont="1" applyFill="1" applyBorder="1"/>
    <xf numFmtId="0" fontId="21" fillId="0" borderId="45" xfId="4" applyFont="1" applyFill="1" applyBorder="1"/>
    <xf numFmtId="0" fontId="21" fillId="0" borderId="49" xfId="4" applyFont="1" applyFill="1" applyBorder="1"/>
    <xf numFmtId="0" fontId="21" fillId="0" borderId="46" xfId="4" applyFont="1" applyFill="1" applyBorder="1" applyAlignment="1">
      <alignment wrapText="1"/>
    </xf>
    <xf numFmtId="10" fontId="21" fillId="0" borderId="1" xfId="0" applyNumberFormat="1" applyFont="1" applyFill="1" applyBorder="1"/>
    <xf numFmtId="9" fontId="21" fillId="0" borderId="1" xfId="0" applyNumberFormat="1" applyFont="1" applyFill="1" applyBorder="1"/>
    <xf numFmtId="0" fontId="0" fillId="0" borderId="46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38" xfId="0" applyFont="1" applyBorder="1"/>
    <xf numFmtId="2" fontId="21" fillId="0" borderId="1" xfId="0" applyNumberFormat="1" applyFont="1" applyFill="1" applyBorder="1"/>
    <xf numFmtId="10" fontId="21" fillId="0" borderId="1" xfId="4" applyNumberFormat="1" applyFont="1" applyFill="1" applyBorder="1"/>
    <xf numFmtId="169" fontId="21" fillId="0" borderId="1" xfId="4" applyNumberFormat="1" applyFont="1" applyFill="1" applyBorder="1"/>
    <xf numFmtId="9" fontId="21" fillId="0" borderId="36" xfId="4" applyNumberFormat="1" applyFont="1" applyFill="1" applyBorder="1"/>
    <xf numFmtId="10" fontId="21" fillId="0" borderId="38" xfId="4" applyNumberFormat="1" applyFont="1" applyFill="1" applyBorder="1"/>
    <xf numFmtId="10" fontId="21" fillId="0" borderId="38" xfId="3" applyNumberFormat="1" applyFont="1" applyFill="1" applyBorder="1"/>
    <xf numFmtId="10" fontId="23" fillId="0" borderId="38" xfId="5" applyNumberFormat="1" applyFont="1" applyFill="1" applyBorder="1"/>
    <xf numFmtId="10" fontId="21" fillId="0" borderId="45" xfId="4" applyNumberFormat="1" applyFont="1" applyFill="1" applyBorder="1"/>
    <xf numFmtId="0" fontId="17" fillId="0" borderId="7" xfId="0" applyFont="1" applyFill="1" applyBorder="1" applyAlignment="1"/>
    <xf numFmtId="0" fontId="17" fillId="0" borderId="8" xfId="0" applyFont="1" applyFill="1" applyBorder="1" applyAlignment="1"/>
    <xf numFmtId="0" fontId="21" fillId="0" borderId="28" xfId="0" applyFont="1" applyFill="1" applyBorder="1" applyAlignment="1">
      <alignment horizontal="right"/>
    </xf>
    <xf numFmtId="169" fontId="21" fillId="0" borderId="0" xfId="4" applyNumberFormat="1" applyFont="1" applyFill="1" applyBorder="1" applyAlignment="1">
      <alignment horizontal="right" wrapText="1"/>
    </xf>
    <xf numFmtId="169" fontId="21" fillId="0" borderId="6" xfId="4" applyNumberFormat="1" applyFont="1" applyFill="1" applyBorder="1" applyAlignment="1">
      <alignment horizontal="right" wrapText="1"/>
    </xf>
    <xf numFmtId="0" fontId="0" fillId="0" borderId="6" xfId="0" applyBorder="1"/>
    <xf numFmtId="6" fontId="21" fillId="0" borderId="0" xfId="0" applyNumberFormat="1" applyFont="1" applyFill="1" applyBorder="1"/>
    <xf numFmtId="0" fontId="9" fillId="0" borderId="49" xfId="4" applyFont="1" applyFill="1" applyBorder="1"/>
    <xf numFmtId="0" fontId="3" fillId="0" borderId="39" xfId="4" applyFill="1" applyBorder="1"/>
    <xf numFmtId="0" fontId="6" fillId="0" borderId="46" xfId="4" applyFont="1" applyFill="1" applyBorder="1" applyAlignment="1">
      <alignment horizontal="left" indent="2"/>
    </xf>
    <xf numFmtId="0" fontId="6" fillId="0" borderId="46" xfId="4" applyFont="1" applyFill="1" applyBorder="1" applyAlignment="1">
      <alignment horizontal="left" vertical="center" indent="2"/>
    </xf>
    <xf numFmtId="0" fontId="22" fillId="0" borderId="0" xfId="0" applyFont="1" applyBorder="1" applyAlignment="1">
      <alignment horizontal="right"/>
    </xf>
    <xf numFmtId="10" fontId="22" fillId="0" borderId="0" xfId="0" applyNumberFormat="1" applyFont="1" applyBorder="1" applyAlignment="1">
      <alignment horizontal="left"/>
    </xf>
    <xf numFmtId="10" fontId="22" fillId="0" borderId="0" xfId="3" applyNumberFormat="1" applyFont="1" applyFill="1" applyBorder="1"/>
    <xf numFmtId="10" fontId="29" fillId="0" borderId="0" xfId="5" applyNumberFormat="1" applyFont="1" applyFill="1" applyBorder="1"/>
    <xf numFmtId="2" fontId="22" fillId="0" borderId="1" xfId="0" applyNumberFormat="1" applyFont="1" applyFill="1" applyBorder="1" applyAlignment="1">
      <alignment horizontal="left"/>
    </xf>
    <xf numFmtId="9" fontId="22" fillId="0" borderId="0" xfId="3" applyFont="1" applyFill="1" applyBorder="1"/>
    <xf numFmtId="9" fontId="22" fillId="0" borderId="6" xfId="3" applyFont="1" applyFill="1" applyBorder="1"/>
    <xf numFmtId="0" fontId="25" fillId="0" borderId="33" xfId="4" applyFont="1" applyFill="1" applyBorder="1"/>
    <xf numFmtId="0" fontId="25" fillId="0" borderId="46" xfId="4" applyFont="1" applyFill="1" applyBorder="1"/>
    <xf numFmtId="0" fontId="6" fillId="0" borderId="46" xfId="4" applyFont="1" applyFill="1" applyBorder="1" applyAlignment="1">
      <alignment horizontal="left" indent="1"/>
    </xf>
    <xf numFmtId="0" fontId="6" fillId="0" borderId="46" xfId="4" applyFont="1" applyFill="1" applyBorder="1" applyAlignment="1">
      <alignment horizontal="left" indent="3"/>
    </xf>
    <xf numFmtId="0" fontId="6" fillId="0" borderId="51" xfId="4" applyFont="1" applyFill="1" applyBorder="1"/>
    <xf numFmtId="0" fontId="25" fillId="0" borderId="22" xfId="4" applyFont="1" applyFill="1" applyBorder="1"/>
    <xf numFmtId="0" fontId="25" fillId="0" borderId="47" xfId="4" applyFont="1" applyFill="1" applyBorder="1"/>
    <xf numFmtId="0" fontId="25" fillId="0" borderId="49" xfId="4" applyFont="1" applyFill="1" applyBorder="1"/>
    <xf numFmtId="164" fontId="28" fillId="0" borderId="39" xfId="2" applyNumberFormat="1" applyFont="1" applyFill="1" applyBorder="1"/>
    <xf numFmtId="0" fontId="17" fillId="0" borderId="49" xfId="4" applyFont="1" applyFill="1" applyBorder="1"/>
    <xf numFmtId="164" fontId="17" fillId="0" borderId="39" xfId="2" applyNumberFormat="1" applyFont="1" applyFill="1" applyBorder="1"/>
    <xf numFmtId="164" fontId="21" fillId="0" borderId="39" xfId="2" applyNumberFormat="1" applyFont="1" applyFill="1" applyBorder="1"/>
    <xf numFmtId="0" fontId="17" fillId="0" borderId="52" xfId="0" applyFont="1" applyFill="1" applyBorder="1"/>
    <xf numFmtId="0" fontId="21" fillId="0" borderId="53" xfId="0" applyFont="1" applyFill="1" applyBorder="1"/>
    <xf numFmtId="0" fontId="17" fillId="0" borderId="37" xfId="4" applyFont="1" applyFill="1" applyBorder="1"/>
    <xf numFmtId="168" fontId="25" fillId="0" borderId="4" xfId="2" applyNumberFormat="1" applyFont="1" applyFill="1" applyBorder="1"/>
    <xf numFmtId="0" fontId="25" fillId="0" borderId="4" xfId="4" applyFont="1" applyFill="1" applyBorder="1"/>
    <xf numFmtId="0" fontId="22" fillId="0" borderId="41" xfId="0" applyFont="1" applyFill="1" applyBorder="1"/>
    <xf numFmtId="0" fontId="26" fillId="0" borderId="7" xfId="0" applyFont="1" applyFill="1" applyBorder="1" applyAlignment="1"/>
    <xf numFmtId="164" fontId="28" fillId="0" borderId="1" xfId="2" applyNumberFormat="1" applyFont="1" applyFill="1" applyBorder="1"/>
    <xf numFmtId="0" fontId="6" fillId="0" borderId="17" xfId="4" applyFont="1" applyFill="1" applyBorder="1"/>
    <xf numFmtId="0" fontId="17" fillId="0" borderId="7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169" fontId="21" fillId="0" borderId="0" xfId="4" applyNumberFormat="1" applyFont="1" applyFill="1" applyBorder="1" applyAlignment="1">
      <alignment horizontal="right" wrapText="1"/>
    </xf>
    <xf numFmtId="169" fontId="21" fillId="0" borderId="6" xfId="4" applyNumberFormat="1" applyFont="1" applyFill="1" applyBorder="1" applyAlignment="1">
      <alignment horizontal="right" wrapText="1"/>
    </xf>
    <xf numFmtId="169" fontId="21" fillId="0" borderId="44" xfId="4" applyNumberFormat="1" applyFont="1" applyFill="1" applyBorder="1" applyAlignment="1">
      <alignment horizontal="right" wrapText="1"/>
    </xf>
    <xf numFmtId="0" fontId="21" fillId="0" borderId="28" xfId="0" applyFont="1" applyFill="1" applyBorder="1" applyAlignment="1">
      <alignment horizontal="right"/>
    </xf>
    <xf numFmtId="0" fontId="21" fillId="0" borderId="36" xfId="0" applyFont="1" applyFill="1" applyBorder="1" applyAlignment="1">
      <alignment horizontal="right"/>
    </xf>
    <xf numFmtId="0" fontId="17" fillId="0" borderId="39" xfId="0" applyFont="1" applyFill="1" applyBorder="1" applyAlignment="1">
      <alignment horizontal="right"/>
    </xf>
    <xf numFmtId="0" fontId="17" fillId="0" borderId="42" xfId="0" applyFont="1" applyFill="1" applyBorder="1" applyAlignment="1">
      <alignment horizontal="right"/>
    </xf>
    <xf numFmtId="0" fontId="21" fillId="0" borderId="43" xfId="0" applyFont="1" applyFill="1" applyBorder="1" applyAlignment="1">
      <alignment horizontal="right"/>
    </xf>
    <xf numFmtId="9" fontId="21" fillId="0" borderId="6" xfId="3" applyFont="1" applyFill="1" applyBorder="1" applyAlignment="1">
      <alignment horizontal="right"/>
    </xf>
    <xf numFmtId="9" fontId="21" fillId="0" borderId="45" xfId="3" applyFont="1" applyFill="1" applyBorder="1" applyAlignment="1">
      <alignment horizontal="right"/>
    </xf>
    <xf numFmtId="43" fontId="21" fillId="0" borderId="0" xfId="4" applyNumberFormat="1" applyFont="1" applyFill="1" applyBorder="1" applyAlignment="1">
      <alignment horizontal="right"/>
    </xf>
    <xf numFmtId="43" fontId="21" fillId="0" borderId="38" xfId="4" applyNumberFormat="1" applyFont="1" applyFill="1" applyBorder="1" applyAlignment="1">
      <alignment horizontal="right"/>
    </xf>
    <xf numFmtId="9" fontId="21" fillId="0" borderId="6" xfId="4" applyNumberFormat="1" applyFont="1" applyFill="1" applyBorder="1" applyAlignment="1">
      <alignment horizontal="right"/>
    </xf>
    <xf numFmtId="9" fontId="21" fillId="0" borderId="45" xfId="4" applyNumberFormat="1" applyFont="1" applyFill="1" applyBorder="1" applyAlignment="1">
      <alignment horizontal="right"/>
    </xf>
    <xf numFmtId="164" fontId="21" fillId="0" borderId="39" xfId="4" applyNumberFormat="1" applyFont="1" applyFill="1" applyBorder="1" applyAlignment="1">
      <alignment horizontal="right"/>
    </xf>
    <xf numFmtId="164" fontId="21" fillId="0" borderId="42" xfId="4" applyNumberFormat="1" applyFont="1" applyFill="1" applyBorder="1" applyAlignment="1">
      <alignment horizontal="right"/>
    </xf>
    <xf numFmtId="43" fontId="21" fillId="0" borderId="6" xfId="4" applyNumberFormat="1" applyFont="1" applyFill="1" applyBorder="1" applyAlignment="1">
      <alignment horizontal="right"/>
    </xf>
    <xf numFmtId="43" fontId="21" fillId="0" borderId="45" xfId="4" applyNumberFormat="1" applyFont="1" applyFill="1" applyBorder="1" applyAlignment="1">
      <alignment horizontal="right"/>
    </xf>
    <xf numFmtId="168" fontId="21" fillId="0" borderId="0" xfId="4" applyNumberFormat="1" applyFont="1" applyFill="1" applyBorder="1" applyAlignment="1">
      <alignment horizontal="right"/>
    </xf>
    <xf numFmtId="168" fontId="21" fillId="0" borderId="38" xfId="4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20" fillId="0" borderId="50" xfId="4" applyFont="1" applyFill="1" applyBorder="1" applyAlignment="1">
      <alignment horizontal="left"/>
    </xf>
    <xf numFmtId="0" fontId="20" fillId="0" borderId="8" xfId="4" applyFont="1" applyFill="1" applyBorder="1" applyAlignment="1">
      <alignment horizontal="left"/>
    </xf>
    <xf numFmtId="0" fontId="12" fillId="15" borderId="0" xfId="0" applyFont="1" applyFill="1" applyAlignment="1">
      <alignment horizontal="left"/>
    </xf>
    <xf numFmtId="169" fontId="4" fillId="11" borderId="29" xfId="4" applyNumberFormat="1" applyFont="1" applyFill="1" applyBorder="1" applyAlignment="1">
      <alignment horizontal="center" wrapText="1"/>
    </xf>
    <xf numFmtId="169" fontId="4" fillId="11" borderId="30" xfId="4" applyNumberFormat="1" applyFont="1" applyFill="1" applyBorder="1" applyAlignment="1">
      <alignment horizontal="center" wrapText="1"/>
    </xf>
    <xf numFmtId="0" fontId="22" fillId="0" borderId="46" xfId="0" applyFont="1" applyBorder="1" applyAlignment="1">
      <alignment horizontal="right"/>
    </xf>
    <xf numFmtId="0" fontId="22" fillId="0" borderId="38" xfId="0" applyFont="1" applyBorder="1" applyAlignment="1">
      <alignment horizontal="right"/>
    </xf>
    <xf numFmtId="0" fontId="22" fillId="0" borderId="49" xfId="0" applyFont="1" applyBorder="1" applyAlignment="1">
      <alignment horizontal="right"/>
    </xf>
    <xf numFmtId="0" fontId="22" fillId="0" borderId="42" xfId="0" applyFont="1" applyBorder="1" applyAlignment="1">
      <alignment horizontal="right"/>
    </xf>
    <xf numFmtId="0" fontId="26" fillId="0" borderId="7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0" fontId="22" fillId="0" borderId="0" xfId="0" applyFont="1" applyBorder="1" applyAlignment="1">
      <alignment horizontal="right"/>
    </xf>
    <xf numFmtId="0" fontId="22" fillId="0" borderId="33" xfId="0" applyFont="1" applyBorder="1" applyAlignment="1">
      <alignment horizontal="right"/>
    </xf>
    <xf numFmtId="0" fontId="22" fillId="0" borderId="45" xfId="0" applyFont="1" applyBorder="1" applyAlignment="1">
      <alignment horizontal="right"/>
    </xf>
    <xf numFmtId="169" fontId="21" fillId="0" borderId="5" xfId="4" applyNumberFormat="1" applyFont="1" applyFill="1" applyBorder="1" applyAlignment="1">
      <alignment horizontal="center" wrapText="1"/>
    </xf>
    <xf numFmtId="169" fontId="21" fillId="0" borderId="40" xfId="4" applyNumberFormat="1" applyFont="1" applyFill="1" applyBorder="1" applyAlignment="1">
      <alignment horizontal="center" wrapText="1"/>
    </xf>
    <xf numFmtId="169" fontId="21" fillId="0" borderId="4" xfId="4" applyNumberFormat="1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6">
    <cellStyle name="Comma" xfId="1" builtinId="3"/>
    <cellStyle name="Currency" xfId="2" builtinId="4"/>
    <cellStyle name="Excel Built-in Normal 1" xf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vin/Downloads/TheBatteryGuy%20(5th%20draf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2/AppData/Local/Temp/TheBatteryGuy%20(10th%20draft)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recast"/>
      <sheetName val="Amort Table"/>
      <sheetName val="Sheet2"/>
      <sheetName val="Sheet4"/>
      <sheetName val="Sheet3"/>
      <sheetName val="Required"/>
    </sheetNames>
    <sheetDataSet>
      <sheetData sheetId="0"/>
      <sheetData sheetId="1"/>
      <sheetData sheetId="2">
        <row r="8">
          <cell r="D8">
            <v>2333.3333333333335</v>
          </cell>
        </row>
        <row r="9">
          <cell r="D9">
            <v>2331.4207195569306</v>
          </cell>
        </row>
        <row r="10">
          <cell r="D10">
            <v>2329.4969488668316</v>
          </cell>
        </row>
        <row r="11">
          <cell r="D11">
            <v>2327.5619561810408</v>
          </cell>
        </row>
        <row r="12">
          <cell r="D12">
            <v>2325.6156760379158</v>
          </cell>
        </row>
        <row r="13">
          <cell r="D13">
            <v>2323.658042593956</v>
          </cell>
        </row>
        <row r="14">
          <cell r="D14">
            <v>2321.688989621573</v>
          </cell>
        </row>
        <row r="15">
          <cell r="D15">
            <v>2319.7084505068515</v>
          </cell>
        </row>
        <row r="16">
          <cell r="D16">
            <v>2317.7163582472936</v>
          </cell>
        </row>
        <row r="17">
          <cell r="D17">
            <v>2315.7126454495551</v>
          </cell>
        </row>
        <row r="18">
          <cell r="D18">
            <v>2313.6972443271634</v>
          </cell>
        </row>
        <row r="19">
          <cell r="D19">
            <v>2311.6700866982242</v>
          </cell>
          <cell r="F19">
            <v>395936.76068281988</v>
          </cell>
        </row>
        <row r="20">
          <cell r="D20">
            <v>2309.6311039831162</v>
          </cell>
        </row>
        <row r="21">
          <cell r="D21">
            <v>2307.5802272021701</v>
          </cell>
        </row>
        <row r="22">
          <cell r="D22">
            <v>2305.5173869733353</v>
          </cell>
        </row>
        <row r="23">
          <cell r="D23">
            <v>2303.4425135098322</v>
          </cell>
        </row>
        <row r="24">
          <cell r="D24">
            <v>2301.355536617792</v>
          </cell>
        </row>
        <row r="25">
          <cell r="D25">
            <v>2299.2563856938814</v>
          </cell>
        </row>
        <row r="26">
          <cell r="D26">
            <v>2297.1449897229145</v>
          </cell>
        </row>
        <row r="27">
          <cell r="D27">
            <v>2295.0212772754508</v>
          </cell>
        </row>
        <row r="28">
          <cell r="D28">
            <v>2292.8851765053764</v>
          </cell>
        </row>
        <row r="29">
          <cell r="D29">
            <v>2290.7366151474766</v>
          </cell>
        </row>
        <row r="30">
          <cell r="D30">
            <v>2288.5755205149894</v>
          </cell>
        </row>
        <row r="31">
          <cell r="D31">
            <v>2286.4018194971463</v>
          </cell>
          <cell r="F31">
            <v>391579.78946686257</v>
          </cell>
        </row>
        <row r="32">
          <cell r="D32">
            <v>2284.2154385566987</v>
          </cell>
        </row>
        <row r="33">
          <cell r="D33">
            <v>2282.0163037274319</v>
          </cell>
        </row>
        <row r="34">
          <cell r="D34">
            <v>2279.8043406116608</v>
          </cell>
        </row>
        <row r="35">
          <cell r="D35">
            <v>2277.5794743777146</v>
          </cell>
        </row>
        <row r="36">
          <cell r="D36">
            <v>2275.3416297574036</v>
          </cell>
        </row>
        <row r="37">
          <cell r="D37">
            <v>2273.0907310434745</v>
          </cell>
        </row>
        <row r="38">
          <cell r="D38">
            <v>2270.8267020870467</v>
          </cell>
        </row>
        <row r="39">
          <cell r="D39">
            <v>2268.5494662950405</v>
          </cell>
        </row>
        <row r="40">
          <cell r="D40">
            <v>2266.2589466275804</v>
          </cell>
        </row>
        <row r="41">
          <cell r="D41">
            <v>2263.955065595394</v>
          </cell>
        </row>
        <row r="42">
          <cell r="D42">
            <v>2261.637745257186</v>
          </cell>
        </row>
        <row r="43">
          <cell r="D43">
            <v>2259.3069072170051</v>
          </cell>
          <cell r="F43">
            <v>386907.85244941543</v>
          </cell>
        </row>
        <row r="44">
          <cell r="D44">
            <v>2256.9624726215902</v>
          </cell>
        </row>
        <row r="45">
          <cell r="D45">
            <v>2254.6043621577014</v>
          </cell>
        </row>
        <row r="46">
          <cell r="D46">
            <v>2252.2324960494407</v>
          </cell>
        </row>
        <row r="47">
          <cell r="D47">
            <v>2249.8467940555479</v>
          </cell>
        </row>
        <row r="48">
          <cell r="D48">
            <v>2247.4471754666911</v>
          </cell>
        </row>
        <row r="49">
          <cell r="D49">
            <v>2245.0335591027324</v>
          </cell>
        </row>
        <row r="50">
          <cell r="D50">
            <v>2242.6058633099842</v>
          </cell>
        </row>
        <row r="51">
          <cell r="D51">
            <v>2240.1640059584447</v>
          </cell>
        </row>
        <row r="52">
          <cell r="D52">
            <v>2237.7079044390211</v>
          </cell>
        </row>
        <row r="53">
          <cell r="D53">
            <v>2235.2374756607346</v>
          </cell>
        </row>
        <row r="54">
          <cell r="D54">
            <v>2232.7526360479083</v>
          </cell>
        </row>
        <row r="55">
          <cell r="D55">
            <v>2230.2533015373401</v>
          </cell>
          <cell r="F55">
            <v>381898.18072722171</v>
          </cell>
        </row>
        <row r="56">
          <cell r="D56">
            <v>2227.7393875754601</v>
          </cell>
        </row>
        <row r="57">
          <cell r="D57">
            <v>2225.2108091154691</v>
          </cell>
        </row>
        <row r="58">
          <cell r="D58">
            <v>2222.667480614462</v>
          </cell>
        </row>
        <row r="59">
          <cell r="D59">
            <v>2220.1093160305322</v>
          </cell>
        </row>
        <row r="60">
          <cell r="D60">
            <v>2217.536228819863</v>
          </cell>
        </row>
        <row r="61">
          <cell r="D61">
            <v>2214.9481319337979</v>
          </cell>
        </row>
        <row r="62">
          <cell r="D62">
            <v>2212.3449378158971</v>
          </cell>
        </row>
        <row r="63">
          <cell r="D63">
            <v>2209.7265583989756</v>
          </cell>
        </row>
        <row r="64">
          <cell r="D64">
            <v>2207.0929051021217</v>
          </cell>
        </row>
        <row r="65">
          <cell r="D65">
            <v>2204.4438888277032</v>
          </cell>
        </row>
        <row r="66">
          <cell r="D66">
            <v>2201.7794199583509</v>
          </cell>
        </row>
        <row r="67">
          <cell r="D67">
            <v>2199.0994083539267</v>
          </cell>
          <cell r="F67">
            <v>376526.35943116748</v>
          </cell>
        </row>
        <row r="68">
          <cell r="D68">
            <v>2196.4037633484772</v>
          </cell>
        </row>
        <row r="69">
          <cell r="D69">
            <v>2193.6923937471624</v>
          </cell>
        </row>
        <row r="70">
          <cell r="D70">
            <v>2190.9652078231734</v>
          </cell>
        </row>
        <row r="71">
          <cell r="D71">
            <v>2188.2221133146272</v>
          </cell>
        </row>
        <row r="72">
          <cell r="D72">
            <v>2185.4630174214485</v>
          </cell>
        </row>
        <row r="73">
          <cell r="D73">
            <v>2182.687826802226</v>
          </cell>
        </row>
        <row r="74">
          <cell r="D74">
            <v>2179.8964475710586</v>
          </cell>
        </row>
        <row r="75">
          <cell r="D75">
            <v>2177.0887852943752</v>
          </cell>
        </row>
        <row r="76">
          <cell r="D76">
            <v>2174.2647449877445</v>
          </cell>
        </row>
        <row r="77">
          <cell r="D77">
            <v>2171.4242311126586</v>
          </cell>
        </row>
        <row r="78">
          <cell r="D78">
            <v>2168.567147573302</v>
          </cell>
        </row>
        <row r="79">
          <cell r="D79">
            <v>2165.6933977132985</v>
          </cell>
          <cell r="F79">
            <v>370766.20873927628</v>
          </cell>
        </row>
        <row r="80">
          <cell r="D80">
            <v>2162.8028843124453</v>
          </cell>
        </row>
        <row r="81">
          <cell r="D81">
            <v>2159.8955095834203</v>
          </cell>
        </row>
        <row r="82">
          <cell r="D82">
            <v>2156.9711751684758</v>
          </cell>
        </row>
        <row r="83">
          <cell r="D83">
            <v>2154.0297821361114</v>
          </cell>
        </row>
        <row r="84">
          <cell r="D84">
            <v>2151.0712309777241</v>
          </cell>
        </row>
        <row r="85">
          <cell r="D85">
            <v>2148.0954216042469</v>
          </cell>
        </row>
        <row r="86">
          <cell r="D86">
            <v>2145.1022533427576</v>
          </cell>
        </row>
        <row r="87">
          <cell r="D87">
            <v>2142.0916249330762</v>
          </cell>
        </row>
        <row r="88">
          <cell r="D88">
            <v>2139.0634345243384</v>
          </cell>
        </row>
        <row r="89">
          <cell r="D89">
            <v>2136.0175796715494</v>
          </cell>
        </row>
        <row r="90">
          <cell r="D90">
            <v>2132.953957332119</v>
          </cell>
        </row>
        <row r="91">
          <cell r="D91">
            <v>2129.8724638623758</v>
          </cell>
          <cell r="F91">
            <v>364589.65628812427</v>
          </cell>
        </row>
        <row r="92">
          <cell r="D92">
            <v>2126.7729950140583</v>
          </cell>
        </row>
        <row r="93">
          <cell r="D93">
            <v>2123.6554459307931</v>
          </cell>
        </row>
        <row r="94">
          <cell r="D94">
            <v>2120.5197111445418</v>
          </cell>
        </row>
        <row r="95">
          <cell r="D95">
            <v>2117.3656845720375</v>
          </cell>
        </row>
        <row r="96">
          <cell r="D96">
            <v>2114.1932595111934</v>
          </cell>
        </row>
        <row r="97">
          <cell r="D97">
            <v>2111.0023286374944</v>
          </cell>
        </row>
        <row r="98">
          <cell r="D98">
            <v>2107.7927840003654</v>
          </cell>
        </row>
        <row r="99">
          <cell r="D99">
            <v>2104.5645170195198</v>
          </cell>
        </row>
        <row r="100">
          <cell r="D100">
            <v>2101.3174184812865</v>
          </cell>
        </row>
        <row r="101">
          <cell r="D101">
            <v>2098.0513785349126</v>
          </cell>
        </row>
        <row r="102">
          <cell r="D102">
            <v>2094.7662866888522</v>
          </cell>
        </row>
        <row r="103">
          <cell r="D103">
            <v>2091.4620318070229</v>
          </cell>
          <cell r="F103">
            <v>357966.60036086559</v>
          </cell>
        </row>
        <row r="104">
          <cell r="D104">
            <v>2088.1385021050496</v>
          </cell>
        </row>
        <row r="105">
          <cell r="D105">
            <v>2084.7955851464812</v>
          </cell>
        </row>
        <row r="106">
          <cell r="D106">
            <v>2081.4331678389885</v>
          </cell>
        </row>
        <row r="107">
          <cell r="D107">
            <v>2078.0511364305348</v>
          </cell>
        </row>
        <row r="108">
          <cell r="D108">
            <v>2074.649376505532</v>
          </cell>
        </row>
        <row r="109">
          <cell r="D109">
            <v>2071.2277729809666</v>
          </cell>
        </row>
        <row r="110">
          <cell r="D110">
            <v>2067.786210102508</v>
          </cell>
        </row>
        <row r="111">
          <cell r="D111">
            <v>2064.3245714405916</v>
          </cell>
        </row>
        <row r="112">
          <cell r="D112">
            <v>2060.842739886481</v>
          </cell>
        </row>
        <row r="113">
          <cell r="D113">
            <v>2057.3405976483045</v>
          </cell>
        </row>
        <row r="114">
          <cell r="D114">
            <v>2053.8180262470723</v>
          </cell>
        </row>
        <row r="115">
          <cell r="D115">
            <v>2050.2749065126659</v>
          </cell>
          <cell r="F115">
            <v>350864.76318511006</v>
          </cell>
        </row>
        <row r="116">
          <cell r="D116">
            <v>2046.7111185798087</v>
          </cell>
        </row>
        <row r="117">
          <cell r="D117">
            <v>2043.1265418840103</v>
          </cell>
        </row>
        <row r="118">
          <cell r="D118">
            <v>2039.5210551574862</v>
          </cell>
        </row>
        <row r="119">
          <cell r="D119">
            <v>2035.8945364250574</v>
          </cell>
        </row>
        <row r="120">
          <cell r="D120">
            <v>2032.2468630000224</v>
          </cell>
        </row>
        <row r="121">
          <cell r="D121">
            <v>2028.5779114800082</v>
          </cell>
        </row>
        <row r="122">
          <cell r="D122">
            <v>2024.8875577427941</v>
          </cell>
        </row>
        <row r="123">
          <cell r="D123">
            <v>2021.1756769421127</v>
          </cell>
        </row>
        <row r="124">
          <cell r="D124">
            <v>2017.4421435034276</v>
          </cell>
        </row>
        <row r="125">
          <cell r="D125">
            <v>2013.6868311196833</v>
          </cell>
        </row>
        <row r="126">
          <cell r="D126">
            <v>2009.9096127470339</v>
          </cell>
        </row>
        <row r="127">
          <cell r="D127">
            <v>2006.1103606005443</v>
          </cell>
          <cell r="F127">
            <v>343249.53362569137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(good)"/>
      <sheetName val="Forecast (optimistic)"/>
      <sheetName val="Forecast (bad)"/>
      <sheetName val="Forecast (bankruptcy w payoff)"/>
      <sheetName val="Bankruptcy payoff"/>
      <sheetName val="Amort Table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2333.3333333333335</v>
          </cell>
        </row>
        <row r="9">
          <cell r="D9">
            <v>2331.4207195569306</v>
          </cell>
        </row>
        <row r="10">
          <cell r="D10">
            <v>2329.4969488668316</v>
          </cell>
        </row>
        <row r="11">
          <cell r="D11">
            <v>2327.5619561810408</v>
          </cell>
        </row>
        <row r="12">
          <cell r="D12">
            <v>2325.6156760379158</v>
          </cell>
        </row>
        <row r="13">
          <cell r="D13">
            <v>2323.658042593956</v>
          </cell>
        </row>
        <row r="14">
          <cell r="D14">
            <v>2321.688989621573</v>
          </cell>
        </row>
        <row r="15">
          <cell r="D15">
            <v>2319.7084505068515</v>
          </cell>
        </row>
        <row r="16">
          <cell r="D16">
            <v>2317.7163582472936</v>
          </cell>
        </row>
        <row r="17">
          <cell r="D17">
            <v>2315.7126454495551</v>
          </cell>
        </row>
        <row r="18">
          <cell r="D18">
            <v>2313.6972443271634</v>
          </cell>
        </row>
        <row r="19">
          <cell r="D19">
            <v>2311.6700866982242</v>
          </cell>
          <cell r="F19">
            <v>395936.76068281988</v>
          </cell>
        </row>
        <row r="20">
          <cell r="D20">
            <v>2309.6311039831162</v>
          </cell>
        </row>
        <row r="21">
          <cell r="D21">
            <v>2307.5802272021701</v>
          </cell>
        </row>
        <row r="22">
          <cell r="D22">
            <v>2305.5173869733353</v>
          </cell>
        </row>
        <row r="23">
          <cell r="D23">
            <v>2303.4425135098322</v>
          </cell>
        </row>
        <row r="24">
          <cell r="D24">
            <v>2301.355536617792</v>
          </cell>
        </row>
        <row r="25">
          <cell r="D25">
            <v>2299.2563856938814</v>
          </cell>
        </row>
        <row r="26">
          <cell r="D26">
            <v>2297.1449897229145</v>
          </cell>
        </row>
        <row r="27">
          <cell r="D27">
            <v>2295.0212772754508</v>
          </cell>
        </row>
        <row r="28">
          <cell r="D28">
            <v>2292.8851765053764</v>
          </cell>
        </row>
        <row r="29">
          <cell r="D29">
            <v>2290.7366151474766</v>
          </cell>
        </row>
        <row r="30">
          <cell r="D30">
            <v>2288.5755205149894</v>
          </cell>
        </row>
        <row r="31">
          <cell r="D31">
            <v>2286.4018194971463</v>
          </cell>
          <cell r="F31">
            <v>391579.78946686257</v>
          </cell>
        </row>
        <row r="32">
          <cell r="D32">
            <v>2284.2154385566987</v>
          </cell>
        </row>
        <row r="33">
          <cell r="D33">
            <v>2282.0163037274319</v>
          </cell>
        </row>
        <row r="34">
          <cell r="D34">
            <v>2279.8043406116608</v>
          </cell>
        </row>
        <row r="35">
          <cell r="D35">
            <v>2277.5794743777146</v>
          </cell>
        </row>
        <row r="36">
          <cell r="D36">
            <v>2275.3416297574036</v>
          </cell>
        </row>
        <row r="37">
          <cell r="D37">
            <v>2273.0907310434745</v>
          </cell>
        </row>
        <row r="38">
          <cell r="D38">
            <v>2270.8267020870467</v>
          </cell>
        </row>
        <row r="39">
          <cell r="D39">
            <v>2268.5494662950405</v>
          </cell>
        </row>
        <row r="40">
          <cell r="D40">
            <v>2266.2589466275804</v>
          </cell>
        </row>
        <row r="41">
          <cell r="D41">
            <v>2263.955065595394</v>
          </cell>
        </row>
        <row r="42">
          <cell r="D42">
            <v>2261.637745257186</v>
          </cell>
        </row>
        <row r="43">
          <cell r="D43">
            <v>2259.3069072170051</v>
          </cell>
          <cell r="F43">
            <v>386907.85244941543</v>
          </cell>
        </row>
        <row r="44">
          <cell r="D44">
            <v>2256.9624726215902</v>
          </cell>
        </row>
        <row r="45">
          <cell r="D45">
            <v>2254.6043621577014</v>
          </cell>
        </row>
        <row r="46">
          <cell r="D46">
            <v>2252.2324960494407</v>
          </cell>
        </row>
        <row r="47">
          <cell r="D47">
            <v>2249.8467940555479</v>
          </cell>
        </row>
        <row r="48">
          <cell r="D48">
            <v>2247.4471754666911</v>
          </cell>
        </row>
        <row r="49">
          <cell r="D49">
            <v>2245.0335591027324</v>
          </cell>
        </row>
        <row r="50">
          <cell r="D50">
            <v>2242.6058633099842</v>
          </cell>
        </row>
        <row r="51">
          <cell r="D51">
            <v>2240.1640059584447</v>
          </cell>
        </row>
        <row r="52">
          <cell r="D52">
            <v>2237.7079044390211</v>
          </cell>
        </row>
        <row r="53">
          <cell r="D53">
            <v>2235.2374756607346</v>
          </cell>
        </row>
        <row r="54">
          <cell r="D54">
            <v>2232.7526360479083</v>
          </cell>
        </row>
        <row r="55">
          <cell r="D55">
            <v>2230.2533015373401</v>
          </cell>
          <cell r="F55">
            <v>381898.18072722171</v>
          </cell>
        </row>
        <row r="56">
          <cell r="D56">
            <v>2227.7393875754601</v>
          </cell>
        </row>
        <row r="57">
          <cell r="D57">
            <v>2225.2108091154691</v>
          </cell>
        </row>
        <row r="58">
          <cell r="D58">
            <v>2222.667480614462</v>
          </cell>
        </row>
        <row r="59">
          <cell r="D59">
            <v>2220.1093160305322</v>
          </cell>
        </row>
        <row r="60">
          <cell r="D60">
            <v>2217.536228819863</v>
          </cell>
        </row>
        <row r="61">
          <cell r="D61">
            <v>2214.9481319337979</v>
          </cell>
        </row>
        <row r="62">
          <cell r="D62">
            <v>2212.3449378158971</v>
          </cell>
        </row>
        <row r="63">
          <cell r="D63">
            <v>2209.7265583989756</v>
          </cell>
        </row>
        <row r="64">
          <cell r="D64">
            <v>2207.0929051021217</v>
          </cell>
        </row>
        <row r="65">
          <cell r="D65">
            <v>2204.4438888277032</v>
          </cell>
        </row>
        <row r="66">
          <cell r="D66">
            <v>2201.7794199583509</v>
          </cell>
        </row>
        <row r="67">
          <cell r="D67">
            <v>2199.0994083539267</v>
          </cell>
          <cell r="F67">
            <v>376526.35943116748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easury.gov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50"/>
  <sheetViews>
    <sheetView topLeftCell="C105" zoomScale="78" zoomScaleNormal="85" zoomScalePageLayoutView="70" workbookViewId="0">
      <selection activeCell="P120" sqref="P120:P125"/>
    </sheetView>
  </sheetViews>
  <sheetFormatPr defaultColWidth="9.42578125" defaultRowHeight="15" x14ac:dyDescent="0.25"/>
  <cols>
    <col min="1" max="1" width="50.28515625" style="285" customWidth="1"/>
    <col min="2" max="2" width="9.5703125" style="285" customWidth="1"/>
    <col min="3" max="3" width="18.7109375" style="323" customWidth="1"/>
    <col min="4" max="4" width="18.28515625" style="285" customWidth="1"/>
    <col min="5" max="5" width="15" style="285" customWidth="1"/>
    <col min="6" max="6" width="15.28515625" style="285" customWidth="1"/>
    <col min="7" max="10" width="14.28515625" style="285" customWidth="1"/>
    <col min="11" max="11" width="21.7109375" style="285" customWidth="1"/>
    <col min="12" max="12" width="14.28515625" style="285" customWidth="1"/>
    <col min="13" max="13" width="13.7109375" style="285" bestFit="1" customWidth="1"/>
    <col min="14" max="14" width="11.85546875" style="285" bestFit="1" customWidth="1"/>
    <col min="15" max="15" width="16.7109375" customWidth="1"/>
    <col min="16" max="16" width="19.42578125" bestFit="1" customWidth="1"/>
    <col min="17" max="17" width="20.42578125" bestFit="1" customWidth="1"/>
    <col min="18" max="18" width="12.42578125" bestFit="1" customWidth="1"/>
    <col min="19" max="19" width="26.28515625" bestFit="1" customWidth="1"/>
    <col min="20" max="20" width="18.42578125" bestFit="1" customWidth="1"/>
    <col min="21" max="22" width="12.42578125" bestFit="1" customWidth="1"/>
    <col min="23" max="40" width="9.42578125" bestFit="1" customWidth="1"/>
    <col min="262" max="262" width="5.42578125" customWidth="1"/>
    <col min="263" max="263" width="41.140625" customWidth="1"/>
    <col min="264" max="264" width="17.42578125" customWidth="1"/>
    <col min="265" max="265" width="18.7109375" customWidth="1"/>
    <col min="266" max="266" width="14.28515625" customWidth="1"/>
    <col min="267" max="267" width="15" customWidth="1"/>
    <col min="268" max="268" width="14.28515625" customWidth="1"/>
    <col min="269" max="269" width="17" customWidth="1"/>
    <col min="270" max="270" width="19.42578125" customWidth="1"/>
    <col min="271" max="271" width="19.28515625" customWidth="1"/>
    <col min="518" max="518" width="5.42578125" customWidth="1"/>
    <col min="519" max="519" width="41.140625" customWidth="1"/>
    <col min="520" max="520" width="17.42578125" customWidth="1"/>
    <col min="521" max="521" width="18.7109375" customWidth="1"/>
    <col min="522" max="522" width="14.28515625" customWidth="1"/>
    <col min="523" max="523" width="15" customWidth="1"/>
    <col min="524" max="524" width="14.28515625" customWidth="1"/>
    <col min="525" max="525" width="17" customWidth="1"/>
    <col min="526" max="526" width="19.42578125" customWidth="1"/>
    <col min="527" max="527" width="19.28515625" customWidth="1"/>
    <col min="774" max="774" width="5.42578125" customWidth="1"/>
    <col min="775" max="775" width="41.140625" customWidth="1"/>
    <col min="776" max="776" width="17.42578125" customWidth="1"/>
    <col min="777" max="777" width="18.7109375" customWidth="1"/>
    <col min="778" max="778" width="14.28515625" customWidth="1"/>
    <col min="779" max="779" width="15" customWidth="1"/>
    <col min="780" max="780" width="14.28515625" customWidth="1"/>
    <col min="781" max="781" width="17" customWidth="1"/>
    <col min="782" max="782" width="19.42578125" customWidth="1"/>
    <col min="783" max="783" width="19.28515625" customWidth="1"/>
    <col min="1030" max="1030" width="5.42578125" customWidth="1"/>
    <col min="1031" max="1031" width="41.140625" customWidth="1"/>
    <col min="1032" max="1032" width="17.42578125" customWidth="1"/>
    <col min="1033" max="1033" width="18.7109375" customWidth="1"/>
    <col min="1034" max="1034" width="14.28515625" customWidth="1"/>
    <col min="1035" max="1035" width="15" customWidth="1"/>
    <col min="1036" max="1036" width="14.28515625" customWidth="1"/>
    <col min="1037" max="1037" width="17" customWidth="1"/>
    <col min="1038" max="1038" width="19.42578125" customWidth="1"/>
    <col min="1039" max="1039" width="19.28515625" customWidth="1"/>
    <col min="1286" max="1286" width="5.42578125" customWidth="1"/>
    <col min="1287" max="1287" width="41.140625" customWidth="1"/>
    <col min="1288" max="1288" width="17.42578125" customWidth="1"/>
    <col min="1289" max="1289" width="18.7109375" customWidth="1"/>
    <col min="1290" max="1290" width="14.28515625" customWidth="1"/>
    <col min="1291" max="1291" width="15" customWidth="1"/>
    <col min="1292" max="1292" width="14.28515625" customWidth="1"/>
    <col min="1293" max="1293" width="17" customWidth="1"/>
    <col min="1294" max="1294" width="19.42578125" customWidth="1"/>
    <col min="1295" max="1295" width="19.28515625" customWidth="1"/>
    <col min="1542" max="1542" width="5.42578125" customWidth="1"/>
    <col min="1543" max="1543" width="41.140625" customWidth="1"/>
    <col min="1544" max="1544" width="17.42578125" customWidth="1"/>
    <col min="1545" max="1545" width="18.7109375" customWidth="1"/>
    <col min="1546" max="1546" width="14.28515625" customWidth="1"/>
    <col min="1547" max="1547" width="15" customWidth="1"/>
    <col min="1548" max="1548" width="14.28515625" customWidth="1"/>
    <col min="1549" max="1549" width="17" customWidth="1"/>
    <col min="1550" max="1550" width="19.42578125" customWidth="1"/>
    <col min="1551" max="1551" width="19.28515625" customWidth="1"/>
    <col min="1798" max="1798" width="5.42578125" customWidth="1"/>
    <col min="1799" max="1799" width="41.140625" customWidth="1"/>
    <col min="1800" max="1800" width="17.42578125" customWidth="1"/>
    <col min="1801" max="1801" width="18.7109375" customWidth="1"/>
    <col min="1802" max="1802" width="14.28515625" customWidth="1"/>
    <col min="1803" max="1803" width="15" customWidth="1"/>
    <col min="1804" max="1804" width="14.28515625" customWidth="1"/>
    <col min="1805" max="1805" width="17" customWidth="1"/>
    <col min="1806" max="1806" width="19.42578125" customWidth="1"/>
    <col min="1807" max="1807" width="19.28515625" customWidth="1"/>
    <col min="2054" max="2054" width="5.42578125" customWidth="1"/>
    <col min="2055" max="2055" width="41.140625" customWidth="1"/>
    <col min="2056" max="2056" width="17.42578125" customWidth="1"/>
    <col min="2057" max="2057" width="18.7109375" customWidth="1"/>
    <col min="2058" max="2058" width="14.28515625" customWidth="1"/>
    <col min="2059" max="2059" width="15" customWidth="1"/>
    <col min="2060" max="2060" width="14.28515625" customWidth="1"/>
    <col min="2061" max="2061" width="17" customWidth="1"/>
    <col min="2062" max="2062" width="19.42578125" customWidth="1"/>
    <col min="2063" max="2063" width="19.28515625" customWidth="1"/>
    <col min="2310" max="2310" width="5.42578125" customWidth="1"/>
    <col min="2311" max="2311" width="41.140625" customWidth="1"/>
    <col min="2312" max="2312" width="17.42578125" customWidth="1"/>
    <col min="2313" max="2313" width="18.7109375" customWidth="1"/>
    <col min="2314" max="2314" width="14.28515625" customWidth="1"/>
    <col min="2315" max="2315" width="15" customWidth="1"/>
    <col min="2316" max="2316" width="14.28515625" customWidth="1"/>
    <col min="2317" max="2317" width="17" customWidth="1"/>
    <col min="2318" max="2318" width="19.42578125" customWidth="1"/>
    <col min="2319" max="2319" width="19.28515625" customWidth="1"/>
    <col min="2566" max="2566" width="5.42578125" customWidth="1"/>
    <col min="2567" max="2567" width="41.140625" customWidth="1"/>
    <col min="2568" max="2568" width="17.42578125" customWidth="1"/>
    <col min="2569" max="2569" width="18.7109375" customWidth="1"/>
    <col min="2570" max="2570" width="14.28515625" customWidth="1"/>
    <col min="2571" max="2571" width="15" customWidth="1"/>
    <col min="2572" max="2572" width="14.28515625" customWidth="1"/>
    <col min="2573" max="2573" width="17" customWidth="1"/>
    <col min="2574" max="2574" width="19.42578125" customWidth="1"/>
    <col min="2575" max="2575" width="19.28515625" customWidth="1"/>
    <col min="2822" max="2822" width="5.42578125" customWidth="1"/>
    <col min="2823" max="2823" width="41.140625" customWidth="1"/>
    <col min="2824" max="2824" width="17.42578125" customWidth="1"/>
    <col min="2825" max="2825" width="18.7109375" customWidth="1"/>
    <col min="2826" max="2826" width="14.28515625" customWidth="1"/>
    <col min="2827" max="2827" width="15" customWidth="1"/>
    <col min="2828" max="2828" width="14.28515625" customWidth="1"/>
    <col min="2829" max="2829" width="17" customWidth="1"/>
    <col min="2830" max="2830" width="19.42578125" customWidth="1"/>
    <col min="2831" max="2831" width="19.28515625" customWidth="1"/>
    <col min="3078" max="3078" width="5.42578125" customWidth="1"/>
    <col min="3079" max="3079" width="41.140625" customWidth="1"/>
    <col min="3080" max="3080" width="17.42578125" customWidth="1"/>
    <col min="3081" max="3081" width="18.7109375" customWidth="1"/>
    <col min="3082" max="3082" width="14.28515625" customWidth="1"/>
    <col min="3083" max="3083" width="15" customWidth="1"/>
    <col min="3084" max="3084" width="14.28515625" customWidth="1"/>
    <col min="3085" max="3085" width="17" customWidth="1"/>
    <col min="3086" max="3086" width="19.42578125" customWidth="1"/>
    <col min="3087" max="3087" width="19.28515625" customWidth="1"/>
    <col min="3334" max="3334" width="5.42578125" customWidth="1"/>
    <col min="3335" max="3335" width="41.140625" customWidth="1"/>
    <col min="3336" max="3336" width="17.42578125" customWidth="1"/>
    <col min="3337" max="3337" width="18.7109375" customWidth="1"/>
    <col min="3338" max="3338" width="14.28515625" customWidth="1"/>
    <col min="3339" max="3339" width="15" customWidth="1"/>
    <col min="3340" max="3340" width="14.28515625" customWidth="1"/>
    <col min="3341" max="3341" width="17" customWidth="1"/>
    <col min="3342" max="3342" width="19.42578125" customWidth="1"/>
    <col min="3343" max="3343" width="19.28515625" customWidth="1"/>
    <col min="3590" max="3590" width="5.42578125" customWidth="1"/>
    <col min="3591" max="3591" width="41.140625" customWidth="1"/>
    <col min="3592" max="3592" width="17.42578125" customWidth="1"/>
    <col min="3593" max="3593" width="18.7109375" customWidth="1"/>
    <col min="3594" max="3594" width="14.28515625" customWidth="1"/>
    <col min="3595" max="3595" width="15" customWidth="1"/>
    <col min="3596" max="3596" width="14.28515625" customWidth="1"/>
    <col min="3597" max="3597" width="17" customWidth="1"/>
    <col min="3598" max="3598" width="19.42578125" customWidth="1"/>
    <col min="3599" max="3599" width="19.28515625" customWidth="1"/>
    <col min="3846" max="3846" width="5.42578125" customWidth="1"/>
    <col min="3847" max="3847" width="41.140625" customWidth="1"/>
    <col min="3848" max="3848" width="17.42578125" customWidth="1"/>
    <col min="3849" max="3849" width="18.7109375" customWidth="1"/>
    <col min="3850" max="3850" width="14.28515625" customWidth="1"/>
    <col min="3851" max="3851" width="15" customWidth="1"/>
    <col min="3852" max="3852" width="14.28515625" customWidth="1"/>
    <col min="3853" max="3853" width="17" customWidth="1"/>
    <col min="3854" max="3854" width="19.42578125" customWidth="1"/>
    <col min="3855" max="3855" width="19.28515625" customWidth="1"/>
    <col min="4102" max="4102" width="5.42578125" customWidth="1"/>
    <col min="4103" max="4103" width="41.140625" customWidth="1"/>
    <col min="4104" max="4104" width="17.42578125" customWidth="1"/>
    <col min="4105" max="4105" width="18.7109375" customWidth="1"/>
    <col min="4106" max="4106" width="14.28515625" customWidth="1"/>
    <col min="4107" max="4107" width="15" customWidth="1"/>
    <col min="4108" max="4108" width="14.28515625" customWidth="1"/>
    <col min="4109" max="4109" width="17" customWidth="1"/>
    <col min="4110" max="4110" width="19.42578125" customWidth="1"/>
    <col min="4111" max="4111" width="19.28515625" customWidth="1"/>
    <col min="4358" max="4358" width="5.42578125" customWidth="1"/>
    <col min="4359" max="4359" width="41.140625" customWidth="1"/>
    <col min="4360" max="4360" width="17.42578125" customWidth="1"/>
    <col min="4361" max="4361" width="18.7109375" customWidth="1"/>
    <col min="4362" max="4362" width="14.28515625" customWidth="1"/>
    <col min="4363" max="4363" width="15" customWidth="1"/>
    <col min="4364" max="4364" width="14.28515625" customWidth="1"/>
    <col min="4365" max="4365" width="17" customWidth="1"/>
    <col min="4366" max="4366" width="19.42578125" customWidth="1"/>
    <col min="4367" max="4367" width="19.28515625" customWidth="1"/>
    <col min="4614" max="4614" width="5.42578125" customWidth="1"/>
    <col min="4615" max="4615" width="41.140625" customWidth="1"/>
    <col min="4616" max="4616" width="17.42578125" customWidth="1"/>
    <col min="4617" max="4617" width="18.7109375" customWidth="1"/>
    <col min="4618" max="4618" width="14.28515625" customWidth="1"/>
    <col min="4619" max="4619" width="15" customWidth="1"/>
    <col min="4620" max="4620" width="14.28515625" customWidth="1"/>
    <col min="4621" max="4621" width="17" customWidth="1"/>
    <col min="4622" max="4622" width="19.42578125" customWidth="1"/>
    <col min="4623" max="4623" width="19.28515625" customWidth="1"/>
    <col min="4870" max="4870" width="5.42578125" customWidth="1"/>
    <col min="4871" max="4871" width="41.140625" customWidth="1"/>
    <col min="4872" max="4872" width="17.42578125" customWidth="1"/>
    <col min="4873" max="4873" width="18.7109375" customWidth="1"/>
    <col min="4874" max="4874" width="14.28515625" customWidth="1"/>
    <col min="4875" max="4875" width="15" customWidth="1"/>
    <col min="4876" max="4876" width="14.28515625" customWidth="1"/>
    <col min="4877" max="4877" width="17" customWidth="1"/>
    <col min="4878" max="4878" width="19.42578125" customWidth="1"/>
    <col min="4879" max="4879" width="19.28515625" customWidth="1"/>
    <col min="5126" max="5126" width="5.42578125" customWidth="1"/>
    <col min="5127" max="5127" width="41.140625" customWidth="1"/>
    <col min="5128" max="5128" width="17.42578125" customWidth="1"/>
    <col min="5129" max="5129" width="18.7109375" customWidth="1"/>
    <col min="5130" max="5130" width="14.28515625" customWidth="1"/>
    <col min="5131" max="5131" width="15" customWidth="1"/>
    <col min="5132" max="5132" width="14.28515625" customWidth="1"/>
    <col min="5133" max="5133" width="17" customWidth="1"/>
    <col min="5134" max="5134" width="19.42578125" customWidth="1"/>
    <col min="5135" max="5135" width="19.28515625" customWidth="1"/>
    <col min="5382" max="5382" width="5.42578125" customWidth="1"/>
    <col min="5383" max="5383" width="41.140625" customWidth="1"/>
    <col min="5384" max="5384" width="17.42578125" customWidth="1"/>
    <col min="5385" max="5385" width="18.7109375" customWidth="1"/>
    <col min="5386" max="5386" width="14.28515625" customWidth="1"/>
    <col min="5387" max="5387" width="15" customWidth="1"/>
    <col min="5388" max="5388" width="14.28515625" customWidth="1"/>
    <col min="5389" max="5389" width="17" customWidth="1"/>
    <col min="5390" max="5390" width="19.42578125" customWidth="1"/>
    <col min="5391" max="5391" width="19.28515625" customWidth="1"/>
    <col min="5638" max="5638" width="5.42578125" customWidth="1"/>
    <col min="5639" max="5639" width="41.140625" customWidth="1"/>
    <col min="5640" max="5640" width="17.42578125" customWidth="1"/>
    <col min="5641" max="5641" width="18.7109375" customWidth="1"/>
    <col min="5642" max="5642" width="14.28515625" customWidth="1"/>
    <col min="5643" max="5643" width="15" customWidth="1"/>
    <col min="5644" max="5644" width="14.28515625" customWidth="1"/>
    <col min="5645" max="5645" width="17" customWidth="1"/>
    <col min="5646" max="5646" width="19.42578125" customWidth="1"/>
    <col min="5647" max="5647" width="19.28515625" customWidth="1"/>
    <col min="5894" max="5894" width="5.42578125" customWidth="1"/>
    <col min="5895" max="5895" width="41.140625" customWidth="1"/>
    <col min="5896" max="5896" width="17.42578125" customWidth="1"/>
    <col min="5897" max="5897" width="18.7109375" customWidth="1"/>
    <col min="5898" max="5898" width="14.28515625" customWidth="1"/>
    <col min="5899" max="5899" width="15" customWidth="1"/>
    <col min="5900" max="5900" width="14.28515625" customWidth="1"/>
    <col min="5901" max="5901" width="17" customWidth="1"/>
    <col min="5902" max="5902" width="19.42578125" customWidth="1"/>
    <col min="5903" max="5903" width="19.28515625" customWidth="1"/>
    <col min="6150" max="6150" width="5.42578125" customWidth="1"/>
    <col min="6151" max="6151" width="41.140625" customWidth="1"/>
    <col min="6152" max="6152" width="17.42578125" customWidth="1"/>
    <col min="6153" max="6153" width="18.7109375" customWidth="1"/>
    <col min="6154" max="6154" width="14.28515625" customWidth="1"/>
    <col min="6155" max="6155" width="15" customWidth="1"/>
    <col min="6156" max="6156" width="14.28515625" customWidth="1"/>
    <col min="6157" max="6157" width="17" customWidth="1"/>
    <col min="6158" max="6158" width="19.42578125" customWidth="1"/>
    <col min="6159" max="6159" width="19.28515625" customWidth="1"/>
    <col min="6406" max="6406" width="5.42578125" customWidth="1"/>
    <col min="6407" max="6407" width="41.140625" customWidth="1"/>
    <col min="6408" max="6408" width="17.42578125" customWidth="1"/>
    <col min="6409" max="6409" width="18.7109375" customWidth="1"/>
    <col min="6410" max="6410" width="14.28515625" customWidth="1"/>
    <col min="6411" max="6411" width="15" customWidth="1"/>
    <col min="6412" max="6412" width="14.28515625" customWidth="1"/>
    <col min="6413" max="6413" width="17" customWidth="1"/>
    <col min="6414" max="6414" width="19.42578125" customWidth="1"/>
    <col min="6415" max="6415" width="19.28515625" customWidth="1"/>
    <col min="6662" max="6662" width="5.42578125" customWidth="1"/>
    <col min="6663" max="6663" width="41.140625" customWidth="1"/>
    <col min="6664" max="6664" width="17.42578125" customWidth="1"/>
    <col min="6665" max="6665" width="18.7109375" customWidth="1"/>
    <col min="6666" max="6666" width="14.28515625" customWidth="1"/>
    <col min="6667" max="6667" width="15" customWidth="1"/>
    <col min="6668" max="6668" width="14.28515625" customWidth="1"/>
    <col min="6669" max="6669" width="17" customWidth="1"/>
    <col min="6670" max="6670" width="19.42578125" customWidth="1"/>
    <col min="6671" max="6671" width="19.28515625" customWidth="1"/>
    <col min="6918" max="6918" width="5.42578125" customWidth="1"/>
    <col min="6919" max="6919" width="41.140625" customWidth="1"/>
    <col min="6920" max="6920" width="17.42578125" customWidth="1"/>
    <col min="6921" max="6921" width="18.7109375" customWidth="1"/>
    <col min="6922" max="6922" width="14.28515625" customWidth="1"/>
    <col min="6923" max="6923" width="15" customWidth="1"/>
    <col min="6924" max="6924" width="14.28515625" customWidth="1"/>
    <col min="6925" max="6925" width="17" customWidth="1"/>
    <col min="6926" max="6926" width="19.42578125" customWidth="1"/>
    <col min="6927" max="6927" width="19.28515625" customWidth="1"/>
    <col min="7174" max="7174" width="5.42578125" customWidth="1"/>
    <col min="7175" max="7175" width="41.140625" customWidth="1"/>
    <col min="7176" max="7176" width="17.42578125" customWidth="1"/>
    <col min="7177" max="7177" width="18.7109375" customWidth="1"/>
    <col min="7178" max="7178" width="14.28515625" customWidth="1"/>
    <col min="7179" max="7179" width="15" customWidth="1"/>
    <col min="7180" max="7180" width="14.28515625" customWidth="1"/>
    <col min="7181" max="7181" width="17" customWidth="1"/>
    <col min="7182" max="7182" width="19.42578125" customWidth="1"/>
    <col min="7183" max="7183" width="19.28515625" customWidth="1"/>
    <col min="7430" max="7430" width="5.42578125" customWidth="1"/>
    <col min="7431" max="7431" width="41.140625" customWidth="1"/>
    <col min="7432" max="7432" width="17.42578125" customWidth="1"/>
    <col min="7433" max="7433" width="18.7109375" customWidth="1"/>
    <col min="7434" max="7434" width="14.28515625" customWidth="1"/>
    <col min="7435" max="7435" width="15" customWidth="1"/>
    <col min="7436" max="7436" width="14.28515625" customWidth="1"/>
    <col min="7437" max="7437" width="17" customWidth="1"/>
    <col min="7438" max="7438" width="19.42578125" customWidth="1"/>
    <col min="7439" max="7439" width="19.28515625" customWidth="1"/>
    <col min="7686" max="7686" width="5.42578125" customWidth="1"/>
    <col min="7687" max="7687" width="41.140625" customWidth="1"/>
    <col min="7688" max="7688" width="17.42578125" customWidth="1"/>
    <col min="7689" max="7689" width="18.7109375" customWidth="1"/>
    <col min="7690" max="7690" width="14.28515625" customWidth="1"/>
    <col min="7691" max="7691" width="15" customWidth="1"/>
    <col min="7692" max="7692" width="14.28515625" customWidth="1"/>
    <col min="7693" max="7693" width="17" customWidth="1"/>
    <col min="7694" max="7694" width="19.42578125" customWidth="1"/>
    <col min="7695" max="7695" width="19.28515625" customWidth="1"/>
    <col min="7942" max="7942" width="5.42578125" customWidth="1"/>
    <col min="7943" max="7943" width="41.140625" customWidth="1"/>
    <col min="7944" max="7944" width="17.42578125" customWidth="1"/>
    <col min="7945" max="7945" width="18.7109375" customWidth="1"/>
    <col min="7946" max="7946" width="14.28515625" customWidth="1"/>
    <col min="7947" max="7947" width="15" customWidth="1"/>
    <col min="7948" max="7948" width="14.28515625" customWidth="1"/>
    <col min="7949" max="7949" width="17" customWidth="1"/>
    <col min="7950" max="7950" width="19.42578125" customWidth="1"/>
    <col min="7951" max="7951" width="19.28515625" customWidth="1"/>
    <col min="8198" max="8198" width="5.42578125" customWidth="1"/>
    <col min="8199" max="8199" width="41.140625" customWidth="1"/>
    <col min="8200" max="8200" width="17.42578125" customWidth="1"/>
    <col min="8201" max="8201" width="18.7109375" customWidth="1"/>
    <col min="8202" max="8202" width="14.28515625" customWidth="1"/>
    <col min="8203" max="8203" width="15" customWidth="1"/>
    <col min="8204" max="8204" width="14.28515625" customWidth="1"/>
    <col min="8205" max="8205" width="17" customWidth="1"/>
    <col min="8206" max="8206" width="19.42578125" customWidth="1"/>
    <col min="8207" max="8207" width="19.28515625" customWidth="1"/>
    <col min="8454" max="8454" width="5.42578125" customWidth="1"/>
    <col min="8455" max="8455" width="41.140625" customWidth="1"/>
    <col min="8456" max="8456" width="17.42578125" customWidth="1"/>
    <col min="8457" max="8457" width="18.7109375" customWidth="1"/>
    <col min="8458" max="8458" width="14.28515625" customWidth="1"/>
    <col min="8459" max="8459" width="15" customWidth="1"/>
    <col min="8460" max="8460" width="14.28515625" customWidth="1"/>
    <col min="8461" max="8461" width="17" customWidth="1"/>
    <col min="8462" max="8462" width="19.42578125" customWidth="1"/>
    <col min="8463" max="8463" width="19.28515625" customWidth="1"/>
    <col min="8710" max="8710" width="5.42578125" customWidth="1"/>
    <col min="8711" max="8711" width="41.140625" customWidth="1"/>
    <col min="8712" max="8712" width="17.42578125" customWidth="1"/>
    <col min="8713" max="8713" width="18.7109375" customWidth="1"/>
    <col min="8714" max="8714" width="14.28515625" customWidth="1"/>
    <col min="8715" max="8715" width="15" customWidth="1"/>
    <col min="8716" max="8716" width="14.28515625" customWidth="1"/>
    <col min="8717" max="8717" width="17" customWidth="1"/>
    <col min="8718" max="8718" width="19.42578125" customWidth="1"/>
    <col min="8719" max="8719" width="19.28515625" customWidth="1"/>
    <col min="8966" max="8966" width="5.42578125" customWidth="1"/>
    <col min="8967" max="8967" width="41.140625" customWidth="1"/>
    <col min="8968" max="8968" width="17.42578125" customWidth="1"/>
    <col min="8969" max="8969" width="18.7109375" customWidth="1"/>
    <col min="8970" max="8970" width="14.28515625" customWidth="1"/>
    <col min="8971" max="8971" width="15" customWidth="1"/>
    <col min="8972" max="8972" width="14.28515625" customWidth="1"/>
    <col min="8973" max="8973" width="17" customWidth="1"/>
    <col min="8974" max="8974" width="19.42578125" customWidth="1"/>
    <col min="8975" max="8975" width="19.28515625" customWidth="1"/>
    <col min="9222" max="9222" width="5.42578125" customWidth="1"/>
    <col min="9223" max="9223" width="41.140625" customWidth="1"/>
    <col min="9224" max="9224" width="17.42578125" customWidth="1"/>
    <col min="9225" max="9225" width="18.7109375" customWidth="1"/>
    <col min="9226" max="9226" width="14.28515625" customWidth="1"/>
    <col min="9227" max="9227" width="15" customWidth="1"/>
    <col min="9228" max="9228" width="14.28515625" customWidth="1"/>
    <col min="9229" max="9229" width="17" customWidth="1"/>
    <col min="9230" max="9230" width="19.42578125" customWidth="1"/>
    <col min="9231" max="9231" width="19.28515625" customWidth="1"/>
    <col min="9478" max="9478" width="5.42578125" customWidth="1"/>
    <col min="9479" max="9479" width="41.140625" customWidth="1"/>
    <col min="9480" max="9480" width="17.42578125" customWidth="1"/>
    <col min="9481" max="9481" width="18.7109375" customWidth="1"/>
    <col min="9482" max="9482" width="14.28515625" customWidth="1"/>
    <col min="9483" max="9483" width="15" customWidth="1"/>
    <col min="9484" max="9484" width="14.28515625" customWidth="1"/>
    <col min="9485" max="9485" width="17" customWidth="1"/>
    <col min="9486" max="9486" width="19.42578125" customWidth="1"/>
    <col min="9487" max="9487" width="19.28515625" customWidth="1"/>
    <col min="9734" max="9734" width="5.42578125" customWidth="1"/>
    <col min="9735" max="9735" width="41.140625" customWidth="1"/>
    <col min="9736" max="9736" width="17.42578125" customWidth="1"/>
    <col min="9737" max="9737" width="18.7109375" customWidth="1"/>
    <col min="9738" max="9738" width="14.28515625" customWidth="1"/>
    <col min="9739" max="9739" width="15" customWidth="1"/>
    <col min="9740" max="9740" width="14.28515625" customWidth="1"/>
    <col min="9741" max="9741" width="17" customWidth="1"/>
    <col min="9742" max="9742" width="19.42578125" customWidth="1"/>
    <col min="9743" max="9743" width="19.28515625" customWidth="1"/>
    <col min="9990" max="9990" width="5.42578125" customWidth="1"/>
    <col min="9991" max="9991" width="41.140625" customWidth="1"/>
    <col min="9992" max="9992" width="17.42578125" customWidth="1"/>
    <col min="9993" max="9993" width="18.7109375" customWidth="1"/>
    <col min="9994" max="9994" width="14.28515625" customWidth="1"/>
    <col min="9995" max="9995" width="15" customWidth="1"/>
    <col min="9996" max="9996" width="14.28515625" customWidth="1"/>
    <col min="9997" max="9997" width="17" customWidth="1"/>
    <col min="9998" max="9998" width="19.42578125" customWidth="1"/>
    <col min="9999" max="9999" width="19.28515625" customWidth="1"/>
    <col min="10246" max="10246" width="5.42578125" customWidth="1"/>
    <col min="10247" max="10247" width="41.140625" customWidth="1"/>
    <col min="10248" max="10248" width="17.42578125" customWidth="1"/>
    <col min="10249" max="10249" width="18.7109375" customWidth="1"/>
    <col min="10250" max="10250" width="14.28515625" customWidth="1"/>
    <col min="10251" max="10251" width="15" customWidth="1"/>
    <col min="10252" max="10252" width="14.28515625" customWidth="1"/>
    <col min="10253" max="10253" width="17" customWidth="1"/>
    <col min="10254" max="10254" width="19.42578125" customWidth="1"/>
    <col min="10255" max="10255" width="19.28515625" customWidth="1"/>
    <col min="10502" max="10502" width="5.42578125" customWidth="1"/>
    <col min="10503" max="10503" width="41.140625" customWidth="1"/>
    <col min="10504" max="10504" width="17.42578125" customWidth="1"/>
    <col min="10505" max="10505" width="18.7109375" customWidth="1"/>
    <col min="10506" max="10506" width="14.28515625" customWidth="1"/>
    <col min="10507" max="10507" width="15" customWidth="1"/>
    <col min="10508" max="10508" width="14.28515625" customWidth="1"/>
    <col min="10509" max="10509" width="17" customWidth="1"/>
    <col min="10510" max="10510" width="19.42578125" customWidth="1"/>
    <col min="10511" max="10511" width="19.28515625" customWidth="1"/>
    <col min="10758" max="10758" width="5.42578125" customWidth="1"/>
    <col min="10759" max="10759" width="41.140625" customWidth="1"/>
    <col min="10760" max="10760" width="17.42578125" customWidth="1"/>
    <col min="10761" max="10761" width="18.7109375" customWidth="1"/>
    <col min="10762" max="10762" width="14.28515625" customWidth="1"/>
    <col min="10763" max="10763" width="15" customWidth="1"/>
    <col min="10764" max="10764" width="14.28515625" customWidth="1"/>
    <col min="10765" max="10765" width="17" customWidth="1"/>
    <col min="10766" max="10766" width="19.42578125" customWidth="1"/>
    <col min="10767" max="10767" width="19.28515625" customWidth="1"/>
    <col min="11014" max="11014" width="5.42578125" customWidth="1"/>
    <col min="11015" max="11015" width="41.140625" customWidth="1"/>
    <col min="11016" max="11016" width="17.42578125" customWidth="1"/>
    <col min="11017" max="11017" width="18.7109375" customWidth="1"/>
    <col min="11018" max="11018" width="14.28515625" customWidth="1"/>
    <col min="11019" max="11019" width="15" customWidth="1"/>
    <col min="11020" max="11020" width="14.28515625" customWidth="1"/>
    <col min="11021" max="11021" width="17" customWidth="1"/>
    <col min="11022" max="11022" width="19.42578125" customWidth="1"/>
    <col min="11023" max="11023" width="19.28515625" customWidth="1"/>
    <col min="11270" max="11270" width="5.42578125" customWidth="1"/>
    <col min="11271" max="11271" width="41.140625" customWidth="1"/>
    <col min="11272" max="11272" width="17.42578125" customWidth="1"/>
    <col min="11273" max="11273" width="18.7109375" customWidth="1"/>
    <col min="11274" max="11274" width="14.28515625" customWidth="1"/>
    <col min="11275" max="11275" width="15" customWidth="1"/>
    <col min="11276" max="11276" width="14.28515625" customWidth="1"/>
    <col min="11277" max="11277" width="17" customWidth="1"/>
    <col min="11278" max="11278" width="19.42578125" customWidth="1"/>
    <col min="11279" max="11279" width="19.28515625" customWidth="1"/>
    <col min="11526" max="11526" width="5.42578125" customWidth="1"/>
    <col min="11527" max="11527" width="41.140625" customWidth="1"/>
    <col min="11528" max="11528" width="17.42578125" customWidth="1"/>
    <col min="11529" max="11529" width="18.7109375" customWidth="1"/>
    <col min="11530" max="11530" width="14.28515625" customWidth="1"/>
    <col min="11531" max="11531" width="15" customWidth="1"/>
    <col min="11532" max="11532" width="14.28515625" customWidth="1"/>
    <col min="11533" max="11533" width="17" customWidth="1"/>
    <col min="11534" max="11534" width="19.42578125" customWidth="1"/>
    <col min="11535" max="11535" width="19.28515625" customWidth="1"/>
    <col min="11782" max="11782" width="5.42578125" customWidth="1"/>
    <col min="11783" max="11783" width="41.140625" customWidth="1"/>
    <col min="11784" max="11784" width="17.42578125" customWidth="1"/>
    <col min="11785" max="11785" width="18.7109375" customWidth="1"/>
    <col min="11786" max="11786" width="14.28515625" customWidth="1"/>
    <col min="11787" max="11787" width="15" customWidth="1"/>
    <col min="11788" max="11788" width="14.28515625" customWidth="1"/>
    <col min="11789" max="11789" width="17" customWidth="1"/>
    <col min="11790" max="11790" width="19.42578125" customWidth="1"/>
    <col min="11791" max="11791" width="19.28515625" customWidth="1"/>
    <col min="12038" max="12038" width="5.42578125" customWidth="1"/>
    <col min="12039" max="12039" width="41.140625" customWidth="1"/>
    <col min="12040" max="12040" width="17.42578125" customWidth="1"/>
    <col min="12041" max="12041" width="18.7109375" customWidth="1"/>
    <col min="12042" max="12042" width="14.28515625" customWidth="1"/>
    <col min="12043" max="12043" width="15" customWidth="1"/>
    <col min="12044" max="12044" width="14.28515625" customWidth="1"/>
    <col min="12045" max="12045" width="17" customWidth="1"/>
    <col min="12046" max="12046" width="19.42578125" customWidth="1"/>
    <col min="12047" max="12047" width="19.28515625" customWidth="1"/>
    <col min="12294" max="12294" width="5.42578125" customWidth="1"/>
    <col min="12295" max="12295" width="41.140625" customWidth="1"/>
    <col min="12296" max="12296" width="17.42578125" customWidth="1"/>
    <col min="12297" max="12297" width="18.7109375" customWidth="1"/>
    <col min="12298" max="12298" width="14.28515625" customWidth="1"/>
    <col min="12299" max="12299" width="15" customWidth="1"/>
    <col min="12300" max="12300" width="14.28515625" customWidth="1"/>
    <col min="12301" max="12301" width="17" customWidth="1"/>
    <col min="12302" max="12302" width="19.42578125" customWidth="1"/>
    <col min="12303" max="12303" width="19.28515625" customWidth="1"/>
    <col min="12550" max="12550" width="5.42578125" customWidth="1"/>
    <col min="12551" max="12551" width="41.140625" customWidth="1"/>
    <col min="12552" max="12552" width="17.42578125" customWidth="1"/>
    <col min="12553" max="12553" width="18.7109375" customWidth="1"/>
    <col min="12554" max="12554" width="14.28515625" customWidth="1"/>
    <col min="12555" max="12555" width="15" customWidth="1"/>
    <col min="12556" max="12556" width="14.28515625" customWidth="1"/>
    <col min="12557" max="12557" width="17" customWidth="1"/>
    <col min="12558" max="12558" width="19.42578125" customWidth="1"/>
    <col min="12559" max="12559" width="19.28515625" customWidth="1"/>
    <col min="12806" max="12806" width="5.42578125" customWidth="1"/>
    <col min="12807" max="12807" width="41.140625" customWidth="1"/>
    <col min="12808" max="12808" width="17.42578125" customWidth="1"/>
    <col min="12809" max="12809" width="18.7109375" customWidth="1"/>
    <col min="12810" max="12810" width="14.28515625" customWidth="1"/>
    <col min="12811" max="12811" width="15" customWidth="1"/>
    <col min="12812" max="12812" width="14.28515625" customWidth="1"/>
    <col min="12813" max="12813" width="17" customWidth="1"/>
    <col min="12814" max="12814" width="19.42578125" customWidth="1"/>
    <col min="12815" max="12815" width="19.28515625" customWidth="1"/>
    <col min="13062" max="13062" width="5.42578125" customWidth="1"/>
    <col min="13063" max="13063" width="41.140625" customWidth="1"/>
    <col min="13064" max="13064" width="17.42578125" customWidth="1"/>
    <col min="13065" max="13065" width="18.7109375" customWidth="1"/>
    <col min="13066" max="13066" width="14.28515625" customWidth="1"/>
    <col min="13067" max="13067" width="15" customWidth="1"/>
    <col min="13068" max="13068" width="14.28515625" customWidth="1"/>
    <col min="13069" max="13069" width="17" customWidth="1"/>
    <col min="13070" max="13070" width="19.42578125" customWidth="1"/>
    <col min="13071" max="13071" width="19.28515625" customWidth="1"/>
    <col min="13318" max="13318" width="5.42578125" customWidth="1"/>
    <col min="13319" max="13319" width="41.140625" customWidth="1"/>
    <col min="13320" max="13320" width="17.42578125" customWidth="1"/>
    <col min="13321" max="13321" width="18.7109375" customWidth="1"/>
    <col min="13322" max="13322" width="14.28515625" customWidth="1"/>
    <col min="13323" max="13323" width="15" customWidth="1"/>
    <col min="13324" max="13324" width="14.28515625" customWidth="1"/>
    <col min="13325" max="13325" width="17" customWidth="1"/>
    <col min="13326" max="13326" width="19.42578125" customWidth="1"/>
    <col min="13327" max="13327" width="19.28515625" customWidth="1"/>
    <col min="13574" max="13574" width="5.42578125" customWidth="1"/>
    <col min="13575" max="13575" width="41.140625" customWidth="1"/>
    <col min="13576" max="13576" width="17.42578125" customWidth="1"/>
    <col min="13577" max="13577" width="18.7109375" customWidth="1"/>
    <col min="13578" max="13578" width="14.28515625" customWidth="1"/>
    <col min="13579" max="13579" width="15" customWidth="1"/>
    <col min="13580" max="13580" width="14.28515625" customWidth="1"/>
    <col min="13581" max="13581" width="17" customWidth="1"/>
    <col min="13582" max="13582" width="19.42578125" customWidth="1"/>
    <col min="13583" max="13583" width="19.28515625" customWidth="1"/>
    <col min="13830" max="13830" width="5.42578125" customWidth="1"/>
    <col min="13831" max="13831" width="41.140625" customWidth="1"/>
    <col min="13832" max="13832" width="17.42578125" customWidth="1"/>
    <col min="13833" max="13833" width="18.7109375" customWidth="1"/>
    <col min="13834" max="13834" width="14.28515625" customWidth="1"/>
    <col min="13835" max="13835" width="15" customWidth="1"/>
    <col min="13836" max="13836" width="14.28515625" customWidth="1"/>
    <col min="13837" max="13837" width="17" customWidth="1"/>
    <col min="13838" max="13838" width="19.42578125" customWidth="1"/>
    <col min="13839" max="13839" width="19.28515625" customWidth="1"/>
    <col min="14086" max="14086" width="5.42578125" customWidth="1"/>
    <col min="14087" max="14087" width="41.140625" customWidth="1"/>
    <col min="14088" max="14088" width="17.42578125" customWidth="1"/>
    <col min="14089" max="14089" width="18.7109375" customWidth="1"/>
    <col min="14090" max="14090" width="14.28515625" customWidth="1"/>
    <col min="14091" max="14091" width="15" customWidth="1"/>
    <col min="14092" max="14092" width="14.28515625" customWidth="1"/>
    <col min="14093" max="14093" width="17" customWidth="1"/>
    <col min="14094" max="14094" width="19.42578125" customWidth="1"/>
    <col min="14095" max="14095" width="19.28515625" customWidth="1"/>
    <col min="14342" max="14342" width="5.42578125" customWidth="1"/>
    <col min="14343" max="14343" width="41.140625" customWidth="1"/>
    <col min="14344" max="14344" width="17.42578125" customWidth="1"/>
    <col min="14345" max="14345" width="18.7109375" customWidth="1"/>
    <col min="14346" max="14346" width="14.28515625" customWidth="1"/>
    <col min="14347" max="14347" width="15" customWidth="1"/>
    <col min="14348" max="14348" width="14.28515625" customWidth="1"/>
    <col min="14349" max="14349" width="17" customWidth="1"/>
    <col min="14350" max="14350" width="19.42578125" customWidth="1"/>
    <col min="14351" max="14351" width="19.28515625" customWidth="1"/>
    <col min="14598" max="14598" width="5.42578125" customWidth="1"/>
    <col min="14599" max="14599" width="41.140625" customWidth="1"/>
    <col min="14600" max="14600" width="17.42578125" customWidth="1"/>
    <col min="14601" max="14601" width="18.7109375" customWidth="1"/>
    <col min="14602" max="14602" width="14.28515625" customWidth="1"/>
    <col min="14603" max="14603" width="15" customWidth="1"/>
    <col min="14604" max="14604" width="14.28515625" customWidth="1"/>
    <col min="14605" max="14605" width="17" customWidth="1"/>
    <col min="14606" max="14606" width="19.42578125" customWidth="1"/>
    <col min="14607" max="14607" width="19.28515625" customWidth="1"/>
    <col min="14854" max="14854" width="5.42578125" customWidth="1"/>
    <col min="14855" max="14855" width="41.140625" customWidth="1"/>
    <col min="14856" max="14856" width="17.42578125" customWidth="1"/>
    <col min="14857" max="14857" width="18.7109375" customWidth="1"/>
    <col min="14858" max="14858" width="14.28515625" customWidth="1"/>
    <col min="14859" max="14859" width="15" customWidth="1"/>
    <col min="14860" max="14860" width="14.28515625" customWidth="1"/>
    <col min="14861" max="14861" width="17" customWidth="1"/>
    <col min="14862" max="14862" width="19.42578125" customWidth="1"/>
    <col min="14863" max="14863" width="19.28515625" customWidth="1"/>
    <col min="15110" max="15110" width="5.42578125" customWidth="1"/>
    <col min="15111" max="15111" width="41.140625" customWidth="1"/>
    <col min="15112" max="15112" width="17.42578125" customWidth="1"/>
    <col min="15113" max="15113" width="18.7109375" customWidth="1"/>
    <col min="15114" max="15114" width="14.28515625" customWidth="1"/>
    <col min="15115" max="15115" width="15" customWidth="1"/>
    <col min="15116" max="15116" width="14.28515625" customWidth="1"/>
    <col min="15117" max="15117" width="17" customWidth="1"/>
    <col min="15118" max="15118" width="19.42578125" customWidth="1"/>
    <col min="15119" max="15119" width="19.28515625" customWidth="1"/>
    <col min="15366" max="15366" width="5.42578125" customWidth="1"/>
    <col min="15367" max="15367" width="41.140625" customWidth="1"/>
    <col min="15368" max="15368" width="17.42578125" customWidth="1"/>
    <col min="15369" max="15369" width="18.7109375" customWidth="1"/>
    <col min="15370" max="15370" width="14.28515625" customWidth="1"/>
    <col min="15371" max="15371" width="15" customWidth="1"/>
    <col min="15372" max="15372" width="14.28515625" customWidth="1"/>
    <col min="15373" max="15373" width="17" customWidth="1"/>
    <col min="15374" max="15374" width="19.42578125" customWidth="1"/>
    <col min="15375" max="15375" width="19.28515625" customWidth="1"/>
    <col min="15622" max="15622" width="5.42578125" customWidth="1"/>
    <col min="15623" max="15623" width="41.140625" customWidth="1"/>
    <col min="15624" max="15624" width="17.42578125" customWidth="1"/>
    <col min="15625" max="15625" width="18.7109375" customWidth="1"/>
    <col min="15626" max="15626" width="14.28515625" customWidth="1"/>
    <col min="15627" max="15627" width="15" customWidth="1"/>
    <col min="15628" max="15628" width="14.28515625" customWidth="1"/>
    <col min="15629" max="15629" width="17" customWidth="1"/>
    <col min="15630" max="15630" width="19.42578125" customWidth="1"/>
    <col min="15631" max="15631" width="19.28515625" customWidth="1"/>
    <col min="15878" max="15878" width="5.42578125" customWidth="1"/>
    <col min="15879" max="15879" width="41.140625" customWidth="1"/>
    <col min="15880" max="15880" width="17.42578125" customWidth="1"/>
    <col min="15881" max="15881" width="18.7109375" customWidth="1"/>
    <col min="15882" max="15882" width="14.28515625" customWidth="1"/>
    <col min="15883" max="15883" width="15" customWidth="1"/>
    <col min="15884" max="15884" width="14.28515625" customWidth="1"/>
    <col min="15885" max="15885" width="17" customWidth="1"/>
    <col min="15886" max="15886" width="19.42578125" customWidth="1"/>
    <col min="15887" max="15887" width="19.28515625" customWidth="1"/>
    <col min="16134" max="16134" width="5.42578125" customWidth="1"/>
    <col min="16135" max="16135" width="41.140625" customWidth="1"/>
    <col min="16136" max="16136" width="17.42578125" customWidth="1"/>
    <col min="16137" max="16137" width="18.7109375" customWidth="1"/>
    <col min="16138" max="16138" width="14.28515625" customWidth="1"/>
    <col min="16139" max="16139" width="15" customWidth="1"/>
    <col min="16140" max="16140" width="14.28515625" customWidth="1"/>
    <col min="16141" max="16141" width="17" customWidth="1"/>
    <col min="16142" max="16142" width="19.42578125" customWidth="1"/>
    <col min="16143" max="16143" width="19.28515625" customWidth="1"/>
  </cols>
  <sheetData>
    <row r="1" spans="1:14" thickBot="1" x14ac:dyDescent="0.4">
      <c r="A1" s="503" t="s">
        <v>172</v>
      </c>
      <c r="B1" s="504"/>
      <c r="C1" s="501">
        <v>2014</v>
      </c>
      <c r="D1" s="501">
        <v>2015</v>
      </c>
      <c r="E1" s="501">
        <v>2016</v>
      </c>
      <c r="F1" s="501">
        <v>2017</v>
      </c>
      <c r="G1" s="501">
        <v>2018</v>
      </c>
      <c r="H1" s="501">
        <v>2019</v>
      </c>
      <c r="I1" s="501">
        <v>2020</v>
      </c>
      <c r="J1" s="501">
        <v>2021</v>
      </c>
      <c r="K1" s="501">
        <v>2022</v>
      </c>
      <c r="L1" s="505">
        <v>2023</v>
      </c>
    </row>
    <row r="2" spans="1:14" ht="15.6" customHeight="1" x14ac:dyDescent="0.35">
      <c r="A2" s="449"/>
      <c r="B2" s="444"/>
      <c r="C2" s="502"/>
      <c r="D2" s="337"/>
      <c r="E2" s="337"/>
      <c r="F2" s="337"/>
      <c r="G2" s="337"/>
      <c r="H2" s="337"/>
      <c r="I2" s="337"/>
      <c r="J2" s="337"/>
      <c r="K2" s="337"/>
      <c r="L2" s="337"/>
    </row>
    <row r="3" spans="1:14" ht="14.45" x14ac:dyDescent="0.35">
      <c r="A3" s="443" t="s">
        <v>78</v>
      </c>
      <c r="B3" s="296"/>
      <c r="C3" s="288"/>
      <c r="D3" s="284"/>
      <c r="E3" s="284"/>
      <c r="F3" s="284"/>
      <c r="G3" s="284"/>
      <c r="H3" s="284"/>
      <c r="I3" s="284"/>
      <c r="J3" s="284"/>
      <c r="K3" s="284"/>
      <c r="L3" s="284"/>
      <c r="M3" s="289" t="s">
        <v>178</v>
      </c>
      <c r="N3" s="287" t="s">
        <v>179</v>
      </c>
    </row>
    <row r="4" spans="1:14" ht="14.45" x14ac:dyDescent="0.35">
      <c r="A4" s="440" t="s">
        <v>101</v>
      </c>
      <c r="B4" s="296"/>
      <c r="C4" s="290">
        <v>150</v>
      </c>
      <c r="D4" s="291">
        <f>C4*(1+$M$4)</f>
        <v>159</v>
      </c>
      <c r="E4" s="291">
        <f t="shared" ref="E4" si="0">D4*(1+$M$4)</f>
        <v>168.54000000000002</v>
      </c>
      <c r="F4" s="291">
        <f>E4*(1+$M$4)</f>
        <v>178.65240000000003</v>
      </c>
      <c r="G4" s="291">
        <f t="shared" ref="G4:L4" si="1">F4*(1+$N$4)</f>
        <v>201.09114144000003</v>
      </c>
      <c r="H4" s="291">
        <f t="shared" si="1"/>
        <v>226.34818880486401</v>
      </c>
      <c r="I4" s="291">
        <f t="shared" si="1"/>
        <v>254.77752131875491</v>
      </c>
      <c r="J4" s="291">
        <f t="shared" si="1"/>
        <v>286.77757799639051</v>
      </c>
      <c r="K4" s="291">
        <f t="shared" si="1"/>
        <v>322.79684179273715</v>
      </c>
      <c r="L4" s="291">
        <f t="shared" si="1"/>
        <v>363.34012512190492</v>
      </c>
      <c r="M4" s="289">
        <v>0.06</v>
      </c>
      <c r="N4" s="292">
        <v>0.12559999999999999</v>
      </c>
    </row>
    <row r="5" spans="1:14" ht="14.45" x14ac:dyDescent="0.35">
      <c r="A5" s="450" t="s">
        <v>174</v>
      </c>
      <c r="B5" s="296"/>
      <c r="C5" s="288">
        <v>45</v>
      </c>
      <c r="D5" s="288">
        <f>C5*(1+$M$5)</f>
        <v>47.25</v>
      </c>
      <c r="E5" s="288">
        <f>D5*(1+$M$5)</f>
        <v>49.612500000000004</v>
      </c>
      <c r="F5" s="288">
        <f t="shared" ref="F5" si="2">E5*(1+$M$5)</f>
        <v>52.093125000000008</v>
      </c>
      <c r="G5" s="288">
        <f t="shared" ref="G5:L5" si="3">F5*(1+$N$5)</f>
        <v>46.883812500000005</v>
      </c>
      <c r="H5" s="288">
        <f t="shared" si="3"/>
        <v>42.195431250000006</v>
      </c>
      <c r="I5" s="288">
        <f t="shared" si="3"/>
        <v>37.975888125000004</v>
      </c>
      <c r="J5" s="288">
        <f t="shared" si="3"/>
        <v>34.178299312500002</v>
      </c>
      <c r="K5" s="288">
        <f t="shared" si="3"/>
        <v>30.760469381250001</v>
      </c>
      <c r="L5" s="288">
        <f t="shared" si="3"/>
        <v>27.684422443125001</v>
      </c>
      <c r="M5" s="289">
        <v>0.05</v>
      </c>
      <c r="N5" s="295">
        <v>-0.1</v>
      </c>
    </row>
    <row r="6" spans="1:14" ht="14.45" x14ac:dyDescent="0.35">
      <c r="A6" s="450" t="s">
        <v>175</v>
      </c>
      <c r="B6" s="296"/>
      <c r="C6" s="288">
        <f>C4*C5</f>
        <v>6750</v>
      </c>
      <c r="D6" s="288">
        <f>D4*D5</f>
        <v>7512.75</v>
      </c>
      <c r="E6" s="288">
        <f t="shared" ref="E6:L6" si="4">E4*E5</f>
        <v>8361.6907500000016</v>
      </c>
      <c r="F6" s="288">
        <f t="shared" si="4"/>
        <v>9306.5618047500029</v>
      </c>
      <c r="G6" s="288">
        <f t="shared" si="4"/>
        <v>9427.9193706839415</v>
      </c>
      <c r="H6" s="288">
        <f t="shared" si="4"/>
        <v>9550.8594392776595</v>
      </c>
      <c r="I6" s="288">
        <f t="shared" si="4"/>
        <v>9675.4026463658392</v>
      </c>
      <c r="J6" s="288">
        <f t="shared" si="4"/>
        <v>9801.5698968744491</v>
      </c>
      <c r="K6" s="288">
        <f t="shared" si="4"/>
        <v>9929.3823683296923</v>
      </c>
      <c r="L6" s="288">
        <f t="shared" si="4"/>
        <v>10058.861514412711</v>
      </c>
      <c r="M6" s="289"/>
      <c r="N6" s="287"/>
    </row>
    <row r="7" spans="1:14" ht="14.45" x14ac:dyDescent="0.35">
      <c r="A7" s="440" t="s">
        <v>84</v>
      </c>
      <c r="B7" s="296"/>
      <c r="C7" s="288">
        <f>180</f>
        <v>180</v>
      </c>
      <c r="D7" s="288">
        <f>C7*(1+$M$7)</f>
        <v>185.4</v>
      </c>
      <c r="E7" s="288">
        <f>D7*(1+$M$7)</f>
        <v>190.96200000000002</v>
      </c>
      <c r="F7" s="288">
        <f>E7*(1+$M$7)</f>
        <v>196.69086000000001</v>
      </c>
      <c r="G7" s="288">
        <f t="shared" ref="G7:L7" si="5">F7*(1+$N$7)</f>
        <v>206.52540300000001</v>
      </c>
      <c r="H7" s="288">
        <f t="shared" si="5"/>
        <v>216.85167315000001</v>
      </c>
      <c r="I7" s="288">
        <f t="shared" si="5"/>
        <v>227.69425680750001</v>
      </c>
      <c r="J7" s="288">
        <f t="shared" si="5"/>
        <v>239.07896964787503</v>
      </c>
      <c r="K7" s="288">
        <f t="shared" si="5"/>
        <v>251.0329181302688</v>
      </c>
      <c r="L7" s="288">
        <f t="shared" si="5"/>
        <v>263.58456403678224</v>
      </c>
      <c r="M7" s="289">
        <v>0.03</v>
      </c>
      <c r="N7" s="298">
        <v>0.05</v>
      </c>
    </row>
    <row r="8" spans="1:14" ht="14.45" x14ac:dyDescent="0.35">
      <c r="A8" s="440" t="s">
        <v>85</v>
      </c>
      <c r="B8" s="419"/>
      <c r="C8" s="288">
        <f>C7*M8</f>
        <v>90</v>
      </c>
      <c r="D8" s="288">
        <f>D7*$M$8</f>
        <v>92.7</v>
      </c>
      <c r="E8" s="288">
        <f>E7*$M$8</f>
        <v>95.481000000000009</v>
      </c>
      <c r="F8" s="288">
        <f>F7*$M$8</f>
        <v>98.345430000000007</v>
      </c>
      <c r="G8" s="299">
        <f t="shared" ref="G8:L8" si="6">G7*$N$8</f>
        <v>76.414399110000005</v>
      </c>
      <c r="H8" s="299">
        <f t="shared" si="6"/>
        <v>80.235119065500001</v>
      </c>
      <c r="I8" s="299">
        <f t="shared" si="6"/>
        <v>84.246875018775</v>
      </c>
      <c r="J8" s="299">
        <f t="shared" si="6"/>
        <v>88.459218769713758</v>
      </c>
      <c r="K8" s="299">
        <f t="shared" si="6"/>
        <v>92.882179708199459</v>
      </c>
      <c r="L8" s="299">
        <f t="shared" si="6"/>
        <v>97.52628869360943</v>
      </c>
      <c r="M8" s="289">
        <v>0.5</v>
      </c>
      <c r="N8" s="300">
        <v>0.37</v>
      </c>
    </row>
    <row r="9" spans="1:14" ht="14.45" x14ac:dyDescent="0.35">
      <c r="A9" s="440" t="s">
        <v>86</v>
      </c>
      <c r="B9" s="419"/>
      <c r="C9" s="290">
        <v>1220</v>
      </c>
      <c r="D9" s="290">
        <f>C9*(1+$M$9)</f>
        <v>1281</v>
      </c>
      <c r="E9" s="330">
        <f>D9*(1+$M$9)</f>
        <v>1345.05</v>
      </c>
      <c r="F9" s="330">
        <f>E9*(1+$M$9)</f>
        <v>1412.3025</v>
      </c>
      <c r="G9" s="330">
        <f t="shared" ref="G9:L9" si="7">F9*(1+$N$9)</f>
        <v>1398.1794749999999</v>
      </c>
      <c r="H9" s="330">
        <f t="shared" si="7"/>
        <v>1384.1976802499998</v>
      </c>
      <c r="I9" s="330">
        <f t="shared" si="7"/>
        <v>1370.3557034474998</v>
      </c>
      <c r="J9" s="330">
        <f t="shared" si="7"/>
        <v>1356.6521464130249</v>
      </c>
      <c r="K9" s="330">
        <f t="shared" si="7"/>
        <v>1343.0856249488945</v>
      </c>
      <c r="L9" s="330">
        <f t="shared" si="7"/>
        <v>1329.6547686994056</v>
      </c>
      <c r="M9" s="289">
        <v>0.05</v>
      </c>
      <c r="N9" s="300">
        <v>-0.01</v>
      </c>
    </row>
    <row r="10" spans="1:14" ht="14.45" x14ac:dyDescent="0.35">
      <c r="A10" s="440" t="s">
        <v>177</v>
      </c>
      <c r="B10" s="419"/>
      <c r="C10" s="288">
        <f>(C7-C8)*C9</f>
        <v>109800</v>
      </c>
      <c r="D10" s="288">
        <f>(D7-D8)*D9</f>
        <v>118748.7</v>
      </c>
      <c r="E10" s="288">
        <f t="shared" ref="E10:L10" si="8">(E7-E8)*E9</f>
        <v>128426.71905000001</v>
      </c>
      <c r="F10" s="288">
        <f t="shared" si="8"/>
        <v>138893.49665257501</v>
      </c>
      <c r="G10" s="288">
        <f t="shared" si="8"/>
        <v>181918.53511064316</v>
      </c>
      <c r="H10" s="288">
        <f t="shared" si="8"/>
        <v>189104.31724751357</v>
      </c>
      <c r="I10" s="288">
        <f t="shared" si="8"/>
        <v>196573.93777879034</v>
      </c>
      <c r="J10" s="288">
        <f t="shared" si="8"/>
        <v>204338.60832105257</v>
      </c>
      <c r="K10" s="288">
        <f t="shared" si="8"/>
        <v>212409.98334973413</v>
      </c>
      <c r="L10" s="288">
        <f t="shared" si="8"/>
        <v>220800.17769204863</v>
      </c>
      <c r="M10" s="289"/>
      <c r="N10" s="287"/>
    </row>
    <row r="11" spans="1:14" ht="14.45" x14ac:dyDescent="0.35">
      <c r="A11" s="440" t="s">
        <v>176</v>
      </c>
      <c r="B11" s="419"/>
      <c r="C11" s="288">
        <f>C6+C10</f>
        <v>116550</v>
      </c>
      <c r="D11" s="288">
        <f t="shared" ref="D11:L11" si="9">D6+D10</f>
        <v>126261.45</v>
      </c>
      <c r="E11" s="288">
        <f t="shared" si="9"/>
        <v>136788.40980000002</v>
      </c>
      <c r="F11" s="288">
        <f t="shared" si="9"/>
        <v>148200.05845732501</v>
      </c>
      <c r="G11" s="288">
        <f t="shared" si="9"/>
        <v>191346.45448132709</v>
      </c>
      <c r="H11" s="288">
        <f t="shared" si="9"/>
        <v>198655.17668679124</v>
      </c>
      <c r="I11" s="288">
        <f t="shared" si="9"/>
        <v>206249.34042515617</v>
      </c>
      <c r="J11" s="288">
        <f t="shared" si="9"/>
        <v>214140.17821792702</v>
      </c>
      <c r="K11" s="288">
        <f t="shared" si="9"/>
        <v>222339.36571806381</v>
      </c>
      <c r="L11" s="288">
        <f t="shared" si="9"/>
        <v>230859.03920646134</v>
      </c>
      <c r="M11" s="289"/>
      <c r="N11" s="287"/>
    </row>
    <row r="12" spans="1:14" ht="14.45" x14ac:dyDescent="0.35">
      <c r="A12" s="440"/>
      <c r="B12" s="419"/>
      <c r="C12" s="288"/>
      <c r="D12" s="284"/>
      <c r="E12" s="284"/>
      <c r="F12" s="284"/>
      <c r="G12" s="284"/>
      <c r="H12" s="284"/>
      <c r="I12" s="284"/>
      <c r="J12" s="284"/>
      <c r="K12" s="284"/>
      <c r="L12" s="284"/>
      <c r="M12" s="289"/>
      <c r="N12" s="287"/>
    </row>
    <row r="13" spans="1:14" ht="14.45" x14ac:dyDescent="0.35">
      <c r="A13" s="443" t="s">
        <v>79</v>
      </c>
      <c r="B13" s="419"/>
      <c r="C13" s="288"/>
      <c r="D13" s="284"/>
      <c r="E13" s="284"/>
      <c r="F13" s="284"/>
      <c r="G13" s="284"/>
      <c r="H13" s="284"/>
      <c r="I13" s="284"/>
      <c r="J13" s="284"/>
      <c r="K13" s="284"/>
      <c r="L13" s="284"/>
      <c r="M13" s="289"/>
      <c r="N13" s="287"/>
    </row>
    <row r="14" spans="1:14" ht="14.45" x14ac:dyDescent="0.35">
      <c r="A14" s="440" t="s">
        <v>93</v>
      </c>
      <c r="B14" s="419"/>
      <c r="C14" s="288">
        <v>100</v>
      </c>
      <c r="D14" s="288">
        <f>C14*(1+$M$14)</f>
        <v>103</v>
      </c>
      <c r="E14" s="288">
        <f>D14*(1+$M$14)</f>
        <v>106.09</v>
      </c>
      <c r="F14" s="288">
        <f>E14*(1+$M$14)</f>
        <v>109.2727</v>
      </c>
      <c r="G14" s="288">
        <f t="shared" ref="G14:L14" si="10">F14*(1+$N$14)</f>
        <v>113.643608</v>
      </c>
      <c r="H14" s="288">
        <f t="shared" si="10"/>
        <v>118.18935232</v>
      </c>
      <c r="I14" s="288">
        <f t="shared" si="10"/>
        <v>122.9169264128</v>
      </c>
      <c r="J14" s="288">
        <f t="shared" si="10"/>
        <v>127.833603469312</v>
      </c>
      <c r="K14" s="288">
        <f t="shared" si="10"/>
        <v>132.94694760808449</v>
      </c>
      <c r="L14" s="288">
        <f t="shared" si="10"/>
        <v>138.26482551240787</v>
      </c>
      <c r="M14" s="289">
        <v>0.03</v>
      </c>
      <c r="N14" s="300">
        <v>0.04</v>
      </c>
    </row>
    <row r="15" spans="1:14" ht="14.45" x14ac:dyDescent="0.35">
      <c r="A15" s="440" t="s">
        <v>94</v>
      </c>
      <c r="B15" s="419"/>
      <c r="C15" s="290">
        <v>180</v>
      </c>
      <c r="D15" s="288">
        <f>C15*(1+$M$15)</f>
        <v>183.6</v>
      </c>
      <c r="E15" s="288">
        <f>D15*(1+$M$15)</f>
        <v>187.27199999999999</v>
      </c>
      <c r="F15" s="288">
        <f>E15*(1+$M$15)</f>
        <v>191.01743999999999</v>
      </c>
      <c r="G15" s="288">
        <f t="shared" ref="G15:L15" si="11">F15*(1+$N$15)</f>
        <v>196.74796319999999</v>
      </c>
      <c r="H15" s="288">
        <f t="shared" si="11"/>
        <v>202.65040209599999</v>
      </c>
      <c r="I15" s="288">
        <f t="shared" si="11"/>
        <v>208.72991415888001</v>
      </c>
      <c r="J15" s="288">
        <f t="shared" si="11"/>
        <v>214.99181158364641</v>
      </c>
      <c r="K15" s="288">
        <f t="shared" si="11"/>
        <v>221.44156593115582</v>
      </c>
      <c r="L15" s="288">
        <f t="shared" si="11"/>
        <v>228.08481290909052</v>
      </c>
      <c r="M15" s="289">
        <v>0.02</v>
      </c>
      <c r="N15" s="300">
        <v>0.03</v>
      </c>
    </row>
    <row r="16" spans="1:14" ht="14.45" x14ac:dyDescent="0.35">
      <c r="A16" s="440" t="s">
        <v>95</v>
      </c>
      <c r="B16" s="419"/>
      <c r="C16" s="290">
        <v>3</v>
      </c>
      <c r="D16" s="290">
        <v>3</v>
      </c>
      <c r="E16" s="290">
        <f>$D$16</f>
        <v>3</v>
      </c>
      <c r="F16" s="290">
        <f t="shared" ref="F16:L16" si="12">$D$16</f>
        <v>3</v>
      </c>
      <c r="G16" s="290">
        <f t="shared" si="12"/>
        <v>3</v>
      </c>
      <c r="H16" s="290">
        <f t="shared" si="12"/>
        <v>3</v>
      </c>
      <c r="I16" s="290">
        <f t="shared" si="12"/>
        <v>3</v>
      </c>
      <c r="J16" s="290">
        <f t="shared" si="12"/>
        <v>3</v>
      </c>
      <c r="K16" s="290">
        <f t="shared" si="12"/>
        <v>3</v>
      </c>
      <c r="L16" s="290">
        <f t="shared" si="12"/>
        <v>3</v>
      </c>
      <c r="M16" s="289"/>
      <c r="N16" s="287"/>
    </row>
    <row r="17" spans="1:14" ht="14.45" x14ac:dyDescent="0.35">
      <c r="A17" s="440" t="s">
        <v>96</v>
      </c>
      <c r="B17" s="419"/>
      <c r="C17" s="288">
        <f>C14*C15*C16</f>
        <v>54000</v>
      </c>
      <c r="D17" s="288">
        <f t="shared" ref="D17:L17" si="13">D14*D15*D16</f>
        <v>56732.399999999994</v>
      </c>
      <c r="E17" s="288">
        <f t="shared" si="13"/>
        <v>59603.059439999997</v>
      </c>
      <c r="F17" s="288">
        <f t="shared" si="13"/>
        <v>62618.974247663995</v>
      </c>
      <c r="G17" s="288">
        <f t="shared" si="13"/>
        <v>67077.445214097665</v>
      </c>
      <c r="H17" s="288">
        <f t="shared" si="13"/>
        <v>71853.359313341425</v>
      </c>
      <c r="I17" s="288">
        <f t="shared" si="13"/>
        <v>76969.318496451349</v>
      </c>
      <c r="J17" s="288">
        <f t="shared" si="13"/>
        <v>82449.533973398677</v>
      </c>
      <c r="K17" s="288">
        <f t="shared" si="13"/>
        <v>88319.940792304682</v>
      </c>
      <c r="L17" s="288">
        <f t="shared" si="13"/>
        <v>94608.320576716782</v>
      </c>
      <c r="M17" s="289"/>
      <c r="N17" s="287"/>
    </row>
    <row r="18" spans="1:14" ht="14.45" x14ac:dyDescent="0.35">
      <c r="A18" s="440"/>
      <c r="B18" s="419"/>
      <c r="C18" s="288"/>
      <c r="D18" s="302"/>
      <c r="E18" s="302"/>
      <c r="F18" s="302"/>
      <c r="G18" s="284"/>
      <c r="H18" s="284"/>
      <c r="I18" s="284"/>
      <c r="J18" s="284"/>
      <c r="K18" s="284"/>
      <c r="L18" s="284"/>
      <c r="M18" s="289"/>
      <c r="N18" s="287"/>
    </row>
    <row r="19" spans="1:14" ht="14.45" x14ac:dyDescent="0.35">
      <c r="A19" s="443" t="s">
        <v>0</v>
      </c>
      <c r="B19" s="419"/>
      <c r="C19" s="288"/>
      <c r="D19" s="302"/>
      <c r="E19" s="302"/>
      <c r="F19" s="302"/>
      <c r="G19" s="284"/>
      <c r="H19" s="284"/>
      <c r="I19" s="284"/>
      <c r="J19" s="284"/>
      <c r="K19" s="284"/>
      <c r="L19" s="284"/>
      <c r="M19" s="289"/>
      <c r="N19" s="287"/>
    </row>
    <row r="20" spans="1:14" ht="14.45" x14ac:dyDescent="0.35">
      <c r="A20" s="440" t="s">
        <v>1</v>
      </c>
      <c r="B20" s="419"/>
      <c r="C20" s="288">
        <v>325000</v>
      </c>
      <c r="D20" s="288">
        <f>C20</f>
        <v>325000</v>
      </c>
      <c r="E20" s="288">
        <f t="shared" ref="E20:L20" si="14">D20</f>
        <v>325000</v>
      </c>
      <c r="F20" s="288">
        <f t="shared" si="14"/>
        <v>325000</v>
      </c>
      <c r="G20" s="288">
        <f>F20</f>
        <v>325000</v>
      </c>
      <c r="H20" s="288">
        <f t="shared" si="14"/>
        <v>325000</v>
      </c>
      <c r="I20" s="288">
        <f t="shared" si="14"/>
        <v>325000</v>
      </c>
      <c r="J20" s="288">
        <f t="shared" si="14"/>
        <v>325000</v>
      </c>
      <c r="K20" s="288">
        <f t="shared" si="14"/>
        <v>325000</v>
      </c>
      <c r="L20" s="288">
        <f t="shared" si="14"/>
        <v>325000</v>
      </c>
      <c r="M20" s="289"/>
      <c r="N20" s="287"/>
    </row>
    <row r="21" spans="1:14" ht="14.45" x14ac:dyDescent="0.35">
      <c r="A21" s="440" t="s">
        <v>2</v>
      </c>
      <c r="B21" s="419"/>
      <c r="C21" s="290">
        <v>30</v>
      </c>
      <c r="D21" s="302"/>
      <c r="E21" s="302"/>
      <c r="F21" s="302"/>
      <c r="G21" s="302"/>
      <c r="H21" s="302"/>
      <c r="I21" s="302"/>
      <c r="J21" s="302"/>
      <c r="K21" s="302"/>
      <c r="L21" s="302"/>
      <c r="M21" s="289"/>
      <c r="N21" s="287"/>
    </row>
    <row r="22" spans="1:14" ht="14.45" x14ac:dyDescent="0.35">
      <c r="A22" s="440" t="s">
        <v>3</v>
      </c>
      <c r="B22" s="419"/>
      <c r="C22" s="299">
        <f>$C$20/$C$21</f>
        <v>10833.333333333334</v>
      </c>
      <c r="D22" s="302">
        <f>$C$20/$C$21</f>
        <v>10833.333333333334</v>
      </c>
      <c r="E22" s="302">
        <f>$C$20/$C$21</f>
        <v>10833.333333333334</v>
      </c>
      <c r="F22" s="302">
        <f>$C$20/$C$21</f>
        <v>10833.333333333334</v>
      </c>
      <c r="G22" s="302">
        <f>$C$20/$C$21</f>
        <v>10833.333333333334</v>
      </c>
      <c r="H22" s="302">
        <f t="shared" ref="H22:L22" si="15">$C$20/$C$21</f>
        <v>10833.333333333334</v>
      </c>
      <c r="I22" s="302">
        <f t="shared" si="15"/>
        <v>10833.333333333334</v>
      </c>
      <c r="J22" s="302">
        <f t="shared" si="15"/>
        <v>10833.333333333334</v>
      </c>
      <c r="K22" s="302">
        <f t="shared" si="15"/>
        <v>10833.333333333334</v>
      </c>
      <c r="L22" s="302">
        <f t="shared" si="15"/>
        <v>10833.333333333334</v>
      </c>
      <c r="M22" s="289"/>
      <c r="N22" s="287"/>
    </row>
    <row r="23" spans="1:14" ht="14.45" x14ac:dyDescent="0.35">
      <c r="A23" s="443" t="s">
        <v>77</v>
      </c>
      <c r="B23" s="296"/>
      <c r="C23" s="288"/>
      <c r="D23" s="302"/>
      <c r="E23" s="302"/>
      <c r="F23" s="302"/>
      <c r="G23" s="302"/>
      <c r="H23" s="302"/>
      <c r="I23" s="302"/>
      <c r="J23" s="302"/>
      <c r="K23" s="302"/>
      <c r="L23" s="302"/>
      <c r="M23" s="289"/>
      <c r="N23" s="287"/>
    </row>
    <row r="24" spans="1:14" ht="14.45" x14ac:dyDescent="0.35">
      <c r="A24" s="440" t="s">
        <v>1</v>
      </c>
      <c r="B24" s="296"/>
      <c r="C24" s="297">
        <v>150000</v>
      </c>
      <c r="D24" s="297">
        <f>C24</f>
        <v>150000</v>
      </c>
      <c r="E24" s="297">
        <f t="shared" ref="E24:L24" si="16">D24</f>
        <v>150000</v>
      </c>
      <c r="F24" s="297">
        <f t="shared" si="16"/>
        <v>150000</v>
      </c>
      <c r="G24" s="297">
        <f t="shared" si="16"/>
        <v>150000</v>
      </c>
      <c r="H24" s="297">
        <f t="shared" si="16"/>
        <v>150000</v>
      </c>
      <c r="I24" s="297">
        <f t="shared" si="16"/>
        <v>150000</v>
      </c>
      <c r="J24" s="297">
        <f t="shared" si="16"/>
        <v>150000</v>
      </c>
      <c r="K24" s="297">
        <f t="shared" si="16"/>
        <v>150000</v>
      </c>
      <c r="L24" s="297">
        <f t="shared" si="16"/>
        <v>150000</v>
      </c>
      <c r="M24" s="289"/>
      <c r="N24" s="287"/>
    </row>
    <row r="25" spans="1:14" ht="14.45" x14ac:dyDescent="0.35">
      <c r="A25" s="440" t="s">
        <v>2</v>
      </c>
      <c r="B25" s="296"/>
      <c r="C25" s="297">
        <v>7</v>
      </c>
      <c r="D25" s="301"/>
      <c r="E25" s="301"/>
      <c r="F25" s="301"/>
      <c r="G25" s="301"/>
      <c r="H25" s="301"/>
      <c r="I25" s="301"/>
      <c r="J25" s="301"/>
      <c r="K25" s="301"/>
      <c r="L25" s="301"/>
      <c r="M25" s="289"/>
      <c r="N25" s="287"/>
    </row>
    <row r="26" spans="1:14" ht="14.45" x14ac:dyDescent="0.35">
      <c r="A26" s="440" t="s">
        <v>3</v>
      </c>
      <c r="B26" s="296"/>
      <c r="C26" s="288">
        <f>$C$24/$C$25</f>
        <v>21428.571428571428</v>
      </c>
      <c r="D26" s="302">
        <f t="shared" ref="D26:I26" si="17">$C$24/$C$25</f>
        <v>21428.571428571428</v>
      </c>
      <c r="E26" s="302">
        <f t="shared" si="17"/>
        <v>21428.571428571428</v>
      </c>
      <c r="F26" s="302">
        <f t="shared" si="17"/>
        <v>21428.571428571428</v>
      </c>
      <c r="G26" s="302">
        <f t="shared" si="17"/>
        <v>21428.571428571428</v>
      </c>
      <c r="H26" s="302">
        <f t="shared" si="17"/>
        <v>21428.571428571428</v>
      </c>
      <c r="I26" s="302">
        <f t="shared" si="17"/>
        <v>21428.571428571428</v>
      </c>
      <c r="J26" s="302">
        <v>0</v>
      </c>
      <c r="K26" s="302">
        <v>0</v>
      </c>
      <c r="L26" s="302">
        <v>0</v>
      </c>
      <c r="M26" s="289"/>
      <c r="N26" s="287"/>
    </row>
    <row r="27" spans="1:14" ht="14.45" x14ac:dyDescent="0.35">
      <c r="A27" s="440"/>
      <c r="B27" s="296"/>
      <c r="C27" s="297"/>
      <c r="D27" s="301"/>
      <c r="E27" s="301"/>
      <c r="F27" s="301"/>
      <c r="G27" s="284"/>
      <c r="H27" s="284"/>
      <c r="I27" s="284"/>
      <c r="J27" s="284"/>
      <c r="K27" s="284"/>
      <c r="L27" s="284"/>
      <c r="M27" s="289"/>
      <c r="N27" s="287"/>
    </row>
    <row r="28" spans="1:14" ht="14.45" x14ac:dyDescent="0.35">
      <c r="A28" s="443" t="s">
        <v>4</v>
      </c>
      <c r="B28" s="296"/>
      <c r="C28" s="297"/>
      <c r="D28" s="283"/>
      <c r="E28" s="283"/>
      <c r="F28" s="283"/>
      <c r="G28" s="284"/>
      <c r="H28" s="284"/>
      <c r="I28" s="284"/>
      <c r="J28" s="284"/>
      <c r="K28" s="284"/>
      <c r="L28" s="284"/>
      <c r="M28" s="289"/>
      <c r="N28" s="287"/>
    </row>
    <row r="29" spans="1:14" ht="14.45" x14ac:dyDescent="0.35">
      <c r="A29" s="440" t="s">
        <v>5</v>
      </c>
      <c r="B29" s="296"/>
      <c r="C29" s="297">
        <v>400000</v>
      </c>
      <c r="D29" s="283"/>
      <c r="E29" s="283"/>
      <c r="F29" s="283"/>
      <c r="G29" s="284"/>
      <c r="H29" s="284"/>
      <c r="I29" s="284"/>
      <c r="J29" s="284"/>
      <c r="K29" s="284"/>
      <c r="L29" s="284"/>
      <c r="M29" s="289"/>
      <c r="N29" s="287"/>
    </row>
    <row r="30" spans="1:14" ht="14.45" x14ac:dyDescent="0.35">
      <c r="A30" s="440" t="s">
        <v>6</v>
      </c>
      <c r="B30" s="296"/>
      <c r="C30" s="282">
        <v>30</v>
      </c>
      <c r="D30" s="283"/>
      <c r="E30" s="283"/>
      <c r="F30" s="283"/>
      <c r="G30" s="284"/>
      <c r="H30" s="284"/>
      <c r="I30" s="284"/>
      <c r="J30" s="284"/>
      <c r="K30" s="284"/>
      <c r="L30" s="284"/>
      <c r="M30" s="289"/>
      <c r="N30" s="287"/>
    </row>
    <row r="31" spans="1:14" ht="14.45" x14ac:dyDescent="0.35">
      <c r="A31" s="440" t="s">
        <v>7</v>
      </c>
      <c r="B31" s="296"/>
      <c r="C31" s="303">
        <v>7.0000000000000007E-2</v>
      </c>
      <c r="D31" s="283"/>
      <c r="E31" s="283"/>
      <c r="F31" s="283"/>
      <c r="G31" s="284"/>
      <c r="H31" s="284"/>
      <c r="I31" s="284"/>
      <c r="J31" s="284"/>
      <c r="K31" s="284"/>
      <c r="L31" s="284"/>
      <c r="M31" s="289"/>
      <c r="N31" s="287"/>
    </row>
    <row r="32" spans="1:14" ht="14.45" x14ac:dyDescent="0.35">
      <c r="A32" s="443" t="s">
        <v>8</v>
      </c>
      <c r="B32" s="296"/>
      <c r="C32" s="288"/>
      <c r="D32" s="283"/>
      <c r="E32" s="283"/>
      <c r="F32" s="283"/>
      <c r="G32" s="284"/>
      <c r="H32" s="284"/>
      <c r="I32" s="284"/>
      <c r="J32" s="284"/>
      <c r="K32" s="284"/>
      <c r="L32" s="284"/>
      <c r="M32" s="289"/>
      <c r="N32" s="287"/>
    </row>
    <row r="33" spans="1:14" ht="14.45" x14ac:dyDescent="0.35">
      <c r="A33" s="440" t="s">
        <v>124</v>
      </c>
      <c r="B33" s="296"/>
      <c r="C33" s="290">
        <v>120</v>
      </c>
      <c r="D33" s="304">
        <f>C33*(1+$M$33)</f>
        <v>126</v>
      </c>
      <c r="E33" s="305">
        <f>D33*(1+$M$33)</f>
        <v>132.30000000000001</v>
      </c>
      <c r="F33" s="305">
        <f>E33*(1+$M$33)</f>
        <v>138.91500000000002</v>
      </c>
      <c r="G33" s="305">
        <f t="shared" ref="G33:L33" si="18">F33*(1+$N$33)</f>
        <v>143.08245000000002</v>
      </c>
      <c r="H33" s="305">
        <f t="shared" si="18"/>
        <v>147.37492350000002</v>
      </c>
      <c r="I33" s="305">
        <f t="shared" si="18"/>
        <v>151.79617120500004</v>
      </c>
      <c r="J33" s="305">
        <f t="shared" si="18"/>
        <v>156.35005634115004</v>
      </c>
      <c r="K33" s="305">
        <f t="shared" si="18"/>
        <v>161.04055803138453</v>
      </c>
      <c r="L33" s="305">
        <f t="shared" si="18"/>
        <v>165.87177477232606</v>
      </c>
      <c r="M33" s="289">
        <v>0.05</v>
      </c>
      <c r="N33" s="292">
        <v>0.03</v>
      </c>
    </row>
    <row r="34" spans="1:14" ht="14.45" x14ac:dyDescent="0.35">
      <c r="A34" s="440" t="s">
        <v>9</v>
      </c>
      <c r="B34" s="296"/>
      <c r="C34" s="290">
        <v>190</v>
      </c>
      <c r="D34" s="305">
        <f>C34*(1+$M$34)</f>
        <v>186.2</v>
      </c>
      <c r="E34" s="305">
        <f>D34*(1+$M$34)</f>
        <v>182.476</v>
      </c>
      <c r="F34" s="305">
        <f>E34*(1+$M$34)</f>
        <v>178.82648</v>
      </c>
      <c r="G34" s="305">
        <f t="shared" ref="G34:L34" si="19">F34*(1+$N$34)</f>
        <v>177.0382152</v>
      </c>
      <c r="H34" s="305">
        <f t="shared" si="19"/>
        <v>175.267833048</v>
      </c>
      <c r="I34" s="305">
        <f t="shared" si="19"/>
        <v>173.51515471752001</v>
      </c>
      <c r="J34" s="305">
        <f t="shared" si="19"/>
        <v>171.7800031703448</v>
      </c>
      <c r="K34" s="305">
        <f t="shared" si="19"/>
        <v>170.06220313864134</v>
      </c>
      <c r="L34" s="305">
        <f t="shared" si="19"/>
        <v>168.36158110725492</v>
      </c>
      <c r="M34" s="289">
        <v>-0.02</v>
      </c>
      <c r="N34" s="292">
        <v>-0.01</v>
      </c>
    </row>
    <row r="35" spans="1:14" ht="14.45" x14ac:dyDescent="0.35">
      <c r="A35" s="440" t="s">
        <v>97</v>
      </c>
      <c r="B35" s="296"/>
      <c r="C35" s="290">
        <v>20</v>
      </c>
      <c r="D35" s="304">
        <v>20</v>
      </c>
      <c r="E35" s="304">
        <v>20</v>
      </c>
      <c r="F35" s="304">
        <v>20</v>
      </c>
      <c r="G35" s="304">
        <v>20</v>
      </c>
      <c r="H35" s="304">
        <v>20</v>
      </c>
      <c r="I35" s="304">
        <v>20</v>
      </c>
      <c r="J35" s="304">
        <v>20</v>
      </c>
      <c r="K35" s="304">
        <v>20</v>
      </c>
      <c r="L35" s="304">
        <v>20</v>
      </c>
      <c r="M35" s="289"/>
      <c r="N35" s="287"/>
    </row>
    <row r="36" spans="1:14" thickBot="1" x14ac:dyDescent="0.4">
      <c r="A36" s="440"/>
      <c r="B36" s="296"/>
      <c r="C36" s="294"/>
      <c r="D36" s="497"/>
      <c r="E36" s="497"/>
      <c r="F36" s="497"/>
      <c r="G36" s="334"/>
      <c r="H36" s="334"/>
      <c r="I36" s="334"/>
      <c r="J36" s="334"/>
      <c r="K36" s="334"/>
      <c r="L36" s="334"/>
      <c r="M36"/>
      <c r="N36"/>
    </row>
    <row r="37" spans="1:14" thickBot="1" x14ac:dyDescent="0.4">
      <c r="A37" s="316" t="s">
        <v>10</v>
      </c>
      <c r="B37" s="273"/>
      <c r="C37" s="500">
        <v>2014</v>
      </c>
      <c r="D37" s="501">
        <v>2015</v>
      </c>
      <c r="E37" s="501">
        <v>2016</v>
      </c>
      <c r="F37" s="501">
        <v>2017</v>
      </c>
      <c r="G37" s="501">
        <v>2018</v>
      </c>
      <c r="H37" s="501">
        <v>2019</v>
      </c>
      <c r="I37" s="501">
        <v>2020</v>
      </c>
      <c r="J37" s="501">
        <v>2021</v>
      </c>
      <c r="K37" s="501">
        <v>2022</v>
      </c>
      <c r="L37" s="505">
        <v>2023</v>
      </c>
      <c r="M37"/>
      <c r="N37"/>
    </row>
    <row r="38" spans="1:14" ht="14.45" x14ac:dyDescent="0.35">
      <c r="A38" s="452" t="s">
        <v>11</v>
      </c>
      <c r="B38" s="296"/>
      <c r="C38" s="297"/>
      <c r="D38" s="283"/>
      <c r="E38" s="283"/>
      <c r="F38" s="283"/>
      <c r="G38" s="283"/>
      <c r="H38" s="283"/>
      <c r="I38" s="283"/>
      <c r="J38" s="283"/>
      <c r="K38" s="283"/>
      <c r="L38" s="283"/>
      <c r="M38" s="289"/>
      <c r="N38" s="287"/>
    </row>
    <row r="39" spans="1:14" ht="14.45" x14ac:dyDescent="0.35">
      <c r="A39" s="440" t="s">
        <v>80</v>
      </c>
      <c r="B39" s="453"/>
      <c r="C39" s="288">
        <f t="shared" ref="C39:L39" si="20">C11</f>
        <v>116550</v>
      </c>
      <c r="D39" s="288">
        <f t="shared" si="20"/>
        <v>126261.45</v>
      </c>
      <c r="E39" s="288">
        <f t="shared" si="20"/>
        <v>136788.40980000002</v>
      </c>
      <c r="F39" s="288">
        <f t="shared" si="20"/>
        <v>148200.05845732501</v>
      </c>
      <c r="G39" s="288">
        <f t="shared" si="20"/>
        <v>191346.45448132709</v>
      </c>
      <c r="H39" s="288">
        <f t="shared" si="20"/>
        <v>198655.17668679124</v>
      </c>
      <c r="I39" s="288">
        <f t="shared" si="20"/>
        <v>206249.34042515617</v>
      </c>
      <c r="J39" s="288">
        <f t="shared" si="20"/>
        <v>214140.17821792702</v>
      </c>
      <c r="K39" s="288">
        <f t="shared" si="20"/>
        <v>222339.36571806381</v>
      </c>
      <c r="L39" s="288">
        <f t="shared" si="20"/>
        <v>230859.03920646134</v>
      </c>
      <c r="M39" s="289"/>
      <c r="N39" s="287"/>
    </row>
    <row r="40" spans="1:14" ht="14.45" x14ac:dyDescent="0.35">
      <c r="A40" s="440" t="s">
        <v>81</v>
      </c>
      <c r="B40" s="453"/>
      <c r="C40" s="288">
        <f t="shared" ref="C40:L40" si="21">C17</f>
        <v>54000</v>
      </c>
      <c r="D40" s="306">
        <f t="shared" si="21"/>
        <v>56732.399999999994</v>
      </c>
      <c r="E40" s="306">
        <f t="shared" si="21"/>
        <v>59603.059439999997</v>
      </c>
      <c r="F40" s="306">
        <f t="shared" si="21"/>
        <v>62618.974247663995</v>
      </c>
      <c r="G40" s="306">
        <f t="shared" si="21"/>
        <v>67077.445214097665</v>
      </c>
      <c r="H40" s="306">
        <f t="shared" si="21"/>
        <v>71853.359313341425</v>
      </c>
      <c r="I40" s="306">
        <f t="shared" si="21"/>
        <v>76969.318496451349</v>
      </c>
      <c r="J40" s="306">
        <f t="shared" si="21"/>
        <v>82449.533973398677</v>
      </c>
      <c r="K40" s="306">
        <f t="shared" si="21"/>
        <v>88319.940792304682</v>
      </c>
      <c r="L40" s="306">
        <f t="shared" si="21"/>
        <v>94608.320576716782</v>
      </c>
      <c r="M40" s="289"/>
      <c r="N40" s="307"/>
    </row>
    <row r="41" spans="1:14" ht="14.45" x14ac:dyDescent="0.35">
      <c r="A41" s="440"/>
      <c r="B41" s="453"/>
      <c r="C41" s="288"/>
      <c r="D41" s="306"/>
      <c r="E41" s="306"/>
      <c r="F41" s="306"/>
      <c r="G41" s="306"/>
      <c r="H41" s="306"/>
      <c r="I41" s="306"/>
      <c r="J41" s="306"/>
      <c r="K41" s="306"/>
      <c r="L41" s="306"/>
      <c r="M41" s="289"/>
      <c r="N41" s="307"/>
    </row>
    <row r="42" spans="1:14" ht="14.45" x14ac:dyDescent="0.35">
      <c r="A42" s="440" t="s">
        <v>12</v>
      </c>
      <c r="B42" s="453"/>
      <c r="C42" s="288">
        <f t="shared" ref="C42:L42" si="22">C8*C9</f>
        <v>109800</v>
      </c>
      <c r="D42" s="288">
        <f t="shared" si="22"/>
        <v>118748.7</v>
      </c>
      <c r="E42" s="288">
        <f t="shared" si="22"/>
        <v>128426.71905000001</v>
      </c>
      <c r="F42" s="288">
        <f t="shared" si="22"/>
        <v>138893.49665257501</v>
      </c>
      <c r="G42" s="288">
        <f t="shared" si="22"/>
        <v>106841.04443006027</v>
      </c>
      <c r="H42" s="288">
        <f t="shared" si="22"/>
        <v>111061.26568504763</v>
      </c>
      <c r="I42" s="288">
        <f t="shared" si="22"/>
        <v>115448.18567960701</v>
      </c>
      <c r="J42" s="288">
        <f t="shared" si="22"/>
        <v>120008.3890139515</v>
      </c>
      <c r="K42" s="288">
        <f t="shared" si="22"/>
        <v>124748.7203800026</v>
      </c>
      <c r="L42" s="288">
        <f t="shared" si="22"/>
        <v>129676.29483501271</v>
      </c>
      <c r="M42" s="289"/>
      <c r="N42" s="287"/>
    </row>
    <row r="43" spans="1:14" ht="14.45" x14ac:dyDescent="0.35">
      <c r="A43" s="440"/>
      <c r="B43" s="453"/>
      <c r="C43" s="288"/>
      <c r="D43" s="306"/>
      <c r="E43" s="306"/>
      <c r="F43" s="306"/>
      <c r="G43" s="306"/>
      <c r="H43" s="306"/>
      <c r="I43" s="306"/>
      <c r="J43" s="306"/>
      <c r="K43" s="306"/>
      <c r="L43" s="306"/>
      <c r="M43" s="289"/>
      <c r="N43" s="287"/>
    </row>
    <row r="44" spans="1:14" ht="14.45" x14ac:dyDescent="0.35">
      <c r="A44" s="452" t="s">
        <v>13</v>
      </c>
      <c r="B44" s="453"/>
      <c r="C44" s="288"/>
      <c r="D44" s="306"/>
      <c r="E44" s="306"/>
      <c r="F44" s="306"/>
      <c r="G44" s="306"/>
      <c r="H44" s="306"/>
      <c r="I44" s="306"/>
      <c r="J44" s="306"/>
      <c r="K44" s="306"/>
      <c r="L44" s="306"/>
      <c r="M44" s="289"/>
      <c r="N44" s="287"/>
    </row>
    <row r="45" spans="1:14" ht="14.45" x14ac:dyDescent="0.35">
      <c r="A45" s="440" t="s">
        <v>82</v>
      </c>
      <c r="B45" s="453"/>
      <c r="C45" s="288">
        <v>25000</v>
      </c>
      <c r="D45" s="306">
        <f>D39*$M$45</f>
        <v>28748.053278688523</v>
      </c>
      <c r="E45" s="306">
        <f>E39*$M$45</f>
        <v>31144.902049180331</v>
      </c>
      <c r="F45" s="306">
        <f>F39*$M$45</f>
        <v>33743.182708862703</v>
      </c>
      <c r="G45" s="306">
        <f t="shared" ref="G45:L45" si="23">G39*$N$45</f>
        <v>45923.1490755185</v>
      </c>
      <c r="H45" s="306">
        <f t="shared" si="23"/>
        <v>47677.242404829893</v>
      </c>
      <c r="I45" s="306">
        <f t="shared" si="23"/>
        <v>49499.841702037476</v>
      </c>
      <c r="J45" s="306">
        <f t="shared" si="23"/>
        <v>51393.642772302483</v>
      </c>
      <c r="K45" s="306">
        <f t="shared" si="23"/>
        <v>53361.447772335312</v>
      </c>
      <c r="L45" s="306">
        <f t="shared" si="23"/>
        <v>55406.169409550719</v>
      </c>
      <c r="M45" s="289">
        <f>C45/C10</f>
        <v>0.22768670309653916</v>
      </c>
      <c r="N45" s="280">
        <v>0.24</v>
      </c>
    </row>
    <row r="46" spans="1:14" ht="14.45" x14ac:dyDescent="0.35">
      <c r="A46" s="440" t="s">
        <v>83</v>
      </c>
      <c r="B46" s="453"/>
      <c r="C46" s="288">
        <v>9000</v>
      </c>
      <c r="D46" s="306">
        <f>D40*($M$46)</f>
        <v>9455.3999999999978</v>
      </c>
      <c r="E46" s="306">
        <f>E40*($M$46)</f>
        <v>9933.8432399999983</v>
      </c>
      <c r="F46" s="306">
        <f>F40*($M$46)</f>
        <v>10436.495707943999</v>
      </c>
      <c r="G46" s="306">
        <f t="shared" ref="G46:L46" si="24">G40*($N$46)</f>
        <v>4695.4211649868366</v>
      </c>
      <c r="H46" s="306">
        <f t="shared" si="24"/>
        <v>5029.7351519338999</v>
      </c>
      <c r="I46" s="306">
        <f t="shared" si="24"/>
        <v>5387.8522947515949</v>
      </c>
      <c r="J46" s="306">
        <f t="shared" si="24"/>
        <v>5771.4673781379079</v>
      </c>
      <c r="K46" s="306">
        <f t="shared" si="24"/>
        <v>6182.3958554613282</v>
      </c>
      <c r="L46" s="306">
        <f t="shared" si="24"/>
        <v>6622.5824403701754</v>
      </c>
      <c r="M46" s="289">
        <f>C46/C17</f>
        <v>0.16666666666666666</v>
      </c>
      <c r="N46" s="280">
        <v>7.0000000000000007E-2</v>
      </c>
    </row>
    <row r="47" spans="1:14" ht="14.45" x14ac:dyDescent="0.35">
      <c r="A47" s="440" t="s">
        <v>14</v>
      </c>
      <c r="B47" s="453"/>
      <c r="C47" s="288">
        <v>5000</v>
      </c>
      <c r="D47" s="308">
        <f>(D39+D40)*($M$47)</f>
        <v>5585.892857142856</v>
      </c>
      <c r="E47" s="308">
        <f>(E39+E40)*($M$47)</f>
        <v>5994.8555934065935</v>
      </c>
      <c r="F47" s="308">
        <f>(F39+F40)*($M$47)</f>
        <v>6435.2574085771985</v>
      </c>
      <c r="G47" s="308">
        <f t="shared" ref="G47:L47" si="25">(G39+G40)*($N$47)</f>
        <v>2584.2389969542478</v>
      </c>
      <c r="H47" s="308">
        <f t="shared" si="25"/>
        <v>2705.085360001327</v>
      </c>
      <c r="I47" s="308">
        <f t="shared" si="25"/>
        <v>2832.1865892160754</v>
      </c>
      <c r="J47" s="308">
        <f t="shared" si="25"/>
        <v>2965.8971219132573</v>
      </c>
      <c r="K47" s="308">
        <f t="shared" si="25"/>
        <v>3106.5930651036847</v>
      </c>
      <c r="L47" s="308">
        <f t="shared" si="25"/>
        <v>3254.6735978317815</v>
      </c>
      <c r="M47" s="289">
        <f>C47/(C17+C10)</f>
        <v>3.0525030525030524E-2</v>
      </c>
      <c r="N47" s="280">
        <v>0.01</v>
      </c>
    </row>
    <row r="48" spans="1:14" ht="14.45" x14ac:dyDescent="0.35">
      <c r="A48" s="440"/>
      <c r="B48" s="453"/>
      <c r="C48" s="288"/>
      <c r="D48" s="306"/>
      <c r="E48" s="306"/>
      <c r="F48" s="306"/>
      <c r="G48" s="306"/>
      <c r="H48" s="306"/>
      <c r="I48" s="306"/>
      <c r="J48" s="306"/>
      <c r="K48" s="306"/>
      <c r="L48" s="306"/>
      <c r="M48" s="289"/>
      <c r="N48" s="287"/>
    </row>
    <row r="49" spans="1:14" ht="14.45" x14ac:dyDescent="0.35">
      <c r="A49" s="440" t="s">
        <v>15</v>
      </c>
      <c r="B49" s="453"/>
      <c r="C49" s="288">
        <f t="shared" ref="C49:L49" si="26">IF(C22&lt;0,0,C22+C26)</f>
        <v>32261.904761904763</v>
      </c>
      <c r="D49" s="288">
        <f t="shared" si="26"/>
        <v>32261.904761904763</v>
      </c>
      <c r="E49" s="288">
        <f t="shared" si="26"/>
        <v>32261.904761904763</v>
      </c>
      <c r="F49" s="288">
        <f t="shared" si="26"/>
        <v>32261.904761904763</v>
      </c>
      <c r="G49" s="288">
        <f t="shared" si="26"/>
        <v>32261.904761904763</v>
      </c>
      <c r="H49" s="288">
        <f t="shared" si="26"/>
        <v>32261.904761904763</v>
      </c>
      <c r="I49" s="288">
        <f t="shared" si="26"/>
        <v>32261.904761904763</v>
      </c>
      <c r="J49" s="288">
        <f t="shared" si="26"/>
        <v>10833.333333333334</v>
      </c>
      <c r="K49" s="288">
        <f t="shared" si="26"/>
        <v>10833.333333333334</v>
      </c>
      <c r="L49" s="288">
        <f t="shared" si="26"/>
        <v>10833.333333333334</v>
      </c>
      <c r="M49" s="289"/>
      <c r="N49" s="287"/>
    </row>
    <row r="50" spans="1:14" ht="14.45" x14ac:dyDescent="0.35">
      <c r="A50" s="440" t="s">
        <v>16</v>
      </c>
      <c r="B50" s="453"/>
      <c r="C50" s="288">
        <f>SUM('[1]Amort Table'!D8:D19)</f>
        <v>27871.280451420669</v>
      </c>
      <c r="D50" s="306">
        <f>SUM('[1]Amort Table'!D20:D31)</f>
        <v>27577.548552643482</v>
      </c>
      <c r="E50" s="306">
        <f>SUM('[1]Amort Table'!D32:D43)</f>
        <v>27262.582751153637</v>
      </c>
      <c r="F50" s="306">
        <f>SUM('[1]Amort Table'!D44:D55)</f>
        <v>26924.848046407136</v>
      </c>
      <c r="G50" s="306">
        <f>SUM('[1]Amort Table'!D56:D67)</f>
        <v>26562.698472546563</v>
      </c>
      <c r="H50" s="306">
        <f>SUM('[1]Amort Table'!D68:D79)</f>
        <v>26174.36907670955</v>
      </c>
      <c r="I50" s="306">
        <f>SUM('[1]Amort Table'!D80:D91)</f>
        <v>25757.967317448638</v>
      </c>
      <c r="J50" s="306">
        <f>SUM('[1]Amort Table'!D92:D103)</f>
        <v>25311.46384134208</v>
      </c>
      <c r="K50" s="306">
        <f>SUM('[1]Amort Table'!D104:D115)</f>
        <v>24832.682592845176</v>
      </c>
      <c r="L50" s="306">
        <f>SUM('[1]Amort Table'!D116:D127)</f>
        <v>24319.290209181989</v>
      </c>
      <c r="M50" s="289"/>
      <c r="N50" s="287"/>
    </row>
    <row r="51" spans="1:14" ht="14.45" x14ac:dyDescent="0.35">
      <c r="A51" s="440" t="s">
        <v>17</v>
      </c>
      <c r="B51" s="453"/>
      <c r="C51" s="288">
        <f>$M$51*C76</f>
        <v>26917.565273551398</v>
      </c>
      <c r="D51" s="308">
        <f>$M$51*D76</f>
        <v>32161.538609777075</v>
      </c>
      <c r="E51" s="308">
        <f>$M$51*E76</f>
        <v>38059.622307125333</v>
      </c>
      <c r="F51" s="308">
        <f>$M$51*F76</f>
        <v>44702.789911878455</v>
      </c>
      <c r="G51" s="308">
        <f t="shared" ref="G51:L51" si="27">$N$51*G76</f>
        <v>19692.124315041907</v>
      </c>
      <c r="H51" s="308">
        <f t="shared" si="27"/>
        <v>16659.046694115623</v>
      </c>
      <c r="I51" s="308">
        <f t="shared" si="27"/>
        <v>13180.191238241552</v>
      </c>
      <c r="J51" s="308">
        <f t="shared" si="27"/>
        <v>9214.3392024714358</v>
      </c>
      <c r="K51" s="308">
        <f t="shared" si="27"/>
        <v>5017.8564237505316</v>
      </c>
      <c r="L51" s="308">
        <f t="shared" si="27"/>
        <v>256.68583395684618</v>
      </c>
      <c r="M51" s="289">
        <v>0.12</v>
      </c>
      <c r="N51" s="280">
        <v>0.06</v>
      </c>
    </row>
    <row r="52" spans="1:14" ht="14.45" x14ac:dyDescent="0.35">
      <c r="A52" s="440"/>
      <c r="B52" s="453"/>
      <c r="C52" s="288"/>
      <c r="D52" s="306"/>
      <c r="E52" s="306"/>
      <c r="F52" s="306"/>
      <c r="G52" s="284"/>
      <c r="H52" s="284"/>
      <c r="I52" s="284"/>
      <c r="J52" s="284"/>
      <c r="K52" s="284"/>
      <c r="L52" s="284"/>
      <c r="M52" s="289"/>
      <c r="N52" s="309"/>
    </row>
    <row r="53" spans="1:14" ht="14.45" x14ac:dyDescent="0.35">
      <c r="A53" s="440" t="s">
        <v>18</v>
      </c>
      <c r="B53" s="453"/>
      <c r="C53" s="288">
        <f t="shared" ref="C53:L53" si="28">SUM(C39:C40)-SUM(C42:C52)</f>
        <v>-65300.750486876816</v>
      </c>
      <c r="D53" s="306">
        <f t="shared" si="28"/>
        <v>-71545.188060156739</v>
      </c>
      <c r="E53" s="306">
        <f t="shared" si="28"/>
        <v>-76692.960512770689</v>
      </c>
      <c r="F53" s="306">
        <f t="shared" si="28"/>
        <v>-82578.942493160255</v>
      </c>
      <c r="G53" s="306">
        <f t="shared" si="28"/>
        <v>19863.318478411704</v>
      </c>
      <c r="H53" s="306">
        <f t="shared" si="28"/>
        <v>28939.886865589971</v>
      </c>
      <c r="I53" s="306">
        <f t="shared" si="28"/>
        <v>38850.529338400433</v>
      </c>
      <c r="J53" s="306">
        <f t="shared" si="28"/>
        <v>71091.179527873755</v>
      </c>
      <c r="K53" s="306">
        <f t="shared" si="28"/>
        <v>82576.277087536495</v>
      </c>
      <c r="L53" s="306">
        <f t="shared" si="28"/>
        <v>95098.330123940599</v>
      </c>
      <c r="M53" s="289"/>
      <c r="N53" s="309"/>
    </row>
    <row r="54" spans="1:14" ht="14.45" x14ac:dyDescent="0.35">
      <c r="A54" s="440" t="s">
        <v>19</v>
      </c>
      <c r="B54" s="453"/>
      <c r="C54" s="288">
        <f>IF(C53&lt;0,0,C53*$M$54)</f>
        <v>0</v>
      </c>
      <c r="D54" s="310">
        <f>IF(D53&lt;0,0,D53*$M$54)</f>
        <v>0</v>
      </c>
      <c r="E54" s="310">
        <f>IF(E53&lt;0,0,E53*$M$54)</f>
        <v>0</v>
      </c>
      <c r="F54" s="310">
        <f>IF(F53&lt;0,0,F53*$M$54)</f>
        <v>0</v>
      </c>
      <c r="G54" s="310">
        <f t="shared" ref="G54:L54" si="29">IF(G53&lt;0,0,G53*$N$54)</f>
        <v>4369.9300652505744</v>
      </c>
      <c r="H54" s="310">
        <f t="shared" si="29"/>
        <v>6366.775110429794</v>
      </c>
      <c r="I54" s="310">
        <f t="shared" si="29"/>
        <v>8547.1164544480944</v>
      </c>
      <c r="J54" s="310">
        <f t="shared" si="29"/>
        <v>15640.059496132226</v>
      </c>
      <c r="K54" s="310">
        <f t="shared" si="29"/>
        <v>18166.780959258031</v>
      </c>
      <c r="L54" s="310">
        <f t="shared" si="29"/>
        <v>20921.632627266932</v>
      </c>
      <c r="M54" s="289">
        <v>0.2</v>
      </c>
      <c r="N54" s="280">
        <v>0.22</v>
      </c>
    </row>
    <row r="55" spans="1:14" ht="14.45" x14ac:dyDescent="0.35">
      <c r="A55" s="440" t="s">
        <v>20</v>
      </c>
      <c r="B55" s="453"/>
      <c r="C55" s="288">
        <f>C53-C54</f>
        <v>-65300.750486876816</v>
      </c>
      <c r="D55" s="306">
        <f>D53-D54</f>
        <v>-71545.188060156739</v>
      </c>
      <c r="E55" s="306">
        <f>E53-E54</f>
        <v>-76692.960512770689</v>
      </c>
      <c r="F55" s="306">
        <f>F53-F54</f>
        <v>-82578.942493160255</v>
      </c>
      <c r="G55" s="306">
        <f t="shared" ref="G55:L55" si="30">G53-G54</f>
        <v>15493.38841316113</v>
      </c>
      <c r="H55" s="306">
        <f t="shared" si="30"/>
        <v>22573.111755160178</v>
      </c>
      <c r="I55" s="306">
        <f t="shared" si="30"/>
        <v>30303.41288395234</v>
      </c>
      <c r="J55" s="306">
        <f t="shared" si="30"/>
        <v>55451.120031741528</v>
      </c>
      <c r="K55" s="306">
        <f t="shared" si="30"/>
        <v>64409.496128278464</v>
      </c>
      <c r="L55" s="306">
        <f t="shared" si="30"/>
        <v>74176.697496673674</v>
      </c>
      <c r="M55" s="289"/>
      <c r="N55" s="287"/>
    </row>
    <row r="56" spans="1:14" thickBot="1" x14ac:dyDescent="0.4">
      <c r="A56" s="440"/>
      <c r="B56" s="453"/>
      <c r="C56" s="294"/>
      <c r="D56" s="311"/>
      <c r="E56" s="311"/>
      <c r="F56" s="311"/>
      <c r="G56" s="334"/>
      <c r="H56" s="334"/>
      <c r="I56" s="334"/>
      <c r="J56" s="334"/>
      <c r="K56" s="334"/>
      <c r="L56" s="334"/>
      <c r="M56" s="496"/>
      <c r="N56" s="296"/>
    </row>
    <row r="57" spans="1:14" thickBot="1" x14ac:dyDescent="0.4">
      <c r="A57" s="511" t="s">
        <v>21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9"/>
      <c r="M57"/>
      <c r="N57"/>
    </row>
    <row r="58" spans="1:14" ht="14.45" x14ac:dyDescent="0.35">
      <c r="A58" s="440" t="s">
        <v>22</v>
      </c>
      <c r="B58" s="453"/>
      <c r="C58" s="297"/>
      <c r="D58" s="315"/>
      <c r="E58" s="315"/>
      <c r="F58" s="315"/>
      <c r="G58" s="283"/>
      <c r="H58" s="283"/>
      <c r="I58" s="283"/>
      <c r="J58" s="283"/>
      <c r="K58" s="283"/>
      <c r="L58" s="283"/>
      <c r="M58" s="289"/>
      <c r="N58" s="287"/>
    </row>
    <row r="59" spans="1:14" ht="14.45" x14ac:dyDescent="0.35">
      <c r="A59" s="454" t="s">
        <v>23</v>
      </c>
      <c r="B59" s="453"/>
      <c r="C59" s="288">
        <v>5000</v>
      </c>
      <c r="D59" s="288">
        <v>5000</v>
      </c>
      <c r="E59" s="288">
        <v>5000</v>
      </c>
      <c r="F59" s="288">
        <v>5000</v>
      </c>
      <c r="G59" s="288">
        <v>5000</v>
      </c>
      <c r="H59" s="288">
        <v>5000</v>
      </c>
      <c r="I59" s="288">
        <v>5000</v>
      </c>
      <c r="J59" s="288">
        <v>5000</v>
      </c>
      <c r="K59" s="288">
        <v>5000</v>
      </c>
      <c r="L59" s="288">
        <v>5000</v>
      </c>
      <c r="M59" s="289"/>
      <c r="N59" s="287"/>
    </row>
    <row r="60" spans="1:14" ht="14.45" x14ac:dyDescent="0.35">
      <c r="A60" s="454" t="s">
        <v>167</v>
      </c>
      <c r="B60" s="453"/>
      <c r="C60" s="288">
        <v>0</v>
      </c>
      <c r="D60" s="288">
        <v>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9"/>
      <c r="N60" s="287"/>
    </row>
    <row r="61" spans="1:14" ht="14.45" x14ac:dyDescent="0.35">
      <c r="A61" s="454" t="s">
        <v>25</v>
      </c>
      <c r="B61" s="453"/>
      <c r="C61" s="288">
        <f>(C39+C40)/365*C33</f>
        <v>56071.232876712333</v>
      </c>
      <c r="D61" s="310">
        <f>C61*(1+$M$61)</f>
        <v>57192.65753424658</v>
      </c>
      <c r="E61" s="310">
        <f>D61*(1+$M$61)</f>
        <v>58336.510684931513</v>
      </c>
      <c r="F61" s="310">
        <f>E61*(1+$M$61)</f>
        <v>59503.240898630145</v>
      </c>
      <c r="G61" s="310">
        <f t="shared" ref="G61:L61" si="31">F61*(1+$N$61)</f>
        <v>61288.338125589049</v>
      </c>
      <c r="H61" s="310">
        <f t="shared" si="31"/>
        <v>63126.98826935672</v>
      </c>
      <c r="I61" s="310">
        <f t="shared" si="31"/>
        <v>65020.79791743742</v>
      </c>
      <c r="J61" s="310">
        <f t="shared" si="31"/>
        <v>66971.421854960543</v>
      </c>
      <c r="K61" s="310">
        <f t="shared" si="31"/>
        <v>68980.564510609358</v>
      </c>
      <c r="L61" s="310">
        <f t="shared" si="31"/>
        <v>71049.981445927639</v>
      </c>
      <c r="M61" s="289">
        <v>0.02</v>
      </c>
      <c r="N61" s="300">
        <v>0.03</v>
      </c>
    </row>
    <row r="62" spans="1:14" ht="14.45" x14ac:dyDescent="0.35">
      <c r="A62" s="454" t="s">
        <v>9</v>
      </c>
      <c r="B62" s="453"/>
      <c r="C62" s="288">
        <f>C42/365*C34</f>
        <v>57156.164383561641</v>
      </c>
      <c r="D62" s="310">
        <f>C62*(1+$M$62)</f>
        <v>56584.602739726026</v>
      </c>
      <c r="E62" s="310">
        <f>D62*(1+$M$62)</f>
        <v>56018.756712328766</v>
      </c>
      <c r="F62" s="310">
        <f>E62*(1+$M$62)</f>
        <v>55458.569145205482</v>
      </c>
      <c r="G62" s="310">
        <f t="shared" ref="G62:L62" si="32">F62*(1+$N$62)</f>
        <v>54349.397762301371</v>
      </c>
      <c r="H62" s="310">
        <f t="shared" si="32"/>
        <v>53262.409807055345</v>
      </c>
      <c r="I62" s="310">
        <f t="shared" si="32"/>
        <v>52197.161610914234</v>
      </c>
      <c r="J62" s="310">
        <f t="shared" si="32"/>
        <v>51153.21837869595</v>
      </c>
      <c r="K62" s="310">
        <f t="shared" si="32"/>
        <v>50130.154011122031</v>
      </c>
      <c r="L62" s="310">
        <f t="shared" si="32"/>
        <v>49127.55093089959</v>
      </c>
      <c r="M62" s="289">
        <v>-0.01</v>
      </c>
      <c r="N62" s="300">
        <v>-0.02</v>
      </c>
    </row>
    <row r="63" spans="1:14" ht="14.45" x14ac:dyDescent="0.35">
      <c r="A63" s="440"/>
      <c r="B63" s="453"/>
      <c r="C63" s="288"/>
      <c r="D63" s="306"/>
      <c r="E63" s="306"/>
      <c r="F63" s="306"/>
      <c r="G63" s="284"/>
      <c r="H63" s="284"/>
      <c r="I63" s="284"/>
      <c r="J63" s="284"/>
      <c r="K63" s="284"/>
      <c r="L63" s="284"/>
      <c r="M63" s="287"/>
      <c r="N63" s="287"/>
    </row>
    <row r="64" spans="1:14" ht="14.45" x14ac:dyDescent="0.35">
      <c r="A64" s="454" t="s">
        <v>74</v>
      </c>
      <c r="B64" s="453"/>
      <c r="C64" s="288">
        <v>200000</v>
      </c>
      <c r="D64" s="306">
        <f>C64</f>
        <v>200000</v>
      </c>
      <c r="E64" s="306">
        <f t="shared" ref="E64:L65" si="33">D64</f>
        <v>200000</v>
      </c>
      <c r="F64" s="306">
        <f t="shared" si="33"/>
        <v>200000</v>
      </c>
      <c r="G64" s="306">
        <f t="shared" si="33"/>
        <v>200000</v>
      </c>
      <c r="H64" s="306">
        <f t="shared" si="33"/>
        <v>200000</v>
      </c>
      <c r="I64" s="306">
        <f t="shared" si="33"/>
        <v>200000</v>
      </c>
      <c r="J64" s="306">
        <f t="shared" si="33"/>
        <v>200000</v>
      </c>
      <c r="K64" s="306">
        <f t="shared" si="33"/>
        <v>200000</v>
      </c>
      <c r="L64" s="306">
        <f t="shared" si="33"/>
        <v>200000</v>
      </c>
      <c r="M64" s="287"/>
      <c r="N64" s="287"/>
    </row>
    <row r="65" spans="1:14" ht="14.45" x14ac:dyDescent="0.35">
      <c r="A65" s="454" t="s">
        <v>26</v>
      </c>
      <c r="B65" s="453"/>
      <c r="C65" s="288">
        <f>$C$20</f>
        <v>325000</v>
      </c>
      <c r="D65" s="306">
        <f>C65</f>
        <v>325000</v>
      </c>
      <c r="E65" s="306">
        <f t="shared" si="33"/>
        <v>325000</v>
      </c>
      <c r="F65" s="306">
        <f t="shared" si="33"/>
        <v>325000</v>
      </c>
      <c r="G65" s="306">
        <f t="shared" si="33"/>
        <v>325000</v>
      </c>
      <c r="H65" s="306">
        <f t="shared" si="33"/>
        <v>325000</v>
      </c>
      <c r="I65" s="306">
        <f t="shared" si="33"/>
        <v>325000</v>
      </c>
      <c r="J65" s="306">
        <f t="shared" si="33"/>
        <v>325000</v>
      </c>
      <c r="K65" s="306">
        <f t="shared" si="33"/>
        <v>325000</v>
      </c>
      <c r="L65" s="306">
        <f t="shared" si="33"/>
        <v>325000</v>
      </c>
      <c r="M65" s="287"/>
      <c r="N65" s="287"/>
    </row>
    <row r="66" spans="1:14" ht="14.45" x14ac:dyDescent="0.35">
      <c r="A66" s="455" t="s">
        <v>76</v>
      </c>
      <c r="B66" s="453"/>
      <c r="C66" s="288">
        <f>C22</f>
        <v>10833.333333333334</v>
      </c>
      <c r="D66" s="288">
        <f t="shared" ref="D66:L66" si="34">C66+D22</f>
        <v>21666.666666666668</v>
      </c>
      <c r="E66" s="288">
        <f t="shared" si="34"/>
        <v>32500</v>
      </c>
      <c r="F66" s="288">
        <f t="shared" si="34"/>
        <v>43333.333333333336</v>
      </c>
      <c r="G66" s="288">
        <f t="shared" si="34"/>
        <v>54166.666666666672</v>
      </c>
      <c r="H66" s="288">
        <f t="shared" si="34"/>
        <v>65000.000000000007</v>
      </c>
      <c r="I66" s="288">
        <f t="shared" si="34"/>
        <v>75833.333333333343</v>
      </c>
      <c r="J66" s="288">
        <f t="shared" si="34"/>
        <v>86666.666666666672</v>
      </c>
      <c r="K66" s="288">
        <f t="shared" si="34"/>
        <v>97500</v>
      </c>
      <c r="L66" s="288">
        <f t="shared" si="34"/>
        <v>108333.33333333333</v>
      </c>
      <c r="M66" s="287"/>
      <c r="N66" s="287"/>
    </row>
    <row r="67" spans="1:14" ht="14.45" x14ac:dyDescent="0.35">
      <c r="A67" s="454" t="s">
        <v>75</v>
      </c>
      <c r="B67" s="453"/>
      <c r="C67" s="294">
        <f t="shared" ref="C67:L67" si="35">C24</f>
        <v>150000</v>
      </c>
      <c r="D67" s="311">
        <f t="shared" si="35"/>
        <v>150000</v>
      </c>
      <c r="E67" s="311">
        <f t="shared" si="35"/>
        <v>150000</v>
      </c>
      <c r="F67" s="311">
        <f t="shared" si="35"/>
        <v>150000</v>
      </c>
      <c r="G67" s="311">
        <f t="shared" si="35"/>
        <v>150000</v>
      </c>
      <c r="H67" s="311">
        <f t="shared" si="35"/>
        <v>150000</v>
      </c>
      <c r="I67" s="311">
        <f t="shared" si="35"/>
        <v>150000</v>
      </c>
      <c r="J67" s="311">
        <f t="shared" si="35"/>
        <v>150000</v>
      </c>
      <c r="K67" s="311">
        <f t="shared" si="35"/>
        <v>150000</v>
      </c>
      <c r="L67" s="311">
        <f t="shared" si="35"/>
        <v>150000</v>
      </c>
      <c r="M67" s="287"/>
      <c r="N67" s="287"/>
    </row>
    <row r="68" spans="1:14" ht="14.45" x14ac:dyDescent="0.35">
      <c r="A68" s="455" t="s">
        <v>76</v>
      </c>
      <c r="B68" s="453"/>
      <c r="C68" s="294">
        <f>C26</f>
        <v>21428.571428571428</v>
      </c>
      <c r="D68" s="311">
        <f t="shared" ref="D68:L68" si="36">C68+D26</f>
        <v>42857.142857142855</v>
      </c>
      <c r="E68" s="311">
        <f t="shared" si="36"/>
        <v>64285.714285714283</v>
      </c>
      <c r="F68" s="311">
        <f t="shared" si="36"/>
        <v>85714.28571428571</v>
      </c>
      <c r="G68" s="311">
        <f t="shared" si="36"/>
        <v>107142.85714285713</v>
      </c>
      <c r="H68" s="311">
        <f t="shared" si="36"/>
        <v>128571.42857142855</v>
      </c>
      <c r="I68" s="311">
        <f t="shared" si="36"/>
        <v>149999.99999999997</v>
      </c>
      <c r="J68" s="311">
        <f t="shared" si="36"/>
        <v>149999.99999999997</v>
      </c>
      <c r="K68" s="311">
        <f t="shared" si="36"/>
        <v>149999.99999999997</v>
      </c>
      <c r="L68" s="311">
        <f t="shared" si="36"/>
        <v>149999.99999999997</v>
      </c>
      <c r="M68" s="287"/>
      <c r="N68" s="287"/>
    </row>
    <row r="69" spans="1:14" thickBot="1" x14ac:dyDescent="0.4">
      <c r="A69" s="456" t="s">
        <v>27</v>
      </c>
      <c r="B69" s="313"/>
      <c r="C69" s="314">
        <f t="shared" ref="C69:L69" si="37">SUM(C59:C65)+C67-C68-C66</f>
        <v>760965.49249836919</v>
      </c>
      <c r="D69" s="314">
        <f t="shared" si="37"/>
        <v>729253.45075016317</v>
      </c>
      <c r="E69" s="314">
        <f t="shared" si="37"/>
        <v>697569.55311154597</v>
      </c>
      <c r="F69" s="314">
        <f t="shared" si="37"/>
        <v>665914.19099621661</v>
      </c>
      <c r="G69" s="314">
        <f t="shared" si="37"/>
        <v>634328.21207836666</v>
      </c>
      <c r="H69" s="314">
        <f t="shared" si="37"/>
        <v>602817.96950498351</v>
      </c>
      <c r="I69" s="314">
        <f t="shared" si="37"/>
        <v>571384.6261950183</v>
      </c>
      <c r="J69" s="314">
        <f t="shared" si="37"/>
        <v>561457.97356698988</v>
      </c>
      <c r="K69" s="345">
        <f t="shared" si="37"/>
        <v>551610.71852173144</v>
      </c>
      <c r="L69" s="345">
        <f t="shared" si="37"/>
        <v>541844.19904349383</v>
      </c>
    </row>
    <row r="70" spans="1:14" thickTop="1" x14ac:dyDescent="0.35">
      <c r="A70" s="440"/>
      <c r="B70" s="453"/>
      <c r="C70" s="297"/>
      <c r="D70" s="315"/>
      <c r="E70" s="315"/>
      <c r="F70" s="315"/>
      <c r="G70" s="284"/>
      <c r="H70" s="284"/>
      <c r="I70" s="284"/>
      <c r="J70" s="284"/>
      <c r="K70" s="284"/>
      <c r="L70" s="284"/>
    </row>
    <row r="71" spans="1:14" ht="14.45" x14ac:dyDescent="0.35">
      <c r="A71" s="440" t="s">
        <v>28</v>
      </c>
      <c r="B71" s="453"/>
      <c r="C71" s="288"/>
      <c r="D71" s="306"/>
      <c r="E71" s="306"/>
      <c r="F71" s="306"/>
      <c r="G71" s="284"/>
      <c r="H71" s="284"/>
      <c r="I71" s="284"/>
      <c r="J71" s="284"/>
      <c r="K71" s="284"/>
      <c r="L71" s="284"/>
    </row>
    <row r="72" spans="1:14" ht="14.45" x14ac:dyDescent="0.35">
      <c r="A72" s="454" t="s">
        <v>29</v>
      </c>
      <c r="B72" s="453"/>
      <c r="C72" s="512">
        <f t="shared" ref="C72:L72" si="38">C42/365*C35</f>
        <v>6016.4383561643826</v>
      </c>
      <c r="D72" s="294">
        <f t="shared" si="38"/>
        <v>6506.7780821917804</v>
      </c>
      <c r="E72" s="294">
        <f t="shared" si="38"/>
        <v>7037.0804958904118</v>
      </c>
      <c r="F72" s="294">
        <f t="shared" si="38"/>
        <v>7610.60255630548</v>
      </c>
      <c r="G72" s="294">
        <f t="shared" si="38"/>
        <v>5854.3038043868637</v>
      </c>
      <c r="H72" s="294">
        <f t="shared" si="38"/>
        <v>6085.548804660144</v>
      </c>
      <c r="I72" s="294">
        <f t="shared" si="38"/>
        <v>6325.9279824442192</v>
      </c>
      <c r="J72" s="294">
        <f t="shared" si="38"/>
        <v>6575.8021377507666</v>
      </c>
      <c r="K72" s="294">
        <f t="shared" si="38"/>
        <v>6835.5463221919235</v>
      </c>
      <c r="L72" s="294">
        <f t="shared" si="38"/>
        <v>7105.5504019185046</v>
      </c>
    </row>
    <row r="73" spans="1:14" ht="14.45" x14ac:dyDescent="0.35">
      <c r="A73" s="454" t="s">
        <v>30</v>
      </c>
      <c r="B73" s="453"/>
      <c r="C73" s="288">
        <f t="shared" ref="C73:L73" si="39">C54</f>
        <v>0</v>
      </c>
      <c r="D73" s="288">
        <f t="shared" si="39"/>
        <v>0</v>
      </c>
      <c r="E73" s="288">
        <f t="shared" si="39"/>
        <v>0</v>
      </c>
      <c r="F73" s="288">
        <f t="shared" si="39"/>
        <v>0</v>
      </c>
      <c r="G73" s="288">
        <f t="shared" si="39"/>
        <v>4369.9300652505744</v>
      </c>
      <c r="H73" s="288">
        <f t="shared" si="39"/>
        <v>6366.775110429794</v>
      </c>
      <c r="I73" s="288">
        <f t="shared" si="39"/>
        <v>8547.1164544480944</v>
      </c>
      <c r="J73" s="288">
        <f t="shared" si="39"/>
        <v>15640.059496132226</v>
      </c>
      <c r="K73" s="288">
        <f t="shared" si="39"/>
        <v>18166.780959258031</v>
      </c>
      <c r="L73" s="288">
        <f t="shared" si="39"/>
        <v>20921.632627266932</v>
      </c>
    </row>
    <row r="74" spans="1:14" ht="14.45" x14ac:dyDescent="0.35">
      <c r="A74" s="440"/>
      <c r="B74" s="296"/>
      <c r="C74" s="288"/>
      <c r="D74" s="315"/>
      <c r="E74" s="315"/>
      <c r="F74" s="315"/>
      <c r="G74" s="283"/>
      <c r="H74" s="283"/>
      <c r="I74" s="283"/>
      <c r="J74" s="283"/>
      <c r="K74" s="283"/>
      <c r="L74" s="283"/>
      <c r="M74" s="287"/>
      <c r="N74" s="287"/>
    </row>
    <row r="75" spans="1:14" ht="14.45" x14ac:dyDescent="0.35">
      <c r="A75" s="454" t="s">
        <v>5</v>
      </c>
      <c r="B75" s="453"/>
      <c r="C75" s="288">
        <f>'[1]Amort Table'!F19</f>
        <v>395936.76068281988</v>
      </c>
      <c r="D75" s="306">
        <f>'[1]Amort Table'!F31</f>
        <v>391579.78946686257</v>
      </c>
      <c r="E75" s="306">
        <f>'[1]Amort Table'!F43</f>
        <v>386907.85244941543</v>
      </c>
      <c r="F75" s="306">
        <f>'[1]Amort Table'!F55</f>
        <v>381898.18072722171</v>
      </c>
      <c r="G75" s="320">
        <f>'[1]Amort Table'!F67</f>
        <v>376526.35943116748</v>
      </c>
      <c r="H75" s="320">
        <f>'[1]Amort Table'!F79</f>
        <v>370766.20873927628</v>
      </c>
      <c r="I75" s="320">
        <f>'[1]Amort Table'!F91</f>
        <v>364589.65628812427</v>
      </c>
      <c r="J75" s="320">
        <f>'[1]Amort Table'!F103</f>
        <v>357966.60036086559</v>
      </c>
      <c r="K75" s="320">
        <f>'[1]Amort Table'!F115</f>
        <v>350864.76318511006</v>
      </c>
      <c r="L75" s="320">
        <f>'[1]Amort Table'!F127</f>
        <v>343249.53362569137</v>
      </c>
    </row>
    <row r="76" spans="1:14" ht="14.45" x14ac:dyDescent="0.35">
      <c r="A76" s="454" t="s">
        <v>31</v>
      </c>
      <c r="B76" s="453"/>
      <c r="C76" s="288">
        <v>224313.04394626166</v>
      </c>
      <c r="D76" s="306">
        <v>268012.82174814231</v>
      </c>
      <c r="E76" s="306">
        <v>317163.51922604447</v>
      </c>
      <c r="F76" s="306">
        <v>372523.24926565378</v>
      </c>
      <c r="G76" s="288">
        <v>328202.07191736513</v>
      </c>
      <c r="H76" s="288">
        <v>277650.7782352604</v>
      </c>
      <c r="I76" s="288">
        <v>219669.85397069255</v>
      </c>
      <c r="J76" s="288">
        <v>153572.3200411906</v>
      </c>
      <c r="K76" s="321">
        <v>83630.94039584219</v>
      </c>
      <c r="L76" s="321">
        <v>4278.0972326141036</v>
      </c>
    </row>
    <row r="77" spans="1:14" ht="14.45" x14ac:dyDescent="0.35">
      <c r="A77" s="454" t="s">
        <v>32</v>
      </c>
      <c r="B77" s="453"/>
      <c r="C77" s="288">
        <v>200000</v>
      </c>
      <c r="D77" s="288">
        <f>C77</f>
        <v>200000</v>
      </c>
      <c r="E77" s="288">
        <f t="shared" ref="E77:L77" si="40">D77</f>
        <v>200000</v>
      </c>
      <c r="F77" s="288">
        <f t="shared" si="40"/>
        <v>200000</v>
      </c>
      <c r="G77" s="288">
        <f t="shared" si="40"/>
        <v>200000</v>
      </c>
      <c r="H77" s="288">
        <f t="shared" si="40"/>
        <v>200000</v>
      </c>
      <c r="I77" s="288">
        <f t="shared" si="40"/>
        <v>200000</v>
      </c>
      <c r="J77" s="288">
        <f t="shared" si="40"/>
        <v>200000</v>
      </c>
      <c r="K77" s="288">
        <f t="shared" si="40"/>
        <v>200000</v>
      </c>
      <c r="L77" s="288">
        <f t="shared" si="40"/>
        <v>200000</v>
      </c>
    </row>
    <row r="78" spans="1:14" ht="14.45" x14ac:dyDescent="0.35">
      <c r="A78" s="454" t="s">
        <v>33</v>
      </c>
      <c r="B78" s="453"/>
      <c r="C78" s="288">
        <f t="shared" ref="C78:L78" si="41">B78+C55</f>
        <v>-65300.750486876816</v>
      </c>
      <c r="D78" s="306">
        <f t="shared" si="41"/>
        <v>-136845.93854703355</v>
      </c>
      <c r="E78" s="306">
        <f t="shared" si="41"/>
        <v>-213538.89905980424</v>
      </c>
      <c r="F78" s="306">
        <f t="shared" si="41"/>
        <v>-296117.84155296453</v>
      </c>
      <c r="G78" s="306">
        <f t="shared" si="41"/>
        <v>-280624.45313980337</v>
      </c>
      <c r="H78" s="306">
        <f t="shared" si="41"/>
        <v>-258051.34138464319</v>
      </c>
      <c r="I78" s="306">
        <f t="shared" si="41"/>
        <v>-227747.92850069085</v>
      </c>
      <c r="J78" s="306">
        <f t="shared" si="41"/>
        <v>-172296.80846894931</v>
      </c>
      <c r="K78" s="306">
        <f t="shared" si="41"/>
        <v>-107887.31234067085</v>
      </c>
      <c r="L78" s="306">
        <f t="shared" si="41"/>
        <v>-33710.614843997173</v>
      </c>
    </row>
    <row r="79" spans="1:14" ht="14.45" x14ac:dyDescent="0.35">
      <c r="A79" s="440"/>
      <c r="B79" s="296"/>
      <c r="C79" s="294"/>
      <c r="D79" s="311"/>
      <c r="E79" s="311"/>
      <c r="F79" s="311"/>
      <c r="G79" s="284"/>
      <c r="H79" s="284"/>
      <c r="I79" s="284"/>
      <c r="J79" s="284"/>
      <c r="K79" s="284"/>
      <c r="L79" s="284"/>
    </row>
    <row r="80" spans="1:14" thickBot="1" x14ac:dyDescent="0.4">
      <c r="A80" s="456" t="s">
        <v>34</v>
      </c>
      <c r="B80" s="312"/>
      <c r="C80" s="314">
        <f>SUM(C70:C79)</f>
        <v>760965.49249836907</v>
      </c>
      <c r="D80" s="322">
        <f t="shared" ref="D80:L80" si="42">SUM(D70:D79)</f>
        <v>729253.45075016306</v>
      </c>
      <c r="E80" s="322">
        <f t="shared" si="42"/>
        <v>697569.55311154609</v>
      </c>
      <c r="F80" s="322">
        <f t="shared" si="42"/>
        <v>665914.19099621649</v>
      </c>
      <c r="G80" s="322">
        <f t="shared" si="42"/>
        <v>634328.21207836666</v>
      </c>
      <c r="H80" s="322">
        <f t="shared" si="42"/>
        <v>602817.9695049834</v>
      </c>
      <c r="I80" s="322">
        <f>SUM(I70:I79)</f>
        <v>571384.6261950183</v>
      </c>
      <c r="J80" s="322">
        <f t="shared" si="42"/>
        <v>561457.97356698988</v>
      </c>
      <c r="K80" s="322">
        <f t="shared" si="42"/>
        <v>551610.71852173132</v>
      </c>
      <c r="L80" s="322">
        <f t="shared" si="42"/>
        <v>541844.19904349372</v>
      </c>
    </row>
    <row r="81" spans="1:12" thickTop="1" x14ac:dyDescent="0.35">
      <c r="A81" s="447" t="s">
        <v>35</v>
      </c>
      <c r="B81" s="457"/>
      <c r="C81" s="297">
        <f>C80-C69</f>
        <v>0</v>
      </c>
      <c r="D81" s="297">
        <f t="shared" ref="D81:L81" si="43">D80-D69</f>
        <v>0</v>
      </c>
      <c r="E81" s="297">
        <f t="shared" si="43"/>
        <v>0</v>
      </c>
      <c r="F81" s="297">
        <f t="shared" si="43"/>
        <v>0</v>
      </c>
      <c r="G81" s="297">
        <f t="shared" si="43"/>
        <v>0</v>
      </c>
      <c r="H81" s="297">
        <f t="shared" si="43"/>
        <v>0</v>
      </c>
      <c r="I81" s="297">
        <f t="shared" si="43"/>
        <v>0</v>
      </c>
      <c r="J81" s="297">
        <f t="shared" si="43"/>
        <v>0</v>
      </c>
      <c r="K81" s="297">
        <f t="shared" si="43"/>
        <v>0</v>
      </c>
      <c r="L81" s="297">
        <f t="shared" si="43"/>
        <v>0</v>
      </c>
    </row>
    <row r="82" spans="1:12" ht="14.45" x14ac:dyDescent="0.35">
      <c r="A82" s="286"/>
      <c r="B82" s="287"/>
      <c r="C82" s="324"/>
      <c r="D82" s="324"/>
      <c r="E82" s="324"/>
      <c r="F82" s="324"/>
      <c r="G82" s="324"/>
      <c r="H82" s="324"/>
      <c r="I82" s="324"/>
      <c r="J82" s="324"/>
      <c r="K82" s="324"/>
      <c r="L82" s="324"/>
    </row>
    <row r="83" spans="1:12" ht="14.45" x14ac:dyDescent="0.35">
      <c r="A83" s="286"/>
      <c r="B83" s="287"/>
      <c r="C83" s="324"/>
      <c r="D83" s="324"/>
      <c r="E83" s="324"/>
      <c r="F83" s="324"/>
      <c r="G83" s="324"/>
      <c r="H83" s="324"/>
      <c r="I83" s="324"/>
      <c r="J83" s="324"/>
      <c r="K83" s="324"/>
      <c r="L83" s="324"/>
    </row>
    <row r="84" spans="1:12" ht="14.45" x14ac:dyDescent="0.35">
      <c r="A84" s="286"/>
      <c r="B84" s="287"/>
      <c r="C84" s="324"/>
      <c r="D84" s="324"/>
      <c r="E84" s="324"/>
      <c r="F84" s="324"/>
      <c r="G84" s="324"/>
      <c r="H84" s="324"/>
      <c r="I84" s="324"/>
      <c r="J84" s="324"/>
      <c r="K84" s="324"/>
      <c r="L84" s="324"/>
    </row>
    <row r="85" spans="1:12" ht="14.45" x14ac:dyDescent="0.35">
      <c r="A85" s="286"/>
      <c r="B85" s="287"/>
      <c r="C85" s="324"/>
      <c r="D85" s="324"/>
      <c r="E85" s="324"/>
      <c r="F85" s="324"/>
      <c r="G85" s="324"/>
      <c r="H85" s="324"/>
      <c r="I85" s="324"/>
      <c r="J85" s="324"/>
      <c r="K85" s="324"/>
      <c r="L85" s="324"/>
    </row>
    <row r="86" spans="1:12" thickBot="1" x14ac:dyDescent="0.4">
      <c r="A86" s="286"/>
      <c r="B86" s="287"/>
      <c r="C86" s="324"/>
      <c r="D86" s="324"/>
      <c r="E86" s="324"/>
      <c r="F86" s="324"/>
      <c r="G86" s="324"/>
      <c r="H86" s="324"/>
      <c r="I86" s="324"/>
      <c r="J86" s="324"/>
      <c r="K86" s="324"/>
      <c r="L86" s="324"/>
    </row>
    <row r="87" spans="1:12" thickBot="1" x14ac:dyDescent="0.4">
      <c r="A87" s="346" t="s">
        <v>180</v>
      </c>
      <c r="B87" s="287"/>
      <c r="C87" s="324"/>
      <c r="D87" s="343" t="s">
        <v>168</v>
      </c>
      <c r="E87" s="324"/>
      <c r="F87" s="324"/>
      <c r="G87" s="324"/>
      <c r="H87" s="324"/>
      <c r="I87" s="324"/>
      <c r="J87" s="586" t="s">
        <v>131</v>
      </c>
      <c r="K87" s="587"/>
      <c r="L87" s="324"/>
    </row>
    <row r="89" spans="1:12" ht="14.45" x14ac:dyDescent="0.35">
      <c r="A89" s="532" t="s">
        <v>98</v>
      </c>
      <c r="B89" s="602">
        <f>L65-L66</f>
        <v>216666.66666666669</v>
      </c>
      <c r="C89" s="603"/>
      <c r="D89" s="514" t="s">
        <v>118</v>
      </c>
      <c r="E89" s="515" t="s">
        <v>119</v>
      </c>
      <c r="F89" s="515" t="s">
        <v>120</v>
      </c>
      <c r="G89" s="515" t="s">
        <v>122</v>
      </c>
      <c r="H89" s="516" t="s">
        <v>121</v>
      </c>
      <c r="I89" s="517"/>
      <c r="J89" s="593" t="s">
        <v>132</v>
      </c>
      <c r="K89" s="594"/>
      <c r="L89" s="513">
        <v>0.55500000000000005</v>
      </c>
    </row>
    <row r="90" spans="1:12" ht="14.45" x14ac:dyDescent="0.35">
      <c r="A90" s="440" t="s">
        <v>170</v>
      </c>
      <c r="B90" s="600">
        <v>1.2</v>
      </c>
      <c r="C90" s="601"/>
      <c r="D90" s="518">
        <f>AVERAGE(C75:L75)</f>
        <v>372028.57049565541</v>
      </c>
      <c r="E90" s="519">
        <f>D90/$D$94</f>
        <v>0.60226274711608441</v>
      </c>
      <c r="F90" s="520">
        <f>C31</f>
        <v>7.0000000000000007E-2</v>
      </c>
      <c r="G90" s="519">
        <f>F90*(1-$M$54)</f>
        <v>5.6000000000000008E-2</v>
      </c>
      <c r="H90" s="521">
        <f>E90*G90</f>
        <v>3.3726713838500733E-2</v>
      </c>
      <c r="I90" s="522"/>
      <c r="J90" s="591" t="s">
        <v>134</v>
      </c>
      <c r="K90" s="592"/>
      <c r="L90" s="534">
        <f>SUM(E90:E91)</f>
        <v>0.96634741185720574</v>
      </c>
    </row>
    <row r="91" spans="1:12" ht="14.45" x14ac:dyDescent="0.35">
      <c r="A91" s="440" t="s">
        <v>100</v>
      </c>
      <c r="B91" s="598">
        <f>B89*B90</f>
        <v>260000</v>
      </c>
      <c r="C91" s="599"/>
      <c r="D91" s="518">
        <f>AVERAGE(C76:L76)</f>
        <v>224901.66959790676</v>
      </c>
      <c r="E91" s="519">
        <f>D91/$D$94</f>
        <v>0.36408466474112128</v>
      </c>
      <c r="F91" s="520">
        <f>M51</f>
        <v>0.12</v>
      </c>
      <c r="G91" s="519">
        <f>F91*(1-$M$54)</f>
        <v>9.6000000000000002E-2</v>
      </c>
      <c r="H91" s="521">
        <f>E91*G91</f>
        <v>3.4952127815147643E-2</v>
      </c>
      <c r="I91" s="522"/>
      <c r="J91" s="591" t="s">
        <v>136</v>
      </c>
      <c r="K91" s="592"/>
      <c r="L91" s="534">
        <f>E92</f>
        <v>3.3652588142794343E-2</v>
      </c>
    </row>
    <row r="92" spans="1:12" ht="14.45" x14ac:dyDescent="0.35">
      <c r="A92" s="440" t="s">
        <v>48</v>
      </c>
      <c r="B92" s="598">
        <f>B91-B89</f>
        <v>43333.333333333314</v>
      </c>
      <c r="C92" s="599"/>
      <c r="D92" s="518">
        <f>AVERAGE(C77:L77)</f>
        <v>200000</v>
      </c>
      <c r="E92" s="519">
        <f>(D92+D93)/$D$94</f>
        <v>3.3652588142794343E-2</v>
      </c>
      <c r="F92" s="540">
        <f>G100</f>
        <v>0.17427200000000001</v>
      </c>
      <c r="G92" s="519">
        <f>F92</f>
        <v>0.17427200000000001</v>
      </c>
      <c r="H92" s="521">
        <f>E92*G92</f>
        <v>5.8647038408210558E-3</v>
      </c>
      <c r="I92" s="522"/>
      <c r="J92" s="591" t="s">
        <v>137</v>
      </c>
      <c r="K92" s="592"/>
      <c r="L92" s="535">
        <f>M54</f>
        <v>0.2</v>
      </c>
    </row>
    <row r="93" spans="1:12" ht="14.45" x14ac:dyDescent="0.35">
      <c r="A93" s="319" t="s">
        <v>111</v>
      </c>
      <c r="B93" s="604">
        <f>-(B92*$B$107)</f>
        <v>-8666.6666666666624</v>
      </c>
      <c r="C93" s="605"/>
      <c r="D93" s="523">
        <f>AVERAGE(C78:L78)</f>
        <v>-179212.18883254341</v>
      </c>
      <c r="E93" s="519"/>
      <c r="F93" s="296"/>
      <c r="G93" s="296"/>
      <c r="H93" s="296"/>
      <c r="I93" s="522"/>
      <c r="J93" s="536"/>
      <c r="K93" s="537"/>
      <c r="L93" s="538"/>
    </row>
    <row r="94" spans="1:12" ht="14.45" x14ac:dyDescent="0.35">
      <c r="A94" s="287"/>
      <c r="B94" s="341"/>
      <c r="C94" s="341"/>
      <c r="D94" s="518">
        <f>SUM(D90:D93)</f>
        <v>617718.05126101873</v>
      </c>
      <c r="E94" s="521">
        <f>SUM(E90:E93)</f>
        <v>1</v>
      </c>
      <c r="F94" s="296"/>
      <c r="G94" s="296"/>
      <c r="H94" s="541">
        <f>SUM(H90:H92)</f>
        <v>7.4543545494469426E-2</v>
      </c>
      <c r="I94" s="284" t="s">
        <v>117</v>
      </c>
      <c r="J94" s="595" t="s">
        <v>138</v>
      </c>
      <c r="K94" s="592"/>
      <c r="L94" s="539">
        <v>0.4</v>
      </c>
    </row>
    <row r="95" spans="1:12" ht="14.45" x14ac:dyDescent="0.35">
      <c r="A95" s="532" t="s">
        <v>110</v>
      </c>
      <c r="B95" s="602">
        <f>L64</f>
        <v>200000</v>
      </c>
      <c r="C95" s="603"/>
      <c r="D95" s="524"/>
      <c r="E95" s="296"/>
      <c r="F95" s="296"/>
      <c r="G95" s="296"/>
      <c r="H95" s="296"/>
      <c r="I95" s="522"/>
      <c r="J95" s="591" t="s">
        <v>141</v>
      </c>
      <c r="K95" s="592"/>
      <c r="L95" s="535">
        <v>0</v>
      </c>
    </row>
    <row r="96" spans="1:12" ht="14.45" x14ac:dyDescent="0.35">
      <c r="A96" s="440" t="s">
        <v>170</v>
      </c>
      <c r="B96" s="600">
        <v>1.3</v>
      </c>
      <c r="C96" s="601"/>
      <c r="D96" s="524"/>
      <c r="E96" s="296"/>
      <c r="F96" s="296"/>
      <c r="G96" s="296"/>
      <c r="H96" s="296"/>
      <c r="I96" s="522"/>
      <c r="J96" s="591" t="s">
        <v>144</v>
      </c>
      <c r="K96" s="592"/>
      <c r="L96" s="535">
        <f>100%-L95</f>
        <v>1</v>
      </c>
    </row>
    <row r="97" spans="1:14" ht="14.45" x14ac:dyDescent="0.35">
      <c r="A97" s="440" t="s">
        <v>100</v>
      </c>
      <c r="B97" s="598">
        <f>B95*B96</f>
        <v>260000</v>
      </c>
      <c r="C97" s="599"/>
      <c r="D97" s="524"/>
      <c r="E97" s="525"/>
      <c r="F97" s="296" t="s">
        <v>115</v>
      </c>
      <c r="G97" s="526">
        <f>L98</f>
        <v>3.28</v>
      </c>
      <c r="H97" s="519"/>
      <c r="I97" s="522"/>
      <c r="J97" s="536"/>
      <c r="K97" s="537"/>
      <c r="L97" s="538"/>
    </row>
    <row r="98" spans="1:14" ht="14.45" x14ac:dyDescent="0.35">
      <c r="A98" s="440" t="s">
        <v>48</v>
      </c>
      <c r="B98" s="598">
        <f>B97-B95</f>
        <v>60000</v>
      </c>
      <c r="C98" s="599"/>
      <c r="D98" s="524"/>
      <c r="E98" s="525"/>
      <c r="F98" s="296" t="s">
        <v>181</v>
      </c>
      <c r="G98" s="521">
        <v>2.7E-2</v>
      </c>
      <c r="H98" s="527"/>
      <c r="I98" s="522"/>
      <c r="J98" s="591" t="s">
        <v>173</v>
      </c>
      <c r="K98" s="592"/>
      <c r="L98" s="539">
        <f>L94*(1+(1-L92)*(L99/L100))</f>
        <v>3.28</v>
      </c>
    </row>
    <row r="99" spans="1:14" ht="14.45" x14ac:dyDescent="0.35">
      <c r="A99" s="319" t="s">
        <v>111</v>
      </c>
      <c r="B99" s="604">
        <f>-(B98*$B$107)</f>
        <v>-12000</v>
      </c>
      <c r="C99" s="605"/>
      <c r="D99" s="524"/>
      <c r="E99" s="528"/>
      <c r="F99" s="528" t="s">
        <v>116</v>
      </c>
      <c r="G99" s="519">
        <v>7.1900000000000006E-2</v>
      </c>
      <c r="H99" s="519" t="s">
        <v>125</v>
      </c>
      <c r="I99" s="522"/>
      <c r="J99" s="591" t="s">
        <v>147</v>
      </c>
      <c r="K99" s="592"/>
      <c r="L99" s="534">
        <v>0.9</v>
      </c>
    </row>
    <row r="100" spans="1:14" ht="15.75" customHeight="1" x14ac:dyDescent="0.25">
      <c r="B100" s="342"/>
      <c r="C100" s="341"/>
      <c r="D100" s="524"/>
      <c r="E100" s="588" t="s">
        <v>126</v>
      </c>
      <c r="F100" s="588"/>
      <c r="G100" s="540">
        <f>(G99-G98)*G97+G98</f>
        <v>0.17427200000000001</v>
      </c>
      <c r="H100" s="519"/>
      <c r="I100" s="522"/>
      <c r="J100" s="591" t="s">
        <v>149</v>
      </c>
      <c r="K100" s="592"/>
      <c r="L100" s="534">
        <v>0.1</v>
      </c>
    </row>
    <row r="101" spans="1:14" x14ac:dyDescent="0.25">
      <c r="A101" s="532" t="s">
        <v>114</v>
      </c>
      <c r="B101" s="602">
        <f>L67-L68</f>
        <v>0</v>
      </c>
      <c r="C101" s="603"/>
      <c r="D101" s="529"/>
      <c r="E101" s="589"/>
      <c r="F101" s="590"/>
      <c r="G101" s="457"/>
      <c r="H101" s="530"/>
      <c r="I101" s="531"/>
    </row>
    <row r="102" spans="1:14" ht="15.75" customHeight="1" x14ac:dyDescent="0.35">
      <c r="A102" s="440" t="s">
        <v>171</v>
      </c>
      <c r="B102" s="606">
        <f>C67</f>
        <v>150000</v>
      </c>
      <c r="C102" s="607"/>
    </row>
    <row r="103" spans="1:14" ht="14.45" x14ac:dyDescent="0.35">
      <c r="A103" s="533" t="s">
        <v>112</v>
      </c>
      <c r="B103" s="600">
        <v>0.65</v>
      </c>
      <c r="C103" s="601"/>
      <c r="D103"/>
      <c r="E103" s="296"/>
      <c r="F103" s="324"/>
      <c r="G103" s="296"/>
      <c r="H103" s="296"/>
      <c r="I103" s="296"/>
      <c r="J103" s="296"/>
      <c r="K103" s="287"/>
      <c r="L103" s="287"/>
      <c r="M103" s="287"/>
      <c r="N103" s="287"/>
    </row>
    <row r="104" spans="1:14" ht="14.45" x14ac:dyDescent="0.35">
      <c r="A104" s="440" t="s">
        <v>100</v>
      </c>
      <c r="B104" s="598">
        <f>B102*B103</f>
        <v>97500</v>
      </c>
      <c r="C104" s="599"/>
      <c r="D104" s="296"/>
      <c r="E104" s="296"/>
      <c r="F104" s="324"/>
      <c r="G104" s="296"/>
      <c r="H104" s="296"/>
      <c r="I104" s="296"/>
      <c r="J104" s="296"/>
      <c r="K104" s="287"/>
      <c r="L104" s="287"/>
      <c r="M104" s="287"/>
      <c r="N104" s="287"/>
    </row>
    <row r="105" spans="1:14" ht="14.45" x14ac:dyDescent="0.35">
      <c r="A105" s="440" t="s">
        <v>48</v>
      </c>
      <c r="B105" s="598">
        <f>B104-B101</f>
        <v>97500</v>
      </c>
      <c r="C105" s="599"/>
      <c r="D105" s="296"/>
      <c r="E105" s="296"/>
      <c r="F105" s="324"/>
      <c r="G105" s="296"/>
      <c r="H105" s="296"/>
      <c r="I105" s="296"/>
      <c r="J105" s="296"/>
      <c r="K105" s="287"/>
      <c r="L105" s="287"/>
      <c r="M105" s="287"/>
      <c r="N105" s="287"/>
    </row>
    <row r="106" spans="1:14" ht="14.45" x14ac:dyDescent="0.35">
      <c r="A106" s="440" t="s">
        <v>111</v>
      </c>
      <c r="B106" s="598">
        <f>-(B105*$B$107)</f>
        <v>-19500</v>
      </c>
      <c r="C106" s="599"/>
      <c r="D106" s="296"/>
      <c r="E106" s="296"/>
      <c r="F106" s="324"/>
      <c r="G106" s="296"/>
      <c r="H106" s="296"/>
      <c r="I106" s="296"/>
      <c r="J106" s="296"/>
      <c r="K106" s="287"/>
      <c r="L106" s="287"/>
      <c r="M106" s="287"/>
      <c r="N106" s="287"/>
    </row>
    <row r="107" spans="1:14" ht="14.45" x14ac:dyDescent="0.35">
      <c r="A107" s="319" t="s">
        <v>169</v>
      </c>
      <c r="B107" s="596">
        <v>0.2</v>
      </c>
      <c r="C107" s="597"/>
      <c r="D107" s="296"/>
      <c r="E107" s="296"/>
      <c r="F107" s="324"/>
      <c r="G107" s="296"/>
      <c r="H107" s="296"/>
      <c r="I107" s="296"/>
      <c r="J107" s="296"/>
      <c r="K107" s="287"/>
      <c r="L107" s="287"/>
      <c r="M107" s="287"/>
      <c r="N107" s="287"/>
    </row>
    <row r="108" spans="1:14" thickBot="1" x14ac:dyDescent="0.4">
      <c r="D108" s="296"/>
      <c r="E108" s="296"/>
      <c r="F108" s="296"/>
      <c r="G108" s="296"/>
      <c r="H108" s="296"/>
      <c r="I108" s="296"/>
      <c r="J108" s="296"/>
      <c r="K108" s="287"/>
      <c r="L108" s="287"/>
      <c r="M108" s="287"/>
      <c r="N108" s="287"/>
    </row>
    <row r="109" spans="1:14" thickBot="1" x14ac:dyDescent="0.4">
      <c r="A109" s="506" t="s">
        <v>36</v>
      </c>
      <c r="B109" s="507"/>
      <c r="C109" s="508">
        <v>0</v>
      </c>
      <c r="D109" s="509">
        <v>1</v>
      </c>
      <c r="E109" s="508">
        <v>2</v>
      </c>
      <c r="F109" s="508">
        <v>3</v>
      </c>
      <c r="G109" s="508">
        <v>4</v>
      </c>
      <c r="H109" s="508">
        <v>5</v>
      </c>
      <c r="I109" s="508">
        <v>6</v>
      </c>
      <c r="J109" s="508">
        <v>7</v>
      </c>
      <c r="K109" s="508">
        <v>8</v>
      </c>
      <c r="L109" s="508">
        <v>9</v>
      </c>
      <c r="M109" s="510">
        <v>10</v>
      </c>
      <c r="N109" s="287"/>
    </row>
    <row r="110" spans="1:14" ht="14.45" x14ac:dyDescent="0.35">
      <c r="A110" s="440"/>
      <c r="B110" s="441"/>
      <c r="C110" s="441"/>
      <c r="D110" s="441"/>
      <c r="E110" s="441"/>
      <c r="F110" s="441"/>
      <c r="G110" s="441"/>
      <c r="H110" s="441"/>
      <c r="I110" s="441"/>
      <c r="J110" s="441"/>
      <c r="K110" s="441"/>
      <c r="L110" s="441"/>
      <c r="M110" s="442"/>
      <c r="N110" s="287"/>
    </row>
    <row r="111" spans="1:14" ht="14.45" x14ac:dyDescent="0.35">
      <c r="A111" s="443" t="s">
        <v>37</v>
      </c>
      <c r="B111" s="441"/>
      <c r="C111" s="441"/>
      <c r="D111" s="441"/>
      <c r="E111" s="441"/>
      <c r="F111" s="441"/>
      <c r="G111" s="441"/>
      <c r="H111" s="441"/>
      <c r="I111" s="441"/>
      <c r="J111" s="441"/>
      <c r="K111" s="441"/>
      <c r="L111" s="441"/>
      <c r="M111" s="442"/>
      <c r="N111" s="287"/>
    </row>
    <row r="112" spans="1:14" ht="14.45" x14ac:dyDescent="0.35">
      <c r="A112" s="440" t="s">
        <v>38</v>
      </c>
      <c r="B112" s="296"/>
      <c r="C112" s="325"/>
      <c r="D112" s="288">
        <f t="shared" ref="D112:M112" si="44">C39+C40-C42-C45-C46-C47</f>
        <v>21750</v>
      </c>
      <c r="E112" s="325">
        <f t="shared" si="44"/>
        <v>20455.803864168603</v>
      </c>
      <c r="F112" s="325">
        <f t="shared" si="44"/>
        <v>20891.14930741307</v>
      </c>
      <c r="G112" s="325">
        <f t="shared" si="44"/>
        <v>21310.600227030111</v>
      </c>
      <c r="H112" s="325">
        <f t="shared" si="44"/>
        <v>98380.046027904929</v>
      </c>
      <c r="I112" s="325">
        <f t="shared" si="44"/>
        <v>104035.20739831994</v>
      </c>
      <c r="J112" s="325">
        <f t="shared" si="44"/>
        <v>110050.5926559954</v>
      </c>
      <c r="K112" s="325">
        <f t="shared" si="44"/>
        <v>116450.31590502059</v>
      </c>
      <c r="L112" s="325">
        <f t="shared" si="44"/>
        <v>123260.14943746553</v>
      </c>
      <c r="M112" s="325">
        <f t="shared" si="44"/>
        <v>130507.63950041276</v>
      </c>
      <c r="N112" s="287"/>
    </row>
    <row r="113" spans="1:14" ht="14.45" x14ac:dyDescent="0.35">
      <c r="A113" s="440" t="s">
        <v>39</v>
      </c>
      <c r="B113" s="296"/>
      <c r="C113" s="284"/>
      <c r="D113" s="288">
        <f t="shared" ref="D113:M113" si="45">C49</f>
        <v>32261.904761904763</v>
      </c>
      <c r="E113" s="325">
        <f t="shared" si="45"/>
        <v>32261.904761904763</v>
      </c>
      <c r="F113" s="325">
        <f t="shared" si="45"/>
        <v>32261.904761904763</v>
      </c>
      <c r="G113" s="325">
        <f t="shared" si="45"/>
        <v>32261.904761904763</v>
      </c>
      <c r="H113" s="325">
        <f t="shared" si="45"/>
        <v>32261.904761904763</v>
      </c>
      <c r="I113" s="325">
        <f t="shared" si="45"/>
        <v>32261.904761904763</v>
      </c>
      <c r="J113" s="325">
        <f t="shared" si="45"/>
        <v>32261.904761904763</v>
      </c>
      <c r="K113" s="325">
        <f t="shared" si="45"/>
        <v>10833.333333333334</v>
      </c>
      <c r="L113" s="325">
        <f t="shared" si="45"/>
        <v>10833.333333333334</v>
      </c>
      <c r="M113" s="325">
        <f t="shared" si="45"/>
        <v>10833.333333333334</v>
      </c>
      <c r="N113" s="287"/>
    </row>
    <row r="114" spans="1:14" ht="14.45" x14ac:dyDescent="0.35">
      <c r="A114" s="440" t="s">
        <v>40</v>
      </c>
      <c r="B114" s="444"/>
      <c r="C114" s="284"/>
      <c r="D114" s="288">
        <f>D112-D113</f>
        <v>-10511.904761904763</v>
      </c>
      <c r="E114" s="325">
        <f>E112-E113</f>
        <v>-11806.10089773616</v>
      </c>
      <c r="F114" s="325">
        <f>F112-F113</f>
        <v>-11370.755454491693</v>
      </c>
      <c r="G114" s="325">
        <f>G112-G113</f>
        <v>-10951.304534874653</v>
      </c>
      <c r="H114" s="325">
        <f t="shared" ref="H114:M114" si="46">H112-H113</f>
        <v>66118.141266000166</v>
      </c>
      <c r="I114" s="325">
        <f t="shared" si="46"/>
        <v>71773.302636415174</v>
      </c>
      <c r="J114" s="325">
        <f t="shared" si="46"/>
        <v>77788.687894090632</v>
      </c>
      <c r="K114" s="325">
        <f t="shared" si="46"/>
        <v>105616.98257168726</v>
      </c>
      <c r="L114" s="325">
        <f t="shared" si="46"/>
        <v>112426.8161041322</v>
      </c>
      <c r="M114" s="325">
        <f t="shared" si="46"/>
        <v>119674.30616707943</v>
      </c>
    </row>
    <row r="115" spans="1:14" ht="14.45" x14ac:dyDescent="0.35">
      <c r="A115" s="440" t="s">
        <v>41</v>
      </c>
      <c r="B115" s="444"/>
      <c r="C115" s="284"/>
      <c r="D115" s="299">
        <f t="shared" ref="D115:M115" si="47">D114*$M$54</f>
        <v>-2102.3809523809527</v>
      </c>
      <c r="E115" s="326">
        <f t="shared" si="47"/>
        <v>-2361.220179547232</v>
      </c>
      <c r="F115" s="326">
        <f t="shared" si="47"/>
        <v>-2274.1510908983387</v>
      </c>
      <c r="G115" s="326">
        <f t="shared" si="47"/>
        <v>-2190.2609069749305</v>
      </c>
      <c r="H115" s="326">
        <f t="shared" si="47"/>
        <v>13223.628253200033</v>
      </c>
      <c r="I115" s="326">
        <f t="shared" si="47"/>
        <v>14354.660527283035</v>
      </c>
      <c r="J115" s="326">
        <f t="shared" si="47"/>
        <v>15557.737578818127</v>
      </c>
      <c r="K115" s="326">
        <f t="shared" si="47"/>
        <v>21123.396514337452</v>
      </c>
      <c r="L115" s="326">
        <f t="shared" si="47"/>
        <v>22485.363220826443</v>
      </c>
      <c r="M115" s="326">
        <f t="shared" si="47"/>
        <v>23934.861233415886</v>
      </c>
    </row>
    <row r="116" spans="1:14" ht="14.45" x14ac:dyDescent="0.35">
      <c r="A116" s="440" t="s">
        <v>42</v>
      </c>
      <c r="B116" s="444"/>
      <c r="C116" s="284"/>
      <c r="D116" s="288">
        <f t="shared" ref="D116:M116" si="48">C49</f>
        <v>32261.904761904763</v>
      </c>
      <c r="E116" s="325">
        <f t="shared" si="48"/>
        <v>32261.904761904763</v>
      </c>
      <c r="F116" s="325">
        <f t="shared" si="48"/>
        <v>32261.904761904763</v>
      </c>
      <c r="G116" s="325">
        <f t="shared" si="48"/>
        <v>32261.904761904763</v>
      </c>
      <c r="H116" s="325">
        <f t="shared" si="48"/>
        <v>32261.904761904763</v>
      </c>
      <c r="I116" s="325">
        <f t="shared" si="48"/>
        <v>32261.904761904763</v>
      </c>
      <c r="J116" s="325">
        <f t="shared" si="48"/>
        <v>32261.904761904763</v>
      </c>
      <c r="K116" s="325">
        <f t="shared" si="48"/>
        <v>10833.333333333334</v>
      </c>
      <c r="L116" s="325">
        <f t="shared" si="48"/>
        <v>10833.333333333334</v>
      </c>
      <c r="M116" s="325">
        <f t="shared" si="48"/>
        <v>10833.333333333334</v>
      </c>
    </row>
    <row r="117" spans="1:14" ht="14.45" x14ac:dyDescent="0.35">
      <c r="A117" s="440"/>
      <c r="B117" s="444"/>
      <c r="C117" s="284"/>
      <c r="D117" s="288"/>
      <c r="E117" s="284"/>
      <c r="F117" s="284"/>
      <c r="G117" s="284"/>
      <c r="H117" s="284"/>
      <c r="I117" s="284"/>
      <c r="J117" s="284"/>
      <c r="K117" s="284"/>
      <c r="L117" s="284"/>
      <c r="M117" s="284"/>
    </row>
    <row r="118" spans="1:14" ht="14.45" x14ac:dyDescent="0.35">
      <c r="A118" s="443" t="s">
        <v>43</v>
      </c>
      <c r="B118" s="444"/>
      <c r="C118" s="327">
        <f>SUM(B110:B117)</f>
        <v>0</v>
      </c>
      <c r="D118" s="288">
        <f>D114-D115+D116</f>
        <v>23852.380952380954</v>
      </c>
      <c r="E118" s="288">
        <f t="shared" ref="E118:L118" si="49">E114-E115+E116</f>
        <v>22817.024043715835</v>
      </c>
      <c r="F118" s="288">
        <f t="shared" si="49"/>
        <v>23165.30039831141</v>
      </c>
      <c r="G118" s="288">
        <f t="shared" si="49"/>
        <v>23500.861134005041</v>
      </c>
      <c r="H118" s="288">
        <f t="shared" si="49"/>
        <v>85156.417774704896</v>
      </c>
      <c r="I118" s="288">
        <f t="shared" si="49"/>
        <v>89680.546871036902</v>
      </c>
      <c r="J118" s="288">
        <f t="shared" si="49"/>
        <v>94492.855077177272</v>
      </c>
      <c r="K118" s="288">
        <f t="shared" si="49"/>
        <v>95326.919390683135</v>
      </c>
      <c r="L118" s="288">
        <f t="shared" si="49"/>
        <v>100774.78621663908</v>
      </c>
      <c r="M118" s="288">
        <f>M114-M115+M116</f>
        <v>106572.77826699687</v>
      </c>
    </row>
    <row r="119" spans="1:14" ht="14.45" x14ac:dyDescent="0.35">
      <c r="A119" s="440"/>
      <c r="B119" s="444"/>
      <c r="C119" s="284"/>
      <c r="D119" s="288"/>
      <c r="E119" s="284"/>
      <c r="F119" s="284"/>
      <c r="G119" s="284"/>
      <c r="H119" s="284"/>
      <c r="I119" s="284"/>
      <c r="J119" s="284"/>
      <c r="K119" s="284"/>
      <c r="L119" s="284"/>
      <c r="M119" s="284"/>
    </row>
    <row r="120" spans="1:14" ht="14.45" x14ac:dyDescent="0.35">
      <c r="A120" s="443" t="s">
        <v>44</v>
      </c>
      <c r="B120" s="444"/>
      <c r="C120" s="284"/>
      <c r="D120" s="288"/>
      <c r="E120" s="284"/>
      <c r="F120" s="284"/>
      <c r="G120" s="284"/>
      <c r="H120" s="284"/>
      <c r="I120" s="284"/>
      <c r="J120" s="284"/>
      <c r="K120" s="284"/>
      <c r="L120" s="284"/>
      <c r="M120" s="284"/>
    </row>
    <row r="121" spans="1:14" ht="14.45" x14ac:dyDescent="0.35">
      <c r="A121" s="440" t="s">
        <v>45</v>
      </c>
      <c r="B121" s="444"/>
      <c r="C121" s="327">
        <f>-C65</f>
        <v>-325000</v>
      </c>
      <c r="D121" s="288"/>
      <c r="E121" s="284"/>
      <c r="F121" s="284"/>
      <c r="G121" s="284"/>
      <c r="H121" s="284"/>
      <c r="I121" s="284"/>
      <c r="J121" s="284"/>
      <c r="K121" s="284"/>
      <c r="L121" s="284"/>
      <c r="M121" s="284"/>
    </row>
    <row r="122" spans="1:14" ht="14.45" x14ac:dyDescent="0.35">
      <c r="A122" s="445" t="s">
        <v>46</v>
      </c>
      <c r="B122" s="444"/>
      <c r="C122" s="284"/>
      <c r="D122" s="288"/>
      <c r="E122" s="284"/>
      <c r="F122" s="284"/>
      <c r="G122" s="284"/>
      <c r="H122" s="284"/>
      <c r="I122" s="284"/>
      <c r="J122" s="284"/>
      <c r="K122" s="284"/>
      <c r="L122" s="284"/>
      <c r="M122" s="327">
        <f>B91</f>
        <v>260000</v>
      </c>
    </row>
    <row r="123" spans="1:14" ht="14.45" x14ac:dyDescent="0.35">
      <c r="A123" s="445" t="s">
        <v>47</v>
      </c>
      <c r="B123" s="444"/>
      <c r="C123" s="284"/>
      <c r="D123" s="288"/>
      <c r="E123" s="284"/>
      <c r="F123" s="284"/>
      <c r="G123" s="284"/>
      <c r="H123" s="284"/>
      <c r="I123" s="284"/>
      <c r="J123" s="284"/>
      <c r="K123" s="284"/>
      <c r="L123" s="284"/>
      <c r="M123" s="302">
        <f>B93</f>
        <v>-8666.6666666666624</v>
      </c>
    </row>
    <row r="124" spans="1:14" ht="14.45" x14ac:dyDescent="0.35">
      <c r="A124" s="440" t="s">
        <v>104</v>
      </c>
      <c r="B124" s="444"/>
      <c r="C124" s="328">
        <f>-C64</f>
        <v>-200000</v>
      </c>
      <c r="D124" s="288"/>
      <c r="E124" s="284"/>
      <c r="F124" s="284"/>
      <c r="G124" s="284"/>
      <c r="H124" s="284"/>
      <c r="I124" s="284"/>
      <c r="J124" s="284"/>
      <c r="K124" s="284"/>
      <c r="L124" s="284"/>
      <c r="M124" s="302"/>
    </row>
    <row r="125" spans="1:14" ht="14.45" x14ac:dyDescent="0.35">
      <c r="A125" s="446" t="s">
        <v>105</v>
      </c>
      <c r="B125" s="444"/>
      <c r="C125" s="284"/>
      <c r="D125" s="288"/>
      <c r="E125" s="284"/>
      <c r="F125" s="284"/>
      <c r="G125" s="284"/>
      <c r="H125" s="284"/>
      <c r="I125" s="284"/>
      <c r="J125" s="284"/>
      <c r="K125" s="284"/>
      <c r="L125" s="284"/>
      <c r="M125" s="302">
        <f>B97</f>
        <v>260000</v>
      </c>
    </row>
    <row r="126" spans="1:14" ht="14.45" x14ac:dyDescent="0.35">
      <c r="A126" s="445" t="s">
        <v>109</v>
      </c>
      <c r="B126" s="444"/>
      <c r="C126" s="284"/>
      <c r="D126" s="288"/>
      <c r="E126" s="284"/>
      <c r="F126" s="284"/>
      <c r="G126" s="284"/>
      <c r="H126" s="284"/>
      <c r="I126" s="284"/>
      <c r="J126" s="284"/>
      <c r="K126" s="284"/>
      <c r="L126" s="284"/>
      <c r="M126" s="302">
        <f>B99</f>
        <v>-12000</v>
      </c>
    </row>
    <row r="127" spans="1:14" ht="14.45" x14ac:dyDescent="0.35">
      <c r="A127" s="440" t="s">
        <v>106</v>
      </c>
      <c r="B127" s="444"/>
      <c r="C127" s="328">
        <f>-C67</f>
        <v>-150000</v>
      </c>
      <c r="D127" s="288"/>
      <c r="E127" s="284"/>
      <c r="F127" s="284"/>
      <c r="G127" s="284"/>
      <c r="H127" s="284"/>
      <c r="I127" s="284"/>
      <c r="J127" s="284"/>
      <c r="K127" s="284"/>
      <c r="L127" s="284"/>
      <c r="M127" s="302"/>
    </row>
    <row r="128" spans="1:14" ht="14.45" x14ac:dyDescent="0.35">
      <c r="A128" s="445" t="s">
        <v>107</v>
      </c>
      <c r="B128" s="444"/>
      <c r="C128" s="284"/>
      <c r="D128" s="288"/>
      <c r="E128" s="284"/>
      <c r="F128" s="284"/>
      <c r="G128" s="284"/>
      <c r="H128" s="284"/>
      <c r="I128" s="284"/>
      <c r="J128" s="284"/>
      <c r="K128" s="284"/>
      <c r="L128" s="284"/>
      <c r="M128" s="302">
        <f>B104</f>
        <v>97500</v>
      </c>
    </row>
    <row r="129" spans="1:13" ht="14.45" x14ac:dyDescent="0.35">
      <c r="A129" s="445" t="s">
        <v>108</v>
      </c>
      <c r="B129" s="444"/>
      <c r="C129" s="284"/>
      <c r="D129" s="288"/>
      <c r="E129" s="284"/>
      <c r="F129" s="284"/>
      <c r="G129" s="284"/>
      <c r="H129" s="284"/>
      <c r="I129" s="284"/>
      <c r="J129" s="284"/>
      <c r="K129" s="284"/>
      <c r="L129" s="284"/>
      <c r="M129" s="302">
        <f>B106</f>
        <v>-19500</v>
      </c>
    </row>
    <row r="130" spans="1:13" ht="14.45" x14ac:dyDescent="0.35">
      <c r="A130" s="440"/>
      <c r="B130" s="444"/>
      <c r="C130" s="284"/>
      <c r="D130" s="288"/>
      <c r="E130" s="284"/>
      <c r="F130" s="284"/>
      <c r="G130" s="284"/>
      <c r="H130" s="284"/>
      <c r="I130" s="284"/>
      <c r="J130" s="284"/>
      <c r="K130" s="284"/>
      <c r="L130" s="284"/>
      <c r="M130" s="302"/>
    </row>
    <row r="131" spans="1:13" ht="14.45" x14ac:dyDescent="0.35">
      <c r="A131" s="443" t="s">
        <v>49</v>
      </c>
      <c r="B131" s="444"/>
      <c r="C131" s="284"/>
      <c r="D131" s="288"/>
      <c r="E131" s="284"/>
      <c r="F131" s="284"/>
      <c r="G131" s="284"/>
      <c r="H131" s="284"/>
      <c r="I131" s="284"/>
      <c r="J131" s="284"/>
      <c r="K131" s="284"/>
      <c r="L131" s="284"/>
      <c r="M131" s="284"/>
    </row>
    <row r="132" spans="1:13" x14ac:dyDescent="0.25">
      <c r="A132" s="440" t="s">
        <v>25</v>
      </c>
      <c r="B132" s="444"/>
      <c r="C132" s="284"/>
      <c r="D132" s="288">
        <f t="shared" ref="D132:M133" si="50">-(C61-B61)</f>
        <v>-56071.232876712333</v>
      </c>
      <c r="E132" s="288">
        <f t="shared" si="50"/>
        <v>-1121.4246575342477</v>
      </c>
      <c r="F132" s="288">
        <f t="shared" si="50"/>
        <v>-1143.8531506849322</v>
      </c>
      <c r="G132" s="288">
        <f t="shared" si="50"/>
        <v>-1166.7302136986327</v>
      </c>
      <c r="H132" s="288">
        <f t="shared" si="50"/>
        <v>-1785.0972269589038</v>
      </c>
      <c r="I132" s="288">
        <f t="shared" si="50"/>
        <v>-1838.6501437676707</v>
      </c>
      <c r="J132" s="288">
        <f t="shared" si="50"/>
        <v>-1893.8096480806998</v>
      </c>
      <c r="K132" s="288">
        <f t="shared" si="50"/>
        <v>-1950.6239375231235</v>
      </c>
      <c r="L132" s="288">
        <f t="shared" si="50"/>
        <v>-2009.142655648815</v>
      </c>
      <c r="M132" s="288">
        <f t="shared" si="50"/>
        <v>-2069.4169353182806</v>
      </c>
    </row>
    <row r="133" spans="1:13" x14ac:dyDescent="0.25">
      <c r="A133" s="440" t="s">
        <v>9</v>
      </c>
      <c r="B133" s="444"/>
      <c r="C133" s="284"/>
      <c r="D133" s="288">
        <f t="shared" si="50"/>
        <v>-57156.164383561641</v>
      </c>
      <c r="E133" s="288">
        <f t="shared" si="50"/>
        <v>571.56164383561554</v>
      </c>
      <c r="F133" s="288">
        <f t="shared" si="50"/>
        <v>565.8460273972596</v>
      </c>
      <c r="G133" s="288">
        <f t="shared" si="50"/>
        <v>560.18756712328468</v>
      </c>
      <c r="H133" s="288">
        <f t="shared" si="50"/>
        <v>1109.1713829041109</v>
      </c>
      <c r="I133" s="288">
        <f t="shared" si="50"/>
        <v>1086.9879552460261</v>
      </c>
      <c r="J133" s="288">
        <f t="shared" si="50"/>
        <v>1065.2481961411104</v>
      </c>
      <c r="K133" s="288">
        <f t="shared" si="50"/>
        <v>1043.9432322182838</v>
      </c>
      <c r="L133" s="288">
        <f t="shared" si="50"/>
        <v>1023.0643675739193</v>
      </c>
      <c r="M133" s="288">
        <f t="shared" si="50"/>
        <v>1002.6030802224413</v>
      </c>
    </row>
    <row r="134" spans="1:13" x14ac:dyDescent="0.25">
      <c r="A134" s="440" t="s">
        <v>29</v>
      </c>
      <c r="B134" s="444"/>
      <c r="C134" s="284"/>
      <c r="D134" s="288">
        <f>C72</f>
        <v>6016.4383561643826</v>
      </c>
      <c r="E134" s="325">
        <f t="shared" ref="E134:M134" si="51">D72-C72</f>
        <v>490.33972602739777</v>
      </c>
      <c r="F134" s="325">
        <f t="shared" si="51"/>
        <v>530.30241369863143</v>
      </c>
      <c r="G134" s="325">
        <f t="shared" si="51"/>
        <v>573.52206041506815</v>
      </c>
      <c r="H134" s="325">
        <f t="shared" si="51"/>
        <v>-1756.2987519186163</v>
      </c>
      <c r="I134" s="325">
        <f t="shared" si="51"/>
        <v>231.24500027328031</v>
      </c>
      <c r="J134" s="325">
        <f t="shared" si="51"/>
        <v>240.37917778407518</v>
      </c>
      <c r="K134" s="325">
        <f t="shared" si="51"/>
        <v>249.87415530654744</v>
      </c>
      <c r="L134" s="325">
        <f t="shared" si="51"/>
        <v>259.7441844411569</v>
      </c>
      <c r="M134" s="325">
        <f t="shared" si="51"/>
        <v>270.00407972658104</v>
      </c>
    </row>
    <row r="135" spans="1:13" x14ac:dyDescent="0.25">
      <c r="A135" s="440" t="s">
        <v>30</v>
      </c>
      <c r="B135" s="444"/>
      <c r="C135" s="284"/>
      <c r="D135" s="288">
        <f>D115-C115</f>
        <v>-2102.3809523809527</v>
      </c>
      <c r="E135" s="288">
        <f t="shared" ref="E135:M135" si="52">E115-D115</f>
        <v>-258.83922716627922</v>
      </c>
      <c r="F135" s="288">
        <f t="shared" si="52"/>
        <v>87.069088648893285</v>
      </c>
      <c r="G135" s="288">
        <f t="shared" si="52"/>
        <v>83.890183923408131</v>
      </c>
      <c r="H135" s="288">
        <f t="shared" si="52"/>
        <v>15413.889160174964</v>
      </c>
      <c r="I135" s="288">
        <f t="shared" si="52"/>
        <v>1131.0322740830015</v>
      </c>
      <c r="J135" s="288">
        <f t="shared" si="52"/>
        <v>1203.0770515350923</v>
      </c>
      <c r="K135" s="288">
        <f t="shared" si="52"/>
        <v>5565.6589355193246</v>
      </c>
      <c r="L135" s="288">
        <f t="shared" si="52"/>
        <v>1361.9667064889909</v>
      </c>
      <c r="M135" s="288">
        <f t="shared" si="52"/>
        <v>1449.4980125894435</v>
      </c>
    </row>
    <row r="136" spans="1:13" x14ac:dyDescent="0.25">
      <c r="A136" s="440"/>
      <c r="B136" s="444"/>
      <c r="C136" s="284"/>
      <c r="D136" s="288"/>
      <c r="E136" s="284"/>
      <c r="F136" s="284"/>
      <c r="G136" s="284"/>
      <c r="H136" s="284"/>
      <c r="I136" s="284"/>
      <c r="J136" s="284"/>
      <c r="K136" s="284"/>
      <c r="L136" s="284"/>
      <c r="M136" s="284"/>
    </row>
    <row r="137" spans="1:13" x14ac:dyDescent="0.25">
      <c r="A137" s="443" t="s">
        <v>52</v>
      </c>
      <c r="B137" s="444"/>
      <c r="C137" s="284"/>
      <c r="D137" s="288"/>
      <c r="E137" s="284"/>
      <c r="F137" s="284"/>
      <c r="G137" s="284"/>
      <c r="H137" s="284"/>
      <c r="I137" s="284"/>
      <c r="J137" s="284"/>
      <c r="K137" s="284"/>
      <c r="L137" s="284"/>
      <c r="M137" s="284"/>
    </row>
    <row r="138" spans="1:13" x14ac:dyDescent="0.25">
      <c r="A138" s="440" t="s">
        <v>25</v>
      </c>
      <c r="B138" s="444"/>
      <c r="C138" s="284"/>
      <c r="D138" s="288"/>
      <c r="E138" s="284"/>
      <c r="F138" s="284"/>
      <c r="G138" s="326"/>
      <c r="H138" s="284"/>
      <c r="I138" s="284"/>
      <c r="J138" s="284"/>
      <c r="K138" s="284"/>
      <c r="L138" s="284"/>
      <c r="M138" s="326">
        <f>L61</f>
        <v>71049.981445927639</v>
      </c>
    </row>
    <row r="139" spans="1:13" x14ac:dyDescent="0.25">
      <c r="A139" s="440" t="s">
        <v>9</v>
      </c>
      <c r="B139" s="444"/>
      <c r="C139" s="284"/>
      <c r="D139" s="288"/>
      <c r="E139" s="284"/>
      <c r="F139" s="284"/>
      <c r="G139" s="325"/>
      <c r="H139" s="284"/>
      <c r="I139" s="284"/>
      <c r="J139" s="284"/>
      <c r="K139" s="284"/>
      <c r="L139" s="284"/>
      <c r="M139" s="325">
        <f>L62</f>
        <v>49127.55093089959</v>
      </c>
    </row>
    <row r="140" spans="1:13" x14ac:dyDescent="0.25">
      <c r="A140" s="440" t="s">
        <v>29</v>
      </c>
      <c r="B140" s="444"/>
      <c r="C140" s="284"/>
      <c r="D140" s="288"/>
      <c r="E140" s="284"/>
      <c r="F140" s="284"/>
      <c r="G140" s="325"/>
      <c r="H140" s="284"/>
      <c r="I140" s="284"/>
      <c r="J140" s="284"/>
      <c r="K140" s="284"/>
      <c r="L140" s="284"/>
      <c r="M140" s="325">
        <f>-L72</f>
        <v>-7105.5504019185046</v>
      </c>
    </row>
    <row r="141" spans="1:13" x14ac:dyDescent="0.25">
      <c r="A141" s="440" t="s">
        <v>30</v>
      </c>
      <c r="B141" s="444"/>
      <c r="C141" s="284"/>
      <c r="D141" s="288"/>
      <c r="E141" s="326"/>
      <c r="F141" s="326"/>
      <c r="G141" s="325"/>
      <c r="H141" s="284"/>
      <c r="I141" s="284"/>
      <c r="J141" s="284"/>
      <c r="K141" s="284"/>
      <c r="L141" s="284"/>
      <c r="M141" s="325">
        <f>-M115</f>
        <v>-23934.861233415886</v>
      </c>
    </row>
    <row r="142" spans="1:13" x14ac:dyDescent="0.25">
      <c r="A142" s="440"/>
      <c r="B142" s="444"/>
      <c r="C142" s="284"/>
      <c r="D142" s="288"/>
      <c r="E142" s="284"/>
      <c r="F142" s="284"/>
      <c r="G142" s="284"/>
      <c r="H142" s="284"/>
      <c r="I142" s="284"/>
      <c r="J142" s="284"/>
      <c r="K142" s="284"/>
      <c r="L142" s="284"/>
      <c r="M142" s="284"/>
    </row>
    <row r="143" spans="1:13" x14ac:dyDescent="0.25">
      <c r="A143" s="443" t="s">
        <v>55</v>
      </c>
      <c r="B143" s="444"/>
      <c r="C143" s="327">
        <f t="shared" ref="C143:M143" si="53">SUM(C118:C142)</f>
        <v>-675000</v>
      </c>
      <c r="D143" s="327">
        <f t="shared" si="53"/>
        <v>-85460.95890410959</v>
      </c>
      <c r="E143" s="327">
        <f t="shared" si="53"/>
        <v>22498.661528878325</v>
      </c>
      <c r="F143" s="327">
        <f t="shared" si="53"/>
        <v>23204.664777371261</v>
      </c>
      <c r="G143" s="327">
        <f t="shared" si="53"/>
        <v>23551.73073176817</v>
      </c>
      <c r="H143" s="327">
        <f t="shared" si="53"/>
        <v>98138.082338906461</v>
      </c>
      <c r="I143" s="327">
        <f t="shared" si="53"/>
        <v>90291.16195687154</v>
      </c>
      <c r="J143" s="327">
        <f t="shared" si="53"/>
        <v>95107.749854556852</v>
      </c>
      <c r="K143" s="327">
        <f t="shared" si="53"/>
        <v>100235.77177620417</v>
      </c>
      <c r="L143" s="327">
        <f t="shared" si="53"/>
        <v>101410.41881949434</v>
      </c>
      <c r="M143" s="327">
        <f t="shared" si="53"/>
        <v>773695.9205790431</v>
      </c>
    </row>
    <row r="144" spans="1:13" x14ac:dyDescent="0.25">
      <c r="A144" s="443" t="s">
        <v>56</v>
      </c>
      <c r="B144" s="444"/>
      <c r="C144" s="320">
        <f t="shared" ref="C144:M144" si="54">-PV($C$147,C146,,C143)</f>
        <v>-675000</v>
      </c>
      <c r="D144" s="320">
        <f t="shared" si="54"/>
        <v>-79532.336555782182</v>
      </c>
      <c r="E144" s="320">
        <f t="shared" si="54"/>
        <v>19485.369359485314</v>
      </c>
      <c r="F144" s="320">
        <f t="shared" si="54"/>
        <v>18702.653996837373</v>
      </c>
      <c r="G144" s="320">
        <f t="shared" si="54"/>
        <v>17665.533110965993</v>
      </c>
      <c r="H144" s="320">
        <f t="shared" si="54"/>
        <v>68504.24249526739</v>
      </c>
      <c r="I144" s="320">
        <f t="shared" si="54"/>
        <v>58654.47111324242</v>
      </c>
      <c r="J144" s="320">
        <f t="shared" si="54"/>
        <v>57497.34195751122</v>
      </c>
      <c r="K144" s="320">
        <f t="shared" si="54"/>
        <v>56393.698761262858</v>
      </c>
      <c r="L144" s="320">
        <f t="shared" si="54"/>
        <v>53096.561580540467</v>
      </c>
      <c r="M144" s="320">
        <f t="shared" si="54"/>
        <v>376990.24179270276</v>
      </c>
    </row>
    <row r="145" spans="1:13" x14ac:dyDescent="0.25">
      <c r="A145" s="443" t="s">
        <v>127</v>
      </c>
      <c r="B145" s="444"/>
      <c r="C145" s="320">
        <f t="shared" ref="C145:M145" si="55">-PV($H$94,C146,,C143,0)</f>
        <v>-675000</v>
      </c>
      <c r="D145" s="320">
        <f t="shared" si="55"/>
        <v>-79532.336555782182</v>
      </c>
      <c r="E145" s="320">
        <f t="shared" si="55"/>
        <v>19485.369359485314</v>
      </c>
      <c r="F145" s="320">
        <f t="shared" si="55"/>
        <v>18702.653996837373</v>
      </c>
      <c r="G145" s="320">
        <f t="shared" si="55"/>
        <v>17665.533110965993</v>
      </c>
      <c r="H145" s="320">
        <f t="shared" si="55"/>
        <v>68504.24249526739</v>
      </c>
      <c r="I145" s="320">
        <f t="shared" si="55"/>
        <v>58654.47111324242</v>
      </c>
      <c r="J145" s="320">
        <f t="shared" si="55"/>
        <v>57497.34195751122</v>
      </c>
      <c r="K145" s="320">
        <f t="shared" si="55"/>
        <v>56393.698761262858</v>
      </c>
      <c r="L145" s="320">
        <f t="shared" si="55"/>
        <v>53096.561580540467</v>
      </c>
      <c r="M145" s="320">
        <f t="shared" si="55"/>
        <v>376990.24179270276</v>
      </c>
    </row>
    <row r="146" spans="1:13" x14ac:dyDescent="0.25">
      <c r="A146" s="443" t="s">
        <v>57</v>
      </c>
      <c r="B146" s="444"/>
      <c r="C146" s="329">
        <v>0</v>
      </c>
      <c r="D146" s="330">
        <v>1</v>
      </c>
      <c r="E146" s="329">
        <v>2</v>
      </c>
      <c r="F146" s="329">
        <v>3</v>
      </c>
      <c r="G146" s="329">
        <v>4</v>
      </c>
      <c r="H146" s="330">
        <v>5</v>
      </c>
      <c r="I146" s="329">
        <v>6</v>
      </c>
      <c r="J146" s="329">
        <v>7</v>
      </c>
      <c r="K146" s="329">
        <v>8</v>
      </c>
      <c r="L146" s="330">
        <v>9</v>
      </c>
      <c r="M146" s="329">
        <v>10</v>
      </c>
    </row>
    <row r="147" spans="1:13" x14ac:dyDescent="0.25">
      <c r="A147" s="443" t="s">
        <v>58</v>
      </c>
      <c r="B147" s="444"/>
      <c r="C147" s="331">
        <f>H94</f>
        <v>7.4543545494469426E-2</v>
      </c>
      <c r="D147" s="288"/>
      <c r="E147" s="284"/>
      <c r="F147" s="284"/>
      <c r="G147" s="284"/>
      <c r="H147" s="284"/>
      <c r="I147" s="284"/>
      <c r="J147" s="284"/>
      <c r="K147" s="284"/>
      <c r="L147" s="284"/>
      <c r="M147" s="284"/>
    </row>
    <row r="148" spans="1:13" x14ac:dyDescent="0.25">
      <c r="A148" s="443" t="s">
        <v>59</v>
      </c>
      <c r="B148" s="444"/>
      <c r="C148" s="332">
        <f>SUM(C144:M144)</f>
        <v>-27542.222387966409</v>
      </c>
      <c r="D148" s="288"/>
      <c r="E148" s="284"/>
      <c r="F148" s="284"/>
      <c r="G148" s="284"/>
      <c r="H148" s="284"/>
      <c r="I148" s="284"/>
      <c r="J148" s="284"/>
      <c r="K148" s="284"/>
      <c r="L148" s="284"/>
      <c r="M148" s="284"/>
    </row>
    <row r="149" spans="1:13" x14ac:dyDescent="0.25">
      <c r="A149" s="443" t="s">
        <v>60</v>
      </c>
      <c r="B149" s="444"/>
      <c r="C149" s="333">
        <f>IRR(C143:M143)</f>
        <v>6.9626097664400088E-2</v>
      </c>
      <c r="D149" s="294"/>
      <c r="E149" s="334"/>
      <c r="F149" s="334"/>
      <c r="G149" s="334"/>
      <c r="H149" s="334"/>
      <c r="I149" s="334"/>
      <c r="J149" s="334"/>
      <c r="K149" s="334"/>
      <c r="L149" s="334"/>
      <c r="M149" s="334"/>
    </row>
    <row r="150" spans="1:13" x14ac:dyDescent="0.25">
      <c r="A150" s="447" t="s">
        <v>128</v>
      </c>
      <c r="B150" s="448"/>
      <c r="C150" s="335">
        <f>SUM(C145:M145)</f>
        <v>-27542.222387966409</v>
      </c>
      <c r="D150" s="288"/>
      <c r="E150" s="336"/>
      <c r="F150" s="336"/>
      <c r="G150" s="336"/>
      <c r="H150" s="336"/>
      <c r="I150" s="336"/>
      <c r="J150" s="336"/>
      <c r="K150" s="336"/>
      <c r="L150" s="336"/>
      <c r="M150" s="336"/>
    </row>
  </sheetData>
  <mergeCells count="29">
    <mergeCell ref="B102:C102"/>
    <mergeCell ref="B101:C101"/>
    <mergeCell ref="B93:C93"/>
    <mergeCell ref="B92:C92"/>
    <mergeCell ref="B91:C91"/>
    <mergeCell ref="B90:C90"/>
    <mergeCell ref="B89:C89"/>
    <mergeCell ref="B99:C99"/>
    <mergeCell ref="B98:C98"/>
    <mergeCell ref="B97:C97"/>
    <mergeCell ref="B96:C96"/>
    <mergeCell ref="B95:C95"/>
    <mergeCell ref="B107:C107"/>
    <mergeCell ref="B106:C106"/>
    <mergeCell ref="B105:C105"/>
    <mergeCell ref="B104:C104"/>
    <mergeCell ref="B103:C103"/>
    <mergeCell ref="J87:K87"/>
    <mergeCell ref="E100:F101"/>
    <mergeCell ref="J92:K92"/>
    <mergeCell ref="J91:K91"/>
    <mergeCell ref="J90:K90"/>
    <mergeCell ref="J89:K89"/>
    <mergeCell ref="J100:K100"/>
    <mergeCell ref="J99:K99"/>
    <mergeCell ref="J98:K98"/>
    <mergeCell ref="J96:K96"/>
    <mergeCell ref="J95:K95"/>
    <mergeCell ref="J94:K94"/>
  </mergeCells>
  <pageMargins left="0.75" right="0" top="0.5" bottom="0.25" header="0.3" footer="0.3"/>
  <pageSetup scale="40" fitToHeight="0" orientation="portrait" verticalDpi="300" r:id="rId1"/>
  <rowBreaks count="1" manualBreakCount="1">
    <brk id="108" max="14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view="pageLayout" zoomScale="80" zoomScaleNormal="70" zoomScalePageLayoutView="80" workbookViewId="0">
      <selection activeCell="A177" sqref="A177"/>
    </sheetView>
  </sheetViews>
  <sheetFormatPr defaultColWidth="9.42578125" defaultRowHeight="15" x14ac:dyDescent="0.25"/>
  <cols>
    <col min="1" max="1" width="50.28515625" style="285" customWidth="1"/>
    <col min="2" max="2" width="9.5703125" style="285" customWidth="1"/>
    <col min="3" max="3" width="18.7109375" style="323" customWidth="1"/>
    <col min="4" max="4" width="18.28515625" style="285" customWidth="1"/>
    <col min="5" max="5" width="15" style="285" customWidth="1"/>
    <col min="6" max="7" width="14.28515625" style="285" customWidth="1"/>
    <col min="8" max="8" width="15.28515625" style="285" customWidth="1"/>
    <col min="9" max="9" width="15.85546875" style="285" customWidth="1"/>
    <col min="10" max="10" width="14.28515625" style="285" customWidth="1"/>
    <col min="11" max="11" width="28.140625" style="285" customWidth="1"/>
    <col min="12" max="12" width="14.28515625" style="285" customWidth="1"/>
    <col min="13" max="13" width="13.85546875" style="285" bestFit="1" customWidth="1"/>
    <col min="14" max="14" width="11.7109375" style="285" bestFit="1" customWidth="1"/>
    <col min="15" max="15" width="16.7109375" customWidth="1"/>
    <col min="16" max="16" width="19.42578125" bestFit="1" customWidth="1"/>
    <col min="17" max="17" width="20.42578125" bestFit="1" customWidth="1"/>
    <col min="18" max="18" width="12.42578125" bestFit="1" customWidth="1"/>
    <col min="19" max="19" width="26.28515625" bestFit="1" customWidth="1"/>
    <col min="20" max="20" width="18.42578125" bestFit="1" customWidth="1"/>
    <col min="21" max="22" width="12.42578125" bestFit="1" customWidth="1"/>
    <col min="23" max="40" width="9.42578125" bestFit="1" customWidth="1"/>
    <col min="262" max="262" width="5.42578125" customWidth="1"/>
    <col min="263" max="263" width="41.140625" customWidth="1"/>
    <col min="264" max="264" width="17.42578125" customWidth="1"/>
    <col min="265" max="265" width="18.7109375" customWidth="1"/>
    <col min="266" max="266" width="14.28515625" customWidth="1"/>
    <col min="267" max="267" width="15" customWidth="1"/>
    <col min="268" max="268" width="14.28515625" customWidth="1"/>
    <col min="269" max="269" width="17" customWidth="1"/>
    <col min="270" max="270" width="19.42578125" customWidth="1"/>
    <col min="271" max="271" width="19.28515625" customWidth="1"/>
    <col min="518" max="518" width="5.42578125" customWidth="1"/>
    <col min="519" max="519" width="41.140625" customWidth="1"/>
    <col min="520" max="520" width="17.42578125" customWidth="1"/>
    <col min="521" max="521" width="18.7109375" customWidth="1"/>
    <col min="522" max="522" width="14.28515625" customWidth="1"/>
    <col min="523" max="523" width="15" customWidth="1"/>
    <col min="524" max="524" width="14.28515625" customWidth="1"/>
    <col min="525" max="525" width="17" customWidth="1"/>
    <col min="526" max="526" width="19.42578125" customWidth="1"/>
    <col min="527" max="527" width="19.28515625" customWidth="1"/>
    <col min="774" max="774" width="5.42578125" customWidth="1"/>
    <col min="775" max="775" width="41.140625" customWidth="1"/>
    <col min="776" max="776" width="17.42578125" customWidth="1"/>
    <col min="777" max="777" width="18.7109375" customWidth="1"/>
    <col min="778" max="778" width="14.28515625" customWidth="1"/>
    <col min="779" max="779" width="15" customWidth="1"/>
    <col min="780" max="780" width="14.28515625" customWidth="1"/>
    <col min="781" max="781" width="17" customWidth="1"/>
    <col min="782" max="782" width="19.42578125" customWidth="1"/>
    <col min="783" max="783" width="19.28515625" customWidth="1"/>
    <col min="1030" max="1030" width="5.42578125" customWidth="1"/>
    <col min="1031" max="1031" width="41.140625" customWidth="1"/>
    <col min="1032" max="1032" width="17.42578125" customWidth="1"/>
    <col min="1033" max="1033" width="18.7109375" customWidth="1"/>
    <col min="1034" max="1034" width="14.28515625" customWidth="1"/>
    <col min="1035" max="1035" width="15" customWidth="1"/>
    <col min="1036" max="1036" width="14.28515625" customWidth="1"/>
    <col min="1037" max="1037" width="17" customWidth="1"/>
    <col min="1038" max="1038" width="19.42578125" customWidth="1"/>
    <col min="1039" max="1039" width="19.28515625" customWidth="1"/>
    <col min="1286" max="1286" width="5.42578125" customWidth="1"/>
    <col min="1287" max="1287" width="41.140625" customWidth="1"/>
    <col min="1288" max="1288" width="17.42578125" customWidth="1"/>
    <col min="1289" max="1289" width="18.7109375" customWidth="1"/>
    <col min="1290" max="1290" width="14.28515625" customWidth="1"/>
    <col min="1291" max="1291" width="15" customWidth="1"/>
    <col min="1292" max="1292" width="14.28515625" customWidth="1"/>
    <col min="1293" max="1293" width="17" customWidth="1"/>
    <col min="1294" max="1294" width="19.42578125" customWidth="1"/>
    <col min="1295" max="1295" width="19.28515625" customWidth="1"/>
    <col min="1542" max="1542" width="5.42578125" customWidth="1"/>
    <col min="1543" max="1543" width="41.140625" customWidth="1"/>
    <col min="1544" max="1544" width="17.42578125" customWidth="1"/>
    <col min="1545" max="1545" width="18.7109375" customWidth="1"/>
    <col min="1546" max="1546" width="14.28515625" customWidth="1"/>
    <col min="1547" max="1547" width="15" customWidth="1"/>
    <col min="1548" max="1548" width="14.28515625" customWidth="1"/>
    <col min="1549" max="1549" width="17" customWidth="1"/>
    <col min="1550" max="1550" width="19.42578125" customWidth="1"/>
    <col min="1551" max="1551" width="19.28515625" customWidth="1"/>
    <col min="1798" max="1798" width="5.42578125" customWidth="1"/>
    <col min="1799" max="1799" width="41.140625" customWidth="1"/>
    <col min="1800" max="1800" width="17.42578125" customWidth="1"/>
    <col min="1801" max="1801" width="18.7109375" customWidth="1"/>
    <col min="1802" max="1802" width="14.28515625" customWidth="1"/>
    <col min="1803" max="1803" width="15" customWidth="1"/>
    <col min="1804" max="1804" width="14.28515625" customWidth="1"/>
    <col min="1805" max="1805" width="17" customWidth="1"/>
    <col min="1806" max="1806" width="19.42578125" customWidth="1"/>
    <col min="1807" max="1807" width="19.28515625" customWidth="1"/>
    <col min="2054" max="2054" width="5.42578125" customWidth="1"/>
    <col min="2055" max="2055" width="41.140625" customWidth="1"/>
    <col min="2056" max="2056" width="17.42578125" customWidth="1"/>
    <col min="2057" max="2057" width="18.7109375" customWidth="1"/>
    <col min="2058" max="2058" width="14.28515625" customWidth="1"/>
    <col min="2059" max="2059" width="15" customWidth="1"/>
    <col min="2060" max="2060" width="14.28515625" customWidth="1"/>
    <col min="2061" max="2061" width="17" customWidth="1"/>
    <col min="2062" max="2062" width="19.42578125" customWidth="1"/>
    <col min="2063" max="2063" width="19.28515625" customWidth="1"/>
    <col min="2310" max="2310" width="5.42578125" customWidth="1"/>
    <col min="2311" max="2311" width="41.140625" customWidth="1"/>
    <col min="2312" max="2312" width="17.42578125" customWidth="1"/>
    <col min="2313" max="2313" width="18.7109375" customWidth="1"/>
    <col min="2314" max="2314" width="14.28515625" customWidth="1"/>
    <col min="2315" max="2315" width="15" customWidth="1"/>
    <col min="2316" max="2316" width="14.28515625" customWidth="1"/>
    <col min="2317" max="2317" width="17" customWidth="1"/>
    <col min="2318" max="2318" width="19.42578125" customWidth="1"/>
    <col min="2319" max="2319" width="19.28515625" customWidth="1"/>
    <col min="2566" max="2566" width="5.42578125" customWidth="1"/>
    <col min="2567" max="2567" width="41.140625" customWidth="1"/>
    <col min="2568" max="2568" width="17.42578125" customWidth="1"/>
    <col min="2569" max="2569" width="18.7109375" customWidth="1"/>
    <col min="2570" max="2570" width="14.28515625" customWidth="1"/>
    <col min="2571" max="2571" width="15" customWidth="1"/>
    <col min="2572" max="2572" width="14.28515625" customWidth="1"/>
    <col min="2573" max="2573" width="17" customWidth="1"/>
    <col min="2574" max="2574" width="19.42578125" customWidth="1"/>
    <col min="2575" max="2575" width="19.28515625" customWidth="1"/>
    <col min="2822" max="2822" width="5.42578125" customWidth="1"/>
    <col min="2823" max="2823" width="41.140625" customWidth="1"/>
    <col min="2824" max="2824" width="17.42578125" customWidth="1"/>
    <col min="2825" max="2825" width="18.7109375" customWidth="1"/>
    <col min="2826" max="2826" width="14.28515625" customWidth="1"/>
    <col min="2827" max="2827" width="15" customWidth="1"/>
    <col min="2828" max="2828" width="14.28515625" customWidth="1"/>
    <col min="2829" max="2829" width="17" customWidth="1"/>
    <col min="2830" max="2830" width="19.42578125" customWidth="1"/>
    <col min="2831" max="2831" width="19.28515625" customWidth="1"/>
    <col min="3078" max="3078" width="5.42578125" customWidth="1"/>
    <col min="3079" max="3079" width="41.140625" customWidth="1"/>
    <col min="3080" max="3080" width="17.42578125" customWidth="1"/>
    <col min="3081" max="3081" width="18.7109375" customWidth="1"/>
    <col min="3082" max="3082" width="14.28515625" customWidth="1"/>
    <col min="3083" max="3083" width="15" customWidth="1"/>
    <col min="3084" max="3084" width="14.28515625" customWidth="1"/>
    <col min="3085" max="3085" width="17" customWidth="1"/>
    <col min="3086" max="3086" width="19.42578125" customWidth="1"/>
    <col min="3087" max="3087" width="19.28515625" customWidth="1"/>
    <col min="3334" max="3334" width="5.42578125" customWidth="1"/>
    <col min="3335" max="3335" width="41.140625" customWidth="1"/>
    <col min="3336" max="3336" width="17.42578125" customWidth="1"/>
    <col min="3337" max="3337" width="18.7109375" customWidth="1"/>
    <col min="3338" max="3338" width="14.28515625" customWidth="1"/>
    <col min="3339" max="3339" width="15" customWidth="1"/>
    <col min="3340" max="3340" width="14.28515625" customWidth="1"/>
    <col min="3341" max="3341" width="17" customWidth="1"/>
    <col min="3342" max="3342" width="19.42578125" customWidth="1"/>
    <col min="3343" max="3343" width="19.28515625" customWidth="1"/>
    <col min="3590" max="3590" width="5.42578125" customWidth="1"/>
    <col min="3591" max="3591" width="41.140625" customWidth="1"/>
    <col min="3592" max="3592" width="17.42578125" customWidth="1"/>
    <col min="3593" max="3593" width="18.7109375" customWidth="1"/>
    <col min="3594" max="3594" width="14.28515625" customWidth="1"/>
    <col min="3595" max="3595" width="15" customWidth="1"/>
    <col min="3596" max="3596" width="14.28515625" customWidth="1"/>
    <col min="3597" max="3597" width="17" customWidth="1"/>
    <col min="3598" max="3598" width="19.42578125" customWidth="1"/>
    <col min="3599" max="3599" width="19.28515625" customWidth="1"/>
    <col min="3846" max="3846" width="5.42578125" customWidth="1"/>
    <col min="3847" max="3847" width="41.140625" customWidth="1"/>
    <col min="3848" max="3848" width="17.42578125" customWidth="1"/>
    <col min="3849" max="3849" width="18.7109375" customWidth="1"/>
    <col min="3850" max="3850" width="14.28515625" customWidth="1"/>
    <col min="3851" max="3851" width="15" customWidth="1"/>
    <col min="3852" max="3852" width="14.28515625" customWidth="1"/>
    <col min="3853" max="3853" width="17" customWidth="1"/>
    <col min="3854" max="3854" width="19.42578125" customWidth="1"/>
    <col min="3855" max="3855" width="19.28515625" customWidth="1"/>
    <col min="4102" max="4102" width="5.42578125" customWidth="1"/>
    <col min="4103" max="4103" width="41.140625" customWidth="1"/>
    <col min="4104" max="4104" width="17.42578125" customWidth="1"/>
    <col min="4105" max="4105" width="18.7109375" customWidth="1"/>
    <col min="4106" max="4106" width="14.28515625" customWidth="1"/>
    <col min="4107" max="4107" width="15" customWidth="1"/>
    <col min="4108" max="4108" width="14.28515625" customWidth="1"/>
    <col min="4109" max="4109" width="17" customWidth="1"/>
    <col min="4110" max="4110" width="19.42578125" customWidth="1"/>
    <col min="4111" max="4111" width="19.28515625" customWidth="1"/>
    <col min="4358" max="4358" width="5.42578125" customWidth="1"/>
    <col min="4359" max="4359" width="41.140625" customWidth="1"/>
    <col min="4360" max="4360" width="17.42578125" customWidth="1"/>
    <col min="4361" max="4361" width="18.7109375" customWidth="1"/>
    <col min="4362" max="4362" width="14.28515625" customWidth="1"/>
    <col min="4363" max="4363" width="15" customWidth="1"/>
    <col min="4364" max="4364" width="14.28515625" customWidth="1"/>
    <col min="4365" max="4365" width="17" customWidth="1"/>
    <col min="4366" max="4366" width="19.42578125" customWidth="1"/>
    <col min="4367" max="4367" width="19.28515625" customWidth="1"/>
    <col min="4614" max="4614" width="5.42578125" customWidth="1"/>
    <col min="4615" max="4615" width="41.140625" customWidth="1"/>
    <col min="4616" max="4616" width="17.42578125" customWidth="1"/>
    <col min="4617" max="4617" width="18.7109375" customWidth="1"/>
    <col min="4618" max="4618" width="14.28515625" customWidth="1"/>
    <col min="4619" max="4619" width="15" customWidth="1"/>
    <col min="4620" max="4620" width="14.28515625" customWidth="1"/>
    <col min="4621" max="4621" width="17" customWidth="1"/>
    <col min="4622" max="4622" width="19.42578125" customWidth="1"/>
    <col min="4623" max="4623" width="19.28515625" customWidth="1"/>
    <col min="4870" max="4870" width="5.42578125" customWidth="1"/>
    <col min="4871" max="4871" width="41.140625" customWidth="1"/>
    <col min="4872" max="4872" width="17.42578125" customWidth="1"/>
    <col min="4873" max="4873" width="18.7109375" customWidth="1"/>
    <col min="4874" max="4874" width="14.28515625" customWidth="1"/>
    <col min="4875" max="4875" width="15" customWidth="1"/>
    <col min="4876" max="4876" width="14.28515625" customWidth="1"/>
    <col min="4877" max="4877" width="17" customWidth="1"/>
    <col min="4878" max="4878" width="19.42578125" customWidth="1"/>
    <col min="4879" max="4879" width="19.28515625" customWidth="1"/>
    <col min="5126" max="5126" width="5.42578125" customWidth="1"/>
    <col min="5127" max="5127" width="41.140625" customWidth="1"/>
    <col min="5128" max="5128" width="17.42578125" customWidth="1"/>
    <col min="5129" max="5129" width="18.7109375" customWidth="1"/>
    <col min="5130" max="5130" width="14.28515625" customWidth="1"/>
    <col min="5131" max="5131" width="15" customWidth="1"/>
    <col min="5132" max="5132" width="14.28515625" customWidth="1"/>
    <col min="5133" max="5133" width="17" customWidth="1"/>
    <col min="5134" max="5134" width="19.42578125" customWidth="1"/>
    <col min="5135" max="5135" width="19.28515625" customWidth="1"/>
    <col min="5382" max="5382" width="5.42578125" customWidth="1"/>
    <col min="5383" max="5383" width="41.140625" customWidth="1"/>
    <col min="5384" max="5384" width="17.42578125" customWidth="1"/>
    <col min="5385" max="5385" width="18.7109375" customWidth="1"/>
    <col min="5386" max="5386" width="14.28515625" customWidth="1"/>
    <col min="5387" max="5387" width="15" customWidth="1"/>
    <col min="5388" max="5388" width="14.28515625" customWidth="1"/>
    <col min="5389" max="5389" width="17" customWidth="1"/>
    <col min="5390" max="5390" width="19.42578125" customWidth="1"/>
    <col min="5391" max="5391" width="19.28515625" customWidth="1"/>
    <col min="5638" max="5638" width="5.42578125" customWidth="1"/>
    <col min="5639" max="5639" width="41.140625" customWidth="1"/>
    <col min="5640" max="5640" width="17.42578125" customWidth="1"/>
    <col min="5641" max="5641" width="18.7109375" customWidth="1"/>
    <col min="5642" max="5642" width="14.28515625" customWidth="1"/>
    <col min="5643" max="5643" width="15" customWidth="1"/>
    <col min="5644" max="5644" width="14.28515625" customWidth="1"/>
    <col min="5645" max="5645" width="17" customWidth="1"/>
    <col min="5646" max="5646" width="19.42578125" customWidth="1"/>
    <col min="5647" max="5647" width="19.28515625" customWidth="1"/>
    <col min="5894" max="5894" width="5.42578125" customWidth="1"/>
    <col min="5895" max="5895" width="41.140625" customWidth="1"/>
    <col min="5896" max="5896" width="17.42578125" customWidth="1"/>
    <col min="5897" max="5897" width="18.7109375" customWidth="1"/>
    <col min="5898" max="5898" width="14.28515625" customWidth="1"/>
    <col min="5899" max="5899" width="15" customWidth="1"/>
    <col min="5900" max="5900" width="14.28515625" customWidth="1"/>
    <col min="5901" max="5901" width="17" customWidth="1"/>
    <col min="5902" max="5902" width="19.42578125" customWidth="1"/>
    <col min="5903" max="5903" width="19.28515625" customWidth="1"/>
    <col min="6150" max="6150" width="5.42578125" customWidth="1"/>
    <col min="6151" max="6151" width="41.140625" customWidth="1"/>
    <col min="6152" max="6152" width="17.42578125" customWidth="1"/>
    <col min="6153" max="6153" width="18.7109375" customWidth="1"/>
    <col min="6154" max="6154" width="14.28515625" customWidth="1"/>
    <col min="6155" max="6155" width="15" customWidth="1"/>
    <col min="6156" max="6156" width="14.28515625" customWidth="1"/>
    <col min="6157" max="6157" width="17" customWidth="1"/>
    <col min="6158" max="6158" width="19.42578125" customWidth="1"/>
    <col min="6159" max="6159" width="19.28515625" customWidth="1"/>
    <col min="6406" max="6406" width="5.42578125" customWidth="1"/>
    <col min="6407" max="6407" width="41.140625" customWidth="1"/>
    <col min="6408" max="6408" width="17.42578125" customWidth="1"/>
    <col min="6409" max="6409" width="18.7109375" customWidth="1"/>
    <col min="6410" max="6410" width="14.28515625" customWidth="1"/>
    <col min="6411" max="6411" width="15" customWidth="1"/>
    <col min="6412" max="6412" width="14.28515625" customWidth="1"/>
    <col min="6413" max="6413" width="17" customWidth="1"/>
    <col min="6414" max="6414" width="19.42578125" customWidth="1"/>
    <col min="6415" max="6415" width="19.28515625" customWidth="1"/>
    <col min="6662" max="6662" width="5.42578125" customWidth="1"/>
    <col min="6663" max="6663" width="41.140625" customWidth="1"/>
    <col min="6664" max="6664" width="17.42578125" customWidth="1"/>
    <col min="6665" max="6665" width="18.7109375" customWidth="1"/>
    <col min="6666" max="6666" width="14.28515625" customWidth="1"/>
    <col min="6667" max="6667" width="15" customWidth="1"/>
    <col min="6668" max="6668" width="14.28515625" customWidth="1"/>
    <col min="6669" max="6669" width="17" customWidth="1"/>
    <col min="6670" max="6670" width="19.42578125" customWidth="1"/>
    <col min="6671" max="6671" width="19.28515625" customWidth="1"/>
    <col min="6918" max="6918" width="5.42578125" customWidth="1"/>
    <col min="6919" max="6919" width="41.140625" customWidth="1"/>
    <col min="6920" max="6920" width="17.42578125" customWidth="1"/>
    <col min="6921" max="6921" width="18.7109375" customWidth="1"/>
    <col min="6922" max="6922" width="14.28515625" customWidth="1"/>
    <col min="6923" max="6923" width="15" customWidth="1"/>
    <col min="6924" max="6924" width="14.28515625" customWidth="1"/>
    <col min="6925" max="6925" width="17" customWidth="1"/>
    <col min="6926" max="6926" width="19.42578125" customWidth="1"/>
    <col min="6927" max="6927" width="19.28515625" customWidth="1"/>
    <col min="7174" max="7174" width="5.42578125" customWidth="1"/>
    <col min="7175" max="7175" width="41.140625" customWidth="1"/>
    <col min="7176" max="7176" width="17.42578125" customWidth="1"/>
    <col min="7177" max="7177" width="18.7109375" customWidth="1"/>
    <col min="7178" max="7178" width="14.28515625" customWidth="1"/>
    <col min="7179" max="7179" width="15" customWidth="1"/>
    <col min="7180" max="7180" width="14.28515625" customWidth="1"/>
    <col min="7181" max="7181" width="17" customWidth="1"/>
    <col min="7182" max="7182" width="19.42578125" customWidth="1"/>
    <col min="7183" max="7183" width="19.28515625" customWidth="1"/>
    <col min="7430" max="7430" width="5.42578125" customWidth="1"/>
    <col min="7431" max="7431" width="41.140625" customWidth="1"/>
    <col min="7432" max="7432" width="17.42578125" customWidth="1"/>
    <col min="7433" max="7433" width="18.7109375" customWidth="1"/>
    <col min="7434" max="7434" width="14.28515625" customWidth="1"/>
    <col min="7435" max="7435" width="15" customWidth="1"/>
    <col min="7436" max="7436" width="14.28515625" customWidth="1"/>
    <col min="7437" max="7437" width="17" customWidth="1"/>
    <col min="7438" max="7438" width="19.42578125" customWidth="1"/>
    <col min="7439" max="7439" width="19.28515625" customWidth="1"/>
    <col min="7686" max="7686" width="5.42578125" customWidth="1"/>
    <col min="7687" max="7687" width="41.140625" customWidth="1"/>
    <col min="7688" max="7688" width="17.42578125" customWidth="1"/>
    <col min="7689" max="7689" width="18.7109375" customWidth="1"/>
    <col min="7690" max="7690" width="14.28515625" customWidth="1"/>
    <col min="7691" max="7691" width="15" customWidth="1"/>
    <col min="7692" max="7692" width="14.28515625" customWidth="1"/>
    <col min="7693" max="7693" width="17" customWidth="1"/>
    <col min="7694" max="7694" width="19.42578125" customWidth="1"/>
    <col min="7695" max="7695" width="19.28515625" customWidth="1"/>
    <col min="7942" max="7942" width="5.42578125" customWidth="1"/>
    <col min="7943" max="7943" width="41.140625" customWidth="1"/>
    <col min="7944" max="7944" width="17.42578125" customWidth="1"/>
    <col min="7945" max="7945" width="18.7109375" customWidth="1"/>
    <col min="7946" max="7946" width="14.28515625" customWidth="1"/>
    <col min="7947" max="7947" width="15" customWidth="1"/>
    <col min="7948" max="7948" width="14.28515625" customWidth="1"/>
    <col min="7949" max="7949" width="17" customWidth="1"/>
    <col min="7950" max="7950" width="19.42578125" customWidth="1"/>
    <col min="7951" max="7951" width="19.28515625" customWidth="1"/>
    <col min="8198" max="8198" width="5.42578125" customWidth="1"/>
    <col min="8199" max="8199" width="41.140625" customWidth="1"/>
    <col min="8200" max="8200" width="17.42578125" customWidth="1"/>
    <col min="8201" max="8201" width="18.7109375" customWidth="1"/>
    <col min="8202" max="8202" width="14.28515625" customWidth="1"/>
    <col min="8203" max="8203" width="15" customWidth="1"/>
    <col min="8204" max="8204" width="14.28515625" customWidth="1"/>
    <col min="8205" max="8205" width="17" customWidth="1"/>
    <col min="8206" max="8206" width="19.42578125" customWidth="1"/>
    <col min="8207" max="8207" width="19.28515625" customWidth="1"/>
    <col min="8454" max="8454" width="5.42578125" customWidth="1"/>
    <col min="8455" max="8455" width="41.140625" customWidth="1"/>
    <col min="8456" max="8456" width="17.42578125" customWidth="1"/>
    <col min="8457" max="8457" width="18.7109375" customWidth="1"/>
    <col min="8458" max="8458" width="14.28515625" customWidth="1"/>
    <col min="8459" max="8459" width="15" customWidth="1"/>
    <col min="8460" max="8460" width="14.28515625" customWidth="1"/>
    <col min="8461" max="8461" width="17" customWidth="1"/>
    <col min="8462" max="8462" width="19.42578125" customWidth="1"/>
    <col min="8463" max="8463" width="19.28515625" customWidth="1"/>
    <col min="8710" max="8710" width="5.42578125" customWidth="1"/>
    <col min="8711" max="8711" width="41.140625" customWidth="1"/>
    <col min="8712" max="8712" width="17.42578125" customWidth="1"/>
    <col min="8713" max="8713" width="18.7109375" customWidth="1"/>
    <col min="8714" max="8714" width="14.28515625" customWidth="1"/>
    <col min="8715" max="8715" width="15" customWidth="1"/>
    <col min="8716" max="8716" width="14.28515625" customWidth="1"/>
    <col min="8717" max="8717" width="17" customWidth="1"/>
    <col min="8718" max="8718" width="19.42578125" customWidth="1"/>
    <col min="8719" max="8719" width="19.28515625" customWidth="1"/>
    <col min="8966" max="8966" width="5.42578125" customWidth="1"/>
    <col min="8967" max="8967" width="41.140625" customWidth="1"/>
    <col min="8968" max="8968" width="17.42578125" customWidth="1"/>
    <col min="8969" max="8969" width="18.7109375" customWidth="1"/>
    <col min="8970" max="8970" width="14.28515625" customWidth="1"/>
    <col min="8971" max="8971" width="15" customWidth="1"/>
    <col min="8972" max="8972" width="14.28515625" customWidth="1"/>
    <col min="8973" max="8973" width="17" customWidth="1"/>
    <col min="8974" max="8974" width="19.42578125" customWidth="1"/>
    <col min="8975" max="8975" width="19.28515625" customWidth="1"/>
    <col min="9222" max="9222" width="5.42578125" customWidth="1"/>
    <col min="9223" max="9223" width="41.140625" customWidth="1"/>
    <col min="9224" max="9224" width="17.42578125" customWidth="1"/>
    <col min="9225" max="9225" width="18.7109375" customWidth="1"/>
    <col min="9226" max="9226" width="14.28515625" customWidth="1"/>
    <col min="9227" max="9227" width="15" customWidth="1"/>
    <col min="9228" max="9228" width="14.28515625" customWidth="1"/>
    <col min="9229" max="9229" width="17" customWidth="1"/>
    <col min="9230" max="9230" width="19.42578125" customWidth="1"/>
    <col min="9231" max="9231" width="19.28515625" customWidth="1"/>
    <col min="9478" max="9478" width="5.42578125" customWidth="1"/>
    <col min="9479" max="9479" width="41.140625" customWidth="1"/>
    <col min="9480" max="9480" width="17.42578125" customWidth="1"/>
    <col min="9481" max="9481" width="18.7109375" customWidth="1"/>
    <col min="9482" max="9482" width="14.28515625" customWidth="1"/>
    <col min="9483" max="9483" width="15" customWidth="1"/>
    <col min="9484" max="9484" width="14.28515625" customWidth="1"/>
    <col min="9485" max="9485" width="17" customWidth="1"/>
    <col min="9486" max="9486" width="19.42578125" customWidth="1"/>
    <col min="9487" max="9487" width="19.28515625" customWidth="1"/>
    <col min="9734" max="9734" width="5.42578125" customWidth="1"/>
    <col min="9735" max="9735" width="41.140625" customWidth="1"/>
    <col min="9736" max="9736" width="17.42578125" customWidth="1"/>
    <col min="9737" max="9737" width="18.7109375" customWidth="1"/>
    <col min="9738" max="9738" width="14.28515625" customWidth="1"/>
    <col min="9739" max="9739" width="15" customWidth="1"/>
    <col min="9740" max="9740" width="14.28515625" customWidth="1"/>
    <col min="9741" max="9741" width="17" customWidth="1"/>
    <col min="9742" max="9742" width="19.42578125" customWidth="1"/>
    <col min="9743" max="9743" width="19.28515625" customWidth="1"/>
    <col min="9990" max="9990" width="5.42578125" customWidth="1"/>
    <col min="9991" max="9991" width="41.140625" customWidth="1"/>
    <col min="9992" max="9992" width="17.42578125" customWidth="1"/>
    <col min="9993" max="9993" width="18.7109375" customWidth="1"/>
    <col min="9994" max="9994" width="14.28515625" customWidth="1"/>
    <col min="9995" max="9995" width="15" customWidth="1"/>
    <col min="9996" max="9996" width="14.28515625" customWidth="1"/>
    <col min="9997" max="9997" width="17" customWidth="1"/>
    <col min="9998" max="9998" width="19.42578125" customWidth="1"/>
    <col min="9999" max="9999" width="19.28515625" customWidth="1"/>
    <col min="10246" max="10246" width="5.42578125" customWidth="1"/>
    <col min="10247" max="10247" width="41.140625" customWidth="1"/>
    <col min="10248" max="10248" width="17.42578125" customWidth="1"/>
    <col min="10249" max="10249" width="18.7109375" customWidth="1"/>
    <col min="10250" max="10250" width="14.28515625" customWidth="1"/>
    <col min="10251" max="10251" width="15" customWidth="1"/>
    <col min="10252" max="10252" width="14.28515625" customWidth="1"/>
    <col min="10253" max="10253" width="17" customWidth="1"/>
    <col min="10254" max="10254" width="19.42578125" customWidth="1"/>
    <col min="10255" max="10255" width="19.28515625" customWidth="1"/>
    <col min="10502" max="10502" width="5.42578125" customWidth="1"/>
    <col min="10503" max="10503" width="41.140625" customWidth="1"/>
    <col min="10504" max="10504" width="17.42578125" customWidth="1"/>
    <col min="10505" max="10505" width="18.7109375" customWidth="1"/>
    <col min="10506" max="10506" width="14.28515625" customWidth="1"/>
    <col min="10507" max="10507" width="15" customWidth="1"/>
    <col min="10508" max="10508" width="14.28515625" customWidth="1"/>
    <col min="10509" max="10509" width="17" customWidth="1"/>
    <col min="10510" max="10510" width="19.42578125" customWidth="1"/>
    <col min="10511" max="10511" width="19.28515625" customWidth="1"/>
    <col min="10758" max="10758" width="5.42578125" customWidth="1"/>
    <col min="10759" max="10759" width="41.140625" customWidth="1"/>
    <col min="10760" max="10760" width="17.42578125" customWidth="1"/>
    <col min="10761" max="10761" width="18.7109375" customWidth="1"/>
    <col min="10762" max="10762" width="14.28515625" customWidth="1"/>
    <col min="10763" max="10763" width="15" customWidth="1"/>
    <col min="10764" max="10764" width="14.28515625" customWidth="1"/>
    <col min="10765" max="10765" width="17" customWidth="1"/>
    <col min="10766" max="10766" width="19.42578125" customWidth="1"/>
    <col min="10767" max="10767" width="19.28515625" customWidth="1"/>
    <col min="11014" max="11014" width="5.42578125" customWidth="1"/>
    <col min="11015" max="11015" width="41.140625" customWidth="1"/>
    <col min="11016" max="11016" width="17.42578125" customWidth="1"/>
    <col min="11017" max="11017" width="18.7109375" customWidth="1"/>
    <col min="11018" max="11018" width="14.28515625" customWidth="1"/>
    <col min="11019" max="11019" width="15" customWidth="1"/>
    <col min="11020" max="11020" width="14.28515625" customWidth="1"/>
    <col min="11021" max="11021" width="17" customWidth="1"/>
    <col min="11022" max="11022" width="19.42578125" customWidth="1"/>
    <col min="11023" max="11023" width="19.28515625" customWidth="1"/>
    <col min="11270" max="11270" width="5.42578125" customWidth="1"/>
    <col min="11271" max="11271" width="41.140625" customWidth="1"/>
    <col min="11272" max="11272" width="17.42578125" customWidth="1"/>
    <col min="11273" max="11273" width="18.7109375" customWidth="1"/>
    <col min="11274" max="11274" width="14.28515625" customWidth="1"/>
    <col min="11275" max="11275" width="15" customWidth="1"/>
    <col min="11276" max="11276" width="14.28515625" customWidth="1"/>
    <col min="11277" max="11277" width="17" customWidth="1"/>
    <col min="11278" max="11278" width="19.42578125" customWidth="1"/>
    <col min="11279" max="11279" width="19.28515625" customWidth="1"/>
    <col min="11526" max="11526" width="5.42578125" customWidth="1"/>
    <col min="11527" max="11527" width="41.140625" customWidth="1"/>
    <col min="11528" max="11528" width="17.42578125" customWidth="1"/>
    <col min="11529" max="11529" width="18.7109375" customWidth="1"/>
    <col min="11530" max="11530" width="14.28515625" customWidth="1"/>
    <col min="11531" max="11531" width="15" customWidth="1"/>
    <col min="11532" max="11532" width="14.28515625" customWidth="1"/>
    <col min="11533" max="11533" width="17" customWidth="1"/>
    <col min="11534" max="11534" width="19.42578125" customWidth="1"/>
    <col min="11535" max="11535" width="19.28515625" customWidth="1"/>
    <col min="11782" max="11782" width="5.42578125" customWidth="1"/>
    <col min="11783" max="11783" width="41.140625" customWidth="1"/>
    <col min="11784" max="11784" width="17.42578125" customWidth="1"/>
    <col min="11785" max="11785" width="18.7109375" customWidth="1"/>
    <col min="11786" max="11786" width="14.28515625" customWidth="1"/>
    <col min="11787" max="11787" width="15" customWidth="1"/>
    <col min="11788" max="11788" width="14.28515625" customWidth="1"/>
    <col min="11789" max="11789" width="17" customWidth="1"/>
    <col min="11790" max="11790" width="19.42578125" customWidth="1"/>
    <col min="11791" max="11791" width="19.28515625" customWidth="1"/>
    <col min="12038" max="12038" width="5.42578125" customWidth="1"/>
    <col min="12039" max="12039" width="41.140625" customWidth="1"/>
    <col min="12040" max="12040" width="17.42578125" customWidth="1"/>
    <col min="12041" max="12041" width="18.7109375" customWidth="1"/>
    <col min="12042" max="12042" width="14.28515625" customWidth="1"/>
    <col min="12043" max="12043" width="15" customWidth="1"/>
    <col min="12044" max="12044" width="14.28515625" customWidth="1"/>
    <col min="12045" max="12045" width="17" customWidth="1"/>
    <col min="12046" max="12046" width="19.42578125" customWidth="1"/>
    <col min="12047" max="12047" width="19.28515625" customWidth="1"/>
    <col min="12294" max="12294" width="5.42578125" customWidth="1"/>
    <col min="12295" max="12295" width="41.140625" customWidth="1"/>
    <col min="12296" max="12296" width="17.42578125" customWidth="1"/>
    <col min="12297" max="12297" width="18.7109375" customWidth="1"/>
    <col min="12298" max="12298" width="14.28515625" customWidth="1"/>
    <col min="12299" max="12299" width="15" customWidth="1"/>
    <col min="12300" max="12300" width="14.28515625" customWidth="1"/>
    <col min="12301" max="12301" width="17" customWidth="1"/>
    <col min="12302" max="12302" width="19.42578125" customWidth="1"/>
    <col min="12303" max="12303" width="19.28515625" customWidth="1"/>
    <col min="12550" max="12550" width="5.42578125" customWidth="1"/>
    <col min="12551" max="12551" width="41.140625" customWidth="1"/>
    <col min="12552" max="12552" width="17.42578125" customWidth="1"/>
    <col min="12553" max="12553" width="18.7109375" customWidth="1"/>
    <col min="12554" max="12554" width="14.28515625" customWidth="1"/>
    <col min="12555" max="12555" width="15" customWidth="1"/>
    <col min="12556" max="12556" width="14.28515625" customWidth="1"/>
    <col min="12557" max="12557" width="17" customWidth="1"/>
    <col min="12558" max="12558" width="19.42578125" customWidth="1"/>
    <col min="12559" max="12559" width="19.28515625" customWidth="1"/>
    <col min="12806" max="12806" width="5.42578125" customWidth="1"/>
    <col min="12807" max="12807" width="41.140625" customWidth="1"/>
    <col min="12808" max="12808" width="17.42578125" customWidth="1"/>
    <col min="12809" max="12809" width="18.7109375" customWidth="1"/>
    <col min="12810" max="12810" width="14.28515625" customWidth="1"/>
    <col min="12811" max="12811" width="15" customWidth="1"/>
    <col min="12812" max="12812" width="14.28515625" customWidth="1"/>
    <col min="12813" max="12813" width="17" customWidth="1"/>
    <col min="12814" max="12814" width="19.42578125" customWidth="1"/>
    <col min="12815" max="12815" width="19.28515625" customWidth="1"/>
    <col min="13062" max="13062" width="5.42578125" customWidth="1"/>
    <col min="13063" max="13063" width="41.140625" customWidth="1"/>
    <col min="13064" max="13064" width="17.42578125" customWidth="1"/>
    <col min="13065" max="13065" width="18.7109375" customWidth="1"/>
    <col min="13066" max="13066" width="14.28515625" customWidth="1"/>
    <col min="13067" max="13067" width="15" customWidth="1"/>
    <col min="13068" max="13068" width="14.28515625" customWidth="1"/>
    <col min="13069" max="13069" width="17" customWidth="1"/>
    <col min="13070" max="13070" width="19.42578125" customWidth="1"/>
    <col min="13071" max="13071" width="19.28515625" customWidth="1"/>
    <col min="13318" max="13318" width="5.42578125" customWidth="1"/>
    <col min="13319" max="13319" width="41.140625" customWidth="1"/>
    <col min="13320" max="13320" width="17.42578125" customWidth="1"/>
    <col min="13321" max="13321" width="18.7109375" customWidth="1"/>
    <col min="13322" max="13322" width="14.28515625" customWidth="1"/>
    <col min="13323" max="13323" width="15" customWidth="1"/>
    <col min="13324" max="13324" width="14.28515625" customWidth="1"/>
    <col min="13325" max="13325" width="17" customWidth="1"/>
    <col min="13326" max="13326" width="19.42578125" customWidth="1"/>
    <col min="13327" max="13327" width="19.28515625" customWidth="1"/>
    <col min="13574" max="13574" width="5.42578125" customWidth="1"/>
    <col min="13575" max="13575" width="41.140625" customWidth="1"/>
    <col min="13576" max="13576" width="17.42578125" customWidth="1"/>
    <col min="13577" max="13577" width="18.7109375" customWidth="1"/>
    <col min="13578" max="13578" width="14.28515625" customWidth="1"/>
    <col min="13579" max="13579" width="15" customWidth="1"/>
    <col min="13580" max="13580" width="14.28515625" customWidth="1"/>
    <col min="13581" max="13581" width="17" customWidth="1"/>
    <col min="13582" max="13582" width="19.42578125" customWidth="1"/>
    <col min="13583" max="13583" width="19.28515625" customWidth="1"/>
    <col min="13830" max="13830" width="5.42578125" customWidth="1"/>
    <col min="13831" max="13831" width="41.140625" customWidth="1"/>
    <col min="13832" max="13832" width="17.42578125" customWidth="1"/>
    <col min="13833" max="13833" width="18.7109375" customWidth="1"/>
    <col min="13834" max="13834" width="14.28515625" customWidth="1"/>
    <col min="13835" max="13835" width="15" customWidth="1"/>
    <col min="13836" max="13836" width="14.28515625" customWidth="1"/>
    <col min="13837" max="13837" width="17" customWidth="1"/>
    <col min="13838" max="13838" width="19.42578125" customWidth="1"/>
    <col min="13839" max="13839" width="19.28515625" customWidth="1"/>
    <col min="14086" max="14086" width="5.42578125" customWidth="1"/>
    <col min="14087" max="14087" width="41.140625" customWidth="1"/>
    <col min="14088" max="14088" width="17.42578125" customWidth="1"/>
    <col min="14089" max="14089" width="18.7109375" customWidth="1"/>
    <col min="14090" max="14090" width="14.28515625" customWidth="1"/>
    <col min="14091" max="14091" width="15" customWidth="1"/>
    <col min="14092" max="14092" width="14.28515625" customWidth="1"/>
    <col min="14093" max="14093" width="17" customWidth="1"/>
    <col min="14094" max="14094" width="19.42578125" customWidth="1"/>
    <col min="14095" max="14095" width="19.28515625" customWidth="1"/>
    <col min="14342" max="14342" width="5.42578125" customWidth="1"/>
    <col min="14343" max="14343" width="41.140625" customWidth="1"/>
    <col min="14344" max="14344" width="17.42578125" customWidth="1"/>
    <col min="14345" max="14345" width="18.7109375" customWidth="1"/>
    <col min="14346" max="14346" width="14.28515625" customWidth="1"/>
    <col min="14347" max="14347" width="15" customWidth="1"/>
    <col min="14348" max="14348" width="14.28515625" customWidth="1"/>
    <col min="14349" max="14349" width="17" customWidth="1"/>
    <col min="14350" max="14350" width="19.42578125" customWidth="1"/>
    <col min="14351" max="14351" width="19.28515625" customWidth="1"/>
    <col min="14598" max="14598" width="5.42578125" customWidth="1"/>
    <col min="14599" max="14599" width="41.140625" customWidth="1"/>
    <col min="14600" max="14600" width="17.42578125" customWidth="1"/>
    <col min="14601" max="14601" width="18.7109375" customWidth="1"/>
    <col min="14602" max="14602" width="14.28515625" customWidth="1"/>
    <col min="14603" max="14603" width="15" customWidth="1"/>
    <col min="14604" max="14604" width="14.28515625" customWidth="1"/>
    <col min="14605" max="14605" width="17" customWidth="1"/>
    <col min="14606" max="14606" width="19.42578125" customWidth="1"/>
    <col min="14607" max="14607" width="19.28515625" customWidth="1"/>
    <col min="14854" max="14854" width="5.42578125" customWidth="1"/>
    <col min="14855" max="14855" width="41.140625" customWidth="1"/>
    <col min="14856" max="14856" width="17.42578125" customWidth="1"/>
    <col min="14857" max="14857" width="18.7109375" customWidth="1"/>
    <col min="14858" max="14858" width="14.28515625" customWidth="1"/>
    <col min="14859" max="14859" width="15" customWidth="1"/>
    <col min="14860" max="14860" width="14.28515625" customWidth="1"/>
    <col min="14861" max="14861" width="17" customWidth="1"/>
    <col min="14862" max="14862" width="19.42578125" customWidth="1"/>
    <col min="14863" max="14863" width="19.28515625" customWidth="1"/>
    <col min="15110" max="15110" width="5.42578125" customWidth="1"/>
    <col min="15111" max="15111" width="41.140625" customWidth="1"/>
    <col min="15112" max="15112" width="17.42578125" customWidth="1"/>
    <col min="15113" max="15113" width="18.7109375" customWidth="1"/>
    <col min="15114" max="15114" width="14.28515625" customWidth="1"/>
    <col min="15115" max="15115" width="15" customWidth="1"/>
    <col min="15116" max="15116" width="14.28515625" customWidth="1"/>
    <col min="15117" max="15117" width="17" customWidth="1"/>
    <col min="15118" max="15118" width="19.42578125" customWidth="1"/>
    <col min="15119" max="15119" width="19.28515625" customWidth="1"/>
    <col min="15366" max="15366" width="5.42578125" customWidth="1"/>
    <col min="15367" max="15367" width="41.140625" customWidth="1"/>
    <col min="15368" max="15368" width="17.42578125" customWidth="1"/>
    <col min="15369" max="15369" width="18.7109375" customWidth="1"/>
    <col min="15370" max="15370" width="14.28515625" customWidth="1"/>
    <col min="15371" max="15371" width="15" customWidth="1"/>
    <col min="15372" max="15372" width="14.28515625" customWidth="1"/>
    <col min="15373" max="15373" width="17" customWidth="1"/>
    <col min="15374" max="15374" width="19.42578125" customWidth="1"/>
    <col min="15375" max="15375" width="19.28515625" customWidth="1"/>
    <col min="15622" max="15622" width="5.42578125" customWidth="1"/>
    <col min="15623" max="15623" width="41.140625" customWidth="1"/>
    <col min="15624" max="15624" width="17.42578125" customWidth="1"/>
    <col min="15625" max="15625" width="18.7109375" customWidth="1"/>
    <col min="15626" max="15626" width="14.28515625" customWidth="1"/>
    <col min="15627" max="15627" width="15" customWidth="1"/>
    <col min="15628" max="15628" width="14.28515625" customWidth="1"/>
    <col min="15629" max="15629" width="17" customWidth="1"/>
    <col min="15630" max="15630" width="19.42578125" customWidth="1"/>
    <col min="15631" max="15631" width="19.28515625" customWidth="1"/>
    <col min="15878" max="15878" width="5.42578125" customWidth="1"/>
    <col min="15879" max="15879" width="41.140625" customWidth="1"/>
    <col min="15880" max="15880" width="17.42578125" customWidth="1"/>
    <col min="15881" max="15881" width="18.7109375" customWidth="1"/>
    <col min="15882" max="15882" width="14.28515625" customWidth="1"/>
    <col min="15883" max="15883" width="15" customWidth="1"/>
    <col min="15884" max="15884" width="14.28515625" customWidth="1"/>
    <col min="15885" max="15885" width="17" customWidth="1"/>
    <col min="15886" max="15886" width="19.42578125" customWidth="1"/>
    <col min="15887" max="15887" width="19.28515625" customWidth="1"/>
    <col min="16134" max="16134" width="5.42578125" customWidth="1"/>
    <col min="16135" max="16135" width="41.140625" customWidth="1"/>
    <col min="16136" max="16136" width="17.42578125" customWidth="1"/>
    <col min="16137" max="16137" width="18.7109375" customWidth="1"/>
    <col min="16138" max="16138" width="14.28515625" customWidth="1"/>
    <col min="16139" max="16139" width="15" customWidth="1"/>
    <col min="16140" max="16140" width="14.28515625" customWidth="1"/>
    <col min="16141" max="16141" width="17" customWidth="1"/>
    <col min="16142" max="16142" width="19.42578125" customWidth="1"/>
    <col min="16143" max="16143" width="19.28515625" customWidth="1"/>
  </cols>
  <sheetData>
    <row r="1" spans="1:14" thickBot="1" x14ac:dyDescent="0.4">
      <c r="A1" s="577" t="s">
        <v>172</v>
      </c>
      <c r="B1" s="578"/>
      <c r="C1" s="579">
        <v>2014</v>
      </c>
      <c r="D1" s="579">
        <v>2015</v>
      </c>
      <c r="E1" s="579">
        <v>2016</v>
      </c>
      <c r="F1" s="579">
        <v>2017</v>
      </c>
      <c r="G1" s="579">
        <v>2018</v>
      </c>
      <c r="H1" s="579">
        <v>2019</v>
      </c>
      <c r="I1" s="579">
        <v>2020</v>
      </c>
      <c r="J1" s="579">
        <v>2021</v>
      </c>
      <c r="K1" s="579">
        <v>2022</v>
      </c>
      <c r="L1" s="579">
        <v>2023</v>
      </c>
    </row>
    <row r="2" spans="1:14" ht="14.45" x14ac:dyDescent="0.35">
      <c r="A2" s="449"/>
      <c r="B2" s="444"/>
      <c r="C2" s="502"/>
      <c r="D2" s="337"/>
      <c r="E2" s="337"/>
      <c r="F2" s="337"/>
      <c r="G2" s="337"/>
      <c r="H2" s="337"/>
      <c r="I2" s="337"/>
      <c r="J2" s="337"/>
      <c r="K2" s="337"/>
      <c r="L2" s="337"/>
    </row>
    <row r="3" spans="1:14" ht="14.45" x14ac:dyDescent="0.35">
      <c r="A3" s="443" t="s">
        <v>78</v>
      </c>
      <c r="B3" s="296"/>
      <c r="C3" s="288"/>
      <c r="D3" s="284"/>
      <c r="E3" s="284"/>
      <c r="F3" s="284"/>
      <c r="G3" s="284"/>
      <c r="H3" s="284"/>
      <c r="I3" s="284"/>
      <c r="J3" s="284"/>
      <c r="K3" s="284"/>
      <c r="L3" s="284"/>
      <c r="M3" s="289" t="s">
        <v>178</v>
      </c>
      <c r="N3" s="287" t="s">
        <v>179</v>
      </c>
    </row>
    <row r="4" spans="1:14" ht="14.45" x14ac:dyDescent="0.35">
      <c r="A4" s="440" t="s">
        <v>101</v>
      </c>
      <c r="B4" s="296"/>
      <c r="C4" s="290">
        <v>150</v>
      </c>
      <c r="D4" s="291">
        <f>C4*(1+$M$4)</f>
        <v>159</v>
      </c>
      <c r="E4" s="291">
        <f t="shared" ref="E4" si="0">D4*(1+$M$4)</f>
        <v>168.54000000000002</v>
      </c>
      <c r="F4" s="291">
        <f>E4*(1+$M$4)</f>
        <v>178.65240000000003</v>
      </c>
      <c r="G4" s="291">
        <f t="shared" ref="G4:L4" si="1">F4*(1+$N$4)</f>
        <v>201.09114144000003</v>
      </c>
      <c r="H4" s="291">
        <f t="shared" si="1"/>
        <v>226.34818880486401</v>
      </c>
      <c r="I4" s="291">
        <f t="shared" si="1"/>
        <v>254.77752131875491</v>
      </c>
      <c r="J4" s="291">
        <f t="shared" si="1"/>
        <v>286.77757799639051</v>
      </c>
      <c r="K4" s="291">
        <f t="shared" si="1"/>
        <v>322.79684179273715</v>
      </c>
      <c r="L4" s="291">
        <f t="shared" si="1"/>
        <v>363.34012512190492</v>
      </c>
      <c r="M4" s="289">
        <v>0.06</v>
      </c>
      <c r="N4" s="292">
        <v>0.12559999999999999</v>
      </c>
    </row>
    <row r="5" spans="1:14" ht="14.45" x14ac:dyDescent="0.35">
      <c r="A5" s="450" t="s">
        <v>174</v>
      </c>
      <c r="B5" s="296"/>
      <c r="C5" s="288">
        <v>45</v>
      </c>
      <c r="D5" s="288">
        <f>C5*(1+$M$5)</f>
        <v>47.25</v>
      </c>
      <c r="E5" s="288">
        <f>D5*(1+$M$5)</f>
        <v>49.612500000000004</v>
      </c>
      <c r="F5" s="288">
        <f t="shared" ref="F5" si="2">E5*(1+$M$5)</f>
        <v>52.093125000000008</v>
      </c>
      <c r="G5" s="288">
        <f t="shared" ref="G5:L5" si="3">F5*(1+$N$5)</f>
        <v>46.883812500000005</v>
      </c>
      <c r="H5" s="288">
        <f t="shared" si="3"/>
        <v>42.195431250000006</v>
      </c>
      <c r="I5" s="288">
        <f t="shared" si="3"/>
        <v>37.975888125000004</v>
      </c>
      <c r="J5" s="288">
        <f t="shared" si="3"/>
        <v>34.178299312500002</v>
      </c>
      <c r="K5" s="288">
        <f t="shared" si="3"/>
        <v>30.760469381250001</v>
      </c>
      <c r="L5" s="288">
        <f t="shared" si="3"/>
        <v>27.684422443125001</v>
      </c>
      <c r="M5" s="289">
        <v>0.05</v>
      </c>
      <c r="N5" s="295">
        <v>-0.1</v>
      </c>
    </row>
    <row r="6" spans="1:14" ht="14.45" x14ac:dyDescent="0.35">
      <c r="A6" s="450" t="s">
        <v>175</v>
      </c>
      <c r="B6" s="296"/>
      <c r="C6" s="288">
        <f>C4*C5</f>
        <v>6750</v>
      </c>
      <c r="D6" s="288">
        <f>D4*D5</f>
        <v>7512.75</v>
      </c>
      <c r="E6" s="288">
        <f t="shared" ref="E6:L6" si="4">E4*E5</f>
        <v>8361.6907500000016</v>
      </c>
      <c r="F6" s="288">
        <f t="shared" si="4"/>
        <v>9306.5618047500029</v>
      </c>
      <c r="G6" s="288">
        <f t="shared" si="4"/>
        <v>9427.9193706839415</v>
      </c>
      <c r="H6" s="288">
        <f t="shared" si="4"/>
        <v>9550.8594392776595</v>
      </c>
      <c r="I6" s="288">
        <f t="shared" si="4"/>
        <v>9675.4026463658392</v>
      </c>
      <c r="J6" s="288">
        <f t="shared" si="4"/>
        <v>9801.5698968744491</v>
      </c>
      <c r="K6" s="288">
        <f t="shared" si="4"/>
        <v>9929.3823683296923</v>
      </c>
      <c r="L6" s="288">
        <f t="shared" si="4"/>
        <v>10058.861514412711</v>
      </c>
      <c r="M6" s="289"/>
      <c r="N6" s="287"/>
    </row>
    <row r="7" spans="1:14" ht="14.45" x14ac:dyDescent="0.35">
      <c r="A7" s="440" t="s">
        <v>84</v>
      </c>
      <c r="B7" s="296"/>
      <c r="C7" s="288">
        <f>180</f>
        <v>180</v>
      </c>
      <c r="D7" s="288">
        <f>C7*(1+$M$7)</f>
        <v>185.4</v>
      </c>
      <c r="E7" s="288">
        <f>D7*(1+$M$7)</f>
        <v>190.96200000000002</v>
      </c>
      <c r="F7" s="288">
        <f>E7*(1+$M$7)</f>
        <v>196.69086000000001</v>
      </c>
      <c r="G7" s="288">
        <f t="shared" ref="G7:L7" si="5">F7*(1+$N$7)</f>
        <v>206.52540300000001</v>
      </c>
      <c r="H7" s="288">
        <f t="shared" si="5"/>
        <v>216.85167315000001</v>
      </c>
      <c r="I7" s="288">
        <f t="shared" si="5"/>
        <v>227.69425680750001</v>
      </c>
      <c r="J7" s="288">
        <f t="shared" si="5"/>
        <v>239.07896964787503</v>
      </c>
      <c r="K7" s="288">
        <f t="shared" si="5"/>
        <v>251.0329181302688</v>
      </c>
      <c r="L7" s="288">
        <f t="shared" si="5"/>
        <v>263.58456403678224</v>
      </c>
      <c r="M7" s="289">
        <v>0.03</v>
      </c>
      <c r="N7" s="298">
        <v>0.05</v>
      </c>
    </row>
    <row r="8" spans="1:14" ht="14.45" x14ac:dyDescent="0.35">
      <c r="A8" s="440" t="s">
        <v>85</v>
      </c>
      <c r="B8" s="419"/>
      <c r="C8" s="288">
        <f>C7*M8</f>
        <v>90</v>
      </c>
      <c r="D8" s="288">
        <f>D7*$M$8</f>
        <v>92.7</v>
      </c>
      <c r="E8" s="288">
        <f>E7*$M$8</f>
        <v>95.481000000000009</v>
      </c>
      <c r="F8" s="288">
        <f>F7*$M$8</f>
        <v>98.345430000000007</v>
      </c>
      <c r="G8" s="299">
        <f t="shared" ref="G8:L8" si="6">G7*$N$8</f>
        <v>76.414399110000005</v>
      </c>
      <c r="H8" s="299">
        <f t="shared" si="6"/>
        <v>80.235119065500001</v>
      </c>
      <c r="I8" s="299">
        <f t="shared" si="6"/>
        <v>84.246875018775</v>
      </c>
      <c r="J8" s="299">
        <f t="shared" si="6"/>
        <v>88.459218769713758</v>
      </c>
      <c r="K8" s="299">
        <f t="shared" si="6"/>
        <v>92.882179708199459</v>
      </c>
      <c r="L8" s="299">
        <f t="shared" si="6"/>
        <v>97.52628869360943</v>
      </c>
      <c r="M8" s="289">
        <v>0.5</v>
      </c>
      <c r="N8" s="300">
        <v>0.37</v>
      </c>
    </row>
    <row r="9" spans="1:14" ht="14.45" x14ac:dyDescent="0.35">
      <c r="A9" s="440" t="s">
        <v>86</v>
      </c>
      <c r="B9" s="419"/>
      <c r="C9" s="290">
        <v>1220</v>
      </c>
      <c r="D9" s="290">
        <f>C9*(1+$M$9)</f>
        <v>1281</v>
      </c>
      <c r="E9" s="330">
        <f>D9*(1+$M$9)</f>
        <v>1345.05</v>
      </c>
      <c r="F9" s="330">
        <f>E9*(1+$M$9)</f>
        <v>1412.3025</v>
      </c>
      <c r="G9" s="330">
        <f t="shared" ref="G9:L9" si="7">F9*(1+$N$9)</f>
        <v>1398.1794749999999</v>
      </c>
      <c r="H9" s="330">
        <f t="shared" si="7"/>
        <v>1384.1976802499998</v>
      </c>
      <c r="I9" s="330">
        <f t="shared" si="7"/>
        <v>1370.3557034474998</v>
      </c>
      <c r="J9" s="330">
        <f t="shared" si="7"/>
        <v>1356.6521464130249</v>
      </c>
      <c r="K9" s="330">
        <f t="shared" si="7"/>
        <v>1343.0856249488945</v>
      </c>
      <c r="L9" s="330">
        <f t="shared" si="7"/>
        <v>1329.6547686994056</v>
      </c>
      <c r="M9" s="289">
        <v>0.05</v>
      </c>
      <c r="N9" s="300">
        <v>-0.01</v>
      </c>
    </row>
    <row r="10" spans="1:14" ht="14.45" x14ac:dyDescent="0.35">
      <c r="A10" s="440" t="s">
        <v>177</v>
      </c>
      <c r="B10" s="419"/>
      <c r="C10" s="288">
        <f>(C7-C8)*C9</f>
        <v>109800</v>
      </c>
      <c r="D10" s="288">
        <f>(D7-D8)*D9</f>
        <v>118748.7</v>
      </c>
      <c r="E10" s="288">
        <f t="shared" ref="E10:L10" si="8">(E7-E8)*E9</f>
        <v>128426.71905000001</v>
      </c>
      <c r="F10" s="288">
        <f t="shared" si="8"/>
        <v>138893.49665257501</v>
      </c>
      <c r="G10" s="288">
        <f t="shared" si="8"/>
        <v>181918.53511064316</v>
      </c>
      <c r="H10" s="288">
        <f t="shared" si="8"/>
        <v>189104.31724751357</v>
      </c>
      <c r="I10" s="288">
        <f t="shared" si="8"/>
        <v>196573.93777879034</v>
      </c>
      <c r="J10" s="288">
        <f t="shared" si="8"/>
        <v>204338.60832105257</v>
      </c>
      <c r="K10" s="288">
        <f t="shared" si="8"/>
        <v>212409.98334973413</v>
      </c>
      <c r="L10" s="288">
        <f t="shared" si="8"/>
        <v>220800.17769204863</v>
      </c>
      <c r="M10" s="289"/>
      <c r="N10" s="287"/>
    </row>
    <row r="11" spans="1:14" ht="14.45" x14ac:dyDescent="0.35">
      <c r="A11" s="440" t="s">
        <v>176</v>
      </c>
      <c r="B11" s="419"/>
      <c r="C11" s="288">
        <f>C6+C10</f>
        <v>116550</v>
      </c>
      <c r="D11" s="288">
        <f t="shared" ref="D11:L11" si="9">D6+D10</f>
        <v>126261.45</v>
      </c>
      <c r="E11" s="288">
        <f t="shared" si="9"/>
        <v>136788.40980000002</v>
      </c>
      <c r="F11" s="288">
        <f t="shared" si="9"/>
        <v>148200.05845732501</v>
      </c>
      <c r="G11" s="288">
        <f t="shared" si="9"/>
        <v>191346.45448132709</v>
      </c>
      <c r="H11" s="288">
        <f t="shared" si="9"/>
        <v>198655.17668679124</v>
      </c>
      <c r="I11" s="288">
        <f t="shared" si="9"/>
        <v>206249.34042515617</v>
      </c>
      <c r="J11" s="288">
        <f t="shared" si="9"/>
        <v>214140.17821792702</v>
      </c>
      <c r="K11" s="288">
        <f t="shared" si="9"/>
        <v>222339.36571806381</v>
      </c>
      <c r="L11" s="288">
        <f t="shared" si="9"/>
        <v>230859.03920646134</v>
      </c>
      <c r="M11" s="289"/>
      <c r="N11" s="287"/>
    </row>
    <row r="12" spans="1:14" ht="14.45" x14ac:dyDescent="0.35">
      <c r="A12" s="440"/>
      <c r="B12" s="419"/>
      <c r="C12" s="288"/>
      <c r="D12" s="284"/>
      <c r="E12" s="284"/>
      <c r="F12" s="284"/>
      <c r="G12" s="284"/>
      <c r="H12" s="284"/>
      <c r="I12" s="284"/>
      <c r="J12" s="284"/>
      <c r="K12" s="284"/>
      <c r="L12" s="284"/>
      <c r="M12" s="289"/>
      <c r="N12" s="287"/>
    </row>
    <row r="13" spans="1:14" ht="14.45" x14ac:dyDescent="0.35">
      <c r="A13" s="443" t="s">
        <v>79</v>
      </c>
      <c r="B13" s="419"/>
      <c r="C13" s="288"/>
      <c r="D13" s="284"/>
      <c r="E13" s="284"/>
      <c r="F13" s="284"/>
      <c r="G13" s="284"/>
      <c r="H13" s="284"/>
      <c r="I13" s="284"/>
      <c r="J13" s="284"/>
      <c r="K13" s="284"/>
      <c r="L13" s="284"/>
      <c r="M13" s="289"/>
      <c r="N13" s="287"/>
    </row>
    <row r="14" spans="1:14" ht="14.45" x14ac:dyDescent="0.35">
      <c r="A14" s="440" t="s">
        <v>93</v>
      </c>
      <c r="B14" s="419"/>
      <c r="C14" s="288">
        <v>100</v>
      </c>
      <c r="D14" s="288">
        <f>C14*(1+$M$14)</f>
        <v>103</v>
      </c>
      <c r="E14" s="288">
        <f>D14*(1+$M$14)</f>
        <v>106.09</v>
      </c>
      <c r="F14" s="288">
        <f>E14*(1+$M$14)</f>
        <v>109.2727</v>
      </c>
      <c r="G14" s="288">
        <f t="shared" ref="G14:L14" si="10">F14*(1+$N$14)</f>
        <v>113.643608</v>
      </c>
      <c r="H14" s="288">
        <f t="shared" si="10"/>
        <v>118.18935232</v>
      </c>
      <c r="I14" s="288">
        <f t="shared" si="10"/>
        <v>122.9169264128</v>
      </c>
      <c r="J14" s="288">
        <f t="shared" si="10"/>
        <v>127.833603469312</v>
      </c>
      <c r="K14" s="288">
        <f t="shared" si="10"/>
        <v>132.94694760808449</v>
      </c>
      <c r="L14" s="288">
        <f t="shared" si="10"/>
        <v>138.26482551240787</v>
      </c>
      <c r="M14" s="289">
        <v>0.03</v>
      </c>
      <c r="N14" s="300">
        <v>0.04</v>
      </c>
    </row>
    <row r="15" spans="1:14" ht="14.45" x14ac:dyDescent="0.35">
      <c r="A15" s="440" t="s">
        <v>94</v>
      </c>
      <c r="B15" s="419"/>
      <c r="C15" s="290">
        <v>180</v>
      </c>
      <c r="D15" s="288">
        <f>C15*(1+$M$15)</f>
        <v>183.6</v>
      </c>
      <c r="E15" s="288">
        <f>D15*(1+$M$15)</f>
        <v>187.27199999999999</v>
      </c>
      <c r="F15" s="288">
        <f>E15*(1+$M$15)</f>
        <v>191.01743999999999</v>
      </c>
      <c r="G15" s="288">
        <f t="shared" ref="G15:L15" si="11">F15*(1+$N$15)</f>
        <v>196.74796319999999</v>
      </c>
      <c r="H15" s="288">
        <f t="shared" si="11"/>
        <v>202.65040209599999</v>
      </c>
      <c r="I15" s="288">
        <f t="shared" si="11"/>
        <v>208.72991415888001</v>
      </c>
      <c r="J15" s="288">
        <f t="shared" si="11"/>
        <v>214.99181158364641</v>
      </c>
      <c r="K15" s="288">
        <f t="shared" si="11"/>
        <v>221.44156593115582</v>
      </c>
      <c r="L15" s="288">
        <f t="shared" si="11"/>
        <v>228.08481290909052</v>
      </c>
      <c r="M15" s="289">
        <v>0.02</v>
      </c>
      <c r="N15" s="300">
        <v>0.03</v>
      </c>
    </row>
    <row r="16" spans="1:14" ht="14.45" x14ac:dyDescent="0.35">
      <c r="A16" s="440" t="s">
        <v>95</v>
      </c>
      <c r="B16" s="419"/>
      <c r="C16" s="290">
        <v>3</v>
      </c>
      <c r="D16" s="290">
        <v>3</v>
      </c>
      <c r="E16" s="290">
        <f>$D$16</f>
        <v>3</v>
      </c>
      <c r="F16" s="290">
        <f t="shared" ref="F16:L16" si="12">$D$16</f>
        <v>3</v>
      </c>
      <c r="G16" s="290">
        <f t="shared" si="12"/>
        <v>3</v>
      </c>
      <c r="H16" s="290">
        <f t="shared" si="12"/>
        <v>3</v>
      </c>
      <c r="I16" s="290">
        <f t="shared" si="12"/>
        <v>3</v>
      </c>
      <c r="J16" s="290">
        <f t="shared" si="12"/>
        <v>3</v>
      </c>
      <c r="K16" s="290">
        <f t="shared" si="12"/>
        <v>3</v>
      </c>
      <c r="L16" s="290">
        <f t="shared" si="12"/>
        <v>3</v>
      </c>
      <c r="M16" s="289"/>
      <c r="N16" s="287"/>
    </row>
    <row r="17" spans="1:14" ht="14.45" x14ac:dyDescent="0.35">
      <c r="A17" s="440" t="s">
        <v>96</v>
      </c>
      <c r="B17" s="419"/>
      <c r="C17" s="288">
        <f>C14*C15*C16</f>
        <v>54000</v>
      </c>
      <c r="D17" s="288">
        <f t="shared" ref="D17:L17" si="13">D14*D15*D16</f>
        <v>56732.399999999994</v>
      </c>
      <c r="E17" s="288">
        <f t="shared" si="13"/>
        <v>59603.059439999997</v>
      </c>
      <c r="F17" s="288">
        <f t="shared" si="13"/>
        <v>62618.974247663995</v>
      </c>
      <c r="G17" s="288">
        <f t="shared" si="13"/>
        <v>67077.445214097665</v>
      </c>
      <c r="H17" s="288">
        <f t="shared" si="13"/>
        <v>71853.359313341425</v>
      </c>
      <c r="I17" s="288">
        <f t="shared" si="13"/>
        <v>76969.318496451349</v>
      </c>
      <c r="J17" s="288">
        <f t="shared" si="13"/>
        <v>82449.533973398677</v>
      </c>
      <c r="K17" s="288">
        <f t="shared" si="13"/>
        <v>88319.940792304682</v>
      </c>
      <c r="L17" s="288">
        <f t="shared" si="13"/>
        <v>94608.320576716782</v>
      </c>
      <c r="M17" s="289"/>
      <c r="N17" s="287"/>
    </row>
    <row r="18" spans="1:14" ht="14.45" x14ac:dyDescent="0.35">
      <c r="A18" s="440"/>
      <c r="B18" s="419"/>
      <c r="C18" s="288"/>
      <c r="D18" s="302"/>
      <c r="E18" s="302"/>
      <c r="F18" s="302"/>
      <c r="G18" s="284"/>
      <c r="H18" s="284"/>
      <c r="I18" s="284"/>
      <c r="J18" s="284"/>
      <c r="K18" s="284"/>
      <c r="L18" s="284"/>
      <c r="M18" s="289"/>
      <c r="N18" s="287"/>
    </row>
    <row r="19" spans="1:14" ht="14.45" x14ac:dyDescent="0.35">
      <c r="A19" s="443" t="s">
        <v>0</v>
      </c>
      <c r="B19" s="419"/>
      <c r="C19" s="288"/>
      <c r="D19" s="302"/>
      <c r="E19" s="302"/>
      <c r="F19" s="302"/>
      <c r="G19" s="284"/>
      <c r="H19" s="284"/>
      <c r="I19" s="284"/>
      <c r="J19" s="284"/>
      <c r="K19" s="284"/>
      <c r="L19" s="284"/>
      <c r="M19" s="289"/>
      <c r="N19" s="287"/>
    </row>
    <row r="20" spans="1:14" ht="14.45" x14ac:dyDescent="0.35">
      <c r="A20" s="440" t="s">
        <v>1</v>
      </c>
      <c r="B20" s="419"/>
      <c r="C20" s="288">
        <v>325000</v>
      </c>
      <c r="D20" s="288">
        <f>C20</f>
        <v>325000</v>
      </c>
      <c r="E20" s="288">
        <f t="shared" ref="E20:L20" si="14">D20</f>
        <v>325000</v>
      </c>
      <c r="F20" s="288">
        <f t="shared" si="14"/>
        <v>325000</v>
      </c>
      <c r="G20" s="288">
        <f>F20</f>
        <v>325000</v>
      </c>
      <c r="H20" s="288">
        <f t="shared" si="14"/>
        <v>325000</v>
      </c>
      <c r="I20" s="288">
        <f t="shared" si="14"/>
        <v>325000</v>
      </c>
      <c r="J20" s="288">
        <f t="shared" si="14"/>
        <v>325000</v>
      </c>
      <c r="K20" s="288">
        <f t="shared" si="14"/>
        <v>325000</v>
      </c>
      <c r="L20" s="288">
        <f t="shared" si="14"/>
        <v>325000</v>
      </c>
      <c r="M20" s="289"/>
      <c r="N20" s="287"/>
    </row>
    <row r="21" spans="1:14" ht="14.45" x14ac:dyDescent="0.35">
      <c r="A21" s="440" t="s">
        <v>2</v>
      </c>
      <c r="B21" s="419"/>
      <c r="C21" s="290">
        <v>30</v>
      </c>
      <c r="D21" s="302"/>
      <c r="E21" s="302"/>
      <c r="F21" s="302"/>
      <c r="G21" s="302"/>
      <c r="H21" s="302"/>
      <c r="I21" s="302"/>
      <c r="J21" s="302"/>
      <c r="K21" s="302"/>
      <c r="L21" s="302"/>
      <c r="M21" s="289"/>
      <c r="N21" s="287"/>
    </row>
    <row r="22" spans="1:14" ht="14.45" x14ac:dyDescent="0.35">
      <c r="A22" s="440" t="s">
        <v>3</v>
      </c>
      <c r="B22" s="419"/>
      <c r="C22" s="299">
        <f>$C$20/$C$21</f>
        <v>10833.333333333334</v>
      </c>
      <c r="D22" s="302">
        <f>$C$20/$C$21</f>
        <v>10833.333333333334</v>
      </c>
      <c r="E22" s="302">
        <f>$C$20/$C$21</f>
        <v>10833.333333333334</v>
      </c>
      <c r="F22" s="302">
        <f>$C$20/$C$21</f>
        <v>10833.333333333334</v>
      </c>
      <c r="G22" s="302">
        <f>$C$20/$C$21</f>
        <v>10833.333333333334</v>
      </c>
      <c r="H22" s="302">
        <f t="shared" ref="H22:L22" si="15">$C$20/$C$21</f>
        <v>10833.333333333334</v>
      </c>
      <c r="I22" s="302">
        <f t="shared" si="15"/>
        <v>10833.333333333334</v>
      </c>
      <c r="J22" s="302">
        <f t="shared" si="15"/>
        <v>10833.333333333334</v>
      </c>
      <c r="K22" s="302">
        <f t="shared" si="15"/>
        <v>10833.333333333334</v>
      </c>
      <c r="L22" s="302">
        <f t="shared" si="15"/>
        <v>10833.333333333334</v>
      </c>
      <c r="M22" s="289"/>
      <c r="N22" s="287"/>
    </row>
    <row r="23" spans="1:14" ht="14.45" x14ac:dyDescent="0.35">
      <c r="A23" s="443" t="s">
        <v>77</v>
      </c>
      <c r="B23" s="296"/>
      <c r="C23" s="288"/>
      <c r="D23" s="302"/>
      <c r="E23" s="302"/>
      <c r="F23" s="302"/>
      <c r="G23" s="302"/>
      <c r="H23" s="302"/>
      <c r="I23" s="302"/>
      <c r="J23" s="302"/>
      <c r="K23" s="302"/>
      <c r="L23" s="302"/>
      <c r="M23" s="289"/>
      <c r="N23" s="287"/>
    </row>
    <row r="24" spans="1:14" ht="14.45" x14ac:dyDescent="0.35">
      <c r="A24" s="440" t="s">
        <v>1</v>
      </c>
      <c r="B24" s="296"/>
      <c r="C24" s="297">
        <v>150000</v>
      </c>
      <c r="D24" s="297">
        <f>C24</f>
        <v>150000</v>
      </c>
      <c r="E24" s="297">
        <f t="shared" ref="E24:L24" si="16">D24</f>
        <v>150000</v>
      </c>
      <c r="F24" s="297">
        <f t="shared" si="16"/>
        <v>150000</v>
      </c>
      <c r="G24" s="297">
        <f t="shared" si="16"/>
        <v>150000</v>
      </c>
      <c r="H24" s="297">
        <f t="shared" si="16"/>
        <v>150000</v>
      </c>
      <c r="I24" s="297">
        <f t="shared" si="16"/>
        <v>150000</v>
      </c>
      <c r="J24" s="297">
        <f t="shared" si="16"/>
        <v>150000</v>
      </c>
      <c r="K24" s="297">
        <f t="shared" si="16"/>
        <v>150000</v>
      </c>
      <c r="L24" s="297">
        <f t="shared" si="16"/>
        <v>150000</v>
      </c>
      <c r="M24" s="289"/>
      <c r="N24" s="287"/>
    </row>
    <row r="25" spans="1:14" ht="14.45" x14ac:dyDescent="0.35">
      <c r="A25" s="440" t="s">
        <v>2</v>
      </c>
      <c r="B25" s="296"/>
      <c r="C25" s="297">
        <v>7</v>
      </c>
      <c r="D25" s="301"/>
      <c r="E25" s="301"/>
      <c r="F25" s="301"/>
      <c r="G25" s="301"/>
      <c r="H25" s="301"/>
      <c r="I25" s="301"/>
      <c r="J25" s="301"/>
      <c r="K25" s="301"/>
      <c r="L25" s="301"/>
      <c r="M25" s="289"/>
      <c r="N25" s="287"/>
    </row>
    <row r="26" spans="1:14" ht="14.45" x14ac:dyDescent="0.35">
      <c r="A26" s="440" t="s">
        <v>3</v>
      </c>
      <c r="B26" s="296"/>
      <c r="C26" s="288">
        <f>$C$24/$C$25</f>
        <v>21428.571428571428</v>
      </c>
      <c r="D26" s="302">
        <f t="shared" ref="D26:I26" si="17">$C$24/$C$25</f>
        <v>21428.571428571428</v>
      </c>
      <c r="E26" s="302">
        <f t="shared" si="17"/>
        <v>21428.571428571428</v>
      </c>
      <c r="F26" s="302">
        <f t="shared" si="17"/>
        <v>21428.571428571428</v>
      </c>
      <c r="G26" s="302">
        <f t="shared" si="17"/>
        <v>21428.571428571428</v>
      </c>
      <c r="H26" s="302">
        <f t="shared" si="17"/>
        <v>21428.571428571428</v>
      </c>
      <c r="I26" s="302">
        <f t="shared" si="17"/>
        <v>21428.571428571428</v>
      </c>
      <c r="J26" s="302">
        <v>0</v>
      </c>
      <c r="K26" s="302">
        <v>0</v>
      </c>
      <c r="L26" s="302">
        <v>0</v>
      </c>
      <c r="M26" s="289"/>
      <c r="N26" s="287"/>
    </row>
    <row r="27" spans="1:14" ht="14.45" x14ac:dyDescent="0.35">
      <c r="A27" s="440"/>
      <c r="B27" s="296"/>
      <c r="C27" s="297"/>
      <c r="D27" s="301"/>
      <c r="E27" s="301"/>
      <c r="F27" s="301"/>
      <c r="G27" s="284"/>
      <c r="H27" s="284"/>
      <c r="I27" s="284"/>
      <c r="J27" s="284"/>
      <c r="K27" s="284"/>
      <c r="L27" s="284"/>
      <c r="M27" s="289"/>
      <c r="N27" s="287"/>
    </row>
    <row r="28" spans="1:14" x14ac:dyDescent="0.25">
      <c r="A28" s="443" t="s">
        <v>4</v>
      </c>
      <c r="B28" s="296"/>
      <c r="C28" s="297"/>
      <c r="D28" s="283"/>
      <c r="E28" s="283"/>
      <c r="F28" s="283"/>
      <c r="G28" s="284"/>
      <c r="H28" s="284"/>
      <c r="I28" s="284"/>
      <c r="J28" s="284"/>
      <c r="K28" s="284"/>
      <c r="L28" s="284"/>
      <c r="M28" s="289"/>
      <c r="N28" s="287"/>
    </row>
    <row r="29" spans="1:14" x14ac:dyDescent="0.25">
      <c r="A29" s="440" t="s">
        <v>5</v>
      </c>
      <c r="B29" s="296"/>
      <c r="C29" s="297">
        <v>400000</v>
      </c>
      <c r="D29" s="283"/>
      <c r="E29" s="283"/>
      <c r="F29" s="283"/>
      <c r="G29" s="284"/>
      <c r="H29" s="284"/>
      <c r="I29" s="284"/>
      <c r="J29" s="284"/>
      <c r="K29" s="284"/>
      <c r="L29" s="284"/>
      <c r="M29" s="289"/>
      <c r="N29" s="287"/>
    </row>
    <row r="30" spans="1:14" x14ac:dyDescent="0.25">
      <c r="A30" s="440" t="s">
        <v>6</v>
      </c>
      <c r="B30" s="296"/>
      <c r="C30" s="282">
        <v>30</v>
      </c>
      <c r="D30" s="283"/>
      <c r="E30" s="283"/>
      <c r="F30" s="283"/>
      <c r="G30" s="284"/>
      <c r="H30" s="284"/>
      <c r="I30" s="284"/>
      <c r="J30" s="284"/>
      <c r="K30" s="284"/>
      <c r="L30" s="284"/>
      <c r="M30" s="289"/>
      <c r="N30" s="287"/>
    </row>
    <row r="31" spans="1:14" x14ac:dyDescent="0.25">
      <c r="A31" s="440" t="s">
        <v>7</v>
      </c>
      <c r="B31" s="296"/>
      <c r="C31" s="303">
        <v>7.0000000000000007E-2</v>
      </c>
      <c r="D31" s="283"/>
      <c r="E31" s="283"/>
      <c r="F31" s="283"/>
      <c r="G31" s="284"/>
      <c r="H31" s="284"/>
      <c r="I31" s="284"/>
      <c r="J31" s="284"/>
      <c r="K31" s="284"/>
      <c r="L31" s="284"/>
      <c r="M31" s="289"/>
      <c r="N31" s="287"/>
    </row>
    <row r="32" spans="1:14" x14ac:dyDescent="0.25">
      <c r="A32" s="443" t="s">
        <v>8</v>
      </c>
      <c r="B32" s="296"/>
      <c r="C32" s="288"/>
      <c r="D32" s="283"/>
      <c r="E32" s="283"/>
      <c r="F32" s="283"/>
      <c r="G32" s="284"/>
      <c r="H32" s="284"/>
      <c r="I32" s="284"/>
      <c r="J32" s="284"/>
      <c r="K32" s="284"/>
      <c r="L32" s="284"/>
      <c r="M32" s="289"/>
      <c r="N32" s="287"/>
    </row>
    <row r="33" spans="1:14" x14ac:dyDescent="0.25">
      <c r="A33" s="440" t="s">
        <v>124</v>
      </c>
      <c r="B33" s="296"/>
      <c r="C33" s="290">
        <v>120</v>
      </c>
      <c r="D33" s="304">
        <f>C33*(1+$M$33)</f>
        <v>126</v>
      </c>
      <c r="E33" s="305">
        <f>D33*(1+$M$33)</f>
        <v>132.30000000000001</v>
      </c>
      <c r="F33" s="305">
        <f>E33*(1+$M$33)</f>
        <v>138.91500000000002</v>
      </c>
      <c r="G33" s="305">
        <f t="shared" ref="G33:K33" si="18">F33*(1+$N$33)</f>
        <v>143.08245000000002</v>
      </c>
      <c r="H33" s="305">
        <f t="shared" si="18"/>
        <v>147.37492350000002</v>
      </c>
      <c r="I33" s="305">
        <f t="shared" si="18"/>
        <v>151.79617120500004</v>
      </c>
      <c r="J33" s="305">
        <f t="shared" si="18"/>
        <v>156.35005634115004</v>
      </c>
      <c r="K33" s="305">
        <f t="shared" si="18"/>
        <v>161.04055803138453</v>
      </c>
      <c r="L33" s="305">
        <f>K33*(1+$N$33)</f>
        <v>165.87177477232606</v>
      </c>
      <c r="M33" s="289">
        <v>0.05</v>
      </c>
      <c r="N33" s="292">
        <v>0.03</v>
      </c>
    </row>
    <row r="34" spans="1:14" x14ac:dyDescent="0.25">
      <c r="A34" s="440" t="s">
        <v>9</v>
      </c>
      <c r="B34" s="296"/>
      <c r="C34" s="290">
        <v>190</v>
      </c>
      <c r="D34" s="305">
        <f>C34*(1+$M$34)</f>
        <v>186.2</v>
      </c>
      <c r="E34" s="305">
        <f>D34*(1+$M$34)</f>
        <v>182.476</v>
      </c>
      <c r="F34" s="305">
        <f>E34*(1+$M$34)</f>
        <v>178.82648</v>
      </c>
      <c r="G34" s="305">
        <f t="shared" ref="G34:L34" si="19">F34*(1+$N$34)</f>
        <v>177.0382152</v>
      </c>
      <c r="H34" s="305">
        <f t="shared" si="19"/>
        <v>175.267833048</v>
      </c>
      <c r="I34" s="305">
        <f t="shared" si="19"/>
        <v>173.51515471752001</v>
      </c>
      <c r="J34" s="305">
        <f t="shared" si="19"/>
        <v>171.7800031703448</v>
      </c>
      <c r="K34" s="305">
        <f t="shared" si="19"/>
        <v>170.06220313864134</v>
      </c>
      <c r="L34" s="305">
        <f t="shared" si="19"/>
        <v>168.36158110725492</v>
      </c>
      <c r="M34" s="289">
        <v>-0.02</v>
      </c>
      <c r="N34" s="292">
        <v>-0.01</v>
      </c>
    </row>
    <row r="35" spans="1:14" x14ac:dyDescent="0.25">
      <c r="A35" s="440" t="s">
        <v>97</v>
      </c>
      <c r="B35" s="296"/>
      <c r="C35" s="290">
        <v>20</v>
      </c>
      <c r="D35" s="304">
        <v>20</v>
      </c>
      <c r="E35" s="304">
        <v>20</v>
      </c>
      <c r="F35" s="304">
        <v>20</v>
      </c>
      <c r="G35" s="304">
        <v>20</v>
      </c>
      <c r="H35" s="304">
        <v>20</v>
      </c>
      <c r="I35" s="304">
        <v>20</v>
      </c>
      <c r="J35" s="304">
        <v>20</v>
      </c>
      <c r="K35" s="304">
        <v>20</v>
      </c>
      <c r="L35" s="304">
        <v>20</v>
      </c>
      <c r="M35" s="289"/>
      <c r="N35" s="287"/>
    </row>
    <row r="36" spans="1:14" ht="15.75" thickBot="1" x14ac:dyDescent="0.3">
      <c r="A36" s="451"/>
      <c r="B36" s="317"/>
      <c r="C36" s="338"/>
      <c r="D36" s="339"/>
      <c r="E36" s="339"/>
      <c r="F36" s="339"/>
      <c r="G36" s="340"/>
      <c r="H36" s="340"/>
      <c r="I36" s="340"/>
      <c r="J36" s="340"/>
      <c r="K36" s="340"/>
      <c r="L36" s="340"/>
      <c r="M36"/>
      <c r="N36"/>
    </row>
    <row r="37" spans="1:14" ht="15.75" thickBot="1" x14ac:dyDescent="0.3">
      <c r="A37" s="511" t="s">
        <v>10</v>
      </c>
      <c r="B37" s="273"/>
      <c r="C37" s="500">
        <v>2014</v>
      </c>
      <c r="D37" s="501">
        <v>2015</v>
      </c>
      <c r="E37" s="501">
        <v>2016</v>
      </c>
      <c r="F37" s="501">
        <v>2017</v>
      </c>
      <c r="G37" s="501">
        <v>2018</v>
      </c>
      <c r="H37" s="501">
        <v>2019</v>
      </c>
      <c r="I37" s="501">
        <v>2020</v>
      </c>
      <c r="J37" s="501">
        <v>2021</v>
      </c>
      <c r="K37" s="501">
        <v>2022</v>
      </c>
      <c r="L37" s="501">
        <v>2023</v>
      </c>
      <c r="M37" s="289"/>
      <c r="N37" s="287"/>
    </row>
    <row r="38" spans="1:14" x14ac:dyDescent="0.25">
      <c r="A38" s="452" t="s">
        <v>11</v>
      </c>
      <c r="B38" s="296"/>
      <c r="C38" s="297"/>
      <c r="D38" s="283"/>
      <c r="E38" s="283"/>
      <c r="F38" s="283"/>
      <c r="G38" s="283"/>
      <c r="H38" s="283"/>
      <c r="I38" s="283"/>
      <c r="J38" s="283"/>
      <c r="K38" s="283"/>
      <c r="L38" s="283"/>
      <c r="M38" s="289"/>
      <c r="N38" s="287"/>
    </row>
    <row r="39" spans="1:14" x14ac:dyDescent="0.25">
      <c r="A39" s="440" t="s">
        <v>80</v>
      </c>
      <c r="B39" s="453"/>
      <c r="C39" s="288">
        <f t="shared" ref="C39:L39" si="20">C11</f>
        <v>116550</v>
      </c>
      <c r="D39" s="288">
        <f t="shared" si="20"/>
        <v>126261.45</v>
      </c>
      <c r="E39" s="288">
        <f t="shared" si="20"/>
        <v>136788.40980000002</v>
      </c>
      <c r="F39" s="288">
        <f t="shared" si="20"/>
        <v>148200.05845732501</v>
      </c>
      <c r="G39" s="288">
        <f t="shared" si="20"/>
        <v>191346.45448132709</v>
      </c>
      <c r="H39" s="288">
        <f t="shared" si="20"/>
        <v>198655.17668679124</v>
      </c>
      <c r="I39" s="288">
        <f t="shared" si="20"/>
        <v>206249.34042515617</v>
      </c>
      <c r="J39" s="288">
        <f t="shared" si="20"/>
        <v>214140.17821792702</v>
      </c>
      <c r="K39" s="288">
        <f t="shared" si="20"/>
        <v>222339.36571806381</v>
      </c>
      <c r="L39" s="288">
        <f t="shared" si="20"/>
        <v>230859.03920646134</v>
      </c>
      <c r="M39" s="289"/>
      <c r="N39" s="287"/>
    </row>
    <row r="40" spans="1:14" x14ac:dyDescent="0.25">
      <c r="A40" s="440" t="s">
        <v>81</v>
      </c>
      <c r="B40" s="453"/>
      <c r="C40" s="288">
        <f t="shared" ref="C40:L40" si="21">C17</f>
        <v>54000</v>
      </c>
      <c r="D40" s="306">
        <f t="shared" si="21"/>
        <v>56732.399999999994</v>
      </c>
      <c r="E40" s="306">
        <f t="shared" si="21"/>
        <v>59603.059439999997</v>
      </c>
      <c r="F40" s="306">
        <f t="shared" si="21"/>
        <v>62618.974247663995</v>
      </c>
      <c r="G40" s="306">
        <f t="shared" si="21"/>
        <v>67077.445214097665</v>
      </c>
      <c r="H40" s="306">
        <f t="shared" si="21"/>
        <v>71853.359313341425</v>
      </c>
      <c r="I40" s="306">
        <f t="shared" si="21"/>
        <v>76969.318496451349</v>
      </c>
      <c r="J40" s="306">
        <f t="shared" si="21"/>
        <v>82449.533973398677</v>
      </c>
      <c r="K40" s="306">
        <f t="shared" si="21"/>
        <v>88319.940792304682</v>
      </c>
      <c r="L40" s="306">
        <f t="shared" si="21"/>
        <v>94608.320576716782</v>
      </c>
      <c r="M40" s="289"/>
      <c r="N40" s="307"/>
    </row>
    <row r="41" spans="1:14" x14ac:dyDescent="0.25">
      <c r="A41" s="440"/>
      <c r="B41" s="453"/>
      <c r="C41" s="288"/>
      <c r="D41" s="306"/>
      <c r="E41" s="306"/>
      <c r="F41" s="306"/>
      <c r="G41" s="306"/>
      <c r="H41" s="306"/>
      <c r="I41" s="306"/>
      <c r="J41" s="306"/>
      <c r="K41" s="306"/>
      <c r="L41" s="306"/>
      <c r="M41" s="289"/>
      <c r="N41" s="307"/>
    </row>
    <row r="42" spans="1:14" x14ac:dyDescent="0.25">
      <c r="A42" s="440" t="s">
        <v>12</v>
      </c>
      <c r="B42" s="453"/>
      <c r="C42" s="288">
        <f t="shared" ref="C42:L42" si="22">C8*C9</f>
        <v>109800</v>
      </c>
      <c r="D42" s="288">
        <f t="shared" si="22"/>
        <v>118748.7</v>
      </c>
      <c r="E42" s="288">
        <f t="shared" si="22"/>
        <v>128426.71905000001</v>
      </c>
      <c r="F42" s="288">
        <f t="shared" si="22"/>
        <v>138893.49665257501</v>
      </c>
      <c r="G42" s="288">
        <f t="shared" si="22"/>
        <v>106841.04443006027</v>
      </c>
      <c r="H42" s="288">
        <f t="shared" si="22"/>
        <v>111061.26568504763</v>
      </c>
      <c r="I42" s="288">
        <f t="shared" si="22"/>
        <v>115448.18567960701</v>
      </c>
      <c r="J42" s="288">
        <f t="shared" si="22"/>
        <v>120008.3890139515</v>
      </c>
      <c r="K42" s="288">
        <f t="shared" si="22"/>
        <v>124748.7203800026</v>
      </c>
      <c r="L42" s="288">
        <f t="shared" si="22"/>
        <v>129676.29483501271</v>
      </c>
      <c r="M42" s="289"/>
      <c r="N42" s="287"/>
    </row>
    <row r="43" spans="1:14" x14ac:dyDescent="0.25">
      <c r="A43" s="440"/>
      <c r="B43" s="453"/>
      <c r="C43" s="288"/>
      <c r="D43" s="306"/>
      <c r="E43" s="306"/>
      <c r="F43" s="306"/>
      <c r="G43" s="306"/>
      <c r="H43" s="306"/>
      <c r="I43" s="306"/>
      <c r="J43" s="306"/>
      <c r="K43" s="306"/>
      <c r="L43" s="306"/>
      <c r="M43" s="289"/>
      <c r="N43" s="287"/>
    </row>
    <row r="44" spans="1:14" x14ac:dyDescent="0.25">
      <c r="A44" s="452" t="s">
        <v>13</v>
      </c>
      <c r="B44" s="453"/>
      <c r="C44" s="288"/>
      <c r="D44" s="306"/>
      <c r="E44" s="306"/>
      <c r="F44" s="306"/>
      <c r="G44" s="306"/>
      <c r="H44" s="306"/>
      <c r="I44" s="306"/>
      <c r="J44" s="306"/>
      <c r="K44" s="306"/>
      <c r="L44" s="306"/>
      <c r="M44" s="289"/>
      <c r="N44" s="287"/>
    </row>
    <row r="45" spans="1:14" x14ac:dyDescent="0.25">
      <c r="A45" s="440" t="s">
        <v>82</v>
      </c>
      <c r="B45" s="453"/>
      <c r="C45" s="288">
        <v>25000</v>
      </c>
      <c r="D45" s="306">
        <f>D39*$M$45</f>
        <v>28748.053278688523</v>
      </c>
      <c r="E45" s="306">
        <f>E39*$M$45</f>
        <v>31144.902049180331</v>
      </c>
      <c r="F45" s="306">
        <f>F39*$M$45</f>
        <v>33743.182708862703</v>
      </c>
      <c r="G45" s="306">
        <f t="shared" ref="G45:L45" si="23">G39*$N$45</f>
        <v>45923.1490755185</v>
      </c>
      <c r="H45" s="306">
        <f t="shared" si="23"/>
        <v>47677.242404829893</v>
      </c>
      <c r="I45" s="306">
        <f t="shared" si="23"/>
        <v>49499.841702037476</v>
      </c>
      <c r="J45" s="306">
        <f t="shared" si="23"/>
        <v>51393.642772302483</v>
      </c>
      <c r="K45" s="306">
        <f t="shared" si="23"/>
        <v>53361.447772335312</v>
      </c>
      <c r="L45" s="306">
        <f t="shared" si="23"/>
        <v>55406.169409550719</v>
      </c>
      <c r="M45" s="289">
        <f>C45/C10</f>
        <v>0.22768670309653916</v>
      </c>
      <c r="N45" s="280">
        <v>0.24</v>
      </c>
    </row>
    <row r="46" spans="1:14" x14ac:dyDescent="0.25">
      <c r="A46" s="440" t="s">
        <v>83</v>
      </c>
      <c r="B46" s="453"/>
      <c r="C46" s="288">
        <v>9000</v>
      </c>
      <c r="D46" s="306">
        <f>D40*($M$46)</f>
        <v>9455.3999999999978</v>
      </c>
      <c r="E46" s="306">
        <f>E40*($M$46)</f>
        <v>9933.8432399999983</v>
      </c>
      <c r="F46" s="306">
        <f>F40*($M$46)</f>
        <v>10436.495707943999</v>
      </c>
      <c r="G46" s="306">
        <f t="shared" ref="G46:L46" si="24">G40*($N$46)</f>
        <v>4695.4211649868366</v>
      </c>
      <c r="H46" s="306">
        <f t="shared" si="24"/>
        <v>5029.7351519338999</v>
      </c>
      <c r="I46" s="306">
        <f t="shared" si="24"/>
        <v>5387.8522947515949</v>
      </c>
      <c r="J46" s="306">
        <f t="shared" si="24"/>
        <v>5771.4673781379079</v>
      </c>
      <c r="K46" s="306">
        <f t="shared" si="24"/>
        <v>6182.3958554613282</v>
      </c>
      <c r="L46" s="306">
        <f t="shared" si="24"/>
        <v>6622.5824403701754</v>
      </c>
      <c r="M46" s="289">
        <f>C46/C17</f>
        <v>0.16666666666666666</v>
      </c>
      <c r="N46" s="280">
        <v>7.0000000000000007E-2</v>
      </c>
    </row>
    <row r="47" spans="1:14" x14ac:dyDescent="0.25">
      <c r="A47" s="440" t="s">
        <v>14</v>
      </c>
      <c r="B47" s="453"/>
      <c r="C47" s="288">
        <v>5000</v>
      </c>
      <c r="D47" s="308">
        <f>(D39+D40)*($M$47)</f>
        <v>5585.892857142856</v>
      </c>
      <c r="E47" s="308">
        <f>(E39+E40)*($M$47)</f>
        <v>5994.8555934065935</v>
      </c>
      <c r="F47" s="308">
        <f>(F39+F40)*($M$47)</f>
        <v>6435.2574085771985</v>
      </c>
      <c r="G47" s="308">
        <f t="shared" ref="G47:L47" si="25">(G39+G40)*($N$47)</f>
        <v>2584.2389969542478</v>
      </c>
      <c r="H47" s="308">
        <f t="shared" si="25"/>
        <v>2705.085360001327</v>
      </c>
      <c r="I47" s="308">
        <f t="shared" si="25"/>
        <v>2832.1865892160754</v>
      </c>
      <c r="J47" s="308">
        <f t="shared" si="25"/>
        <v>2965.8971219132573</v>
      </c>
      <c r="K47" s="308">
        <f t="shared" si="25"/>
        <v>3106.5930651036847</v>
      </c>
      <c r="L47" s="308">
        <f t="shared" si="25"/>
        <v>3254.6735978317815</v>
      </c>
      <c r="M47" s="289">
        <f>C47/(C17+C10)</f>
        <v>3.0525030525030524E-2</v>
      </c>
      <c r="N47" s="280">
        <v>0.01</v>
      </c>
    </row>
    <row r="48" spans="1:14" x14ac:dyDescent="0.25">
      <c r="A48" s="440"/>
      <c r="B48" s="453"/>
      <c r="C48" s="288"/>
      <c r="D48" s="306"/>
      <c r="E48" s="306"/>
      <c r="F48" s="306"/>
      <c r="G48" s="306"/>
      <c r="H48" s="306"/>
      <c r="I48" s="306"/>
      <c r="J48" s="306"/>
      <c r="K48" s="306"/>
      <c r="L48" s="306"/>
      <c r="M48" s="289"/>
      <c r="N48" s="287"/>
    </row>
    <row r="49" spans="1:14" x14ac:dyDescent="0.25">
      <c r="A49" s="440" t="s">
        <v>15</v>
      </c>
      <c r="B49" s="453"/>
      <c r="C49" s="288">
        <f t="shared" ref="C49:L49" si="26">IF(C22&lt;0,0,C22+C26)</f>
        <v>32261.904761904763</v>
      </c>
      <c r="D49" s="288">
        <f t="shared" si="26"/>
        <v>32261.904761904763</v>
      </c>
      <c r="E49" s="288">
        <f t="shared" si="26"/>
        <v>32261.904761904763</v>
      </c>
      <c r="F49" s="288">
        <f t="shared" si="26"/>
        <v>32261.904761904763</v>
      </c>
      <c r="G49" s="288">
        <f t="shared" si="26"/>
        <v>32261.904761904763</v>
      </c>
      <c r="H49" s="288">
        <f t="shared" si="26"/>
        <v>32261.904761904763</v>
      </c>
      <c r="I49" s="288">
        <f t="shared" si="26"/>
        <v>32261.904761904763</v>
      </c>
      <c r="J49" s="288">
        <f t="shared" si="26"/>
        <v>10833.333333333334</v>
      </c>
      <c r="K49" s="288">
        <f t="shared" si="26"/>
        <v>10833.333333333334</v>
      </c>
      <c r="L49" s="288">
        <f t="shared" si="26"/>
        <v>10833.333333333334</v>
      </c>
      <c r="M49" s="289"/>
      <c r="N49" s="287"/>
    </row>
    <row r="50" spans="1:14" x14ac:dyDescent="0.25">
      <c r="A50" s="440" t="s">
        <v>16</v>
      </c>
      <c r="B50" s="453"/>
      <c r="C50" s="288">
        <f>SUM('[1]Amort Table'!D8:D19)</f>
        <v>27871.280451420669</v>
      </c>
      <c r="D50" s="306">
        <f>SUM('[1]Amort Table'!D20:D31)</f>
        <v>27577.548552643482</v>
      </c>
      <c r="E50" s="306">
        <f>SUM('[1]Amort Table'!D32:D43)</f>
        <v>27262.582751153637</v>
      </c>
      <c r="F50" s="306">
        <f>SUM('[1]Amort Table'!D44:D55)</f>
        <v>26924.848046407136</v>
      </c>
      <c r="G50" s="306">
        <f>SUM('[1]Amort Table'!D56:D67)</f>
        <v>26562.698472546563</v>
      </c>
      <c r="H50" s="306">
        <f>SUM('[1]Amort Table'!D68:D79)</f>
        <v>26174.36907670955</v>
      </c>
      <c r="I50" s="306">
        <f>SUM('[1]Amort Table'!D80:D91)</f>
        <v>25757.967317448638</v>
      </c>
      <c r="J50" s="306">
        <f>SUM('[1]Amort Table'!D92:D103)</f>
        <v>25311.46384134208</v>
      </c>
      <c r="K50" s="306">
        <f>SUM('[1]Amort Table'!D104:D115)</f>
        <v>24832.682592845176</v>
      </c>
      <c r="L50" s="306">
        <f>SUM('[1]Amort Table'!D116:D127)</f>
        <v>24319.290209181989</v>
      </c>
      <c r="M50" s="289"/>
      <c r="N50" s="287"/>
    </row>
    <row r="51" spans="1:14" x14ac:dyDescent="0.25">
      <c r="A51" s="440" t="s">
        <v>17</v>
      </c>
      <c r="B51" s="453"/>
      <c r="C51" s="288">
        <f>$M$51*C76</f>
        <v>26917.565273551398</v>
      </c>
      <c r="D51" s="308">
        <f>$M$51*D76</f>
        <v>32161.538609777075</v>
      </c>
      <c r="E51" s="308">
        <f>$M$51*E76</f>
        <v>38059.622307125333</v>
      </c>
      <c r="F51" s="308">
        <f>$M$51*F76</f>
        <v>44702.789911878455</v>
      </c>
      <c r="G51" s="308">
        <f t="shared" ref="G51:L51" si="27">$N$51*G76</f>
        <v>19692.124315041907</v>
      </c>
      <c r="H51" s="308">
        <f t="shared" si="27"/>
        <v>16659.046694115623</v>
      </c>
      <c r="I51" s="308">
        <f t="shared" si="27"/>
        <v>13180.191238241552</v>
      </c>
      <c r="J51" s="308">
        <f t="shared" si="27"/>
        <v>9214.3392024714358</v>
      </c>
      <c r="K51" s="308">
        <f t="shared" si="27"/>
        <v>5017.8564237505316</v>
      </c>
      <c r="L51" s="308">
        <f t="shared" si="27"/>
        <v>256.68583395684618</v>
      </c>
      <c r="M51" s="289">
        <v>0.12</v>
      </c>
      <c r="N51" s="280">
        <v>0.06</v>
      </c>
    </row>
    <row r="52" spans="1:14" x14ac:dyDescent="0.25">
      <c r="A52" s="440"/>
      <c r="B52" s="453"/>
      <c r="C52" s="288"/>
      <c r="D52" s="306"/>
      <c r="E52" s="306"/>
      <c r="F52" s="306"/>
      <c r="G52" s="284"/>
      <c r="H52" s="284"/>
      <c r="I52" s="284"/>
      <c r="J52" s="284"/>
      <c r="K52" s="284"/>
      <c r="L52" s="284"/>
      <c r="M52" s="289"/>
      <c r="N52" s="309"/>
    </row>
    <row r="53" spans="1:14" x14ac:dyDescent="0.25">
      <c r="A53" s="440" t="s">
        <v>18</v>
      </c>
      <c r="B53" s="453"/>
      <c r="C53" s="288">
        <f t="shared" ref="C53:L53" si="28">SUM(C39:C40)-SUM(C42:C52)</f>
        <v>-65300.750486876816</v>
      </c>
      <c r="D53" s="306">
        <f t="shared" si="28"/>
        <v>-71545.188060156739</v>
      </c>
      <c r="E53" s="306">
        <f t="shared" si="28"/>
        <v>-76692.960512770689</v>
      </c>
      <c r="F53" s="306">
        <f t="shared" si="28"/>
        <v>-82578.942493160255</v>
      </c>
      <c r="G53" s="306">
        <f t="shared" si="28"/>
        <v>19863.318478411704</v>
      </c>
      <c r="H53" s="306">
        <f t="shared" si="28"/>
        <v>28939.886865589971</v>
      </c>
      <c r="I53" s="306">
        <f t="shared" si="28"/>
        <v>38850.529338400433</v>
      </c>
      <c r="J53" s="306">
        <f t="shared" si="28"/>
        <v>71091.179527873755</v>
      </c>
      <c r="K53" s="306">
        <f t="shared" si="28"/>
        <v>82576.277087536495</v>
      </c>
      <c r="L53" s="306">
        <f t="shared" si="28"/>
        <v>95098.330123940599</v>
      </c>
      <c r="M53" s="289"/>
      <c r="N53" s="309"/>
    </row>
    <row r="54" spans="1:14" x14ac:dyDescent="0.25">
      <c r="A54" s="440" t="s">
        <v>19</v>
      </c>
      <c r="B54" s="453"/>
      <c r="C54" s="288">
        <f>IF(C53&lt;0,0,C53*$M$54)</f>
        <v>0</v>
      </c>
      <c r="D54" s="310">
        <f>IF(D53&lt;0,0,D53*$M$54)</f>
        <v>0</v>
      </c>
      <c r="E54" s="310">
        <f>IF(E53&lt;0,0,E53*$M$54)</f>
        <v>0</v>
      </c>
      <c r="F54" s="310">
        <f>IF(F53&lt;0,0,F53*$M$54)</f>
        <v>0</v>
      </c>
      <c r="G54" s="310">
        <f t="shared" ref="G54:L54" si="29">IF(G53&lt;0,0,G53*$N$54)</f>
        <v>4369.9300652505744</v>
      </c>
      <c r="H54" s="310">
        <f t="shared" si="29"/>
        <v>6366.775110429794</v>
      </c>
      <c r="I54" s="310">
        <f t="shared" si="29"/>
        <v>8547.1164544480944</v>
      </c>
      <c r="J54" s="310">
        <f t="shared" si="29"/>
        <v>15640.059496132226</v>
      </c>
      <c r="K54" s="310">
        <f t="shared" si="29"/>
        <v>18166.780959258031</v>
      </c>
      <c r="L54" s="310">
        <f t="shared" si="29"/>
        <v>20921.632627266932</v>
      </c>
      <c r="M54" s="289">
        <v>0.2</v>
      </c>
      <c r="N54" s="280">
        <v>0.22</v>
      </c>
    </row>
    <row r="55" spans="1:14" x14ac:dyDescent="0.25">
      <c r="A55" s="440" t="s">
        <v>20</v>
      </c>
      <c r="B55" s="453"/>
      <c r="C55" s="288">
        <f>C53-C54</f>
        <v>-65300.750486876816</v>
      </c>
      <c r="D55" s="306">
        <f>D53-D54</f>
        <v>-71545.188060156739</v>
      </c>
      <c r="E55" s="306">
        <f>E53-E54</f>
        <v>-76692.960512770689</v>
      </c>
      <c r="F55" s="306">
        <f>F53-F54</f>
        <v>-82578.942493160255</v>
      </c>
      <c r="G55" s="306">
        <f t="shared" ref="G55:L55" si="30">G53-G54</f>
        <v>15493.38841316113</v>
      </c>
      <c r="H55" s="306">
        <f t="shared" si="30"/>
        <v>22573.111755160178</v>
      </c>
      <c r="I55" s="306">
        <f t="shared" si="30"/>
        <v>30303.41288395234</v>
      </c>
      <c r="J55" s="306">
        <f t="shared" si="30"/>
        <v>55451.120031741528</v>
      </c>
      <c r="K55" s="306">
        <f t="shared" si="30"/>
        <v>64409.496128278464</v>
      </c>
      <c r="L55" s="306">
        <f t="shared" si="30"/>
        <v>74176.697496673674</v>
      </c>
      <c r="M55" s="289"/>
      <c r="N55" s="287"/>
    </row>
    <row r="56" spans="1:14" ht="15.75" thickBot="1" x14ac:dyDescent="0.3">
      <c r="A56" s="440"/>
      <c r="B56" s="453"/>
      <c r="C56" s="294"/>
      <c r="D56" s="311"/>
      <c r="E56" s="311"/>
      <c r="F56" s="311"/>
      <c r="G56" s="334"/>
      <c r="H56" s="334"/>
      <c r="I56" s="334"/>
      <c r="J56" s="334"/>
      <c r="K56" s="334"/>
      <c r="L56" s="334"/>
      <c r="M56" s="289"/>
      <c r="N56" s="287"/>
    </row>
    <row r="57" spans="1:14" ht="15.75" thickBot="1" x14ac:dyDescent="0.3">
      <c r="A57" s="511" t="s">
        <v>21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9"/>
      <c r="M57" s="281"/>
      <c r="N57" s="286"/>
    </row>
    <row r="58" spans="1:14" x14ac:dyDescent="0.25">
      <c r="A58" s="440" t="s">
        <v>22</v>
      </c>
      <c r="B58" s="453"/>
      <c r="C58" s="297"/>
      <c r="D58" s="315"/>
      <c r="E58" s="315"/>
      <c r="F58" s="315"/>
      <c r="G58" s="283"/>
      <c r="H58" s="283"/>
      <c r="I58" s="283"/>
      <c r="J58" s="283"/>
      <c r="K58" s="283"/>
      <c r="L58" s="283"/>
      <c r="M58" s="289"/>
      <c r="N58" s="287"/>
    </row>
    <row r="59" spans="1:14" x14ac:dyDescent="0.25">
      <c r="A59" s="454" t="s">
        <v>23</v>
      </c>
      <c r="B59" s="453"/>
      <c r="C59" s="288">
        <v>5000</v>
      </c>
      <c r="D59" s="288">
        <v>5000</v>
      </c>
      <c r="E59" s="288">
        <v>5000</v>
      </c>
      <c r="F59" s="288">
        <v>5000</v>
      </c>
      <c r="G59" s="288">
        <v>5000</v>
      </c>
      <c r="H59" s="288">
        <v>5000</v>
      </c>
      <c r="I59" s="288">
        <v>5000</v>
      </c>
      <c r="J59" s="288">
        <v>5000</v>
      </c>
      <c r="K59" s="288">
        <v>5000</v>
      </c>
      <c r="L59" s="288">
        <v>5000</v>
      </c>
      <c r="M59" s="289"/>
      <c r="N59" s="287"/>
    </row>
    <row r="60" spans="1:14" x14ac:dyDescent="0.25">
      <c r="A60" s="454" t="s">
        <v>167</v>
      </c>
      <c r="B60" s="453"/>
      <c r="C60" s="288">
        <v>0</v>
      </c>
      <c r="D60" s="288">
        <v>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9"/>
      <c r="N60" s="287"/>
    </row>
    <row r="61" spans="1:14" x14ac:dyDescent="0.25">
      <c r="A61" s="454" t="s">
        <v>25</v>
      </c>
      <c r="B61" s="453"/>
      <c r="C61" s="288">
        <f>(C39+C40)/365*C33</f>
        <v>56071.232876712333</v>
      </c>
      <c r="D61" s="310">
        <f>C61*(1+$M$61)</f>
        <v>57192.65753424658</v>
      </c>
      <c r="E61" s="310">
        <f>D61*(1+$M$61)</f>
        <v>58336.510684931513</v>
      </c>
      <c r="F61" s="310">
        <f>E61*(1+$M$61)</f>
        <v>59503.240898630145</v>
      </c>
      <c r="G61" s="310">
        <f t="shared" ref="G61:L61" si="31">F61*(1+$N$61)</f>
        <v>61288.338125589049</v>
      </c>
      <c r="H61" s="310">
        <f t="shared" si="31"/>
        <v>63126.98826935672</v>
      </c>
      <c r="I61" s="310">
        <f t="shared" si="31"/>
        <v>65020.79791743742</v>
      </c>
      <c r="J61" s="310">
        <f t="shared" si="31"/>
        <v>66971.421854960543</v>
      </c>
      <c r="K61" s="310">
        <f t="shared" si="31"/>
        <v>68980.564510609358</v>
      </c>
      <c r="L61" s="310">
        <f t="shared" si="31"/>
        <v>71049.981445927639</v>
      </c>
      <c r="M61" s="289">
        <v>0.02</v>
      </c>
      <c r="N61" s="300">
        <v>0.03</v>
      </c>
    </row>
    <row r="62" spans="1:14" x14ac:dyDescent="0.25">
      <c r="A62" s="454" t="s">
        <v>9</v>
      </c>
      <c r="B62" s="453"/>
      <c r="C62" s="288">
        <f>C42/365*C34</f>
        <v>57156.164383561641</v>
      </c>
      <c r="D62" s="310">
        <f>C62*(1+$M$62)</f>
        <v>56584.602739726026</v>
      </c>
      <c r="E62" s="310">
        <f>D62*(1+$M$62)</f>
        <v>56018.756712328766</v>
      </c>
      <c r="F62" s="310">
        <f>E62*(1+$M$62)</f>
        <v>55458.569145205482</v>
      </c>
      <c r="G62" s="310">
        <f t="shared" ref="G62:L62" si="32">F62*(1+$N$62)</f>
        <v>54349.397762301371</v>
      </c>
      <c r="H62" s="310">
        <f t="shared" si="32"/>
        <v>53262.409807055345</v>
      </c>
      <c r="I62" s="310">
        <f t="shared" si="32"/>
        <v>52197.161610914234</v>
      </c>
      <c r="J62" s="310">
        <f t="shared" si="32"/>
        <v>51153.21837869595</v>
      </c>
      <c r="K62" s="310">
        <f t="shared" si="32"/>
        <v>50130.154011122031</v>
      </c>
      <c r="L62" s="310">
        <f t="shared" si="32"/>
        <v>49127.55093089959</v>
      </c>
      <c r="M62" s="289">
        <v>-0.01</v>
      </c>
      <c r="N62" s="300">
        <v>-0.02</v>
      </c>
    </row>
    <row r="63" spans="1:14" x14ac:dyDescent="0.25">
      <c r="A63" s="440"/>
      <c r="B63" s="453"/>
      <c r="C63" s="288"/>
      <c r="D63" s="306"/>
      <c r="E63" s="306"/>
      <c r="F63" s="306"/>
      <c r="G63" s="284"/>
      <c r="H63" s="284"/>
      <c r="I63" s="284"/>
      <c r="J63" s="284"/>
      <c r="K63" s="284"/>
      <c r="L63" s="284"/>
      <c r="M63" s="287"/>
      <c r="N63" s="287"/>
    </row>
    <row r="64" spans="1:14" x14ac:dyDescent="0.25">
      <c r="A64" s="454" t="s">
        <v>74</v>
      </c>
      <c r="B64" s="453"/>
      <c r="C64" s="288">
        <v>200000</v>
      </c>
      <c r="D64" s="306">
        <f>C64</f>
        <v>200000</v>
      </c>
      <c r="E64" s="306">
        <f t="shared" ref="E64:L65" si="33">D64</f>
        <v>200000</v>
      </c>
      <c r="F64" s="306">
        <f t="shared" si="33"/>
        <v>200000</v>
      </c>
      <c r="G64" s="306">
        <f t="shared" si="33"/>
        <v>200000</v>
      </c>
      <c r="H64" s="306">
        <f t="shared" si="33"/>
        <v>200000</v>
      </c>
      <c r="I64" s="306">
        <f t="shared" si="33"/>
        <v>200000</v>
      </c>
      <c r="J64" s="306">
        <f t="shared" si="33"/>
        <v>200000</v>
      </c>
      <c r="K64" s="306">
        <f t="shared" si="33"/>
        <v>200000</v>
      </c>
      <c r="L64" s="306">
        <f t="shared" si="33"/>
        <v>200000</v>
      </c>
      <c r="M64" s="287"/>
      <c r="N64" s="287"/>
    </row>
    <row r="65" spans="1:14" x14ac:dyDescent="0.25">
      <c r="A65" s="454" t="s">
        <v>26</v>
      </c>
      <c r="B65" s="453"/>
      <c r="C65" s="288">
        <f>$C$20</f>
        <v>325000</v>
      </c>
      <c r="D65" s="306">
        <f>C65</f>
        <v>325000</v>
      </c>
      <c r="E65" s="306">
        <f t="shared" si="33"/>
        <v>325000</v>
      </c>
      <c r="F65" s="306">
        <f t="shared" si="33"/>
        <v>325000</v>
      </c>
      <c r="G65" s="306">
        <f t="shared" si="33"/>
        <v>325000</v>
      </c>
      <c r="H65" s="306">
        <f t="shared" si="33"/>
        <v>325000</v>
      </c>
      <c r="I65" s="306">
        <f t="shared" si="33"/>
        <v>325000</v>
      </c>
      <c r="J65" s="306">
        <f t="shared" si="33"/>
        <v>325000</v>
      </c>
      <c r="K65" s="306">
        <f t="shared" si="33"/>
        <v>325000</v>
      </c>
      <c r="L65" s="306">
        <f t="shared" si="33"/>
        <v>325000</v>
      </c>
      <c r="M65" s="287"/>
      <c r="N65" s="287"/>
    </row>
    <row r="66" spans="1:14" x14ac:dyDescent="0.25">
      <c r="A66" s="455" t="s">
        <v>76</v>
      </c>
      <c r="B66" s="453"/>
      <c r="C66" s="288">
        <f>C22</f>
        <v>10833.333333333334</v>
      </c>
      <c r="D66" s="288">
        <f t="shared" ref="D66:L66" si="34">C66+D22</f>
        <v>21666.666666666668</v>
      </c>
      <c r="E66" s="288">
        <f t="shared" si="34"/>
        <v>32500</v>
      </c>
      <c r="F66" s="288">
        <f t="shared" si="34"/>
        <v>43333.333333333336</v>
      </c>
      <c r="G66" s="288">
        <f t="shared" si="34"/>
        <v>54166.666666666672</v>
      </c>
      <c r="H66" s="288">
        <f t="shared" si="34"/>
        <v>65000.000000000007</v>
      </c>
      <c r="I66" s="288">
        <f t="shared" si="34"/>
        <v>75833.333333333343</v>
      </c>
      <c r="J66" s="288">
        <f t="shared" si="34"/>
        <v>86666.666666666672</v>
      </c>
      <c r="K66" s="288">
        <f t="shared" si="34"/>
        <v>97500</v>
      </c>
      <c r="L66" s="288">
        <f t="shared" si="34"/>
        <v>108333.33333333333</v>
      </c>
      <c r="M66" s="287"/>
      <c r="N66" s="287"/>
    </row>
    <row r="67" spans="1:14" x14ac:dyDescent="0.25">
      <c r="A67" s="454" t="s">
        <v>75</v>
      </c>
      <c r="B67" s="453"/>
      <c r="C67" s="294">
        <f t="shared" ref="C67:L67" si="35">C24</f>
        <v>150000</v>
      </c>
      <c r="D67" s="311">
        <f t="shared" si="35"/>
        <v>150000</v>
      </c>
      <c r="E67" s="311">
        <f t="shared" si="35"/>
        <v>150000</v>
      </c>
      <c r="F67" s="311">
        <f t="shared" si="35"/>
        <v>150000</v>
      </c>
      <c r="G67" s="311">
        <f t="shared" si="35"/>
        <v>150000</v>
      </c>
      <c r="H67" s="311">
        <f t="shared" si="35"/>
        <v>150000</v>
      </c>
      <c r="I67" s="311">
        <f t="shared" si="35"/>
        <v>150000</v>
      </c>
      <c r="J67" s="311">
        <f t="shared" si="35"/>
        <v>150000</v>
      </c>
      <c r="K67" s="311">
        <f t="shared" si="35"/>
        <v>150000</v>
      </c>
      <c r="L67" s="311">
        <f t="shared" si="35"/>
        <v>150000</v>
      </c>
      <c r="M67" s="287"/>
      <c r="N67" s="287"/>
    </row>
    <row r="68" spans="1:14" x14ac:dyDescent="0.25">
      <c r="A68" s="455" t="s">
        <v>76</v>
      </c>
      <c r="B68" s="453"/>
      <c r="C68" s="294">
        <f>C26</f>
        <v>21428.571428571428</v>
      </c>
      <c r="D68" s="311">
        <f t="shared" ref="D68:L68" si="36">C68+D26</f>
        <v>42857.142857142855</v>
      </c>
      <c r="E68" s="311">
        <f t="shared" si="36"/>
        <v>64285.714285714283</v>
      </c>
      <c r="F68" s="311">
        <f t="shared" si="36"/>
        <v>85714.28571428571</v>
      </c>
      <c r="G68" s="311">
        <f t="shared" si="36"/>
        <v>107142.85714285713</v>
      </c>
      <c r="H68" s="311">
        <f t="shared" si="36"/>
        <v>128571.42857142855</v>
      </c>
      <c r="I68" s="311">
        <f t="shared" si="36"/>
        <v>149999.99999999997</v>
      </c>
      <c r="J68" s="311">
        <f t="shared" si="36"/>
        <v>149999.99999999997</v>
      </c>
      <c r="K68" s="311">
        <f t="shared" si="36"/>
        <v>149999.99999999997</v>
      </c>
      <c r="L68" s="311">
        <f t="shared" si="36"/>
        <v>149999.99999999997</v>
      </c>
      <c r="M68" s="287"/>
      <c r="N68" s="287"/>
    </row>
    <row r="69" spans="1:14" x14ac:dyDescent="0.25">
      <c r="A69" s="574" t="s">
        <v>27</v>
      </c>
      <c r="B69" s="575"/>
      <c r="C69" s="345">
        <f t="shared" ref="C69:L69" si="37">SUM(C59:C65)+C67-C68-C66</f>
        <v>760965.49249836919</v>
      </c>
      <c r="D69" s="345">
        <f t="shared" si="37"/>
        <v>729253.45075016317</v>
      </c>
      <c r="E69" s="345">
        <f t="shared" si="37"/>
        <v>697569.55311154597</v>
      </c>
      <c r="F69" s="345">
        <f t="shared" si="37"/>
        <v>665914.19099621661</v>
      </c>
      <c r="G69" s="345">
        <f t="shared" si="37"/>
        <v>634328.21207836666</v>
      </c>
      <c r="H69" s="345">
        <f t="shared" si="37"/>
        <v>602817.96950498351</v>
      </c>
      <c r="I69" s="345">
        <f t="shared" si="37"/>
        <v>571384.6261950183</v>
      </c>
      <c r="J69" s="345">
        <f t="shared" si="37"/>
        <v>561457.97356698988</v>
      </c>
      <c r="K69" s="345">
        <f t="shared" si="37"/>
        <v>551610.71852173144</v>
      </c>
      <c r="L69" s="345">
        <f t="shared" si="37"/>
        <v>541844.19904349383</v>
      </c>
    </row>
    <row r="70" spans="1:14" x14ac:dyDescent="0.25">
      <c r="A70" s="532"/>
      <c r="B70" s="576"/>
      <c r="C70" s="288"/>
      <c r="D70" s="306"/>
      <c r="E70" s="306"/>
      <c r="F70" s="306"/>
      <c r="G70" s="284"/>
      <c r="H70" s="284"/>
      <c r="I70" s="284"/>
      <c r="J70" s="284"/>
      <c r="K70" s="284"/>
      <c r="L70" s="284"/>
    </row>
    <row r="71" spans="1:14" x14ac:dyDescent="0.25">
      <c r="A71" s="440" t="s">
        <v>28</v>
      </c>
      <c r="B71" s="453"/>
      <c r="C71" s="288"/>
      <c r="D71" s="306"/>
      <c r="E71" s="306"/>
      <c r="F71" s="306"/>
      <c r="G71" s="284"/>
      <c r="H71" s="284"/>
      <c r="I71" s="284"/>
      <c r="J71" s="284"/>
      <c r="K71" s="284"/>
      <c r="L71" s="284"/>
    </row>
    <row r="72" spans="1:14" x14ac:dyDescent="0.25">
      <c r="A72" s="454" t="s">
        <v>29</v>
      </c>
      <c r="B72" s="453"/>
      <c r="C72" s="512">
        <f t="shared" ref="C72:L72" si="38">C42/365*C35</f>
        <v>6016.4383561643826</v>
      </c>
      <c r="D72" s="294">
        <f t="shared" si="38"/>
        <v>6506.7780821917804</v>
      </c>
      <c r="E72" s="294">
        <f t="shared" si="38"/>
        <v>7037.0804958904118</v>
      </c>
      <c r="F72" s="294">
        <f t="shared" si="38"/>
        <v>7610.60255630548</v>
      </c>
      <c r="G72" s="294">
        <f t="shared" si="38"/>
        <v>5854.3038043868637</v>
      </c>
      <c r="H72" s="294">
        <f t="shared" si="38"/>
        <v>6085.548804660144</v>
      </c>
      <c r="I72" s="294">
        <f t="shared" si="38"/>
        <v>6325.9279824442192</v>
      </c>
      <c r="J72" s="294">
        <f t="shared" si="38"/>
        <v>6575.8021377507666</v>
      </c>
      <c r="K72" s="294">
        <f t="shared" si="38"/>
        <v>6835.5463221919235</v>
      </c>
      <c r="L72" s="294">
        <f t="shared" si="38"/>
        <v>7105.5504019185046</v>
      </c>
    </row>
    <row r="73" spans="1:14" x14ac:dyDescent="0.25">
      <c r="A73" s="454" t="s">
        <v>30</v>
      </c>
      <c r="B73" s="453"/>
      <c r="C73" s="288">
        <f t="shared" ref="C73:L73" si="39">C54</f>
        <v>0</v>
      </c>
      <c r="D73" s="288">
        <f t="shared" si="39"/>
        <v>0</v>
      </c>
      <c r="E73" s="288">
        <f t="shared" si="39"/>
        <v>0</v>
      </c>
      <c r="F73" s="288">
        <f t="shared" si="39"/>
        <v>0</v>
      </c>
      <c r="G73" s="288">
        <f t="shared" si="39"/>
        <v>4369.9300652505744</v>
      </c>
      <c r="H73" s="288">
        <f t="shared" si="39"/>
        <v>6366.775110429794</v>
      </c>
      <c r="I73" s="288">
        <f t="shared" si="39"/>
        <v>8547.1164544480944</v>
      </c>
      <c r="J73" s="288">
        <f t="shared" si="39"/>
        <v>15640.059496132226</v>
      </c>
      <c r="K73" s="288">
        <f t="shared" si="39"/>
        <v>18166.780959258031</v>
      </c>
      <c r="L73" s="288">
        <f t="shared" si="39"/>
        <v>20921.632627266932</v>
      </c>
    </row>
    <row r="74" spans="1:14" ht="15.75" thickBot="1" x14ac:dyDescent="0.3">
      <c r="A74" s="451"/>
      <c r="B74" s="318"/>
      <c r="C74" s="297"/>
      <c r="D74" s="315"/>
      <c r="E74" s="315"/>
      <c r="F74" s="315"/>
      <c r="G74" s="283"/>
      <c r="H74" s="283"/>
      <c r="I74" s="283"/>
      <c r="J74" s="283"/>
      <c r="K74" s="283"/>
      <c r="L74" s="283"/>
      <c r="M74" s="287"/>
      <c r="N74" s="287"/>
    </row>
    <row r="75" spans="1:14" x14ac:dyDescent="0.25">
      <c r="A75" s="454" t="s">
        <v>5</v>
      </c>
      <c r="B75" s="453"/>
      <c r="C75" s="288">
        <f>'[1]Amort Table'!F19</f>
        <v>395936.76068281988</v>
      </c>
      <c r="D75" s="306">
        <f>'[1]Amort Table'!F31</f>
        <v>391579.78946686257</v>
      </c>
      <c r="E75" s="306">
        <f>'[1]Amort Table'!F43</f>
        <v>386907.85244941543</v>
      </c>
      <c r="F75" s="306">
        <f>'[1]Amort Table'!F55</f>
        <v>381898.18072722171</v>
      </c>
      <c r="G75" s="320">
        <f>'[1]Amort Table'!F67</f>
        <v>376526.35943116748</v>
      </c>
      <c r="H75" s="320">
        <f>'[1]Amort Table'!F79</f>
        <v>370766.20873927628</v>
      </c>
      <c r="I75" s="320">
        <f>'[1]Amort Table'!F91</f>
        <v>364589.65628812427</v>
      </c>
      <c r="J75" s="320">
        <f>'[1]Amort Table'!F103</f>
        <v>357966.60036086559</v>
      </c>
      <c r="K75" s="320">
        <f>'[1]Amort Table'!F115</f>
        <v>350864.76318511006</v>
      </c>
      <c r="L75" s="320">
        <f>'[1]Amort Table'!F127</f>
        <v>343249.53362569137</v>
      </c>
    </row>
    <row r="76" spans="1:14" x14ac:dyDescent="0.25">
      <c r="A76" s="454" t="s">
        <v>31</v>
      </c>
      <c r="B76" s="453"/>
      <c r="C76" s="288">
        <v>224313.04394626166</v>
      </c>
      <c r="D76" s="306">
        <v>268012.82174814231</v>
      </c>
      <c r="E76" s="306">
        <v>317163.51922604447</v>
      </c>
      <c r="F76" s="306">
        <v>372523.24926565378</v>
      </c>
      <c r="G76" s="288">
        <v>328202.07191736513</v>
      </c>
      <c r="H76" s="288">
        <v>277650.7782352604</v>
      </c>
      <c r="I76" s="288">
        <v>219669.85397069255</v>
      </c>
      <c r="J76" s="288">
        <v>153572.3200411906</v>
      </c>
      <c r="K76" s="321">
        <v>83630.94039584219</v>
      </c>
      <c r="L76" s="321">
        <v>4278.0972326141036</v>
      </c>
    </row>
    <row r="77" spans="1:14" x14ac:dyDescent="0.25">
      <c r="A77" s="454" t="s">
        <v>32</v>
      </c>
      <c r="B77" s="453"/>
      <c r="C77" s="288">
        <v>200000</v>
      </c>
      <c r="D77" s="288">
        <f>C77</f>
        <v>200000</v>
      </c>
      <c r="E77" s="288">
        <f t="shared" ref="E77:L77" si="40">D77</f>
        <v>200000</v>
      </c>
      <c r="F77" s="288">
        <f t="shared" si="40"/>
        <v>200000</v>
      </c>
      <c r="G77" s="288">
        <f t="shared" si="40"/>
        <v>200000</v>
      </c>
      <c r="H77" s="288">
        <f t="shared" si="40"/>
        <v>200000</v>
      </c>
      <c r="I77" s="288">
        <f t="shared" si="40"/>
        <v>200000</v>
      </c>
      <c r="J77" s="288">
        <f t="shared" si="40"/>
        <v>200000</v>
      </c>
      <c r="K77" s="288">
        <f t="shared" si="40"/>
        <v>200000</v>
      </c>
      <c r="L77" s="288">
        <f t="shared" si="40"/>
        <v>200000</v>
      </c>
    </row>
    <row r="78" spans="1:14" x14ac:dyDescent="0.25">
      <c r="A78" s="454" t="s">
        <v>33</v>
      </c>
      <c r="B78" s="453"/>
      <c r="C78" s="288">
        <f t="shared" ref="C78:L78" si="41">B78+C55</f>
        <v>-65300.750486876816</v>
      </c>
      <c r="D78" s="306">
        <f t="shared" si="41"/>
        <v>-136845.93854703355</v>
      </c>
      <c r="E78" s="306">
        <f t="shared" si="41"/>
        <v>-213538.89905980424</v>
      </c>
      <c r="F78" s="306">
        <f t="shared" si="41"/>
        <v>-296117.84155296453</v>
      </c>
      <c r="G78" s="306">
        <f t="shared" si="41"/>
        <v>-280624.45313980337</v>
      </c>
      <c r="H78" s="306">
        <f t="shared" si="41"/>
        <v>-258051.34138464319</v>
      </c>
      <c r="I78" s="306">
        <f t="shared" si="41"/>
        <v>-227747.92850069085</v>
      </c>
      <c r="J78" s="306">
        <f t="shared" si="41"/>
        <v>-172296.80846894931</v>
      </c>
      <c r="K78" s="306">
        <f t="shared" si="41"/>
        <v>-107887.31234067085</v>
      </c>
      <c r="L78" s="306">
        <f t="shared" si="41"/>
        <v>-33710.614843997173</v>
      </c>
    </row>
    <row r="79" spans="1:14" x14ac:dyDescent="0.25">
      <c r="A79" s="440"/>
      <c r="B79" s="296"/>
      <c r="C79" s="294"/>
      <c r="D79" s="311"/>
      <c r="E79" s="311"/>
      <c r="F79" s="311"/>
      <c r="G79" s="284"/>
      <c r="H79" s="284"/>
      <c r="I79" s="284"/>
      <c r="J79" s="284"/>
      <c r="K79" s="284"/>
      <c r="L79" s="284"/>
    </row>
    <row r="80" spans="1:14" ht="15.75" thickBot="1" x14ac:dyDescent="0.3">
      <c r="A80" s="456" t="s">
        <v>34</v>
      </c>
      <c r="B80" s="312"/>
      <c r="C80" s="314">
        <f>SUM(C70:C79)</f>
        <v>760965.49249836907</v>
      </c>
      <c r="D80" s="322">
        <f t="shared" ref="D80:L80" si="42">SUM(D70:D79)</f>
        <v>729253.45075016306</v>
      </c>
      <c r="E80" s="322">
        <f t="shared" si="42"/>
        <v>697569.55311154609</v>
      </c>
      <c r="F80" s="322">
        <f t="shared" si="42"/>
        <v>665914.19099621649</v>
      </c>
      <c r="G80" s="322">
        <f t="shared" si="42"/>
        <v>634328.21207836666</v>
      </c>
      <c r="H80" s="322">
        <f t="shared" si="42"/>
        <v>602817.9695049834</v>
      </c>
      <c r="I80" s="322">
        <f>SUM(I70:I79)</f>
        <v>571384.6261950183</v>
      </c>
      <c r="J80" s="322">
        <f t="shared" si="42"/>
        <v>561457.97356698988</v>
      </c>
      <c r="K80" s="322">
        <f t="shared" si="42"/>
        <v>551610.71852173132</v>
      </c>
      <c r="L80" s="322">
        <f t="shared" si="42"/>
        <v>541844.19904349372</v>
      </c>
    </row>
    <row r="81" spans="1:14" ht="15.75" thickTop="1" x14ac:dyDescent="0.25">
      <c r="A81" s="447" t="s">
        <v>35</v>
      </c>
      <c r="B81" s="457"/>
      <c r="C81" s="297">
        <f>C80-C69</f>
        <v>0</v>
      </c>
      <c r="D81" s="297">
        <f t="shared" ref="D81:L81" si="43">D80-D69</f>
        <v>0</v>
      </c>
      <c r="E81" s="297">
        <f t="shared" si="43"/>
        <v>0</v>
      </c>
      <c r="F81" s="297">
        <f t="shared" si="43"/>
        <v>0</v>
      </c>
      <c r="G81" s="297">
        <f t="shared" si="43"/>
        <v>0</v>
      </c>
      <c r="H81" s="297">
        <f t="shared" si="43"/>
        <v>0</v>
      </c>
      <c r="I81" s="297">
        <f t="shared" si="43"/>
        <v>0</v>
      </c>
      <c r="J81" s="297">
        <f t="shared" si="43"/>
        <v>0</v>
      </c>
      <c r="K81" s="297">
        <f t="shared" si="43"/>
        <v>0</v>
      </c>
      <c r="L81" s="297">
        <f t="shared" si="43"/>
        <v>0</v>
      </c>
    </row>
    <row r="82" spans="1:14" x14ac:dyDescent="0.25">
      <c r="A82" s="286"/>
      <c r="B82" s="287"/>
      <c r="C82" s="324"/>
      <c r="D82" s="324"/>
      <c r="E82" s="324"/>
      <c r="F82" s="324"/>
      <c r="G82" s="324"/>
      <c r="H82" s="324"/>
      <c r="I82" s="324"/>
      <c r="J82" s="324"/>
      <c r="K82" s="324"/>
      <c r="L82" s="324"/>
    </row>
    <row r="83" spans="1:14" x14ac:dyDescent="0.25">
      <c r="A83" s="286"/>
      <c r="B83" s="287"/>
      <c r="C83" s="324"/>
      <c r="D83" s="324"/>
      <c r="E83" s="324"/>
      <c r="F83" s="324"/>
      <c r="G83" s="324"/>
      <c r="H83" s="324"/>
      <c r="I83" s="324"/>
      <c r="J83" s="324"/>
      <c r="K83" s="324"/>
      <c r="L83" s="324"/>
    </row>
    <row r="84" spans="1:14" x14ac:dyDescent="0.25">
      <c r="A84" s="286"/>
      <c r="B84" s="287"/>
      <c r="C84" s="324"/>
      <c r="D84" s="324"/>
      <c r="E84" s="324"/>
      <c r="F84" s="324"/>
      <c r="G84" s="324"/>
      <c r="H84" s="324"/>
      <c r="I84" s="324"/>
      <c r="J84" s="324"/>
      <c r="K84" s="324"/>
      <c r="L84" s="324"/>
    </row>
    <row r="85" spans="1:14" x14ac:dyDescent="0.25">
      <c r="A85" s="286"/>
      <c r="B85" s="287"/>
      <c r="C85" s="324"/>
      <c r="D85" s="324"/>
      <c r="E85" s="324"/>
      <c r="F85" s="324"/>
      <c r="G85" s="324"/>
      <c r="H85" s="324"/>
      <c r="I85" s="324"/>
      <c r="J85" s="324"/>
      <c r="K85" s="324"/>
      <c r="L85" s="324"/>
    </row>
    <row r="86" spans="1:14" ht="15.75" thickBot="1" x14ac:dyDescent="0.3">
      <c r="A86" s="286"/>
      <c r="B86" s="287"/>
      <c r="C86" s="324"/>
      <c r="D86" s="324"/>
      <c r="E86" s="324"/>
      <c r="F86" s="324"/>
      <c r="G86" s="324"/>
      <c r="H86" s="324"/>
      <c r="I86" s="324"/>
      <c r="J86" s="324"/>
      <c r="K86" s="324"/>
      <c r="L86" s="324"/>
    </row>
    <row r="87" spans="1:14" ht="15.75" thickBot="1" x14ac:dyDescent="0.3">
      <c r="A87" s="346" t="s">
        <v>180</v>
      </c>
      <c r="B87" s="287"/>
      <c r="C87" s="324"/>
      <c r="E87" s="343" t="s">
        <v>168</v>
      </c>
      <c r="F87" s="324"/>
      <c r="G87" s="324"/>
      <c r="H87" s="324"/>
      <c r="I87" s="324"/>
      <c r="K87" s="547" t="s">
        <v>131</v>
      </c>
      <c r="L87" s="548"/>
    </row>
    <row r="88" spans="1:14" x14ac:dyDescent="0.25">
      <c r="I88"/>
    </row>
    <row r="89" spans="1:14" x14ac:dyDescent="0.25">
      <c r="A89" s="532" t="s">
        <v>98</v>
      </c>
      <c r="B89" s="602">
        <f>L65-L66</f>
        <v>216666.66666666669</v>
      </c>
      <c r="C89" s="603"/>
      <c r="E89" s="514" t="s">
        <v>118</v>
      </c>
      <c r="F89" s="515" t="s">
        <v>119</v>
      </c>
      <c r="G89" s="515" t="s">
        <v>120</v>
      </c>
      <c r="H89" s="515" t="s">
        <v>122</v>
      </c>
      <c r="I89" s="542" t="s">
        <v>121</v>
      </c>
      <c r="K89" s="549" t="s">
        <v>132</v>
      </c>
      <c r="L89" s="336">
        <v>0.55500000000000005</v>
      </c>
      <c r="N89"/>
    </row>
    <row r="90" spans="1:14" x14ac:dyDescent="0.25">
      <c r="A90" s="440" t="s">
        <v>170</v>
      </c>
      <c r="B90" s="600">
        <v>1.2</v>
      </c>
      <c r="C90" s="601"/>
      <c r="E90" s="518">
        <f>AVERAGE(C75:L75)</f>
        <v>372028.57049565541</v>
      </c>
      <c r="F90" s="519">
        <f>E90/$E$94</f>
        <v>0.60226274711608441</v>
      </c>
      <c r="G90" s="520">
        <f>C31</f>
        <v>7.0000000000000007E-2</v>
      </c>
      <c r="H90" s="519">
        <f>G90*(1-$M$54)</f>
        <v>5.6000000000000008E-2</v>
      </c>
      <c r="I90" s="543">
        <f>F90*H90</f>
        <v>3.3726713838500733E-2</v>
      </c>
      <c r="K90" s="549" t="s">
        <v>134</v>
      </c>
      <c r="L90" s="534">
        <f>SUM(F90:F91)</f>
        <v>0.96634741185720574</v>
      </c>
      <c r="N90"/>
    </row>
    <row r="91" spans="1:14" x14ac:dyDescent="0.25">
      <c r="A91" s="440" t="s">
        <v>100</v>
      </c>
      <c r="B91" s="598">
        <f>B89*B90</f>
        <v>260000</v>
      </c>
      <c r="C91" s="599"/>
      <c r="E91" s="518">
        <f>AVERAGE(C76:L76)</f>
        <v>224901.66959790676</v>
      </c>
      <c r="F91" s="519">
        <f>E91/$E$94</f>
        <v>0.36408466474112128</v>
      </c>
      <c r="G91" s="520">
        <f>M51</f>
        <v>0.12</v>
      </c>
      <c r="H91" s="519">
        <f t="shared" ref="H91" si="44">G91*(1-$M$54)</f>
        <v>9.6000000000000002E-2</v>
      </c>
      <c r="I91" s="543">
        <f>F91*H91</f>
        <v>3.4952127815147643E-2</v>
      </c>
      <c r="K91" s="549" t="s">
        <v>136</v>
      </c>
      <c r="L91" s="534">
        <f>F92</f>
        <v>3.3652588142794343E-2</v>
      </c>
      <c r="N91"/>
    </row>
    <row r="92" spans="1:14" x14ac:dyDescent="0.25">
      <c r="A92" s="440" t="s">
        <v>48</v>
      </c>
      <c r="B92" s="598">
        <f>B91-B89</f>
        <v>43333.333333333314</v>
      </c>
      <c r="C92" s="599"/>
      <c r="E92" s="518">
        <f>AVERAGE(C77:L77)</f>
        <v>200000</v>
      </c>
      <c r="F92" s="519">
        <f>(E92+E93)/$E$94</f>
        <v>3.3652588142794343E-2</v>
      </c>
      <c r="G92" s="540">
        <f>H100</f>
        <v>2.8395915475729887E-2</v>
      </c>
      <c r="H92" s="519">
        <f>G92</f>
        <v>2.8395915475729887E-2</v>
      </c>
      <c r="I92" s="543">
        <f>F92*H92</f>
        <v>9.5559604844233799E-4</v>
      </c>
      <c r="K92" s="549" t="s">
        <v>137</v>
      </c>
      <c r="L92" s="535">
        <f>M54</f>
        <v>0.2</v>
      </c>
      <c r="N92"/>
    </row>
    <row r="93" spans="1:14" x14ac:dyDescent="0.25">
      <c r="A93" s="319" t="s">
        <v>111</v>
      </c>
      <c r="B93" s="604">
        <f>-(B92*$B$107)</f>
        <v>-8666.6666666666624</v>
      </c>
      <c r="C93" s="605"/>
      <c r="E93" s="523">
        <f>AVERAGE(C78:L78)</f>
        <v>-179212.18883254341</v>
      </c>
      <c r="F93" s="519"/>
      <c r="G93" s="296"/>
      <c r="H93" s="296"/>
      <c r="I93" s="522"/>
      <c r="K93" s="536"/>
      <c r="L93" s="538"/>
      <c r="N93"/>
    </row>
    <row r="94" spans="1:14" x14ac:dyDescent="0.25">
      <c r="A94" s="287"/>
      <c r="B94" s="341"/>
      <c r="C94" s="341"/>
      <c r="E94" s="518">
        <f>SUM(E90:E93)</f>
        <v>617718.05126101873</v>
      </c>
      <c r="F94" s="521">
        <f>SUM(F90:F93)</f>
        <v>1</v>
      </c>
      <c r="G94" s="296"/>
      <c r="H94" s="296"/>
      <c r="I94" s="541">
        <f>SUM(I90:I92)</f>
        <v>6.9634437702090712E-2</v>
      </c>
      <c r="K94" s="549" t="s">
        <v>138</v>
      </c>
      <c r="L94" s="539">
        <f>L89/(1+(1-L92)*(L90/L91))</f>
        <v>2.3151704331396517E-2</v>
      </c>
      <c r="N94"/>
    </row>
    <row r="95" spans="1:14" x14ac:dyDescent="0.25">
      <c r="A95" s="532" t="s">
        <v>110</v>
      </c>
      <c r="B95" s="602">
        <f>L64</f>
        <v>200000</v>
      </c>
      <c r="C95" s="603"/>
      <c r="E95" s="524"/>
      <c r="F95" s="296"/>
      <c r="G95" s="296"/>
      <c r="H95" s="296"/>
      <c r="I95" s="284" t="s">
        <v>117</v>
      </c>
      <c r="K95" s="549" t="s">
        <v>141</v>
      </c>
      <c r="L95" s="535">
        <v>0</v>
      </c>
      <c r="N95"/>
    </row>
    <row r="96" spans="1:14" x14ac:dyDescent="0.25">
      <c r="A96" s="440" t="s">
        <v>170</v>
      </c>
      <c r="B96" s="600">
        <v>1.3</v>
      </c>
      <c r="C96" s="601"/>
      <c r="E96" s="524"/>
      <c r="F96" s="296"/>
      <c r="G96" s="296"/>
      <c r="H96" s="296"/>
      <c r="I96" s="522"/>
      <c r="K96" s="549" t="s">
        <v>144</v>
      </c>
      <c r="L96" s="535">
        <f>100%-L95</f>
        <v>1</v>
      </c>
      <c r="N96"/>
    </row>
    <row r="97" spans="1:14" x14ac:dyDescent="0.25">
      <c r="A97" s="440" t="s">
        <v>100</v>
      </c>
      <c r="B97" s="598">
        <f>B95*B96</f>
        <v>260000</v>
      </c>
      <c r="C97" s="599"/>
      <c r="E97" s="524"/>
      <c r="F97" s="525"/>
      <c r="G97" s="296" t="s">
        <v>115</v>
      </c>
      <c r="H97" s="526">
        <f>L98</f>
        <v>3.1089431530732469E-2</v>
      </c>
      <c r="I97" s="544"/>
      <c r="K97" s="536"/>
      <c r="L97" s="538"/>
      <c r="N97"/>
    </row>
    <row r="98" spans="1:14" x14ac:dyDescent="0.25">
      <c r="A98" s="440" t="s">
        <v>48</v>
      </c>
      <c r="B98" s="598">
        <f>B97-B95</f>
        <v>60000</v>
      </c>
      <c r="C98" s="599"/>
      <c r="E98" s="524"/>
      <c r="F98" s="525"/>
      <c r="G98" s="296" t="s">
        <v>181</v>
      </c>
      <c r="H98" s="521">
        <v>2.7E-2</v>
      </c>
      <c r="I98" s="545"/>
      <c r="K98" s="549" t="s">
        <v>173</v>
      </c>
      <c r="L98" s="539">
        <f>L94*(1+(1-L92)*(L99/L100))</f>
        <v>3.1089431530732469E-2</v>
      </c>
      <c r="N98"/>
    </row>
    <row r="99" spans="1:14" x14ac:dyDescent="0.25">
      <c r="A99" s="319" t="s">
        <v>111</v>
      </c>
      <c r="B99" s="604">
        <f>-(B98*$B$107)</f>
        <v>-12000</v>
      </c>
      <c r="C99" s="605"/>
      <c r="E99" s="524"/>
      <c r="F99" s="528"/>
      <c r="G99" s="528" t="s">
        <v>116</v>
      </c>
      <c r="H99" s="519">
        <v>7.1900000000000006E-2</v>
      </c>
      <c r="I99" s="544" t="s">
        <v>125</v>
      </c>
      <c r="K99" s="549" t="s">
        <v>147</v>
      </c>
      <c r="L99" s="534">
        <v>0.3</v>
      </c>
      <c r="N99"/>
    </row>
    <row r="100" spans="1:14" ht="15" customHeight="1" x14ac:dyDescent="0.25">
      <c r="B100" s="342"/>
      <c r="C100" s="341"/>
      <c r="E100" s="524"/>
      <c r="F100" s="550" t="s">
        <v>126</v>
      </c>
      <c r="G100" s="550"/>
      <c r="H100" s="540">
        <f>(H99-H98)*H97+H98</f>
        <v>2.8395915475729887E-2</v>
      </c>
      <c r="I100" s="544"/>
      <c r="K100" s="549" t="s">
        <v>149</v>
      </c>
      <c r="L100" s="534">
        <v>0.7</v>
      </c>
      <c r="N100"/>
    </row>
    <row r="101" spans="1:14" x14ac:dyDescent="0.25">
      <c r="A101" s="532" t="s">
        <v>114</v>
      </c>
      <c r="B101" s="602">
        <f>L67-L68</f>
        <v>0</v>
      </c>
      <c r="C101" s="603"/>
      <c r="E101" s="529"/>
      <c r="F101" s="551"/>
      <c r="G101" s="552"/>
      <c r="H101" s="552"/>
      <c r="I101" s="546"/>
    </row>
    <row r="102" spans="1:14" x14ac:dyDescent="0.25">
      <c r="A102" s="440" t="s">
        <v>171</v>
      </c>
      <c r="B102" s="606">
        <f>C67</f>
        <v>150000</v>
      </c>
      <c r="C102" s="607"/>
    </row>
    <row r="103" spans="1:14" x14ac:dyDescent="0.25">
      <c r="A103" s="533" t="s">
        <v>112</v>
      </c>
      <c r="B103" s="600">
        <v>0.65</v>
      </c>
      <c r="C103" s="601"/>
      <c r="D103"/>
      <c r="E103" s="296"/>
      <c r="F103" s="324"/>
      <c r="G103" s="296"/>
      <c r="H103" s="296"/>
      <c r="I103" s="296"/>
      <c r="J103" s="296"/>
      <c r="K103" s="287"/>
      <c r="L103" s="287"/>
      <c r="M103" s="287"/>
      <c r="N103" s="287"/>
    </row>
    <row r="104" spans="1:14" x14ac:dyDescent="0.25">
      <c r="A104" s="440" t="s">
        <v>100</v>
      </c>
      <c r="B104" s="598">
        <f>B102*B103</f>
        <v>97500</v>
      </c>
      <c r="C104" s="599"/>
      <c r="D104" s="296"/>
      <c r="E104" s="296"/>
      <c r="F104" s="324"/>
      <c r="G104" s="296"/>
      <c r="H104" s="296"/>
      <c r="I104" s="296"/>
      <c r="J104" s="296"/>
      <c r="K104" s="287"/>
      <c r="L104" s="287"/>
      <c r="M104" s="287"/>
      <c r="N104" s="287"/>
    </row>
    <row r="105" spans="1:14" x14ac:dyDescent="0.25">
      <c r="A105" s="440" t="s">
        <v>48</v>
      </c>
      <c r="B105" s="598">
        <f>B104-B101</f>
        <v>97500</v>
      </c>
      <c r="C105" s="599"/>
      <c r="D105" s="296"/>
      <c r="E105" s="296"/>
      <c r="F105" s="324"/>
      <c r="G105" s="296"/>
      <c r="H105" s="296"/>
      <c r="I105" s="296"/>
      <c r="J105" s="296"/>
      <c r="K105" s="287"/>
      <c r="L105" s="287"/>
      <c r="M105" s="287"/>
      <c r="N105" s="287"/>
    </row>
    <row r="106" spans="1:14" x14ac:dyDescent="0.25">
      <c r="A106" s="440" t="s">
        <v>111</v>
      </c>
      <c r="B106" s="598">
        <f>-(B105*$B$107)</f>
        <v>-19500</v>
      </c>
      <c r="C106" s="599"/>
      <c r="D106" s="296"/>
      <c r="E106" s="296"/>
      <c r="F106" s="324"/>
      <c r="G106" s="296"/>
      <c r="H106" s="296"/>
      <c r="I106" s="296"/>
      <c r="J106" s="296"/>
      <c r="K106" s="287"/>
      <c r="L106" s="287"/>
      <c r="M106" s="287"/>
      <c r="N106" s="287"/>
    </row>
    <row r="107" spans="1:14" x14ac:dyDescent="0.25">
      <c r="A107" s="319" t="s">
        <v>169</v>
      </c>
      <c r="B107" s="596">
        <v>0.2</v>
      </c>
      <c r="C107" s="597"/>
      <c r="D107" s="296"/>
      <c r="E107" s="296"/>
      <c r="F107" s="296"/>
      <c r="G107" s="296"/>
      <c r="H107" s="296"/>
      <c r="I107" s="296"/>
      <c r="J107" s="296"/>
      <c r="K107" s="287"/>
      <c r="L107" s="287"/>
      <c r="M107" s="287"/>
      <c r="N107" s="287"/>
    </row>
    <row r="108" spans="1:14" x14ac:dyDescent="0.25">
      <c r="A108" s="272"/>
      <c r="B108" s="349"/>
      <c r="C108" s="349"/>
      <c r="D108" s="296"/>
      <c r="E108" s="296"/>
      <c r="F108" s="296"/>
      <c r="G108" s="296"/>
      <c r="H108" s="296"/>
      <c r="I108" s="296"/>
      <c r="J108" s="296"/>
      <c r="K108" s="287"/>
      <c r="L108" s="287"/>
      <c r="M108" s="287"/>
      <c r="N108" s="287"/>
    </row>
    <row r="109" spans="1:14" x14ac:dyDescent="0.25">
      <c r="A109" s="272"/>
      <c r="B109" s="349"/>
      <c r="C109" s="349"/>
      <c r="D109" s="296"/>
      <c r="E109" s="296"/>
      <c r="F109" s="296"/>
      <c r="G109" s="296"/>
      <c r="H109" s="296"/>
      <c r="I109" s="296"/>
      <c r="J109" s="296"/>
      <c r="K109" s="287"/>
      <c r="L109" s="287"/>
      <c r="M109" s="287"/>
      <c r="N109" s="287"/>
    </row>
    <row r="110" spans="1:14" x14ac:dyDescent="0.25">
      <c r="A110" s="438" t="s">
        <v>36</v>
      </c>
      <c r="B110" s="439"/>
      <c r="C110" s="284">
        <v>0</v>
      </c>
      <c r="D110" s="290">
        <v>1</v>
      </c>
      <c r="E110" s="284">
        <v>2</v>
      </c>
      <c r="F110" s="284">
        <v>3</v>
      </c>
      <c r="G110" s="284">
        <v>4</v>
      </c>
      <c r="H110" s="284">
        <v>5</v>
      </c>
      <c r="I110" s="284">
        <v>6</v>
      </c>
      <c r="J110" s="284">
        <v>7</v>
      </c>
      <c r="K110" s="284">
        <v>8</v>
      </c>
      <c r="L110" s="284">
        <v>9</v>
      </c>
      <c r="M110" s="284">
        <v>10</v>
      </c>
      <c r="N110" s="287"/>
    </row>
    <row r="111" spans="1:14" x14ac:dyDescent="0.25">
      <c r="A111" s="440"/>
      <c r="B111" s="441"/>
      <c r="C111" s="441"/>
      <c r="D111" s="441"/>
      <c r="E111" s="441"/>
      <c r="F111" s="441"/>
      <c r="G111" s="441"/>
      <c r="H111" s="441"/>
      <c r="I111" s="441"/>
      <c r="J111" s="441"/>
      <c r="K111" s="441"/>
      <c r="L111" s="441"/>
      <c r="M111" s="442"/>
      <c r="N111" s="287"/>
    </row>
    <row r="112" spans="1:14" x14ac:dyDescent="0.25">
      <c r="A112" s="443" t="s">
        <v>37</v>
      </c>
      <c r="B112" s="441"/>
      <c r="C112" s="441"/>
      <c r="D112" s="441"/>
      <c r="E112" s="441"/>
      <c r="F112" s="441"/>
      <c r="G112" s="441"/>
      <c r="H112" s="441"/>
      <c r="I112" s="441"/>
      <c r="J112" s="441"/>
      <c r="K112" s="441"/>
      <c r="L112" s="441"/>
      <c r="M112" s="442"/>
      <c r="N112" s="287"/>
    </row>
    <row r="113" spans="1:14" x14ac:dyDescent="0.25">
      <c r="A113" s="440" t="s">
        <v>38</v>
      </c>
      <c r="B113" s="296"/>
      <c r="C113" s="325"/>
      <c r="D113" s="288">
        <f t="shared" ref="D113:M113" si="45">C39+C40-C42-C45-C46-C47</f>
        <v>21750</v>
      </c>
      <c r="E113" s="325">
        <f t="shared" si="45"/>
        <v>20455.803864168603</v>
      </c>
      <c r="F113" s="325">
        <f t="shared" si="45"/>
        <v>20891.14930741307</v>
      </c>
      <c r="G113" s="325">
        <f t="shared" si="45"/>
        <v>21310.600227030111</v>
      </c>
      <c r="H113" s="325">
        <f t="shared" si="45"/>
        <v>98380.046027904929</v>
      </c>
      <c r="I113" s="325">
        <f t="shared" si="45"/>
        <v>104035.20739831994</v>
      </c>
      <c r="J113" s="325">
        <f t="shared" si="45"/>
        <v>110050.5926559954</v>
      </c>
      <c r="K113" s="325">
        <f t="shared" si="45"/>
        <v>116450.31590502059</v>
      </c>
      <c r="L113" s="325">
        <f t="shared" si="45"/>
        <v>123260.14943746553</v>
      </c>
      <c r="M113" s="325">
        <f t="shared" si="45"/>
        <v>130507.63950041276</v>
      </c>
      <c r="N113" s="287"/>
    </row>
    <row r="114" spans="1:14" x14ac:dyDescent="0.25">
      <c r="A114" s="440" t="s">
        <v>39</v>
      </c>
      <c r="B114" s="296"/>
      <c r="C114" s="284"/>
      <c r="D114" s="288">
        <f t="shared" ref="D114:M114" si="46">C49</f>
        <v>32261.904761904763</v>
      </c>
      <c r="E114" s="325">
        <f t="shared" si="46"/>
        <v>32261.904761904763</v>
      </c>
      <c r="F114" s="325">
        <f t="shared" si="46"/>
        <v>32261.904761904763</v>
      </c>
      <c r="G114" s="325">
        <f t="shared" si="46"/>
        <v>32261.904761904763</v>
      </c>
      <c r="H114" s="325">
        <f t="shared" si="46"/>
        <v>32261.904761904763</v>
      </c>
      <c r="I114" s="325">
        <f t="shared" si="46"/>
        <v>32261.904761904763</v>
      </c>
      <c r="J114" s="325">
        <f t="shared" si="46"/>
        <v>32261.904761904763</v>
      </c>
      <c r="K114" s="325">
        <f t="shared" si="46"/>
        <v>10833.333333333334</v>
      </c>
      <c r="L114" s="325">
        <f t="shared" si="46"/>
        <v>10833.333333333334</v>
      </c>
      <c r="M114" s="325">
        <f t="shared" si="46"/>
        <v>10833.333333333334</v>
      </c>
      <c r="N114" s="287"/>
    </row>
    <row r="115" spans="1:14" x14ac:dyDescent="0.25">
      <c r="A115" s="440" t="s">
        <v>40</v>
      </c>
      <c r="B115" s="444"/>
      <c r="C115" s="284"/>
      <c r="D115" s="288">
        <f>D113-D114</f>
        <v>-10511.904761904763</v>
      </c>
      <c r="E115" s="325">
        <f>E113-E114</f>
        <v>-11806.10089773616</v>
      </c>
      <c r="F115" s="325">
        <f>F113-F114</f>
        <v>-11370.755454491693</v>
      </c>
      <c r="G115" s="325">
        <f>G113-G114</f>
        <v>-10951.304534874653</v>
      </c>
      <c r="H115" s="325">
        <f t="shared" ref="H115:M115" si="47">H113-H114</f>
        <v>66118.141266000166</v>
      </c>
      <c r="I115" s="325">
        <f t="shared" si="47"/>
        <v>71773.302636415174</v>
      </c>
      <c r="J115" s="325">
        <f t="shared" si="47"/>
        <v>77788.687894090632</v>
      </c>
      <c r="K115" s="325">
        <f t="shared" si="47"/>
        <v>105616.98257168726</v>
      </c>
      <c r="L115" s="325">
        <f t="shared" si="47"/>
        <v>112426.8161041322</v>
      </c>
      <c r="M115" s="325">
        <f t="shared" si="47"/>
        <v>119674.30616707943</v>
      </c>
    </row>
    <row r="116" spans="1:14" x14ac:dyDescent="0.25">
      <c r="A116" s="440" t="s">
        <v>41</v>
      </c>
      <c r="B116" s="444"/>
      <c r="C116" s="284"/>
      <c r="D116" s="299">
        <f t="shared" ref="D116:M116" si="48">D115*$M$54</f>
        <v>-2102.3809523809527</v>
      </c>
      <c r="E116" s="326">
        <f t="shared" si="48"/>
        <v>-2361.220179547232</v>
      </c>
      <c r="F116" s="326">
        <f t="shared" si="48"/>
        <v>-2274.1510908983387</v>
      </c>
      <c r="G116" s="326">
        <f t="shared" si="48"/>
        <v>-2190.2609069749305</v>
      </c>
      <c r="H116" s="326">
        <f t="shared" si="48"/>
        <v>13223.628253200033</v>
      </c>
      <c r="I116" s="326">
        <f t="shared" si="48"/>
        <v>14354.660527283035</v>
      </c>
      <c r="J116" s="326">
        <f t="shared" si="48"/>
        <v>15557.737578818127</v>
      </c>
      <c r="K116" s="326">
        <f t="shared" si="48"/>
        <v>21123.396514337452</v>
      </c>
      <c r="L116" s="326">
        <f t="shared" si="48"/>
        <v>22485.363220826443</v>
      </c>
      <c r="M116" s="326">
        <f t="shared" si="48"/>
        <v>23934.861233415886</v>
      </c>
    </row>
    <row r="117" spans="1:14" x14ac:dyDescent="0.25">
      <c r="A117" s="440" t="s">
        <v>42</v>
      </c>
      <c r="B117" s="444"/>
      <c r="C117" s="284"/>
      <c r="D117" s="288">
        <f t="shared" ref="D117:M117" si="49">C49</f>
        <v>32261.904761904763</v>
      </c>
      <c r="E117" s="325">
        <f t="shared" si="49"/>
        <v>32261.904761904763</v>
      </c>
      <c r="F117" s="325">
        <f t="shared" si="49"/>
        <v>32261.904761904763</v>
      </c>
      <c r="G117" s="325">
        <f t="shared" si="49"/>
        <v>32261.904761904763</v>
      </c>
      <c r="H117" s="325">
        <f t="shared" si="49"/>
        <v>32261.904761904763</v>
      </c>
      <c r="I117" s="325">
        <f t="shared" si="49"/>
        <v>32261.904761904763</v>
      </c>
      <c r="J117" s="325">
        <f t="shared" si="49"/>
        <v>32261.904761904763</v>
      </c>
      <c r="K117" s="325">
        <f t="shared" si="49"/>
        <v>10833.333333333334</v>
      </c>
      <c r="L117" s="325">
        <f t="shared" si="49"/>
        <v>10833.333333333334</v>
      </c>
      <c r="M117" s="325">
        <f t="shared" si="49"/>
        <v>10833.333333333334</v>
      </c>
    </row>
    <row r="118" spans="1:14" x14ac:dyDescent="0.25">
      <c r="A118" s="440"/>
      <c r="B118" s="444"/>
      <c r="C118" s="284"/>
      <c r="D118" s="288"/>
      <c r="E118" s="284"/>
      <c r="F118" s="284"/>
      <c r="G118" s="284"/>
      <c r="H118" s="284"/>
      <c r="I118" s="284"/>
      <c r="J118" s="284"/>
      <c r="K118" s="284"/>
      <c r="L118" s="284"/>
      <c r="M118" s="284"/>
    </row>
    <row r="119" spans="1:14" x14ac:dyDescent="0.25">
      <c r="A119" s="443" t="s">
        <v>43</v>
      </c>
      <c r="B119" s="444"/>
      <c r="C119" s="327">
        <f>SUM(B111:B118)</f>
        <v>0</v>
      </c>
      <c r="D119" s="288">
        <f>D115-D116+D117</f>
        <v>23852.380952380954</v>
      </c>
      <c r="E119" s="288">
        <f t="shared" ref="E119:L119" si="50">E115-E116+E117</f>
        <v>22817.024043715835</v>
      </c>
      <c r="F119" s="288">
        <f t="shared" si="50"/>
        <v>23165.30039831141</v>
      </c>
      <c r="G119" s="288">
        <f t="shared" si="50"/>
        <v>23500.861134005041</v>
      </c>
      <c r="H119" s="288">
        <f t="shared" si="50"/>
        <v>85156.417774704896</v>
      </c>
      <c r="I119" s="288">
        <f t="shared" si="50"/>
        <v>89680.546871036902</v>
      </c>
      <c r="J119" s="288">
        <f t="shared" si="50"/>
        <v>94492.855077177272</v>
      </c>
      <c r="K119" s="288">
        <f t="shared" si="50"/>
        <v>95326.919390683135</v>
      </c>
      <c r="L119" s="288">
        <f t="shared" si="50"/>
        <v>100774.78621663908</v>
      </c>
      <c r="M119" s="288">
        <f>M115-M116+M117</f>
        <v>106572.77826699687</v>
      </c>
    </row>
    <row r="120" spans="1:14" x14ac:dyDescent="0.25">
      <c r="A120" s="440"/>
      <c r="B120" s="444"/>
      <c r="C120" s="284"/>
      <c r="D120" s="288"/>
      <c r="E120" s="284"/>
      <c r="F120" s="284"/>
      <c r="G120" s="284"/>
      <c r="H120" s="284"/>
      <c r="I120" s="284"/>
      <c r="J120" s="284"/>
      <c r="K120" s="284"/>
      <c r="L120" s="284"/>
      <c r="M120" s="284"/>
    </row>
    <row r="121" spans="1:14" x14ac:dyDescent="0.25">
      <c r="A121" s="443" t="s">
        <v>44</v>
      </c>
      <c r="B121" s="444"/>
      <c r="C121" s="284"/>
      <c r="D121" s="288"/>
      <c r="E121" s="284"/>
      <c r="F121" s="284"/>
      <c r="G121" s="284"/>
      <c r="H121" s="284"/>
      <c r="I121" s="284"/>
      <c r="J121" s="284"/>
      <c r="K121" s="284"/>
      <c r="L121" s="284"/>
      <c r="M121" s="284"/>
    </row>
    <row r="122" spans="1:14" x14ac:dyDescent="0.25">
      <c r="A122" s="440" t="s">
        <v>45</v>
      </c>
      <c r="B122" s="444"/>
      <c r="C122" s="327">
        <f>-C65</f>
        <v>-325000</v>
      </c>
      <c r="D122" s="288"/>
      <c r="E122" s="284"/>
      <c r="F122" s="284"/>
      <c r="G122" s="284"/>
      <c r="H122" s="284"/>
      <c r="I122" s="284"/>
      <c r="J122" s="284"/>
      <c r="K122" s="284"/>
      <c r="L122" s="284"/>
      <c r="M122" s="284"/>
    </row>
    <row r="123" spans="1:14" x14ac:dyDescent="0.25">
      <c r="A123" s="445" t="s">
        <v>46</v>
      </c>
      <c r="B123" s="444"/>
      <c r="C123" s="284"/>
      <c r="D123" s="288"/>
      <c r="E123" s="284"/>
      <c r="F123" s="284"/>
      <c r="G123" s="284"/>
      <c r="H123" s="284"/>
      <c r="I123" s="284"/>
      <c r="J123" s="284"/>
      <c r="K123" s="284"/>
      <c r="L123" s="284"/>
      <c r="M123" s="327">
        <f>B91</f>
        <v>260000</v>
      </c>
    </row>
    <row r="124" spans="1:14" x14ac:dyDescent="0.25">
      <c r="A124" s="445" t="s">
        <v>47</v>
      </c>
      <c r="B124" s="444"/>
      <c r="C124" s="284"/>
      <c r="D124" s="288"/>
      <c r="E124" s="284"/>
      <c r="F124" s="284"/>
      <c r="G124" s="284"/>
      <c r="H124" s="284"/>
      <c r="I124" s="284"/>
      <c r="J124" s="284"/>
      <c r="K124" s="284"/>
      <c r="L124" s="284"/>
      <c r="M124" s="302">
        <f>B93</f>
        <v>-8666.6666666666624</v>
      </c>
    </row>
    <row r="125" spans="1:14" x14ac:dyDescent="0.25">
      <c r="A125" s="440" t="s">
        <v>104</v>
      </c>
      <c r="B125" s="444"/>
      <c r="C125" s="328">
        <f>-C64</f>
        <v>-200000</v>
      </c>
      <c r="D125" s="288"/>
      <c r="E125" s="284"/>
      <c r="F125" s="284"/>
      <c r="G125" s="284"/>
      <c r="H125" s="284"/>
      <c r="I125" s="284"/>
      <c r="J125" s="284"/>
      <c r="K125" s="284"/>
      <c r="L125" s="284"/>
      <c r="M125" s="302"/>
    </row>
    <row r="126" spans="1:14" x14ac:dyDescent="0.25">
      <c r="A126" s="446" t="s">
        <v>105</v>
      </c>
      <c r="B126" s="444"/>
      <c r="C126" s="284"/>
      <c r="D126" s="288"/>
      <c r="E126" s="284"/>
      <c r="F126" s="284"/>
      <c r="G126" s="284"/>
      <c r="H126" s="284"/>
      <c r="I126" s="284"/>
      <c r="J126" s="284"/>
      <c r="K126" s="284"/>
      <c r="L126" s="284"/>
      <c r="M126" s="302">
        <f>B97</f>
        <v>260000</v>
      </c>
    </row>
    <row r="127" spans="1:14" x14ac:dyDescent="0.25">
      <c r="A127" s="445" t="s">
        <v>109</v>
      </c>
      <c r="B127" s="444"/>
      <c r="C127" s="284"/>
      <c r="D127" s="288"/>
      <c r="E127" s="284"/>
      <c r="F127" s="284"/>
      <c r="G127" s="284"/>
      <c r="H127" s="284"/>
      <c r="I127" s="284"/>
      <c r="J127" s="284"/>
      <c r="K127" s="284"/>
      <c r="L127" s="284"/>
      <c r="M127" s="302">
        <f>B99</f>
        <v>-12000</v>
      </c>
    </row>
    <row r="128" spans="1:14" x14ac:dyDescent="0.25">
      <c r="A128" s="440" t="s">
        <v>106</v>
      </c>
      <c r="B128" s="444"/>
      <c r="C128" s="328">
        <f>-C67</f>
        <v>-150000</v>
      </c>
      <c r="D128" s="288"/>
      <c r="E128" s="284"/>
      <c r="F128" s="284"/>
      <c r="G128" s="284"/>
      <c r="H128" s="284"/>
      <c r="I128" s="284"/>
      <c r="J128" s="284"/>
      <c r="K128" s="284"/>
      <c r="L128" s="284"/>
      <c r="M128" s="302"/>
    </row>
    <row r="129" spans="1:13" x14ac:dyDescent="0.25">
      <c r="A129" s="445" t="s">
        <v>107</v>
      </c>
      <c r="B129" s="444"/>
      <c r="C129" s="284"/>
      <c r="D129" s="288"/>
      <c r="E129" s="284"/>
      <c r="F129" s="284"/>
      <c r="G129" s="284"/>
      <c r="H129" s="284"/>
      <c r="I129" s="284"/>
      <c r="J129" s="284"/>
      <c r="K129" s="284"/>
      <c r="L129" s="284"/>
      <c r="M129" s="302">
        <f>B104</f>
        <v>97500</v>
      </c>
    </row>
    <row r="130" spans="1:13" x14ac:dyDescent="0.25">
      <c r="A130" s="445" t="s">
        <v>108</v>
      </c>
      <c r="B130" s="444"/>
      <c r="C130" s="284"/>
      <c r="D130" s="288"/>
      <c r="E130" s="284"/>
      <c r="F130" s="284"/>
      <c r="G130" s="284"/>
      <c r="H130" s="284"/>
      <c r="I130" s="284"/>
      <c r="J130" s="284"/>
      <c r="K130" s="284"/>
      <c r="L130" s="284"/>
      <c r="M130" s="302">
        <f>B106</f>
        <v>-19500</v>
      </c>
    </row>
    <row r="131" spans="1:13" x14ac:dyDescent="0.25">
      <c r="A131" s="440"/>
      <c r="B131" s="444"/>
      <c r="C131" s="284"/>
      <c r="D131" s="288"/>
      <c r="E131" s="284"/>
      <c r="F131" s="284"/>
      <c r="G131" s="284"/>
      <c r="H131" s="284"/>
      <c r="I131" s="284"/>
      <c r="J131" s="284"/>
      <c r="K131" s="284"/>
      <c r="L131" s="284"/>
      <c r="M131" s="302"/>
    </row>
    <row r="132" spans="1:13" x14ac:dyDescent="0.25">
      <c r="A132" s="443" t="s">
        <v>49</v>
      </c>
      <c r="B132" s="444"/>
      <c r="C132" s="284"/>
      <c r="D132" s="288"/>
      <c r="E132" s="284"/>
      <c r="F132" s="284"/>
      <c r="G132" s="284"/>
      <c r="H132" s="284"/>
      <c r="I132" s="284"/>
      <c r="J132" s="284"/>
      <c r="K132" s="284"/>
      <c r="L132" s="284"/>
      <c r="M132" s="284"/>
    </row>
    <row r="133" spans="1:13" x14ac:dyDescent="0.25">
      <c r="A133" s="440" t="s">
        <v>25</v>
      </c>
      <c r="B133" s="444"/>
      <c r="C133" s="284"/>
      <c r="D133" s="288">
        <f t="shared" ref="D133:M134" si="51">-(C61-B61)</f>
        <v>-56071.232876712333</v>
      </c>
      <c r="E133" s="288">
        <f t="shared" si="51"/>
        <v>-1121.4246575342477</v>
      </c>
      <c r="F133" s="288">
        <f t="shared" si="51"/>
        <v>-1143.8531506849322</v>
      </c>
      <c r="G133" s="288">
        <f t="shared" si="51"/>
        <v>-1166.7302136986327</v>
      </c>
      <c r="H133" s="288">
        <f t="shared" si="51"/>
        <v>-1785.0972269589038</v>
      </c>
      <c r="I133" s="288">
        <f t="shared" si="51"/>
        <v>-1838.6501437676707</v>
      </c>
      <c r="J133" s="288">
        <f t="shared" si="51"/>
        <v>-1893.8096480806998</v>
      </c>
      <c r="K133" s="288">
        <f t="shared" si="51"/>
        <v>-1950.6239375231235</v>
      </c>
      <c r="L133" s="288">
        <f t="shared" si="51"/>
        <v>-2009.142655648815</v>
      </c>
      <c r="M133" s="288">
        <f t="shared" si="51"/>
        <v>-2069.4169353182806</v>
      </c>
    </row>
    <row r="134" spans="1:13" x14ac:dyDescent="0.25">
      <c r="A134" s="440" t="s">
        <v>9</v>
      </c>
      <c r="B134" s="444"/>
      <c r="C134" s="284"/>
      <c r="D134" s="288">
        <f t="shared" si="51"/>
        <v>-57156.164383561641</v>
      </c>
      <c r="E134" s="288">
        <f t="shared" si="51"/>
        <v>571.56164383561554</v>
      </c>
      <c r="F134" s="288">
        <f t="shared" si="51"/>
        <v>565.8460273972596</v>
      </c>
      <c r="G134" s="288">
        <f t="shared" si="51"/>
        <v>560.18756712328468</v>
      </c>
      <c r="H134" s="288">
        <f t="shared" si="51"/>
        <v>1109.1713829041109</v>
      </c>
      <c r="I134" s="288">
        <f t="shared" si="51"/>
        <v>1086.9879552460261</v>
      </c>
      <c r="J134" s="288">
        <f t="shared" si="51"/>
        <v>1065.2481961411104</v>
      </c>
      <c r="K134" s="288">
        <f t="shared" si="51"/>
        <v>1043.9432322182838</v>
      </c>
      <c r="L134" s="288">
        <f t="shared" si="51"/>
        <v>1023.0643675739193</v>
      </c>
      <c r="M134" s="288">
        <f t="shared" si="51"/>
        <v>1002.6030802224413</v>
      </c>
    </row>
    <row r="135" spans="1:13" x14ac:dyDescent="0.25">
      <c r="A135" s="440" t="s">
        <v>29</v>
      </c>
      <c r="B135" s="444"/>
      <c r="C135" s="284"/>
      <c r="D135" s="288">
        <f>C72</f>
        <v>6016.4383561643826</v>
      </c>
      <c r="E135" s="325">
        <f t="shared" ref="E135:M135" si="52">D72-C72</f>
        <v>490.33972602739777</v>
      </c>
      <c r="F135" s="325">
        <f t="shared" si="52"/>
        <v>530.30241369863143</v>
      </c>
      <c r="G135" s="325">
        <f t="shared" si="52"/>
        <v>573.52206041506815</v>
      </c>
      <c r="H135" s="325">
        <f t="shared" si="52"/>
        <v>-1756.2987519186163</v>
      </c>
      <c r="I135" s="325">
        <f t="shared" si="52"/>
        <v>231.24500027328031</v>
      </c>
      <c r="J135" s="325">
        <f t="shared" si="52"/>
        <v>240.37917778407518</v>
      </c>
      <c r="K135" s="325">
        <f t="shared" si="52"/>
        <v>249.87415530654744</v>
      </c>
      <c r="L135" s="325">
        <f t="shared" si="52"/>
        <v>259.7441844411569</v>
      </c>
      <c r="M135" s="325">
        <f t="shared" si="52"/>
        <v>270.00407972658104</v>
      </c>
    </row>
    <row r="136" spans="1:13" x14ac:dyDescent="0.25">
      <c r="A136" s="440" t="s">
        <v>30</v>
      </c>
      <c r="B136" s="444"/>
      <c r="C136" s="284"/>
      <c r="D136" s="288">
        <f>D116-C116</f>
        <v>-2102.3809523809527</v>
      </c>
      <c r="E136" s="288">
        <f t="shared" ref="E136:M136" si="53">E116-D116</f>
        <v>-258.83922716627922</v>
      </c>
      <c r="F136" s="288">
        <f t="shared" si="53"/>
        <v>87.069088648893285</v>
      </c>
      <c r="G136" s="288">
        <f t="shared" si="53"/>
        <v>83.890183923408131</v>
      </c>
      <c r="H136" s="288">
        <f t="shared" si="53"/>
        <v>15413.889160174964</v>
      </c>
      <c r="I136" s="288">
        <f t="shared" si="53"/>
        <v>1131.0322740830015</v>
      </c>
      <c r="J136" s="288">
        <f t="shared" si="53"/>
        <v>1203.0770515350923</v>
      </c>
      <c r="K136" s="288">
        <f t="shared" si="53"/>
        <v>5565.6589355193246</v>
      </c>
      <c r="L136" s="288">
        <f t="shared" si="53"/>
        <v>1361.9667064889909</v>
      </c>
      <c r="M136" s="288">
        <f t="shared" si="53"/>
        <v>1449.4980125894435</v>
      </c>
    </row>
    <row r="137" spans="1:13" x14ac:dyDescent="0.25">
      <c r="A137" s="440"/>
      <c r="B137" s="444"/>
      <c r="C137" s="284"/>
      <c r="D137" s="288"/>
      <c r="E137" s="284"/>
      <c r="F137" s="284"/>
      <c r="G137" s="284"/>
      <c r="H137" s="284"/>
      <c r="I137" s="284"/>
      <c r="J137" s="284"/>
      <c r="K137" s="284"/>
      <c r="L137" s="284"/>
      <c r="M137" s="284"/>
    </row>
    <row r="138" spans="1:13" x14ac:dyDescent="0.25">
      <c r="A138" s="443" t="s">
        <v>52</v>
      </c>
      <c r="B138" s="444"/>
      <c r="C138" s="284"/>
      <c r="D138" s="288"/>
      <c r="E138" s="284"/>
      <c r="F138" s="284"/>
      <c r="G138" s="284"/>
      <c r="H138" s="284"/>
      <c r="I138" s="284"/>
      <c r="J138" s="284"/>
      <c r="K138" s="284"/>
      <c r="L138" s="284"/>
      <c r="M138" s="284"/>
    </row>
    <row r="139" spans="1:13" x14ac:dyDescent="0.25">
      <c r="A139" s="440" t="s">
        <v>25</v>
      </c>
      <c r="B139" s="444"/>
      <c r="C139" s="284"/>
      <c r="D139" s="288"/>
      <c r="E139" s="284"/>
      <c r="F139" s="284"/>
      <c r="G139" s="326"/>
      <c r="H139" s="284"/>
      <c r="I139" s="284"/>
      <c r="J139" s="284"/>
      <c r="K139" s="284"/>
      <c r="L139" s="284"/>
      <c r="M139" s="326">
        <f>L61</f>
        <v>71049.981445927639</v>
      </c>
    </row>
    <row r="140" spans="1:13" x14ac:dyDescent="0.25">
      <c r="A140" s="440" t="s">
        <v>9</v>
      </c>
      <c r="B140" s="444"/>
      <c r="C140" s="284"/>
      <c r="D140" s="288"/>
      <c r="E140" s="284"/>
      <c r="F140" s="284"/>
      <c r="G140" s="325"/>
      <c r="H140" s="284"/>
      <c r="I140" s="284"/>
      <c r="J140" s="284"/>
      <c r="K140" s="284"/>
      <c r="L140" s="284"/>
      <c r="M140" s="325">
        <f>L62</f>
        <v>49127.55093089959</v>
      </c>
    </row>
    <row r="141" spans="1:13" x14ac:dyDescent="0.25">
      <c r="A141" s="440" t="s">
        <v>29</v>
      </c>
      <c r="B141" s="444"/>
      <c r="C141" s="284"/>
      <c r="D141" s="288"/>
      <c r="E141" s="284"/>
      <c r="F141" s="284"/>
      <c r="G141" s="325"/>
      <c r="H141" s="284"/>
      <c r="I141" s="284"/>
      <c r="J141" s="284"/>
      <c r="K141" s="284"/>
      <c r="L141" s="284"/>
      <c r="M141" s="325">
        <f>-L72</f>
        <v>-7105.5504019185046</v>
      </c>
    </row>
    <row r="142" spans="1:13" x14ac:dyDescent="0.25">
      <c r="A142" s="440" t="s">
        <v>30</v>
      </c>
      <c r="B142" s="444"/>
      <c r="C142" s="284"/>
      <c r="D142" s="288"/>
      <c r="E142" s="326"/>
      <c r="F142" s="326"/>
      <c r="G142" s="325"/>
      <c r="H142" s="284"/>
      <c r="I142" s="284"/>
      <c r="J142" s="284"/>
      <c r="K142" s="284"/>
      <c r="L142" s="284"/>
      <c r="M142" s="325">
        <f>-M116</f>
        <v>-23934.861233415886</v>
      </c>
    </row>
    <row r="143" spans="1:13" x14ac:dyDescent="0.25">
      <c r="A143" s="440"/>
      <c r="B143" s="444"/>
      <c r="C143" s="284"/>
      <c r="D143" s="288"/>
      <c r="E143" s="284"/>
      <c r="F143" s="284"/>
      <c r="G143" s="284"/>
      <c r="H143" s="284"/>
      <c r="I143" s="284"/>
      <c r="J143" s="284"/>
      <c r="K143" s="284"/>
      <c r="L143" s="284"/>
      <c r="M143" s="284"/>
    </row>
    <row r="144" spans="1:13" x14ac:dyDescent="0.25">
      <c r="A144" s="443" t="s">
        <v>55</v>
      </c>
      <c r="B144" s="444"/>
      <c r="C144" s="327">
        <f t="shared" ref="C144:M144" si="54">SUM(C119:C143)</f>
        <v>-675000</v>
      </c>
      <c r="D144" s="327">
        <f t="shared" si="54"/>
        <v>-85460.95890410959</v>
      </c>
      <c r="E144" s="327">
        <f t="shared" si="54"/>
        <v>22498.661528878325</v>
      </c>
      <c r="F144" s="327">
        <f t="shared" si="54"/>
        <v>23204.664777371261</v>
      </c>
      <c r="G144" s="327">
        <f t="shared" si="54"/>
        <v>23551.73073176817</v>
      </c>
      <c r="H144" s="327">
        <f t="shared" si="54"/>
        <v>98138.082338906461</v>
      </c>
      <c r="I144" s="327">
        <f t="shared" si="54"/>
        <v>90291.16195687154</v>
      </c>
      <c r="J144" s="327">
        <f t="shared" si="54"/>
        <v>95107.749854556852</v>
      </c>
      <c r="K144" s="327">
        <f t="shared" si="54"/>
        <v>100235.77177620417</v>
      </c>
      <c r="L144" s="327">
        <f t="shared" si="54"/>
        <v>101410.41881949434</v>
      </c>
      <c r="M144" s="327">
        <f t="shared" si="54"/>
        <v>773695.9205790431</v>
      </c>
    </row>
    <row r="145" spans="1:14" x14ac:dyDescent="0.25">
      <c r="A145" s="443" t="s">
        <v>56</v>
      </c>
      <c r="B145" s="444"/>
      <c r="C145" s="320">
        <f t="shared" ref="C145:M145" si="55">-PV($C$148,C147,,C144)</f>
        <v>-675000</v>
      </c>
      <c r="D145" s="320">
        <f t="shared" si="55"/>
        <v>-79897.351741690785</v>
      </c>
      <c r="E145" s="320">
        <f t="shared" si="55"/>
        <v>19664.63674691592</v>
      </c>
      <c r="F145" s="320">
        <f t="shared" si="55"/>
        <v>18961.346214401736</v>
      </c>
      <c r="G145" s="320">
        <f t="shared" si="55"/>
        <v>17992.077771176366</v>
      </c>
      <c r="H145" s="320">
        <f t="shared" si="55"/>
        <v>70090.746073029513</v>
      </c>
      <c r="I145" s="320">
        <f t="shared" si="55"/>
        <v>60288.292029542608</v>
      </c>
      <c r="J145" s="320">
        <f t="shared" si="55"/>
        <v>59370.166707732744</v>
      </c>
      <c r="K145" s="320">
        <f t="shared" si="55"/>
        <v>58497.825579178629</v>
      </c>
      <c r="L145" s="320">
        <f t="shared" si="55"/>
        <v>55330.447668084358</v>
      </c>
      <c r="M145" s="320">
        <f t="shared" si="55"/>
        <v>394654.02618295059</v>
      </c>
    </row>
    <row r="146" spans="1:14" x14ac:dyDescent="0.25">
      <c r="A146" s="443" t="s">
        <v>127</v>
      </c>
      <c r="B146" s="444"/>
      <c r="C146" s="320">
        <f t="shared" ref="C146:M146" si="56">-PV($I$94,C147,,C144,0)</f>
        <v>-675000</v>
      </c>
      <c r="D146" s="320">
        <f t="shared" si="56"/>
        <v>-79897.351741690785</v>
      </c>
      <c r="E146" s="320">
        <f t="shared" si="56"/>
        <v>19664.63674691592</v>
      </c>
      <c r="F146" s="320">
        <f t="shared" si="56"/>
        <v>18961.346214401736</v>
      </c>
      <c r="G146" s="320">
        <f t="shared" si="56"/>
        <v>17992.077771176366</v>
      </c>
      <c r="H146" s="320">
        <f t="shared" si="56"/>
        <v>70090.746073029513</v>
      </c>
      <c r="I146" s="320">
        <f t="shared" si="56"/>
        <v>60288.292029542608</v>
      </c>
      <c r="J146" s="320">
        <f t="shared" si="56"/>
        <v>59370.166707732744</v>
      </c>
      <c r="K146" s="320">
        <f t="shared" si="56"/>
        <v>58497.825579178629</v>
      </c>
      <c r="L146" s="320">
        <f t="shared" si="56"/>
        <v>55330.447668084358</v>
      </c>
      <c r="M146" s="320">
        <f t="shared" si="56"/>
        <v>394654.02618295059</v>
      </c>
    </row>
    <row r="147" spans="1:14" x14ac:dyDescent="0.25">
      <c r="A147" s="443" t="s">
        <v>57</v>
      </c>
      <c r="B147" s="444"/>
      <c r="C147" s="329">
        <v>0</v>
      </c>
      <c r="D147" s="330">
        <v>1</v>
      </c>
      <c r="E147" s="329">
        <v>2</v>
      </c>
      <c r="F147" s="329">
        <v>3</v>
      </c>
      <c r="G147" s="329">
        <v>4</v>
      </c>
      <c r="H147" s="330">
        <v>5</v>
      </c>
      <c r="I147" s="329">
        <v>6</v>
      </c>
      <c r="J147" s="329">
        <v>7</v>
      </c>
      <c r="K147" s="329">
        <v>8</v>
      </c>
      <c r="L147" s="330">
        <v>9</v>
      </c>
      <c r="M147" s="329">
        <v>10</v>
      </c>
    </row>
    <row r="148" spans="1:14" x14ac:dyDescent="0.25">
      <c r="A148" s="443" t="s">
        <v>58</v>
      </c>
      <c r="B148" s="444"/>
      <c r="C148" s="331">
        <f>I94</f>
        <v>6.9634437702090712E-2</v>
      </c>
      <c r="D148" s="288"/>
      <c r="E148" s="284"/>
      <c r="F148" s="284"/>
      <c r="G148" s="284"/>
      <c r="H148" s="284"/>
      <c r="I148" s="284"/>
      <c r="J148" s="284"/>
      <c r="K148" s="284"/>
      <c r="L148" s="284"/>
      <c r="M148" s="284"/>
    </row>
    <row r="149" spans="1:14" x14ac:dyDescent="0.25">
      <c r="A149" s="443" t="s">
        <v>59</v>
      </c>
      <c r="B149" s="444"/>
      <c r="C149" s="332">
        <f>SUM(C145:M145)</f>
        <v>-47.786768678401131</v>
      </c>
      <c r="D149" s="288"/>
      <c r="E149" s="284"/>
      <c r="F149" s="284"/>
      <c r="G149" s="284"/>
      <c r="H149" s="284"/>
      <c r="I149" s="284"/>
      <c r="J149" s="284"/>
      <c r="K149" s="284"/>
      <c r="L149" s="284"/>
      <c r="M149" s="284"/>
    </row>
    <row r="150" spans="1:14" x14ac:dyDescent="0.25">
      <c r="A150" s="443" t="s">
        <v>60</v>
      </c>
      <c r="B150" s="444"/>
      <c r="C150" s="333">
        <f>IRR(C144:M144)</f>
        <v>6.9626097664400088E-2</v>
      </c>
      <c r="D150" s="294"/>
      <c r="E150" s="334"/>
      <c r="F150" s="334"/>
      <c r="G150" s="334"/>
      <c r="H150" s="334"/>
      <c r="I150" s="334"/>
      <c r="J150" s="334"/>
      <c r="K150" s="334"/>
      <c r="L150" s="334"/>
      <c r="M150" s="334"/>
    </row>
    <row r="151" spans="1:14" x14ac:dyDescent="0.25">
      <c r="A151" s="443" t="s">
        <v>128</v>
      </c>
      <c r="B151" s="444"/>
      <c r="C151" s="335">
        <f>SUM(C146:M146)</f>
        <v>-47.786768678401131</v>
      </c>
      <c r="D151" s="288"/>
      <c r="E151" s="336"/>
      <c r="F151" s="336"/>
      <c r="G151" s="336"/>
      <c r="H151" s="336"/>
      <c r="I151" s="336"/>
      <c r="J151" s="336"/>
      <c r="K151" s="336"/>
      <c r="L151" s="336"/>
      <c r="M151" s="336"/>
    </row>
    <row r="152" spans="1:14" x14ac:dyDescent="0.25">
      <c r="A152" s="443"/>
      <c r="B152" s="444"/>
      <c r="C152" s="553"/>
      <c r="D152" s="324"/>
      <c r="E152" s="444"/>
      <c r="F152" s="444"/>
      <c r="G152" s="444"/>
      <c r="H152" s="444"/>
      <c r="I152" s="444"/>
      <c r="J152" s="444"/>
      <c r="K152" s="444"/>
      <c r="L152" s="444"/>
      <c r="M152" s="459"/>
    </row>
    <row r="153" spans="1:14" x14ac:dyDescent="0.25">
      <c r="A153" s="443"/>
      <c r="B153" s="444"/>
      <c r="C153" s="553"/>
      <c r="D153" s="324"/>
      <c r="E153" s="444"/>
      <c r="F153" s="444"/>
      <c r="G153" s="444"/>
      <c r="H153" s="444"/>
      <c r="I153" s="444"/>
      <c r="J153" s="444"/>
      <c r="K153" s="444"/>
      <c r="L153" s="444"/>
      <c r="M153" s="459"/>
    </row>
    <row r="154" spans="1:14" x14ac:dyDescent="0.25">
      <c r="A154" s="443"/>
      <c r="B154" s="444"/>
      <c r="C154" s="553"/>
      <c r="D154" s="324"/>
      <c r="E154" s="444"/>
      <c r="F154" s="444"/>
      <c r="G154" s="444"/>
      <c r="H154" s="444"/>
      <c r="I154" s="444"/>
      <c r="J154" s="444"/>
      <c r="K154" s="444"/>
      <c r="L154" s="444"/>
      <c r="M154" s="459"/>
    </row>
    <row r="155" spans="1:14" x14ac:dyDescent="0.25">
      <c r="A155" s="443"/>
      <c r="B155" s="444"/>
      <c r="C155" s="553"/>
      <c r="D155" s="324"/>
      <c r="E155" s="444"/>
      <c r="F155" s="444"/>
      <c r="G155" s="444"/>
      <c r="H155" s="444"/>
      <c r="I155" s="444"/>
      <c r="J155" s="444"/>
      <c r="K155" s="444"/>
      <c r="L155" s="444"/>
      <c r="M155" s="459"/>
    </row>
    <row r="156" spans="1:14" ht="15.75" thickBot="1" x14ac:dyDescent="0.3">
      <c r="A156" s="458"/>
      <c r="B156" s="444"/>
      <c r="C156" s="324"/>
      <c r="D156" s="444"/>
      <c r="E156" s="444"/>
      <c r="F156" s="444"/>
      <c r="G156" s="444"/>
      <c r="H156" s="444"/>
      <c r="I156" s="444"/>
      <c r="J156" s="444"/>
      <c r="K156" s="444"/>
      <c r="L156" s="444"/>
      <c r="M156" s="459"/>
    </row>
    <row r="157" spans="1:14" ht="19.5" thickBot="1" x14ac:dyDescent="0.35">
      <c r="A157" s="609" t="s">
        <v>196</v>
      </c>
      <c r="B157" s="610"/>
      <c r="C157" s="344"/>
      <c r="D157" s="460"/>
      <c r="E157" s="347">
        <v>-400000</v>
      </c>
      <c r="F157" s="347">
        <v>10000</v>
      </c>
      <c r="G157" s="347">
        <f>F157+10000</f>
        <v>20000</v>
      </c>
      <c r="H157" s="347">
        <f t="shared" ref="H157:L157" si="57">G157+10000</f>
        <v>30000</v>
      </c>
      <c r="I157" s="347">
        <f t="shared" si="57"/>
        <v>40000</v>
      </c>
      <c r="J157" s="347">
        <f t="shared" si="57"/>
        <v>50000</v>
      </c>
      <c r="K157" s="347">
        <f t="shared" si="57"/>
        <v>60000</v>
      </c>
      <c r="L157" s="347">
        <f t="shared" si="57"/>
        <v>70000</v>
      </c>
      <c r="M157" s="347">
        <f>L157+10000-E157*N158</f>
        <v>620000</v>
      </c>
      <c r="N157" s="261"/>
    </row>
    <row r="158" spans="1:14" x14ac:dyDescent="0.25">
      <c r="A158" s="458"/>
      <c r="B158" s="344"/>
      <c r="C158" s="344"/>
      <c r="D158" s="461"/>
      <c r="E158" s="348" t="s">
        <v>157</v>
      </c>
      <c r="F158" s="608" t="s">
        <v>159</v>
      </c>
      <c r="G158" s="608"/>
      <c r="H158" s="608"/>
      <c r="I158" s="608"/>
      <c r="J158" s="608"/>
      <c r="K158" s="608"/>
      <c r="L158" s="608"/>
      <c r="M158" s="348" t="s">
        <v>158</v>
      </c>
      <c r="N158" s="261">
        <v>1.35</v>
      </c>
    </row>
    <row r="159" spans="1:14" x14ac:dyDescent="0.25">
      <c r="A159" s="554" t="s">
        <v>55</v>
      </c>
      <c r="B159" s="555"/>
      <c r="C159" s="279">
        <f>SUM(C119:C143)</f>
        <v>-675000</v>
      </c>
      <c r="D159" s="267">
        <v>-99000.041984113996</v>
      </c>
      <c r="E159" s="279">
        <f>43000+E157</f>
        <v>-357000</v>
      </c>
      <c r="F159" s="267">
        <f>67000+F157</f>
        <v>77000</v>
      </c>
      <c r="G159" s="267">
        <f>75000+G157</f>
        <v>95000</v>
      </c>
      <c r="H159" s="267">
        <f>52000+H157</f>
        <v>82000</v>
      </c>
      <c r="I159" s="267">
        <f>75000+I157</f>
        <v>115000</v>
      </c>
      <c r="J159" s="267">
        <f>60000+J157</f>
        <v>110000</v>
      </c>
      <c r="K159" s="267">
        <f>48000+K157</f>
        <v>108000</v>
      </c>
      <c r="L159" s="267">
        <f>50000+L157</f>
        <v>120000</v>
      </c>
      <c r="M159" s="267">
        <f>700000+M157</f>
        <v>1320000</v>
      </c>
      <c r="N159" s="129"/>
    </row>
    <row r="160" spans="1:14" x14ac:dyDescent="0.25">
      <c r="A160" s="462" t="s">
        <v>56</v>
      </c>
      <c r="B160" s="178"/>
      <c r="C160" s="266">
        <f t="shared" ref="C160:M160" si="58">-PV($D$164,C161,,C159)</f>
        <v>-675000</v>
      </c>
      <c r="D160" s="266">
        <f t="shared" si="58"/>
        <v>-99000.041984113996</v>
      </c>
      <c r="E160" s="266">
        <f t="shared" si="58"/>
        <v>-357000</v>
      </c>
      <c r="F160" s="266">
        <f t="shared" si="58"/>
        <v>77000</v>
      </c>
      <c r="G160" s="266">
        <f t="shared" si="58"/>
        <v>95000</v>
      </c>
      <c r="H160" s="266">
        <f t="shared" si="58"/>
        <v>82000</v>
      </c>
      <c r="I160" s="266">
        <f t="shared" si="58"/>
        <v>115000</v>
      </c>
      <c r="J160" s="266">
        <f t="shared" si="58"/>
        <v>110000</v>
      </c>
      <c r="K160" s="266">
        <f t="shared" si="58"/>
        <v>108000</v>
      </c>
      <c r="L160" s="266">
        <f t="shared" si="58"/>
        <v>120000</v>
      </c>
      <c r="M160" s="266">
        <f t="shared" si="58"/>
        <v>1320000</v>
      </c>
      <c r="N160" s="129"/>
    </row>
    <row r="161" spans="1:14" x14ac:dyDescent="0.25">
      <c r="A161" s="462" t="s">
        <v>57</v>
      </c>
      <c r="B161" s="178"/>
      <c r="C161" s="268">
        <v>0</v>
      </c>
      <c r="D161" s="269">
        <v>1</v>
      </c>
      <c r="E161" s="268">
        <v>2</v>
      </c>
      <c r="F161" s="268">
        <v>3</v>
      </c>
      <c r="G161" s="268">
        <v>4</v>
      </c>
      <c r="H161" s="269">
        <v>5</v>
      </c>
      <c r="I161" s="268">
        <v>6</v>
      </c>
      <c r="J161" s="268">
        <v>7</v>
      </c>
      <c r="K161" s="268">
        <v>8</v>
      </c>
      <c r="L161" s="269">
        <v>9</v>
      </c>
      <c r="M161" s="268">
        <v>10</v>
      </c>
      <c r="N161" s="129"/>
    </row>
    <row r="162" spans="1:14" x14ac:dyDescent="0.25">
      <c r="A162" s="462" t="s">
        <v>117</v>
      </c>
      <c r="B162" s="178"/>
      <c r="C162" s="270">
        <f>I94</f>
        <v>6.9634437702090712E-2</v>
      </c>
      <c r="D162" s="265"/>
      <c r="E162" s="264"/>
      <c r="F162" s="264"/>
      <c r="G162" s="264"/>
      <c r="H162" s="264"/>
      <c r="I162" s="264"/>
      <c r="J162" s="264"/>
      <c r="K162" s="264"/>
      <c r="L162" s="264"/>
      <c r="M162" s="264"/>
      <c r="N162" s="129"/>
    </row>
    <row r="163" spans="1:14" x14ac:dyDescent="0.25">
      <c r="A163" s="462" t="s">
        <v>59</v>
      </c>
      <c r="B163" s="178"/>
      <c r="C163" s="271">
        <f>SUM(C160:M160)</f>
        <v>895999.95801588614</v>
      </c>
      <c r="D163" s="265"/>
      <c r="E163" s="264"/>
      <c r="F163" s="264"/>
      <c r="G163" s="264"/>
      <c r="H163" s="264"/>
      <c r="I163" s="264"/>
      <c r="J163" s="264"/>
      <c r="K163" s="264"/>
      <c r="L163" s="264"/>
      <c r="M163" s="264"/>
      <c r="N163" s="129"/>
    </row>
    <row r="164" spans="1:14" x14ac:dyDescent="0.25">
      <c r="A164" s="463" t="s">
        <v>60</v>
      </c>
      <c r="B164" s="206"/>
      <c r="C164" s="464">
        <f>IRR(C159:M159)</f>
        <v>7.7411077464639932E-2</v>
      </c>
      <c r="D164" s="265"/>
      <c r="E164" s="264"/>
      <c r="F164" s="264"/>
      <c r="G164" s="264"/>
      <c r="H164" s="264"/>
      <c r="I164" s="264"/>
      <c r="J164" s="264"/>
      <c r="K164" s="264"/>
      <c r="L164" s="264"/>
      <c r="M164" s="264"/>
      <c r="N164" s="129"/>
    </row>
  </sheetData>
  <mergeCells count="19">
    <mergeCell ref="B92:C92"/>
    <mergeCell ref="B93:C93"/>
    <mergeCell ref="B95:C95"/>
    <mergeCell ref="B89:C89"/>
    <mergeCell ref="B90:C90"/>
    <mergeCell ref="B91:C91"/>
    <mergeCell ref="B101:C101"/>
    <mergeCell ref="B102:C102"/>
    <mergeCell ref="B103:C103"/>
    <mergeCell ref="B104:C104"/>
    <mergeCell ref="B96:C96"/>
    <mergeCell ref="B97:C97"/>
    <mergeCell ref="B98:C98"/>
    <mergeCell ref="B99:C99"/>
    <mergeCell ref="B105:C105"/>
    <mergeCell ref="B106:C106"/>
    <mergeCell ref="B107:C107"/>
    <mergeCell ref="F158:L158"/>
    <mergeCell ref="A157:B157"/>
  </mergeCells>
  <pageMargins left="0.75" right="0" top="0.5" bottom="0.5" header="0.3" footer="0.3"/>
  <pageSetup scale="37" orientation="portrait" verticalDpi="300" r:id="rId1"/>
  <rowBreaks count="1" manualBreakCount="1"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Q161"/>
  <sheetViews>
    <sheetView topLeftCell="K1" zoomScale="80" zoomScaleNormal="80" zoomScalePageLayoutView="80" workbookViewId="0">
      <pane ySplit="2" topLeftCell="A65" activePane="bottomLeft" state="frozen"/>
      <selection activeCell="B1" sqref="B1"/>
      <selection pane="bottomLeft" activeCell="P90" sqref="P90"/>
    </sheetView>
  </sheetViews>
  <sheetFormatPr defaultColWidth="9.42578125" defaultRowHeight="15" x14ac:dyDescent="0.25"/>
  <cols>
    <col min="1" max="1" width="5.42578125" bestFit="1" customWidth="1"/>
    <col min="2" max="2" width="5.42578125" customWidth="1"/>
    <col min="3" max="3" width="45" bestFit="1" customWidth="1"/>
    <col min="4" max="4" width="17.42578125" customWidth="1"/>
    <col min="5" max="5" width="18.7109375" style="49" customWidth="1"/>
    <col min="6" max="6" width="14.28515625" customWidth="1"/>
    <col min="7" max="7" width="15" customWidth="1"/>
    <col min="8" max="14" width="14.28515625" customWidth="1"/>
    <col min="15" max="15" width="6" style="129" bestFit="1" customWidth="1"/>
    <col min="16" max="16" width="17" style="129" customWidth="1"/>
    <col min="17" max="17" width="25.140625" style="129" bestFit="1" customWidth="1"/>
    <col min="18" max="18" width="20.42578125" style="129" customWidth="1"/>
    <col min="19" max="19" width="19.42578125" style="129" bestFit="1" customWidth="1"/>
    <col min="20" max="20" width="20.42578125" style="129" bestFit="1" customWidth="1"/>
    <col min="21" max="21" width="12.42578125" style="129" bestFit="1" customWidth="1"/>
    <col min="22" max="22" width="26.28515625" style="129" bestFit="1" customWidth="1"/>
    <col min="23" max="23" width="18.42578125" style="129" bestFit="1" customWidth="1"/>
    <col min="24" max="25" width="12.42578125" style="129" bestFit="1" customWidth="1"/>
    <col min="26" max="43" width="9.42578125" style="129" bestFit="1" customWidth="1"/>
    <col min="44" max="264" width="9.42578125" style="129"/>
    <col min="265" max="265" width="5.42578125" style="129" customWidth="1"/>
    <col min="266" max="266" width="41.140625" style="129" customWidth="1"/>
    <col min="267" max="267" width="17.42578125" style="129" customWidth="1"/>
    <col min="268" max="268" width="18.7109375" style="129" customWidth="1"/>
    <col min="269" max="269" width="14.28515625" style="129" customWidth="1"/>
    <col min="270" max="270" width="15" style="129" customWidth="1"/>
    <col min="271" max="271" width="14.28515625" style="129" customWidth="1"/>
    <col min="272" max="272" width="17" style="129" customWidth="1"/>
    <col min="273" max="273" width="19.42578125" style="129" customWidth="1"/>
    <col min="274" max="274" width="19.28515625" style="129" customWidth="1"/>
    <col min="275" max="520" width="9.42578125" style="129"/>
    <col min="521" max="521" width="5.42578125" style="129" customWidth="1"/>
    <col min="522" max="522" width="41.140625" style="129" customWidth="1"/>
    <col min="523" max="523" width="17.42578125" style="129" customWidth="1"/>
    <col min="524" max="524" width="18.7109375" style="129" customWidth="1"/>
    <col min="525" max="525" width="14.28515625" style="129" customWidth="1"/>
    <col min="526" max="526" width="15" style="129" customWidth="1"/>
    <col min="527" max="527" width="14.28515625" style="129" customWidth="1"/>
    <col min="528" max="528" width="17" style="129" customWidth="1"/>
    <col min="529" max="529" width="19.42578125" style="129" customWidth="1"/>
    <col min="530" max="530" width="19.28515625" style="129" customWidth="1"/>
    <col min="531" max="776" width="9.42578125" style="129"/>
    <col min="777" max="777" width="5.42578125" style="129" customWidth="1"/>
    <col min="778" max="778" width="41.140625" style="129" customWidth="1"/>
    <col min="779" max="779" width="17.42578125" style="129" customWidth="1"/>
    <col min="780" max="780" width="18.7109375" style="129" customWidth="1"/>
    <col min="781" max="781" width="14.28515625" style="129" customWidth="1"/>
    <col min="782" max="782" width="15" style="129" customWidth="1"/>
    <col min="783" max="783" width="14.28515625" style="129" customWidth="1"/>
    <col min="784" max="784" width="17" style="129" customWidth="1"/>
    <col min="785" max="785" width="19.42578125" style="129" customWidth="1"/>
    <col min="786" max="786" width="19.28515625" style="129" customWidth="1"/>
    <col min="787" max="1032" width="9.42578125" style="129"/>
    <col min="1033" max="1033" width="5.42578125" style="129" customWidth="1"/>
    <col min="1034" max="1034" width="41.140625" style="129" customWidth="1"/>
    <col min="1035" max="1035" width="17.42578125" style="129" customWidth="1"/>
    <col min="1036" max="1036" width="18.7109375" style="129" customWidth="1"/>
    <col min="1037" max="1037" width="14.28515625" style="129" customWidth="1"/>
    <col min="1038" max="1038" width="15" style="129" customWidth="1"/>
    <col min="1039" max="1039" width="14.28515625" style="129" customWidth="1"/>
    <col min="1040" max="1040" width="17" style="129" customWidth="1"/>
    <col min="1041" max="1041" width="19.42578125" style="129" customWidth="1"/>
    <col min="1042" max="1042" width="19.28515625" style="129" customWidth="1"/>
    <col min="1043" max="1288" width="9.42578125" style="129"/>
    <col min="1289" max="1289" width="5.42578125" style="129" customWidth="1"/>
    <col min="1290" max="1290" width="41.140625" style="129" customWidth="1"/>
    <col min="1291" max="1291" width="17.42578125" style="129" customWidth="1"/>
    <col min="1292" max="1292" width="18.7109375" style="129" customWidth="1"/>
    <col min="1293" max="1293" width="14.28515625" style="129" customWidth="1"/>
    <col min="1294" max="1294" width="15" style="129" customWidth="1"/>
    <col min="1295" max="1295" width="14.28515625" style="129" customWidth="1"/>
    <col min="1296" max="1296" width="17" style="129" customWidth="1"/>
    <col min="1297" max="1297" width="19.42578125" style="129" customWidth="1"/>
    <col min="1298" max="1298" width="19.28515625" style="129" customWidth="1"/>
    <col min="1299" max="1544" width="9.42578125" style="129"/>
    <col min="1545" max="1545" width="5.42578125" style="129" customWidth="1"/>
    <col min="1546" max="1546" width="41.140625" style="129" customWidth="1"/>
    <col min="1547" max="1547" width="17.42578125" style="129" customWidth="1"/>
    <col min="1548" max="1548" width="18.7109375" style="129" customWidth="1"/>
    <col min="1549" max="1549" width="14.28515625" style="129" customWidth="1"/>
    <col min="1550" max="1550" width="15" style="129" customWidth="1"/>
    <col min="1551" max="1551" width="14.28515625" style="129" customWidth="1"/>
    <col min="1552" max="1552" width="17" style="129" customWidth="1"/>
    <col min="1553" max="1553" width="19.42578125" style="129" customWidth="1"/>
    <col min="1554" max="1554" width="19.28515625" style="129" customWidth="1"/>
    <col min="1555" max="1800" width="9.42578125" style="129"/>
    <col min="1801" max="1801" width="5.42578125" style="129" customWidth="1"/>
    <col min="1802" max="1802" width="41.140625" style="129" customWidth="1"/>
    <col min="1803" max="1803" width="17.42578125" style="129" customWidth="1"/>
    <col min="1804" max="1804" width="18.7109375" style="129" customWidth="1"/>
    <col min="1805" max="1805" width="14.28515625" style="129" customWidth="1"/>
    <col min="1806" max="1806" width="15" style="129" customWidth="1"/>
    <col min="1807" max="1807" width="14.28515625" style="129" customWidth="1"/>
    <col min="1808" max="1808" width="17" style="129" customWidth="1"/>
    <col min="1809" max="1809" width="19.42578125" style="129" customWidth="1"/>
    <col min="1810" max="1810" width="19.28515625" style="129" customWidth="1"/>
    <col min="1811" max="2056" width="9.42578125" style="129"/>
    <col min="2057" max="2057" width="5.42578125" style="129" customWidth="1"/>
    <col min="2058" max="2058" width="41.140625" style="129" customWidth="1"/>
    <col min="2059" max="2059" width="17.42578125" style="129" customWidth="1"/>
    <col min="2060" max="2060" width="18.7109375" style="129" customWidth="1"/>
    <col min="2061" max="2061" width="14.28515625" style="129" customWidth="1"/>
    <col min="2062" max="2062" width="15" style="129" customWidth="1"/>
    <col min="2063" max="2063" width="14.28515625" style="129" customWidth="1"/>
    <col min="2064" max="2064" width="17" style="129" customWidth="1"/>
    <col min="2065" max="2065" width="19.42578125" style="129" customWidth="1"/>
    <col min="2066" max="2066" width="19.28515625" style="129" customWidth="1"/>
    <col min="2067" max="2312" width="9.42578125" style="129"/>
    <col min="2313" max="2313" width="5.42578125" style="129" customWidth="1"/>
    <col min="2314" max="2314" width="41.140625" style="129" customWidth="1"/>
    <col min="2315" max="2315" width="17.42578125" style="129" customWidth="1"/>
    <col min="2316" max="2316" width="18.7109375" style="129" customWidth="1"/>
    <col min="2317" max="2317" width="14.28515625" style="129" customWidth="1"/>
    <col min="2318" max="2318" width="15" style="129" customWidth="1"/>
    <col min="2319" max="2319" width="14.28515625" style="129" customWidth="1"/>
    <col min="2320" max="2320" width="17" style="129" customWidth="1"/>
    <col min="2321" max="2321" width="19.42578125" style="129" customWidth="1"/>
    <col min="2322" max="2322" width="19.28515625" style="129" customWidth="1"/>
    <col min="2323" max="2568" width="9.42578125" style="129"/>
    <col min="2569" max="2569" width="5.42578125" style="129" customWidth="1"/>
    <col min="2570" max="2570" width="41.140625" style="129" customWidth="1"/>
    <col min="2571" max="2571" width="17.42578125" style="129" customWidth="1"/>
    <col min="2572" max="2572" width="18.7109375" style="129" customWidth="1"/>
    <col min="2573" max="2573" width="14.28515625" style="129" customWidth="1"/>
    <col min="2574" max="2574" width="15" style="129" customWidth="1"/>
    <col min="2575" max="2575" width="14.28515625" style="129" customWidth="1"/>
    <col min="2576" max="2576" width="17" style="129" customWidth="1"/>
    <col min="2577" max="2577" width="19.42578125" style="129" customWidth="1"/>
    <col min="2578" max="2578" width="19.28515625" style="129" customWidth="1"/>
    <col min="2579" max="2824" width="9.42578125" style="129"/>
    <col min="2825" max="2825" width="5.42578125" style="129" customWidth="1"/>
    <col min="2826" max="2826" width="41.140625" style="129" customWidth="1"/>
    <col min="2827" max="2827" width="17.42578125" style="129" customWidth="1"/>
    <col min="2828" max="2828" width="18.7109375" style="129" customWidth="1"/>
    <col min="2829" max="2829" width="14.28515625" style="129" customWidth="1"/>
    <col min="2830" max="2830" width="15" style="129" customWidth="1"/>
    <col min="2831" max="2831" width="14.28515625" style="129" customWidth="1"/>
    <col min="2832" max="2832" width="17" style="129" customWidth="1"/>
    <col min="2833" max="2833" width="19.42578125" style="129" customWidth="1"/>
    <col min="2834" max="2834" width="19.28515625" style="129" customWidth="1"/>
    <col min="2835" max="3080" width="9.42578125" style="129"/>
    <col min="3081" max="3081" width="5.42578125" style="129" customWidth="1"/>
    <col min="3082" max="3082" width="41.140625" style="129" customWidth="1"/>
    <col min="3083" max="3083" width="17.42578125" style="129" customWidth="1"/>
    <col min="3084" max="3084" width="18.7109375" style="129" customWidth="1"/>
    <col min="3085" max="3085" width="14.28515625" style="129" customWidth="1"/>
    <col min="3086" max="3086" width="15" style="129" customWidth="1"/>
    <col min="3087" max="3087" width="14.28515625" style="129" customWidth="1"/>
    <col min="3088" max="3088" width="17" style="129" customWidth="1"/>
    <col min="3089" max="3089" width="19.42578125" style="129" customWidth="1"/>
    <col min="3090" max="3090" width="19.28515625" style="129" customWidth="1"/>
    <col min="3091" max="3336" width="9.42578125" style="129"/>
    <col min="3337" max="3337" width="5.42578125" style="129" customWidth="1"/>
    <col min="3338" max="3338" width="41.140625" style="129" customWidth="1"/>
    <col min="3339" max="3339" width="17.42578125" style="129" customWidth="1"/>
    <col min="3340" max="3340" width="18.7109375" style="129" customWidth="1"/>
    <col min="3341" max="3341" width="14.28515625" style="129" customWidth="1"/>
    <col min="3342" max="3342" width="15" style="129" customWidth="1"/>
    <col min="3343" max="3343" width="14.28515625" style="129" customWidth="1"/>
    <col min="3344" max="3344" width="17" style="129" customWidth="1"/>
    <col min="3345" max="3345" width="19.42578125" style="129" customWidth="1"/>
    <col min="3346" max="3346" width="19.28515625" style="129" customWidth="1"/>
    <col min="3347" max="3592" width="9.42578125" style="129"/>
    <col min="3593" max="3593" width="5.42578125" style="129" customWidth="1"/>
    <col min="3594" max="3594" width="41.140625" style="129" customWidth="1"/>
    <col min="3595" max="3595" width="17.42578125" style="129" customWidth="1"/>
    <col min="3596" max="3596" width="18.7109375" style="129" customWidth="1"/>
    <col min="3597" max="3597" width="14.28515625" style="129" customWidth="1"/>
    <col min="3598" max="3598" width="15" style="129" customWidth="1"/>
    <col min="3599" max="3599" width="14.28515625" style="129" customWidth="1"/>
    <col min="3600" max="3600" width="17" style="129" customWidth="1"/>
    <col min="3601" max="3601" width="19.42578125" style="129" customWidth="1"/>
    <col min="3602" max="3602" width="19.28515625" style="129" customWidth="1"/>
    <col min="3603" max="3848" width="9.42578125" style="129"/>
    <col min="3849" max="3849" width="5.42578125" style="129" customWidth="1"/>
    <col min="3850" max="3850" width="41.140625" style="129" customWidth="1"/>
    <col min="3851" max="3851" width="17.42578125" style="129" customWidth="1"/>
    <col min="3852" max="3852" width="18.7109375" style="129" customWidth="1"/>
    <col min="3853" max="3853" width="14.28515625" style="129" customWidth="1"/>
    <col min="3854" max="3854" width="15" style="129" customWidth="1"/>
    <col min="3855" max="3855" width="14.28515625" style="129" customWidth="1"/>
    <col min="3856" max="3856" width="17" style="129" customWidth="1"/>
    <col min="3857" max="3857" width="19.42578125" style="129" customWidth="1"/>
    <col min="3858" max="3858" width="19.28515625" style="129" customWidth="1"/>
    <col min="3859" max="4104" width="9.42578125" style="129"/>
    <col min="4105" max="4105" width="5.42578125" style="129" customWidth="1"/>
    <col min="4106" max="4106" width="41.140625" style="129" customWidth="1"/>
    <col min="4107" max="4107" width="17.42578125" style="129" customWidth="1"/>
    <col min="4108" max="4108" width="18.7109375" style="129" customWidth="1"/>
    <col min="4109" max="4109" width="14.28515625" style="129" customWidth="1"/>
    <col min="4110" max="4110" width="15" style="129" customWidth="1"/>
    <col min="4111" max="4111" width="14.28515625" style="129" customWidth="1"/>
    <col min="4112" max="4112" width="17" style="129" customWidth="1"/>
    <col min="4113" max="4113" width="19.42578125" style="129" customWidth="1"/>
    <col min="4114" max="4114" width="19.28515625" style="129" customWidth="1"/>
    <col min="4115" max="4360" width="9.42578125" style="129"/>
    <col min="4361" max="4361" width="5.42578125" style="129" customWidth="1"/>
    <col min="4362" max="4362" width="41.140625" style="129" customWidth="1"/>
    <col min="4363" max="4363" width="17.42578125" style="129" customWidth="1"/>
    <col min="4364" max="4364" width="18.7109375" style="129" customWidth="1"/>
    <col min="4365" max="4365" width="14.28515625" style="129" customWidth="1"/>
    <col min="4366" max="4366" width="15" style="129" customWidth="1"/>
    <col min="4367" max="4367" width="14.28515625" style="129" customWidth="1"/>
    <col min="4368" max="4368" width="17" style="129" customWidth="1"/>
    <col min="4369" max="4369" width="19.42578125" style="129" customWidth="1"/>
    <col min="4370" max="4370" width="19.28515625" style="129" customWidth="1"/>
    <col min="4371" max="4616" width="9.42578125" style="129"/>
    <col min="4617" max="4617" width="5.42578125" style="129" customWidth="1"/>
    <col min="4618" max="4618" width="41.140625" style="129" customWidth="1"/>
    <col min="4619" max="4619" width="17.42578125" style="129" customWidth="1"/>
    <col min="4620" max="4620" width="18.7109375" style="129" customWidth="1"/>
    <col min="4621" max="4621" width="14.28515625" style="129" customWidth="1"/>
    <col min="4622" max="4622" width="15" style="129" customWidth="1"/>
    <col min="4623" max="4623" width="14.28515625" style="129" customWidth="1"/>
    <col min="4624" max="4624" width="17" style="129" customWidth="1"/>
    <col min="4625" max="4625" width="19.42578125" style="129" customWidth="1"/>
    <col min="4626" max="4626" width="19.28515625" style="129" customWidth="1"/>
    <col min="4627" max="4872" width="9.42578125" style="129"/>
    <col min="4873" max="4873" width="5.42578125" style="129" customWidth="1"/>
    <col min="4874" max="4874" width="41.140625" style="129" customWidth="1"/>
    <col min="4875" max="4875" width="17.42578125" style="129" customWidth="1"/>
    <col min="4876" max="4876" width="18.7109375" style="129" customWidth="1"/>
    <col min="4877" max="4877" width="14.28515625" style="129" customWidth="1"/>
    <col min="4878" max="4878" width="15" style="129" customWidth="1"/>
    <col min="4879" max="4879" width="14.28515625" style="129" customWidth="1"/>
    <col min="4880" max="4880" width="17" style="129" customWidth="1"/>
    <col min="4881" max="4881" width="19.42578125" style="129" customWidth="1"/>
    <col min="4882" max="4882" width="19.28515625" style="129" customWidth="1"/>
    <col min="4883" max="5128" width="9.42578125" style="129"/>
    <col min="5129" max="5129" width="5.42578125" style="129" customWidth="1"/>
    <col min="5130" max="5130" width="41.140625" style="129" customWidth="1"/>
    <col min="5131" max="5131" width="17.42578125" style="129" customWidth="1"/>
    <col min="5132" max="5132" width="18.7109375" style="129" customWidth="1"/>
    <col min="5133" max="5133" width="14.28515625" style="129" customWidth="1"/>
    <col min="5134" max="5134" width="15" style="129" customWidth="1"/>
    <col min="5135" max="5135" width="14.28515625" style="129" customWidth="1"/>
    <col min="5136" max="5136" width="17" style="129" customWidth="1"/>
    <col min="5137" max="5137" width="19.42578125" style="129" customWidth="1"/>
    <col min="5138" max="5138" width="19.28515625" style="129" customWidth="1"/>
    <col min="5139" max="5384" width="9.42578125" style="129"/>
    <col min="5385" max="5385" width="5.42578125" style="129" customWidth="1"/>
    <col min="5386" max="5386" width="41.140625" style="129" customWidth="1"/>
    <col min="5387" max="5387" width="17.42578125" style="129" customWidth="1"/>
    <col min="5388" max="5388" width="18.7109375" style="129" customWidth="1"/>
    <col min="5389" max="5389" width="14.28515625" style="129" customWidth="1"/>
    <col min="5390" max="5390" width="15" style="129" customWidth="1"/>
    <col min="5391" max="5391" width="14.28515625" style="129" customWidth="1"/>
    <col min="5392" max="5392" width="17" style="129" customWidth="1"/>
    <col min="5393" max="5393" width="19.42578125" style="129" customWidth="1"/>
    <col min="5394" max="5394" width="19.28515625" style="129" customWidth="1"/>
    <col min="5395" max="5640" width="9.42578125" style="129"/>
    <col min="5641" max="5641" width="5.42578125" style="129" customWidth="1"/>
    <col min="5642" max="5642" width="41.140625" style="129" customWidth="1"/>
    <col min="5643" max="5643" width="17.42578125" style="129" customWidth="1"/>
    <col min="5644" max="5644" width="18.7109375" style="129" customWidth="1"/>
    <col min="5645" max="5645" width="14.28515625" style="129" customWidth="1"/>
    <col min="5646" max="5646" width="15" style="129" customWidth="1"/>
    <col min="5647" max="5647" width="14.28515625" style="129" customWidth="1"/>
    <col min="5648" max="5648" width="17" style="129" customWidth="1"/>
    <col min="5649" max="5649" width="19.42578125" style="129" customWidth="1"/>
    <col min="5650" max="5650" width="19.28515625" style="129" customWidth="1"/>
    <col min="5651" max="5896" width="9.42578125" style="129"/>
    <col min="5897" max="5897" width="5.42578125" style="129" customWidth="1"/>
    <col min="5898" max="5898" width="41.140625" style="129" customWidth="1"/>
    <col min="5899" max="5899" width="17.42578125" style="129" customWidth="1"/>
    <col min="5900" max="5900" width="18.7109375" style="129" customWidth="1"/>
    <col min="5901" max="5901" width="14.28515625" style="129" customWidth="1"/>
    <col min="5902" max="5902" width="15" style="129" customWidth="1"/>
    <col min="5903" max="5903" width="14.28515625" style="129" customWidth="1"/>
    <col min="5904" max="5904" width="17" style="129" customWidth="1"/>
    <col min="5905" max="5905" width="19.42578125" style="129" customWidth="1"/>
    <col min="5906" max="5906" width="19.28515625" style="129" customWidth="1"/>
    <col min="5907" max="6152" width="9.42578125" style="129"/>
    <col min="6153" max="6153" width="5.42578125" style="129" customWidth="1"/>
    <col min="6154" max="6154" width="41.140625" style="129" customWidth="1"/>
    <col min="6155" max="6155" width="17.42578125" style="129" customWidth="1"/>
    <col min="6156" max="6156" width="18.7109375" style="129" customWidth="1"/>
    <col min="6157" max="6157" width="14.28515625" style="129" customWidth="1"/>
    <col min="6158" max="6158" width="15" style="129" customWidth="1"/>
    <col min="6159" max="6159" width="14.28515625" style="129" customWidth="1"/>
    <col min="6160" max="6160" width="17" style="129" customWidth="1"/>
    <col min="6161" max="6161" width="19.42578125" style="129" customWidth="1"/>
    <col min="6162" max="6162" width="19.28515625" style="129" customWidth="1"/>
    <col min="6163" max="6408" width="9.42578125" style="129"/>
    <col min="6409" max="6409" width="5.42578125" style="129" customWidth="1"/>
    <col min="6410" max="6410" width="41.140625" style="129" customWidth="1"/>
    <col min="6411" max="6411" width="17.42578125" style="129" customWidth="1"/>
    <col min="6412" max="6412" width="18.7109375" style="129" customWidth="1"/>
    <col min="6413" max="6413" width="14.28515625" style="129" customWidth="1"/>
    <col min="6414" max="6414" width="15" style="129" customWidth="1"/>
    <col min="6415" max="6415" width="14.28515625" style="129" customWidth="1"/>
    <col min="6416" max="6416" width="17" style="129" customWidth="1"/>
    <col min="6417" max="6417" width="19.42578125" style="129" customWidth="1"/>
    <col min="6418" max="6418" width="19.28515625" style="129" customWidth="1"/>
    <col min="6419" max="6664" width="9.42578125" style="129"/>
    <col min="6665" max="6665" width="5.42578125" style="129" customWidth="1"/>
    <col min="6666" max="6666" width="41.140625" style="129" customWidth="1"/>
    <col min="6667" max="6667" width="17.42578125" style="129" customWidth="1"/>
    <col min="6668" max="6668" width="18.7109375" style="129" customWidth="1"/>
    <col min="6669" max="6669" width="14.28515625" style="129" customWidth="1"/>
    <col min="6670" max="6670" width="15" style="129" customWidth="1"/>
    <col min="6671" max="6671" width="14.28515625" style="129" customWidth="1"/>
    <col min="6672" max="6672" width="17" style="129" customWidth="1"/>
    <col min="6673" max="6673" width="19.42578125" style="129" customWidth="1"/>
    <col min="6674" max="6674" width="19.28515625" style="129" customWidth="1"/>
    <col min="6675" max="6920" width="9.42578125" style="129"/>
    <col min="6921" max="6921" width="5.42578125" style="129" customWidth="1"/>
    <col min="6922" max="6922" width="41.140625" style="129" customWidth="1"/>
    <col min="6923" max="6923" width="17.42578125" style="129" customWidth="1"/>
    <col min="6924" max="6924" width="18.7109375" style="129" customWidth="1"/>
    <col min="6925" max="6925" width="14.28515625" style="129" customWidth="1"/>
    <col min="6926" max="6926" width="15" style="129" customWidth="1"/>
    <col min="6927" max="6927" width="14.28515625" style="129" customWidth="1"/>
    <col min="6928" max="6928" width="17" style="129" customWidth="1"/>
    <col min="6929" max="6929" width="19.42578125" style="129" customWidth="1"/>
    <col min="6930" max="6930" width="19.28515625" style="129" customWidth="1"/>
    <col min="6931" max="7176" width="9.42578125" style="129"/>
    <col min="7177" max="7177" width="5.42578125" style="129" customWidth="1"/>
    <col min="7178" max="7178" width="41.140625" style="129" customWidth="1"/>
    <col min="7179" max="7179" width="17.42578125" style="129" customWidth="1"/>
    <col min="7180" max="7180" width="18.7109375" style="129" customWidth="1"/>
    <col min="7181" max="7181" width="14.28515625" style="129" customWidth="1"/>
    <col min="7182" max="7182" width="15" style="129" customWidth="1"/>
    <col min="7183" max="7183" width="14.28515625" style="129" customWidth="1"/>
    <col min="7184" max="7184" width="17" style="129" customWidth="1"/>
    <col min="7185" max="7185" width="19.42578125" style="129" customWidth="1"/>
    <col min="7186" max="7186" width="19.28515625" style="129" customWidth="1"/>
    <col min="7187" max="7432" width="9.42578125" style="129"/>
    <col min="7433" max="7433" width="5.42578125" style="129" customWidth="1"/>
    <col min="7434" max="7434" width="41.140625" style="129" customWidth="1"/>
    <col min="7435" max="7435" width="17.42578125" style="129" customWidth="1"/>
    <col min="7436" max="7436" width="18.7109375" style="129" customWidth="1"/>
    <col min="7437" max="7437" width="14.28515625" style="129" customWidth="1"/>
    <col min="7438" max="7438" width="15" style="129" customWidth="1"/>
    <col min="7439" max="7439" width="14.28515625" style="129" customWidth="1"/>
    <col min="7440" max="7440" width="17" style="129" customWidth="1"/>
    <col min="7441" max="7441" width="19.42578125" style="129" customWidth="1"/>
    <col min="7442" max="7442" width="19.28515625" style="129" customWidth="1"/>
    <col min="7443" max="7688" width="9.42578125" style="129"/>
    <col min="7689" max="7689" width="5.42578125" style="129" customWidth="1"/>
    <col min="7690" max="7690" width="41.140625" style="129" customWidth="1"/>
    <col min="7691" max="7691" width="17.42578125" style="129" customWidth="1"/>
    <col min="7692" max="7692" width="18.7109375" style="129" customWidth="1"/>
    <col min="7693" max="7693" width="14.28515625" style="129" customWidth="1"/>
    <col min="7694" max="7694" width="15" style="129" customWidth="1"/>
    <col min="7695" max="7695" width="14.28515625" style="129" customWidth="1"/>
    <col min="7696" max="7696" width="17" style="129" customWidth="1"/>
    <col min="7697" max="7697" width="19.42578125" style="129" customWidth="1"/>
    <col min="7698" max="7698" width="19.28515625" style="129" customWidth="1"/>
    <col min="7699" max="7944" width="9.42578125" style="129"/>
    <col min="7945" max="7945" width="5.42578125" style="129" customWidth="1"/>
    <col min="7946" max="7946" width="41.140625" style="129" customWidth="1"/>
    <col min="7947" max="7947" width="17.42578125" style="129" customWidth="1"/>
    <col min="7948" max="7948" width="18.7109375" style="129" customWidth="1"/>
    <col min="7949" max="7949" width="14.28515625" style="129" customWidth="1"/>
    <col min="7950" max="7950" width="15" style="129" customWidth="1"/>
    <col min="7951" max="7951" width="14.28515625" style="129" customWidth="1"/>
    <col min="7952" max="7952" width="17" style="129" customWidth="1"/>
    <col min="7953" max="7953" width="19.42578125" style="129" customWidth="1"/>
    <col min="7954" max="7954" width="19.28515625" style="129" customWidth="1"/>
    <col min="7955" max="8200" width="9.42578125" style="129"/>
    <col min="8201" max="8201" width="5.42578125" style="129" customWidth="1"/>
    <col min="8202" max="8202" width="41.140625" style="129" customWidth="1"/>
    <col min="8203" max="8203" width="17.42578125" style="129" customWidth="1"/>
    <col min="8204" max="8204" width="18.7109375" style="129" customWidth="1"/>
    <col min="8205" max="8205" width="14.28515625" style="129" customWidth="1"/>
    <col min="8206" max="8206" width="15" style="129" customWidth="1"/>
    <col min="8207" max="8207" width="14.28515625" style="129" customWidth="1"/>
    <col min="8208" max="8208" width="17" style="129" customWidth="1"/>
    <col min="8209" max="8209" width="19.42578125" style="129" customWidth="1"/>
    <col min="8210" max="8210" width="19.28515625" style="129" customWidth="1"/>
    <col min="8211" max="8456" width="9.42578125" style="129"/>
    <col min="8457" max="8457" width="5.42578125" style="129" customWidth="1"/>
    <col min="8458" max="8458" width="41.140625" style="129" customWidth="1"/>
    <col min="8459" max="8459" width="17.42578125" style="129" customWidth="1"/>
    <col min="8460" max="8460" width="18.7109375" style="129" customWidth="1"/>
    <col min="8461" max="8461" width="14.28515625" style="129" customWidth="1"/>
    <col min="8462" max="8462" width="15" style="129" customWidth="1"/>
    <col min="8463" max="8463" width="14.28515625" style="129" customWidth="1"/>
    <col min="8464" max="8464" width="17" style="129" customWidth="1"/>
    <col min="8465" max="8465" width="19.42578125" style="129" customWidth="1"/>
    <col min="8466" max="8466" width="19.28515625" style="129" customWidth="1"/>
    <col min="8467" max="8712" width="9.42578125" style="129"/>
    <col min="8713" max="8713" width="5.42578125" style="129" customWidth="1"/>
    <col min="8714" max="8714" width="41.140625" style="129" customWidth="1"/>
    <col min="8715" max="8715" width="17.42578125" style="129" customWidth="1"/>
    <col min="8716" max="8716" width="18.7109375" style="129" customWidth="1"/>
    <col min="8717" max="8717" width="14.28515625" style="129" customWidth="1"/>
    <col min="8718" max="8718" width="15" style="129" customWidth="1"/>
    <col min="8719" max="8719" width="14.28515625" style="129" customWidth="1"/>
    <col min="8720" max="8720" width="17" style="129" customWidth="1"/>
    <col min="8721" max="8721" width="19.42578125" style="129" customWidth="1"/>
    <col min="8722" max="8722" width="19.28515625" style="129" customWidth="1"/>
    <col min="8723" max="8968" width="9.42578125" style="129"/>
    <col min="8969" max="8969" width="5.42578125" style="129" customWidth="1"/>
    <col min="8970" max="8970" width="41.140625" style="129" customWidth="1"/>
    <col min="8971" max="8971" width="17.42578125" style="129" customWidth="1"/>
    <col min="8972" max="8972" width="18.7109375" style="129" customWidth="1"/>
    <col min="8973" max="8973" width="14.28515625" style="129" customWidth="1"/>
    <col min="8974" max="8974" width="15" style="129" customWidth="1"/>
    <col min="8975" max="8975" width="14.28515625" style="129" customWidth="1"/>
    <col min="8976" max="8976" width="17" style="129" customWidth="1"/>
    <col min="8977" max="8977" width="19.42578125" style="129" customWidth="1"/>
    <col min="8978" max="8978" width="19.28515625" style="129" customWidth="1"/>
    <col min="8979" max="9224" width="9.42578125" style="129"/>
    <col min="9225" max="9225" width="5.42578125" style="129" customWidth="1"/>
    <col min="9226" max="9226" width="41.140625" style="129" customWidth="1"/>
    <col min="9227" max="9227" width="17.42578125" style="129" customWidth="1"/>
    <col min="9228" max="9228" width="18.7109375" style="129" customWidth="1"/>
    <col min="9229" max="9229" width="14.28515625" style="129" customWidth="1"/>
    <col min="9230" max="9230" width="15" style="129" customWidth="1"/>
    <col min="9231" max="9231" width="14.28515625" style="129" customWidth="1"/>
    <col min="9232" max="9232" width="17" style="129" customWidth="1"/>
    <col min="9233" max="9233" width="19.42578125" style="129" customWidth="1"/>
    <col min="9234" max="9234" width="19.28515625" style="129" customWidth="1"/>
    <col min="9235" max="9480" width="9.42578125" style="129"/>
    <col min="9481" max="9481" width="5.42578125" style="129" customWidth="1"/>
    <col min="9482" max="9482" width="41.140625" style="129" customWidth="1"/>
    <col min="9483" max="9483" width="17.42578125" style="129" customWidth="1"/>
    <col min="9484" max="9484" width="18.7109375" style="129" customWidth="1"/>
    <col min="9485" max="9485" width="14.28515625" style="129" customWidth="1"/>
    <col min="9486" max="9486" width="15" style="129" customWidth="1"/>
    <col min="9487" max="9487" width="14.28515625" style="129" customWidth="1"/>
    <col min="9488" max="9488" width="17" style="129" customWidth="1"/>
    <col min="9489" max="9489" width="19.42578125" style="129" customWidth="1"/>
    <col min="9490" max="9490" width="19.28515625" style="129" customWidth="1"/>
    <col min="9491" max="9736" width="9.42578125" style="129"/>
    <col min="9737" max="9737" width="5.42578125" style="129" customWidth="1"/>
    <col min="9738" max="9738" width="41.140625" style="129" customWidth="1"/>
    <col min="9739" max="9739" width="17.42578125" style="129" customWidth="1"/>
    <col min="9740" max="9740" width="18.7109375" style="129" customWidth="1"/>
    <col min="9741" max="9741" width="14.28515625" style="129" customWidth="1"/>
    <col min="9742" max="9742" width="15" style="129" customWidth="1"/>
    <col min="9743" max="9743" width="14.28515625" style="129" customWidth="1"/>
    <col min="9744" max="9744" width="17" style="129" customWidth="1"/>
    <col min="9745" max="9745" width="19.42578125" style="129" customWidth="1"/>
    <col min="9746" max="9746" width="19.28515625" style="129" customWidth="1"/>
    <col min="9747" max="9992" width="9.42578125" style="129"/>
    <col min="9993" max="9993" width="5.42578125" style="129" customWidth="1"/>
    <col min="9994" max="9994" width="41.140625" style="129" customWidth="1"/>
    <col min="9995" max="9995" width="17.42578125" style="129" customWidth="1"/>
    <col min="9996" max="9996" width="18.7109375" style="129" customWidth="1"/>
    <col min="9997" max="9997" width="14.28515625" style="129" customWidth="1"/>
    <col min="9998" max="9998" width="15" style="129" customWidth="1"/>
    <col min="9999" max="9999" width="14.28515625" style="129" customWidth="1"/>
    <col min="10000" max="10000" width="17" style="129" customWidth="1"/>
    <col min="10001" max="10001" width="19.42578125" style="129" customWidth="1"/>
    <col min="10002" max="10002" width="19.28515625" style="129" customWidth="1"/>
    <col min="10003" max="10248" width="9.42578125" style="129"/>
    <col min="10249" max="10249" width="5.42578125" style="129" customWidth="1"/>
    <col min="10250" max="10250" width="41.140625" style="129" customWidth="1"/>
    <col min="10251" max="10251" width="17.42578125" style="129" customWidth="1"/>
    <col min="10252" max="10252" width="18.7109375" style="129" customWidth="1"/>
    <col min="10253" max="10253" width="14.28515625" style="129" customWidth="1"/>
    <col min="10254" max="10254" width="15" style="129" customWidth="1"/>
    <col min="10255" max="10255" width="14.28515625" style="129" customWidth="1"/>
    <col min="10256" max="10256" width="17" style="129" customWidth="1"/>
    <col min="10257" max="10257" width="19.42578125" style="129" customWidth="1"/>
    <col min="10258" max="10258" width="19.28515625" style="129" customWidth="1"/>
    <col min="10259" max="10504" width="9.42578125" style="129"/>
    <col min="10505" max="10505" width="5.42578125" style="129" customWidth="1"/>
    <col min="10506" max="10506" width="41.140625" style="129" customWidth="1"/>
    <col min="10507" max="10507" width="17.42578125" style="129" customWidth="1"/>
    <col min="10508" max="10508" width="18.7109375" style="129" customWidth="1"/>
    <col min="10509" max="10509" width="14.28515625" style="129" customWidth="1"/>
    <col min="10510" max="10510" width="15" style="129" customWidth="1"/>
    <col min="10511" max="10511" width="14.28515625" style="129" customWidth="1"/>
    <col min="10512" max="10512" width="17" style="129" customWidth="1"/>
    <col min="10513" max="10513" width="19.42578125" style="129" customWidth="1"/>
    <col min="10514" max="10514" width="19.28515625" style="129" customWidth="1"/>
    <col min="10515" max="10760" width="9.42578125" style="129"/>
    <col min="10761" max="10761" width="5.42578125" style="129" customWidth="1"/>
    <col min="10762" max="10762" width="41.140625" style="129" customWidth="1"/>
    <col min="10763" max="10763" width="17.42578125" style="129" customWidth="1"/>
    <col min="10764" max="10764" width="18.7109375" style="129" customWidth="1"/>
    <col min="10765" max="10765" width="14.28515625" style="129" customWidth="1"/>
    <col min="10766" max="10766" width="15" style="129" customWidth="1"/>
    <col min="10767" max="10767" width="14.28515625" style="129" customWidth="1"/>
    <col min="10768" max="10768" width="17" style="129" customWidth="1"/>
    <col min="10769" max="10769" width="19.42578125" style="129" customWidth="1"/>
    <col min="10770" max="10770" width="19.28515625" style="129" customWidth="1"/>
    <col min="10771" max="11016" width="9.42578125" style="129"/>
    <col min="11017" max="11017" width="5.42578125" style="129" customWidth="1"/>
    <col min="11018" max="11018" width="41.140625" style="129" customWidth="1"/>
    <col min="11019" max="11019" width="17.42578125" style="129" customWidth="1"/>
    <col min="11020" max="11020" width="18.7109375" style="129" customWidth="1"/>
    <col min="11021" max="11021" width="14.28515625" style="129" customWidth="1"/>
    <col min="11022" max="11022" width="15" style="129" customWidth="1"/>
    <col min="11023" max="11023" width="14.28515625" style="129" customWidth="1"/>
    <col min="11024" max="11024" width="17" style="129" customWidth="1"/>
    <col min="11025" max="11025" width="19.42578125" style="129" customWidth="1"/>
    <col min="11026" max="11026" width="19.28515625" style="129" customWidth="1"/>
    <col min="11027" max="11272" width="9.42578125" style="129"/>
    <col min="11273" max="11273" width="5.42578125" style="129" customWidth="1"/>
    <col min="11274" max="11274" width="41.140625" style="129" customWidth="1"/>
    <col min="11275" max="11275" width="17.42578125" style="129" customWidth="1"/>
    <col min="11276" max="11276" width="18.7109375" style="129" customWidth="1"/>
    <col min="11277" max="11277" width="14.28515625" style="129" customWidth="1"/>
    <col min="11278" max="11278" width="15" style="129" customWidth="1"/>
    <col min="11279" max="11279" width="14.28515625" style="129" customWidth="1"/>
    <col min="11280" max="11280" width="17" style="129" customWidth="1"/>
    <col min="11281" max="11281" width="19.42578125" style="129" customWidth="1"/>
    <col min="11282" max="11282" width="19.28515625" style="129" customWidth="1"/>
    <col min="11283" max="11528" width="9.42578125" style="129"/>
    <col min="11529" max="11529" width="5.42578125" style="129" customWidth="1"/>
    <col min="11530" max="11530" width="41.140625" style="129" customWidth="1"/>
    <col min="11531" max="11531" width="17.42578125" style="129" customWidth="1"/>
    <col min="11532" max="11532" width="18.7109375" style="129" customWidth="1"/>
    <col min="11533" max="11533" width="14.28515625" style="129" customWidth="1"/>
    <col min="11534" max="11534" width="15" style="129" customWidth="1"/>
    <col min="11535" max="11535" width="14.28515625" style="129" customWidth="1"/>
    <col min="11536" max="11536" width="17" style="129" customWidth="1"/>
    <col min="11537" max="11537" width="19.42578125" style="129" customWidth="1"/>
    <col min="11538" max="11538" width="19.28515625" style="129" customWidth="1"/>
    <col min="11539" max="11784" width="9.42578125" style="129"/>
    <col min="11785" max="11785" width="5.42578125" style="129" customWidth="1"/>
    <col min="11786" max="11786" width="41.140625" style="129" customWidth="1"/>
    <col min="11787" max="11787" width="17.42578125" style="129" customWidth="1"/>
    <col min="11788" max="11788" width="18.7109375" style="129" customWidth="1"/>
    <col min="11789" max="11789" width="14.28515625" style="129" customWidth="1"/>
    <col min="11790" max="11790" width="15" style="129" customWidth="1"/>
    <col min="11791" max="11791" width="14.28515625" style="129" customWidth="1"/>
    <col min="11792" max="11792" width="17" style="129" customWidth="1"/>
    <col min="11793" max="11793" width="19.42578125" style="129" customWidth="1"/>
    <col min="11794" max="11794" width="19.28515625" style="129" customWidth="1"/>
    <col min="11795" max="12040" width="9.42578125" style="129"/>
    <col min="12041" max="12041" width="5.42578125" style="129" customWidth="1"/>
    <col min="12042" max="12042" width="41.140625" style="129" customWidth="1"/>
    <col min="12043" max="12043" width="17.42578125" style="129" customWidth="1"/>
    <col min="12044" max="12044" width="18.7109375" style="129" customWidth="1"/>
    <col min="12045" max="12045" width="14.28515625" style="129" customWidth="1"/>
    <col min="12046" max="12046" width="15" style="129" customWidth="1"/>
    <col min="12047" max="12047" width="14.28515625" style="129" customWidth="1"/>
    <col min="12048" max="12048" width="17" style="129" customWidth="1"/>
    <col min="12049" max="12049" width="19.42578125" style="129" customWidth="1"/>
    <col min="12050" max="12050" width="19.28515625" style="129" customWidth="1"/>
    <col min="12051" max="12296" width="9.42578125" style="129"/>
    <col min="12297" max="12297" width="5.42578125" style="129" customWidth="1"/>
    <col min="12298" max="12298" width="41.140625" style="129" customWidth="1"/>
    <col min="12299" max="12299" width="17.42578125" style="129" customWidth="1"/>
    <col min="12300" max="12300" width="18.7109375" style="129" customWidth="1"/>
    <col min="12301" max="12301" width="14.28515625" style="129" customWidth="1"/>
    <col min="12302" max="12302" width="15" style="129" customWidth="1"/>
    <col min="12303" max="12303" width="14.28515625" style="129" customWidth="1"/>
    <col min="12304" max="12304" width="17" style="129" customWidth="1"/>
    <col min="12305" max="12305" width="19.42578125" style="129" customWidth="1"/>
    <col min="12306" max="12306" width="19.28515625" style="129" customWidth="1"/>
    <col min="12307" max="12552" width="9.42578125" style="129"/>
    <col min="12553" max="12553" width="5.42578125" style="129" customWidth="1"/>
    <col min="12554" max="12554" width="41.140625" style="129" customWidth="1"/>
    <col min="12555" max="12555" width="17.42578125" style="129" customWidth="1"/>
    <col min="12556" max="12556" width="18.7109375" style="129" customWidth="1"/>
    <col min="12557" max="12557" width="14.28515625" style="129" customWidth="1"/>
    <col min="12558" max="12558" width="15" style="129" customWidth="1"/>
    <col min="12559" max="12559" width="14.28515625" style="129" customWidth="1"/>
    <col min="12560" max="12560" width="17" style="129" customWidth="1"/>
    <col min="12561" max="12561" width="19.42578125" style="129" customWidth="1"/>
    <col min="12562" max="12562" width="19.28515625" style="129" customWidth="1"/>
    <col min="12563" max="12808" width="9.42578125" style="129"/>
    <col min="12809" max="12809" width="5.42578125" style="129" customWidth="1"/>
    <col min="12810" max="12810" width="41.140625" style="129" customWidth="1"/>
    <col min="12811" max="12811" width="17.42578125" style="129" customWidth="1"/>
    <col min="12812" max="12812" width="18.7109375" style="129" customWidth="1"/>
    <col min="12813" max="12813" width="14.28515625" style="129" customWidth="1"/>
    <col min="12814" max="12814" width="15" style="129" customWidth="1"/>
    <col min="12815" max="12815" width="14.28515625" style="129" customWidth="1"/>
    <col min="12816" max="12816" width="17" style="129" customWidth="1"/>
    <col min="12817" max="12817" width="19.42578125" style="129" customWidth="1"/>
    <col min="12818" max="12818" width="19.28515625" style="129" customWidth="1"/>
    <col min="12819" max="13064" width="9.42578125" style="129"/>
    <col min="13065" max="13065" width="5.42578125" style="129" customWidth="1"/>
    <col min="13066" max="13066" width="41.140625" style="129" customWidth="1"/>
    <col min="13067" max="13067" width="17.42578125" style="129" customWidth="1"/>
    <col min="13068" max="13068" width="18.7109375" style="129" customWidth="1"/>
    <col min="13069" max="13069" width="14.28515625" style="129" customWidth="1"/>
    <col min="13070" max="13070" width="15" style="129" customWidth="1"/>
    <col min="13071" max="13071" width="14.28515625" style="129" customWidth="1"/>
    <col min="13072" max="13072" width="17" style="129" customWidth="1"/>
    <col min="13073" max="13073" width="19.42578125" style="129" customWidth="1"/>
    <col min="13074" max="13074" width="19.28515625" style="129" customWidth="1"/>
    <col min="13075" max="13320" width="9.42578125" style="129"/>
    <col min="13321" max="13321" width="5.42578125" style="129" customWidth="1"/>
    <col min="13322" max="13322" width="41.140625" style="129" customWidth="1"/>
    <col min="13323" max="13323" width="17.42578125" style="129" customWidth="1"/>
    <col min="13324" max="13324" width="18.7109375" style="129" customWidth="1"/>
    <col min="13325" max="13325" width="14.28515625" style="129" customWidth="1"/>
    <col min="13326" max="13326" width="15" style="129" customWidth="1"/>
    <col min="13327" max="13327" width="14.28515625" style="129" customWidth="1"/>
    <col min="13328" max="13328" width="17" style="129" customWidth="1"/>
    <col min="13329" max="13329" width="19.42578125" style="129" customWidth="1"/>
    <col min="13330" max="13330" width="19.28515625" style="129" customWidth="1"/>
    <col min="13331" max="13576" width="9.42578125" style="129"/>
    <col min="13577" max="13577" width="5.42578125" style="129" customWidth="1"/>
    <col min="13578" max="13578" width="41.140625" style="129" customWidth="1"/>
    <col min="13579" max="13579" width="17.42578125" style="129" customWidth="1"/>
    <col min="13580" max="13580" width="18.7109375" style="129" customWidth="1"/>
    <col min="13581" max="13581" width="14.28515625" style="129" customWidth="1"/>
    <col min="13582" max="13582" width="15" style="129" customWidth="1"/>
    <col min="13583" max="13583" width="14.28515625" style="129" customWidth="1"/>
    <col min="13584" max="13584" width="17" style="129" customWidth="1"/>
    <col min="13585" max="13585" width="19.42578125" style="129" customWidth="1"/>
    <col min="13586" max="13586" width="19.28515625" style="129" customWidth="1"/>
    <col min="13587" max="13832" width="9.42578125" style="129"/>
    <col min="13833" max="13833" width="5.42578125" style="129" customWidth="1"/>
    <col min="13834" max="13834" width="41.140625" style="129" customWidth="1"/>
    <col min="13835" max="13835" width="17.42578125" style="129" customWidth="1"/>
    <col min="13836" max="13836" width="18.7109375" style="129" customWidth="1"/>
    <col min="13837" max="13837" width="14.28515625" style="129" customWidth="1"/>
    <col min="13838" max="13838" width="15" style="129" customWidth="1"/>
    <col min="13839" max="13839" width="14.28515625" style="129" customWidth="1"/>
    <col min="13840" max="13840" width="17" style="129" customWidth="1"/>
    <col min="13841" max="13841" width="19.42578125" style="129" customWidth="1"/>
    <col min="13842" max="13842" width="19.28515625" style="129" customWidth="1"/>
    <col min="13843" max="14088" width="9.42578125" style="129"/>
    <col min="14089" max="14089" width="5.42578125" style="129" customWidth="1"/>
    <col min="14090" max="14090" width="41.140625" style="129" customWidth="1"/>
    <col min="14091" max="14091" width="17.42578125" style="129" customWidth="1"/>
    <col min="14092" max="14092" width="18.7109375" style="129" customWidth="1"/>
    <col min="14093" max="14093" width="14.28515625" style="129" customWidth="1"/>
    <col min="14094" max="14094" width="15" style="129" customWidth="1"/>
    <col min="14095" max="14095" width="14.28515625" style="129" customWidth="1"/>
    <col min="14096" max="14096" width="17" style="129" customWidth="1"/>
    <col min="14097" max="14097" width="19.42578125" style="129" customWidth="1"/>
    <col min="14098" max="14098" width="19.28515625" style="129" customWidth="1"/>
    <col min="14099" max="14344" width="9.42578125" style="129"/>
    <col min="14345" max="14345" width="5.42578125" style="129" customWidth="1"/>
    <col min="14346" max="14346" width="41.140625" style="129" customWidth="1"/>
    <col min="14347" max="14347" width="17.42578125" style="129" customWidth="1"/>
    <col min="14348" max="14348" width="18.7109375" style="129" customWidth="1"/>
    <col min="14349" max="14349" width="14.28515625" style="129" customWidth="1"/>
    <col min="14350" max="14350" width="15" style="129" customWidth="1"/>
    <col min="14351" max="14351" width="14.28515625" style="129" customWidth="1"/>
    <col min="14352" max="14352" width="17" style="129" customWidth="1"/>
    <col min="14353" max="14353" width="19.42578125" style="129" customWidth="1"/>
    <col min="14354" max="14354" width="19.28515625" style="129" customWidth="1"/>
    <col min="14355" max="14600" width="9.42578125" style="129"/>
    <col min="14601" max="14601" width="5.42578125" style="129" customWidth="1"/>
    <col min="14602" max="14602" width="41.140625" style="129" customWidth="1"/>
    <col min="14603" max="14603" width="17.42578125" style="129" customWidth="1"/>
    <col min="14604" max="14604" width="18.7109375" style="129" customWidth="1"/>
    <col min="14605" max="14605" width="14.28515625" style="129" customWidth="1"/>
    <col min="14606" max="14606" width="15" style="129" customWidth="1"/>
    <col min="14607" max="14607" width="14.28515625" style="129" customWidth="1"/>
    <col min="14608" max="14608" width="17" style="129" customWidth="1"/>
    <col min="14609" max="14609" width="19.42578125" style="129" customWidth="1"/>
    <col min="14610" max="14610" width="19.28515625" style="129" customWidth="1"/>
    <col min="14611" max="14856" width="9.42578125" style="129"/>
    <col min="14857" max="14857" width="5.42578125" style="129" customWidth="1"/>
    <col min="14858" max="14858" width="41.140625" style="129" customWidth="1"/>
    <col min="14859" max="14859" width="17.42578125" style="129" customWidth="1"/>
    <col min="14860" max="14860" width="18.7109375" style="129" customWidth="1"/>
    <col min="14861" max="14861" width="14.28515625" style="129" customWidth="1"/>
    <col min="14862" max="14862" width="15" style="129" customWidth="1"/>
    <col min="14863" max="14863" width="14.28515625" style="129" customWidth="1"/>
    <col min="14864" max="14864" width="17" style="129" customWidth="1"/>
    <col min="14865" max="14865" width="19.42578125" style="129" customWidth="1"/>
    <col min="14866" max="14866" width="19.28515625" style="129" customWidth="1"/>
    <col min="14867" max="15112" width="9.42578125" style="129"/>
    <col min="15113" max="15113" width="5.42578125" style="129" customWidth="1"/>
    <col min="15114" max="15114" width="41.140625" style="129" customWidth="1"/>
    <col min="15115" max="15115" width="17.42578125" style="129" customWidth="1"/>
    <col min="15116" max="15116" width="18.7109375" style="129" customWidth="1"/>
    <col min="15117" max="15117" width="14.28515625" style="129" customWidth="1"/>
    <col min="15118" max="15118" width="15" style="129" customWidth="1"/>
    <col min="15119" max="15119" width="14.28515625" style="129" customWidth="1"/>
    <col min="15120" max="15120" width="17" style="129" customWidth="1"/>
    <col min="15121" max="15121" width="19.42578125" style="129" customWidth="1"/>
    <col min="15122" max="15122" width="19.28515625" style="129" customWidth="1"/>
    <col min="15123" max="15368" width="9.42578125" style="129"/>
    <col min="15369" max="15369" width="5.42578125" style="129" customWidth="1"/>
    <col min="15370" max="15370" width="41.140625" style="129" customWidth="1"/>
    <col min="15371" max="15371" width="17.42578125" style="129" customWidth="1"/>
    <col min="15372" max="15372" width="18.7109375" style="129" customWidth="1"/>
    <col min="15373" max="15373" width="14.28515625" style="129" customWidth="1"/>
    <col min="15374" max="15374" width="15" style="129" customWidth="1"/>
    <col min="15375" max="15375" width="14.28515625" style="129" customWidth="1"/>
    <col min="15376" max="15376" width="17" style="129" customWidth="1"/>
    <col min="15377" max="15377" width="19.42578125" style="129" customWidth="1"/>
    <col min="15378" max="15378" width="19.28515625" style="129" customWidth="1"/>
    <col min="15379" max="15624" width="9.42578125" style="129"/>
    <col min="15625" max="15625" width="5.42578125" style="129" customWidth="1"/>
    <col min="15626" max="15626" width="41.140625" style="129" customWidth="1"/>
    <col min="15627" max="15627" width="17.42578125" style="129" customWidth="1"/>
    <col min="15628" max="15628" width="18.7109375" style="129" customWidth="1"/>
    <col min="15629" max="15629" width="14.28515625" style="129" customWidth="1"/>
    <col min="15630" max="15630" width="15" style="129" customWidth="1"/>
    <col min="15631" max="15631" width="14.28515625" style="129" customWidth="1"/>
    <col min="15632" max="15632" width="17" style="129" customWidth="1"/>
    <col min="15633" max="15633" width="19.42578125" style="129" customWidth="1"/>
    <col min="15634" max="15634" width="19.28515625" style="129" customWidth="1"/>
    <col min="15635" max="15880" width="9.42578125" style="129"/>
    <col min="15881" max="15881" width="5.42578125" style="129" customWidth="1"/>
    <col min="15882" max="15882" width="41.140625" style="129" customWidth="1"/>
    <col min="15883" max="15883" width="17.42578125" style="129" customWidth="1"/>
    <col min="15884" max="15884" width="18.7109375" style="129" customWidth="1"/>
    <col min="15885" max="15885" width="14.28515625" style="129" customWidth="1"/>
    <col min="15886" max="15886" width="15" style="129" customWidth="1"/>
    <col min="15887" max="15887" width="14.28515625" style="129" customWidth="1"/>
    <col min="15888" max="15888" width="17" style="129" customWidth="1"/>
    <col min="15889" max="15889" width="19.42578125" style="129" customWidth="1"/>
    <col min="15890" max="15890" width="19.28515625" style="129" customWidth="1"/>
    <col min="15891" max="16136" width="9.42578125" style="129"/>
    <col min="16137" max="16137" width="5.42578125" style="129" customWidth="1"/>
    <col min="16138" max="16138" width="41.140625" style="129" customWidth="1"/>
    <col min="16139" max="16139" width="17.42578125" style="129" customWidth="1"/>
    <col min="16140" max="16140" width="18.7109375" style="129" customWidth="1"/>
    <col min="16141" max="16141" width="14.28515625" style="129" customWidth="1"/>
    <col min="16142" max="16142" width="15" style="129" customWidth="1"/>
    <col min="16143" max="16143" width="14.28515625" style="129" customWidth="1"/>
    <col min="16144" max="16144" width="17" style="129" customWidth="1"/>
    <col min="16145" max="16145" width="19.42578125" style="129" customWidth="1"/>
    <col min="16146" max="16146" width="19.28515625" style="129" customWidth="1"/>
    <col min="16147" max="16384" width="9.42578125" style="129"/>
  </cols>
  <sheetData>
    <row r="1" spans="1:18" ht="15.6" x14ac:dyDescent="0.35">
      <c r="B1" s="83"/>
      <c r="C1" s="83"/>
      <c r="D1" s="83"/>
      <c r="E1" s="155">
        <v>2014</v>
      </c>
      <c r="F1" s="155">
        <v>2015</v>
      </c>
      <c r="G1" s="155">
        <v>2016</v>
      </c>
      <c r="H1" s="155">
        <v>2017</v>
      </c>
      <c r="I1" s="155">
        <v>2018</v>
      </c>
      <c r="J1" s="155">
        <v>2019</v>
      </c>
      <c r="K1" s="155">
        <v>2020</v>
      </c>
      <c r="L1" s="155">
        <v>2021</v>
      </c>
      <c r="M1" s="155">
        <v>2022</v>
      </c>
      <c r="N1" s="155">
        <v>2023</v>
      </c>
      <c r="O1" s="176"/>
    </row>
    <row r="2" spans="1:18" ht="15.6" customHeight="1" x14ac:dyDescent="0.35">
      <c r="B2" s="611" t="s">
        <v>103</v>
      </c>
      <c r="C2" s="611"/>
      <c r="D2" s="83"/>
      <c r="E2" s="43"/>
      <c r="F2" s="14"/>
      <c r="G2" s="14"/>
      <c r="H2" s="14"/>
      <c r="I2" s="14"/>
      <c r="J2" s="14"/>
      <c r="K2" s="14"/>
      <c r="L2" s="14"/>
      <c r="M2" s="14"/>
      <c r="N2" s="14"/>
      <c r="O2" s="177"/>
    </row>
    <row r="3" spans="1:18" s="131" customFormat="1" ht="14.45" x14ac:dyDescent="0.35">
      <c r="A3" s="4"/>
      <c r="B3" s="1" t="s">
        <v>78</v>
      </c>
      <c r="C3" s="2"/>
      <c r="D3" s="2"/>
      <c r="E3" s="44"/>
      <c r="F3" s="3"/>
      <c r="G3" s="3"/>
      <c r="H3" s="3"/>
      <c r="I3" s="3"/>
      <c r="J3" s="3"/>
      <c r="K3" s="3"/>
      <c r="L3" s="3"/>
      <c r="M3" s="3"/>
      <c r="N3" s="3"/>
      <c r="O3" s="178"/>
      <c r="P3" s="130" t="s">
        <v>87</v>
      </c>
      <c r="Q3" s="131" t="s">
        <v>88</v>
      </c>
    </row>
    <row r="4" spans="1:18" s="131" customFormat="1" ht="14.45" x14ac:dyDescent="0.35">
      <c r="A4" s="4"/>
      <c r="B4" s="1"/>
      <c r="C4" s="2" t="s">
        <v>101</v>
      </c>
      <c r="D4" s="2"/>
      <c r="E4" s="50">
        <f>20*12</f>
        <v>240</v>
      </c>
      <c r="F4" s="151">
        <f>E4*(1+$P$4)</f>
        <v>228</v>
      </c>
      <c r="G4" s="151">
        <f t="shared" ref="G4" si="0">F4*(1+$P$4)</f>
        <v>216.6</v>
      </c>
      <c r="H4" s="151">
        <f>G4*(1+$P$4)</f>
        <v>205.76999999999998</v>
      </c>
      <c r="I4" s="151">
        <f t="shared" ref="I4:N4" si="1">H4*(1+$Q$4)</f>
        <v>231.61471199999997</v>
      </c>
      <c r="J4" s="151">
        <f t="shared" si="1"/>
        <v>260.70551982719996</v>
      </c>
      <c r="K4" s="151">
        <f t="shared" si="1"/>
        <v>293.45013311749625</v>
      </c>
      <c r="L4" s="151">
        <f t="shared" si="1"/>
        <v>330.30746983705376</v>
      </c>
      <c r="M4" s="151">
        <f t="shared" si="1"/>
        <v>371.7940880485877</v>
      </c>
      <c r="N4" s="151">
        <f t="shared" si="1"/>
        <v>418.49142550749031</v>
      </c>
      <c r="O4" s="179"/>
      <c r="P4" s="130">
        <v>-0.05</v>
      </c>
      <c r="Q4" s="150">
        <v>0.12559999999999999</v>
      </c>
    </row>
    <row r="5" spans="1:18" s="131" customFormat="1" thickBot="1" x14ac:dyDescent="0.4">
      <c r="A5" s="4"/>
      <c r="B5" s="1"/>
      <c r="C5" s="2" t="s">
        <v>89</v>
      </c>
      <c r="D5" s="2"/>
      <c r="E5" s="112">
        <v>45</v>
      </c>
      <c r="F5" s="44">
        <f>E5*(1+$P$5)</f>
        <v>42.75</v>
      </c>
      <c r="G5" s="44">
        <f>F5*(1+$P$5)</f>
        <v>40.612499999999997</v>
      </c>
      <c r="H5" s="44">
        <f t="shared" ref="H5" si="2">G5*(1+$P$5)</f>
        <v>38.581874999999997</v>
      </c>
      <c r="I5" s="44">
        <f t="shared" ref="I5:N5" si="3">H5*(1+$Q$5)</f>
        <v>34.723687499999997</v>
      </c>
      <c r="J5" s="44">
        <f t="shared" si="3"/>
        <v>31.251318749999999</v>
      </c>
      <c r="K5" s="44">
        <f t="shared" si="3"/>
        <v>28.126186874999998</v>
      </c>
      <c r="L5" s="44">
        <f t="shared" si="3"/>
        <v>25.3135681875</v>
      </c>
      <c r="M5" s="44">
        <f t="shared" si="3"/>
        <v>22.782211368750001</v>
      </c>
      <c r="N5" s="44">
        <f t="shared" si="3"/>
        <v>20.503990231875001</v>
      </c>
      <c r="O5" s="180"/>
      <c r="P5" s="130">
        <v>-0.05</v>
      </c>
      <c r="Q5" s="149">
        <v>-0.1</v>
      </c>
      <c r="R5" s="131" t="s">
        <v>102</v>
      </c>
    </row>
    <row r="6" spans="1:18" s="131" customFormat="1" thickBot="1" x14ac:dyDescent="0.4">
      <c r="A6" s="4"/>
      <c r="B6" s="1"/>
      <c r="C6" s="113" t="s">
        <v>90</v>
      </c>
      <c r="D6" s="2"/>
      <c r="E6" s="114">
        <f>E4*E5</f>
        <v>10800</v>
      </c>
      <c r="F6" s="114">
        <f>F4*F5</f>
        <v>9747</v>
      </c>
      <c r="G6" s="114">
        <f t="shared" ref="G6:N6" si="4">G4*G5</f>
        <v>8796.6674999999996</v>
      </c>
      <c r="H6" s="114">
        <f t="shared" si="4"/>
        <v>7938.9924187499983</v>
      </c>
      <c r="I6" s="114">
        <f t="shared" si="4"/>
        <v>8042.5168798904979</v>
      </c>
      <c r="J6" s="114">
        <f t="shared" si="4"/>
        <v>8147.3913000042712</v>
      </c>
      <c r="K6" s="114">
        <f t="shared" si="4"/>
        <v>8253.6332825563259</v>
      </c>
      <c r="L6" s="114">
        <f t="shared" si="4"/>
        <v>8361.2606605608598</v>
      </c>
      <c r="M6" s="114">
        <f t="shared" si="4"/>
        <v>8470.2914995745741</v>
      </c>
      <c r="N6" s="114">
        <f t="shared" si="4"/>
        <v>8580.7441007290254</v>
      </c>
      <c r="O6" s="180"/>
      <c r="P6" s="130"/>
    </row>
    <row r="7" spans="1:18" s="131" customFormat="1" ht="14.45" x14ac:dyDescent="0.35">
      <c r="A7" s="4"/>
      <c r="B7" s="2"/>
      <c r="C7" s="2" t="s">
        <v>84</v>
      </c>
      <c r="D7" s="2"/>
      <c r="E7" s="45">
        <f>180</f>
        <v>180</v>
      </c>
      <c r="F7" s="44">
        <f>E7*(1+$P$7)</f>
        <v>162</v>
      </c>
      <c r="G7" s="44">
        <f>F7*(1+$P$7)</f>
        <v>145.80000000000001</v>
      </c>
      <c r="H7" s="44">
        <f>G7*(1+$P$7)</f>
        <v>131.22000000000003</v>
      </c>
      <c r="I7" s="44">
        <f t="shared" ref="I7:N7" si="5">H7*(1+$Q$7)</f>
        <v>137.78100000000003</v>
      </c>
      <c r="J7" s="44">
        <f t="shared" si="5"/>
        <v>144.67005000000003</v>
      </c>
      <c r="K7" s="44">
        <f t="shared" si="5"/>
        <v>151.90355250000005</v>
      </c>
      <c r="L7" s="44">
        <f t="shared" si="5"/>
        <v>159.49873012500007</v>
      </c>
      <c r="M7" s="44">
        <f t="shared" si="5"/>
        <v>167.47366663125007</v>
      </c>
      <c r="N7" s="44">
        <f t="shared" si="5"/>
        <v>175.84734996281259</v>
      </c>
      <c r="O7" s="180"/>
      <c r="P7" s="133">
        <v>-0.1</v>
      </c>
      <c r="Q7" s="134">
        <v>0.05</v>
      </c>
    </row>
    <row r="8" spans="1:18" s="131" customFormat="1" ht="14.45" x14ac:dyDescent="0.35">
      <c r="A8" s="4"/>
      <c r="B8" s="2"/>
      <c r="C8" s="2" t="s">
        <v>85</v>
      </c>
      <c r="D8" s="2"/>
      <c r="E8" s="44">
        <f>E7*P8</f>
        <v>62.999999999999993</v>
      </c>
      <c r="F8" s="44">
        <f>F7*$P$8</f>
        <v>56.699999999999996</v>
      </c>
      <c r="G8" s="44">
        <f>G7*$P$8</f>
        <v>51.03</v>
      </c>
      <c r="H8" s="44">
        <f>H7*$P$8</f>
        <v>45.927000000000007</v>
      </c>
      <c r="I8" s="106">
        <f t="shared" ref="I8:N8" si="6">I7*$Q$8</f>
        <v>50.978970000000011</v>
      </c>
      <c r="J8" s="106">
        <f t="shared" si="6"/>
        <v>53.527918500000013</v>
      </c>
      <c r="K8" s="106">
        <f t="shared" si="6"/>
        <v>56.204314425000014</v>
      </c>
      <c r="L8" s="106">
        <f t="shared" si="6"/>
        <v>59.014530146250024</v>
      </c>
      <c r="M8" s="106">
        <f t="shared" si="6"/>
        <v>61.965256653562527</v>
      </c>
      <c r="N8" s="106">
        <f t="shared" si="6"/>
        <v>65.063519486240651</v>
      </c>
      <c r="O8" s="181"/>
      <c r="P8" s="99">
        <v>0.35</v>
      </c>
      <c r="Q8" s="132">
        <v>0.37</v>
      </c>
    </row>
    <row r="9" spans="1:18" s="131" customFormat="1" thickBot="1" x14ac:dyDescent="0.4">
      <c r="A9" s="4"/>
      <c r="B9" s="2"/>
      <c r="C9" s="2" t="s">
        <v>86</v>
      </c>
      <c r="D9" s="2"/>
      <c r="E9" s="115">
        <v>600</v>
      </c>
      <c r="F9" s="115">
        <f>E9*(1+$P$9)</f>
        <v>570</v>
      </c>
      <c r="G9" s="116">
        <f>F9*(1+$P$9)</f>
        <v>541.5</v>
      </c>
      <c r="H9" s="116">
        <f>G9*(1+$P$9)</f>
        <v>514.42499999999995</v>
      </c>
      <c r="I9" s="116">
        <f t="shared" ref="I9:N9" si="7">H9*(1+$Q$9)</f>
        <v>462.98249999999996</v>
      </c>
      <c r="J9" s="116">
        <f t="shared" si="7"/>
        <v>416.68424999999996</v>
      </c>
      <c r="K9" s="116">
        <f t="shared" si="7"/>
        <v>375.01582499999995</v>
      </c>
      <c r="L9" s="116">
        <f t="shared" si="7"/>
        <v>337.51424249999997</v>
      </c>
      <c r="M9" s="116">
        <f t="shared" si="7"/>
        <v>303.76281824999995</v>
      </c>
      <c r="N9" s="116">
        <f t="shared" si="7"/>
        <v>273.38653642499997</v>
      </c>
      <c r="O9" s="182"/>
      <c r="P9" s="99">
        <v>-0.05</v>
      </c>
      <c r="Q9" s="132">
        <v>-0.1</v>
      </c>
      <c r="R9" s="131" t="s">
        <v>123</v>
      </c>
    </row>
    <row r="10" spans="1:18" s="131" customFormat="1" thickBot="1" x14ac:dyDescent="0.4">
      <c r="A10" s="4"/>
      <c r="B10" s="5"/>
      <c r="C10" s="5" t="s">
        <v>91</v>
      </c>
      <c r="D10" s="5"/>
      <c r="E10" s="117">
        <f>(E7-E8)*E9</f>
        <v>70200</v>
      </c>
      <c r="F10" s="118">
        <f>(F7-F8)*F9</f>
        <v>60021.000000000007</v>
      </c>
      <c r="G10" s="118">
        <f t="shared" ref="G10:N10" si="8">(G7-G8)*G9</f>
        <v>51317.955000000009</v>
      </c>
      <c r="H10" s="118">
        <f t="shared" si="8"/>
        <v>43876.851525000005</v>
      </c>
      <c r="I10" s="118">
        <f t="shared" si="8"/>
        <v>40187.820854475009</v>
      </c>
      <c r="J10" s="118">
        <f t="shared" si="8"/>
        <v>37977.490707478879</v>
      </c>
      <c r="K10" s="118">
        <f t="shared" si="8"/>
        <v>35888.728718567545</v>
      </c>
      <c r="L10" s="118">
        <f t="shared" si="8"/>
        <v>33914.848639046329</v>
      </c>
      <c r="M10" s="118">
        <f t="shared" si="8"/>
        <v>32049.531963898778</v>
      </c>
      <c r="N10" s="118">
        <f t="shared" si="8"/>
        <v>30286.807705884356</v>
      </c>
      <c r="O10" s="180"/>
      <c r="P10" s="99"/>
    </row>
    <row r="11" spans="1:18" s="131" customFormat="1" ht="15.6" thickTop="1" thickBot="1" x14ac:dyDescent="0.4">
      <c r="A11" s="4"/>
      <c r="B11" s="7"/>
      <c r="C11" s="7" t="s">
        <v>92</v>
      </c>
      <c r="D11" s="7"/>
      <c r="E11" s="119">
        <f>E6+E10</f>
        <v>81000</v>
      </c>
      <c r="F11" s="120">
        <f t="shared" ref="F11:N11" si="9">F6+F10</f>
        <v>69768</v>
      </c>
      <c r="G11" s="120">
        <f t="shared" si="9"/>
        <v>60114.622500000012</v>
      </c>
      <c r="H11" s="120">
        <f t="shared" si="9"/>
        <v>51815.843943750006</v>
      </c>
      <c r="I11" s="120">
        <f t="shared" si="9"/>
        <v>48230.337734365508</v>
      </c>
      <c r="J11" s="120">
        <f t="shared" si="9"/>
        <v>46124.882007483153</v>
      </c>
      <c r="K11" s="120">
        <f t="shared" si="9"/>
        <v>44142.362001123867</v>
      </c>
      <c r="L11" s="120">
        <f t="shared" si="9"/>
        <v>42276.109299607189</v>
      </c>
      <c r="M11" s="120">
        <f t="shared" si="9"/>
        <v>40519.823463473353</v>
      </c>
      <c r="N11" s="120">
        <f t="shared" si="9"/>
        <v>38867.551806613381</v>
      </c>
      <c r="O11" s="180"/>
      <c r="P11" s="99"/>
    </row>
    <row r="12" spans="1:18" s="131" customFormat="1" ht="14.45" x14ac:dyDescent="0.35">
      <c r="A12" s="4"/>
      <c r="B12" s="2"/>
      <c r="C12" s="2"/>
      <c r="D12" s="2"/>
      <c r="E12" s="45"/>
      <c r="F12" s="3"/>
      <c r="G12" s="3"/>
      <c r="H12" s="3"/>
      <c r="I12" s="3"/>
      <c r="J12" s="3"/>
      <c r="K12" s="3"/>
      <c r="L12" s="3"/>
      <c r="M12" s="3"/>
      <c r="N12" s="3"/>
      <c r="O12" s="178"/>
      <c r="P12" s="99"/>
    </row>
    <row r="13" spans="1:18" s="131" customFormat="1" ht="14.45" x14ac:dyDescent="0.35">
      <c r="A13" s="4"/>
      <c r="B13" s="1" t="s">
        <v>79</v>
      </c>
      <c r="C13" s="2"/>
      <c r="D13" s="2"/>
      <c r="E13" s="45"/>
      <c r="F13" s="3"/>
      <c r="G13" s="3"/>
      <c r="H13" s="3"/>
      <c r="I13" s="3"/>
      <c r="J13" s="3"/>
      <c r="K13" s="3"/>
      <c r="L13" s="3"/>
      <c r="M13" s="3"/>
      <c r="N13" s="3"/>
      <c r="O13" s="178"/>
      <c r="P13" s="99"/>
    </row>
    <row r="14" spans="1:18" s="131" customFormat="1" ht="14.45" x14ac:dyDescent="0.35">
      <c r="A14" s="4"/>
      <c r="B14" s="2"/>
      <c r="C14" s="2" t="s">
        <v>93</v>
      </c>
      <c r="D14" s="2"/>
      <c r="E14" s="44">
        <v>150</v>
      </c>
      <c r="F14" s="44">
        <f>E14*(1+$P$14)</f>
        <v>153</v>
      </c>
      <c r="G14" s="44">
        <f>F14*(1+$P$14)</f>
        <v>156.06</v>
      </c>
      <c r="H14" s="44">
        <f>G14*(1+$P$14)</f>
        <v>159.18120000000002</v>
      </c>
      <c r="I14" s="44">
        <f t="shared" ref="I14:N14" si="10">H14*(1+$Q$14)</f>
        <v>151.22214000000002</v>
      </c>
      <c r="J14" s="44">
        <f t="shared" si="10"/>
        <v>143.661033</v>
      </c>
      <c r="K14" s="44">
        <f t="shared" si="10"/>
        <v>136.47798134999999</v>
      </c>
      <c r="L14" s="44">
        <f t="shared" si="10"/>
        <v>129.65408228249999</v>
      </c>
      <c r="M14" s="44">
        <f t="shared" si="10"/>
        <v>123.17137816837499</v>
      </c>
      <c r="N14" s="44">
        <f t="shared" si="10"/>
        <v>117.01280925995623</v>
      </c>
      <c r="O14" s="180"/>
      <c r="P14" s="99">
        <v>0.02</v>
      </c>
      <c r="Q14" s="132">
        <v>-0.05</v>
      </c>
    </row>
    <row r="15" spans="1:18" s="131" customFormat="1" ht="14.45" x14ac:dyDescent="0.35">
      <c r="A15" s="4"/>
      <c r="B15" s="2"/>
      <c r="C15" s="2" t="s">
        <v>94</v>
      </c>
      <c r="D15" s="2"/>
      <c r="E15" s="50">
        <v>210</v>
      </c>
      <c r="F15" s="44">
        <f>E15*(1+$P$15)</f>
        <v>214.20000000000002</v>
      </c>
      <c r="G15" s="44">
        <f>F15*(1+$P$15)</f>
        <v>218.48400000000001</v>
      </c>
      <c r="H15" s="44">
        <f>G15*(1+$P$15)</f>
        <v>222.85368000000003</v>
      </c>
      <c r="I15" s="44">
        <f t="shared" ref="I15:N15" si="11">H15*(1+$Q$15)</f>
        <v>216.16806960000002</v>
      </c>
      <c r="J15" s="44">
        <f t="shared" si="11"/>
        <v>209.68302751200002</v>
      </c>
      <c r="K15" s="44">
        <f t="shared" si="11"/>
        <v>203.39253668664003</v>
      </c>
      <c r="L15" s="44">
        <f t="shared" si="11"/>
        <v>197.29076058604082</v>
      </c>
      <c r="M15" s="44">
        <f t="shared" si="11"/>
        <v>191.37203776845959</v>
      </c>
      <c r="N15" s="44">
        <f t="shared" si="11"/>
        <v>185.6308766354058</v>
      </c>
      <c r="O15" s="180"/>
      <c r="P15" s="99">
        <v>0.02</v>
      </c>
      <c r="Q15" s="132">
        <v>-0.03</v>
      </c>
    </row>
    <row r="16" spans="1:18" s="131" customFormat="1" thickBot="1" x14ac:dyDescent="0.4">
      <c r="A16" s="4"/>
      <c r="B16" s="2"/>
      <c r="C16" s="2" t="s">
        <v>95</v>
      </c>
      <c r="D16" s="2"/>
      <c r="E16" s="115">
        <v>3</v>
      </c>
      <c r="F16" s="115">
        <v>3</v>
      </c>
      <c r="G16" s="115">
        <f>$F$16</f>
        <v>3</v>
      </c>
      <c r="H16" s="115">
        <f t="shared" ref="H16:N16" si="12">$F$16</f>
        <v>3</v>
      </c>
      <c r="I16" s="115">
        <f t="shared" si="12"/>
        <v>3</v>
      </c>
      <c r="J16" s="115">
        <f t="shared" si="12"/>
        <v>3</v>
      </c>
      <c r="K16" s="115">
        <f t="shared" si="12"/>
        <v>3</v>
      </c>
      <c r="L16" s="115">
        <f t="shared" si="12"/>
        <v>3</v>
      </c>
      <c r="M16" s="115">
        <f t="shared" si="12"/>
        <v>3</v>
      </c>
      <c r="N16" s="115">
        <f t="shared" si="12"/>
        <v>3</v>
      </c>
      <c r="O16" s="183"/>
      <c r="P16" s="99"/>
    </row>
    <row r="17" spans="1:16" s="131" customFormat="1" thickBot="1" x14ac:dyDescent="0.4">
      <c r="A17" s="4"/>
      <c r="B17" s="5"/>
      <c r="C17" s="5" t="s">
        <v>96</v>
      </c>
      <c r="D17" s="5"/>
      <c r="E17" s="119">
        <f>E14*E15*E16</f>
        <v>94500</v>
      </c>
      <c r="F17" s="119">
        <f t="shared" ref="F17:N17" si="13">F14*F15*F16</f>
        <v>98317.800000000017</v>
      </c>
      <c r="G17" s="119">
        <f t="shared" si="13"/>
        <v>102289.83912000002</v>
      </c>
      <c r="H17" s="119">
        <f t="shared" si="13"/>
        <v>106422.34862044801</v>
      </c>
      <c r="I17" s="119">
        <f t="shared" si="13"/>
        <v>98068.194253742855</v>
      </c>
      <c r="J17" s="119">
        <f t="shared" si="13"/>
        <v>90369.841004824033</v>
      </c>
      <c r="K17" s="119">
        <f t="shared" si="13"/>
        <v>83275.808485945337</v>
      </c>
      <c r="L17" s="119">
        <f t="shared" si="13"/>
        <v>76738.657519798624</v>
      </c>
      <c r="M17" s="119">
        <f t="shared" si="13"/>
        <v>70714.672904494422</v>
      </c>
      <c r="N17" s="121">
        <f t="shared" si="13"/>
        <v>65163.571081491609</v>
      </c>
      <c r="O17" s="180"/>
      <c r="P17" s="99"/>
    </row>
    <row r="18" spans="1:16" s="131" customFormat="1" thickTop="1" x14ac:dyDescent="0.35">
      <c r="A18" s="4"/>
      <c r="B18" s="7"/>
      <c r="C18" s="7"/>
      <c r="D18" s="7"/>
      <c r="E18" s="45"/>
      <c r="F18" s="8"/>
      <c r="G18" s="8"/>
      <c r="H18" s="8"/>
      <c r="I18" s="6"/>
      <c r="J18" s="6"/>
      <c r="K18" s="6"/>
      <c r="L18" s="6"/>
      <c r="M18" s="6"/>
      <c r="N18" s="6"/>
      <c r="O18" s="178"/>
      <c r="P18" s="99"/>
    </row>
    <row r="19" spans="1:16" s="131" customFormat="1" ht="14.45" x14ac:dyDescent="0.35">
      <c r="A19" s="4"/>
      <c r="B19" s="9" t="s">
        <v>0</v>
      </c>
      <c r="C19" s="7"/>
      <c r="D19" s="7"/>
      <c r="E19" s="44"/>
      <c r="F19" s="10"/>
      <c r="G19" s="10"/>
      <c r="H19" s="10"/>
      <c r="I19" s="3"/>
      <c r="J19" s="3"/>
      <c r="K19" s="3"/>
      <c r="L19" s="3"/>
      <c r="M19" s="3"/>
      <c r="N19" s="3"/>
      <c r="O19" s="178"/>
      <c r="P19" s="99"/>
    </row>
    <row r="20" spans="1:16" s="131" customFormat="1" ht="14.45" x14ac:dyDescent="0.35">
      <c r="A20" s="4"/>
      <c r="B20" s="7"/>
      <c r="C20" s="7" t="s">
        <v>1</v>
      </c>
      <c r="D20" s="7"/>
      <c r="E20" s="44">
        <v>325000</v>
      </c>
      <c r="F20" s="44">
        <f>E20</f>
        <v>325000</v>
      </c>
      <c r="G20" s="44">
        <f t="shared" ref="G20:N20" si="14">F20</f>
        <v>325000</v>
      </c>
      <c r="H20" s="44">
        <f t="shared" si="14"/>
        <v>325000</v>
      </c>
      <c r="I20" s="44">
        <f>H20</f>
        <v>325000</v>
      </c>
      <c r="J20" s="44">
        <f t="shared" si="14"/>
        <v>325000</v>
      </c>
      <c r="K20" s="44">
        <f t="shared" si="14"/>
        <v>325000</v>
      </c>
      <c r="L20" s="44">
        <f t="shared" si="14"/>
        <v>325000</v>
      </c>
      <c r="M20" s="44">
        <f t="shared" si="14"/>
        <v>325000</v>
      </c>
      <c r="N20" s="44">
        <f t="shared" si="14"/>
        <v>325000</v>
      </c>
      <c r="O20" s="180"/>
      <c r="P20" s="99"/>
    </row>
    <row r="21" spans="1:16" s="131" customFormat="1" ht="14.45" x14ac:dyDescent="0.35">
      <c r="A21" s="4"/>
      <c r="B21" s="7"/>
      <c r="C21" s="7" t="s">
        <v>2</v>
      </c>
      <c r="D21" s="7"/>
      <c r="E21" s="50">
        <v>30</v>
      </c>
      <c r="F21" s="10"/>
      <c r="G21" s="10"/>
      <c r="H21" s="10"/>
      <c r="I21" s="10"/>
      <c r="J21" s="10"/>
      <c r="K21" s="10"/>
      <c r="L21" s="10"/>
      <c r="M21" s="10"/>
      <c r="N21" s="10"/>
      <c r="O21" s="184"/>
      <c r="P21" s="99"/>
    </row>
    <row r="22" spans="1:16" s="131" customFormat="1" ht="14.45" x14ac:dyDescent="0.35">
      <c r="A22" s="4"/>
      <c r="B22" s="7"/>
      <c r="C22" s="7" t="s">
        <v>3</v>
      </c>
      <c r="D22" s="7"/>
      <c r="E22" s="106">
        <f>$E$20/$E$21</f>
        <v>10833.333333333334</v>
      </c>
      <c r="F22" s="10">
        <f>$E$20/$E$21</f>
        <v>10833.333333333334</v>
      </c>
      <c r="G22" s="10">
        <f>$E$20/$E$21</f>
        <v>10833.333333333334</v>
      </c>
      <c r="H22" s="10">
        <f>$E$20/$E$21</f>
        <v>10833.333333333334</v>
      </c>
      <c r="I22" s="10">
        <f>$E$20/$E$21</f>
        <v>10833.333333333334</v>
      </c>
      <c r="J22" s="10">
        <f t="shared" ref="J22:N22" si="15">$E$20/$E$21</f>
        <v>10833.333333333334</v>
      </c>
      <c r="K22" s="10">
        <f t="shared" si="15"/>
        <v>10833.333333333334</v>
      </c>
      <c r="L22" s="10">
        <f t="shared" si="15"/>
        <v>10833.333333333334</v>
      </c>
      <c r="M22" s="10">
        <f t="shared" si="15"/>
        <v>10833.333333333334</v>
      </c>
      <c r="N22" s="10">
        <f t="shared" si="15"/>
        <v>10833.333333333334</v>
      </c>
      <c r="O22" s="184"/>
      <c r="P22" s="99"/>
    </row>
    <row r="23" spans="1:16" s="131" customFormat="1" ht="14.45" x14ac:dyDescent="0.35">
      <c r="A23" s="4"/>
      <c r="B23" s="9" t="s">
        <v>77</v>
      </c>
      <c r="C23" s="7"/>
      <c r="D23" s="7"/>
      <c r="E23" s="44"/>
      <c r="F23" s="10"/>
      <c r="G23" s="10"/>
      <c r="H23" s="10"/>
      <c r="I23" s="10"/>
      <c r="J23" s="10"/>
      <c r="K23" s="10"/>
      <c r="L23" s="10"/>
      <c r="M23" s="10"/>
      <c r="N23" s="10"/>
      <c r="O23" s="184"/>
      <c r="P23" s="99"/>
    </row>
    <row r="24" spans="1:16" s="131" customFormat="1" ht="14.45" x14ac:dyDescent="0.35">
      <c r="A24" s="4"/>
      <c r="B24" s="9"/>
      <c r="C24" s="7" t="s">
        <v>1</v>
      </c>
      <c r="D24" s="7"/>
      <c r="E24" s="45">
        <v>150000</v>
      </c>
      <c r="F24" s="45">
        <f>E24</f>
        <v>150000</v>
      </c>
      <c r="G24" s="45">
        <f t="shared" ref="G24:N24" si="16">F24</f>
        <v>150000</v>
      </c>
      <c r="H24" s="45">
        <f t="shared" si="16"/>
        <v>150000</v>
      </c>
      <c r="I24" s="45">
        <f t="shared" si="16"/>
        <v>150000</v>
      </c>
      <c r="J24" s="45">
        <f t="shared" si="16"/>
        <v>150000</v>
      </c>
      <c r="K24" s="45">
        <f t="shared" si="16"/>
        <v>150000</v>
      </c>
      <c r="L24" s="45">
        <f t="shared" si="16"/>
        <v>150000</v>
      </c>
      <c r="M24" s="45">
        <f t="shared" si="16"/>
        <v>150000</v>
      </c>
      <c r="N24" s="45">
        <f t="shared" si="16"/>
        <v>150000</v>
      </c>
      <c r="O24" s="180"/>
      <c r="P24" s="99"/>
    </row>
    <row r="25" spans="1:16" s="131" customFormat="1" ht="14.45" x14ac:dyDescent="0.35">
      <c r="A25" s="4"/>
      <c r="B25" s="9"/>
      <c r="C25" s="7" t="s">
        <v>2</v>
      </c>
      <c r="D25" s="7"/>
      <c r="E25" s="45">
        <v>7</v>
      </c>
      <c r="F25" s="8"/>
      <c r="G25" s="8"/>
      <c r="H25" s="8"/>
      <c r="I25" s="8"/>
      <c r="J25" s="8"/>
      <c r="K25" s="8"/>
      <c r="L25" s="8"/>
      <c r="M25" s="8"/>
      <c r="N25" s="8"/>
      <c r="O25" s="184"/>
      <c r="P25" s="99"/>
    </row>
    <row r="26" spans="1:16" s="131" customFormat="1" ht="14.45" x14ac:dyDescent="0.35">
      <c r="A26" s="4"/>
      <c r="B26" s="9"/>
      <c r="C26" s="7" t="s">
        <v>3</v>
      </c>
      <c r="D26" s="7"/>
      <c r="E26" s="44">
        <f>$E$24/$E$25</f>
        <v>21428.571428571428</v>
      </c>
      <c r="F26" s="10">
        <f t="shared" ref="F26:K26" si="17">$E$24/$E$25</f>
        <v>21428.571428571428</v>
      </c>
      <c r="G26" s="10">
        <f t="shared" si="17"/>
        <v>21428.571428571428</v>
      </c>
      <c r="H26" s="10">
        <f t="shared" si="17"/>
        <v>21428.571428571428</v>
      </c>
      <c r="I26" s="10">
        <f t="shared" si="17"/>
        <v>21428.571428571428</v>
      </c>
      <c r="J26" s="10">
        <f t="shared" si="17"/>
        <v>21428.571428571428</v>
      </c>
      <c r="K26" s="10">
        <f t="shared" si="17"/>
        <v>21428.571428571428</v>
      </c>
      <c r="L26" s="10">
        <v>0</v>
      </c>
      <c r="M26" s="10">
        <v>0</v>
      </c>
      <c r="N26" s="10">
        <v>0</v>
      </c>
      <c r="O26" s="184"/>
      <c r="P26" s="99"/>
    </row>
    <row r="27" spans="1:16" s="131" customFormat="1" ht="14.45" x14ac:dyDescent="0.35">
      <c r="A27" s="4"/>
      <c r="B27" s="7"/>
      <c r="C27" s="7"/>
      <c r="D27" s="7"/>
      <c r="E27" s="45"/>
      <c r="F27" s="8"/>
      <c r="G27" s="8"/>
      <c r="H27" s="8"/>
      <c r="I27" s="3"/>
      <c r="J27" s="3"/>
      <c r="K27" s="3"/>
      <c r="L27" s="3"/>
      <c r="M27" s="3"/>
      <c r="N27" s="3"/>
      <c r="O27" s="178"/>
      <c r="P27" s="99"/>
    </row>
    <row r="28" spans="1:16" s="131" customFormat="1" ht="14.45" x14ac:dyDescent="0.35">
      <c r="A28" s="4"/>
      <c r="B28" s="1" t="s">
        <v>4</v>
      </c>
      <c r="C28" s="2"/>
      <c r="D28" s="2"/>
      <c r="E28" s="45"/>
      <c r="F28" s="6"/>
      <c r="G28" s="6"/>
      <c r="H28" s="6"/>
      <c r="I28" s="3"/>
      <c r="J28" s="3"/>
      <c r="K28" s="3"/>
      <c r="L28" s="3"/>
      <c r="M28" s="3"/>
      <c r="N28" s="3"/>
      <c r="O28" s="178"/>
      <c r="P28" s="99"/>
    </row>
    <row r="29" spans="1:16" s="131" customFormat="1" ht="14.45" x14ac:dyDescent="0.35">
      <c r="A29" s="4"/>
      <c r="B29" s="2"/>
      <c r="C29" s="2" t="s">
        <v>5</v>
      </c>
      <c r="D29" s="2"/>
      <c r="E29" s="45">
        <v>400000</v>
      </c>
      <c r="F29" s="6"/>
      <c r="G29" s="6"/>
      <c r="H29" s="6"/>
      <c r="I29" s="3"/>
      <c r="J29" s="3"/>
      <c r="K29" s="3"/>
      <c r="L29" s="3"/>
      <c r="M29" s="3"/>
      <c r="N29" s="3"/>
      <c r="O29" s="178"/>
      <c r="P29" s="99"/>
    </row>
    <row r="30" spans="1:16" s="131" customFormat="1" ht="14.45" x14ac:dyDescent="0.35">
      <c r="A30" s="4"/>
      <c r="B30" s="2"/>
      <c r="C30" s="2" t="s">
        <v>6</v>
      </c>
      <c r="D30" s="2"/>
      <c r="E30" s="122">
        <v>30</v>
      </c>
      <c r="F30" s="6"/>
      <c r="G30" s="6"/>
      <c r="H30" s="6"/>
      <c r="I30" s="3"/>
      <c r="J30" s="3"/>
      <c r="K30" s="3"/>
      <c r="L30" s="3"/>
      <c r="M30" s="3"/>
      <c r="N30" s="3"/>
      <c r="O30" s="178"/>
      <c r="P30" s="99"/>
    </row>
    <row r="31" spans="1:16" s="131" customFormat="1" ht="14.45" x14ac:dyDescent="0.35">
      <c r="A31" s="4"/>
      <c r="B31" s="2"/>
      <c r="C31" s="2" t="s">
        <v>7</v>
      </c>
      <c r="D31" s="2"/>
      <c r="E31" s="11">
        <v>7.0000000000000007E-2</v>
      </c>
      <c r="F31" s="6"/>
      <c r="G31" s="6"/>
      <c r="H31" s="6"/>
      <c r="I31" s="3"/>
      <c r="J31" s="3"/>
      <c r="K31" s="3"/>
      <c r="L31" s="3"/>
      <c r="M31" s="3"/>
      <c r="N31" s="3"/>
      <c r="O31" s="178"/>
      <c r="P31" s="99"/>
    </row>
    <row r="32" spans="1:16" s="131" customFormat="1" ht="14.45" x14ac:dyDescent="0.35">
      <c r="A32" s="4"/>
      <c r="B32" s="1" t="s">
        <v>8</v>
      </c>
      <c r="C32" s="2"/>
      <c r="D32" s="2"/>
      <c r="E32" s="46"/>
      <c r="F32" s="6"/>
      <c r="G32" s="6"/>
      <c r="H32" s="6"/>
      <c r="I32" s="3"/>
      <c r="J32" s="3"/>
      <c r="K32" s="3"/>
      <c r="L32" s="3"/>
      <c r="M32" s="3"/>
      <c r="N32" s="3"/>
      <c r="O32" s="178"/>
      <c r="P32" s="99"/>
    </row>
    <row r="33" spans="1:20" s="131" customFormat="1" ht="14.45" x14ac:dyDescent="0.35">
      <c r="A33" s="4"/>
      <c r="B33" s="2"/>
      <c r="C33" s="2" t="s">
        <v>124</v>
      </c>
      <c r="D33" s="2"/>
      <c r="E33" s="51">
        <v>120</v>
      </c>
      <c r="F33" s="12">
        <f>E33*(1+$P$33)</f>
        <v>126</v>
      </c>
      <c r="G33" s="52">
        <f>F33*(1+$P$33)</f>
        <v>132.30000000000001</v>
      </c>
      <c r="H33" s="52">
        <f>G33*(1+$P$33)</f>
        <v>138.91500000000002</v>
      </c>
      <c r="I33" s="52">
        <f t="shared" ref="I33:N33" si="18">H33*(1+$Q$33)</f>
        <v>143.08245000000002</v>
      </c>
      <c r="J33" s="52">
        <f t="shared" si="18"/>
        <v>147.37492350000002</v>
      </c>
      <c r="K33" s="52">
        <f t="shared" si="18"/>
        <v>151.79617120500004</v>
      </c>
      <c r="L33" s="52">
        <f t="shared" si="18"/>
        <v>156.35005634115004</v>
      </c>
      <c r="M33" s="52">
        <f t="shared" si="18"/>
        <v>161.04055803138453</v>
      </c>
      <c r="N33" s="52">
        <f t="shared" si="18"/>
        <v>165.87177477232606</v>
      </c>
      <c r="O33" s="185"/>
      <c r="P33" s="99">
        <v>0.05</v>
      </c>
      <c r="Q33" s="150">
        <v>0.03</v>
      </c>
    </row>
    <row r="34" spans="1:20" s="131" customFormat="1" ht="14.45" x14ac:dyDescent="0.35">
      <c r="A34" s="4"/>
      <c r="B34" s="2"/>
      <c r="C34" s="2" t="s">
        <v>9</v>
      </c>
      <c r="D34" s="2"/>
      <c r="E34" s="51">
        <v>190</v>
      </c>
      <c r="F34" s="52">
        <f>E34*(1+$P$34)</f>
        <v>186.2</v>
      </c>
      <c r="G34" s="52">
        <f>F34*(1+$P$34)</f>
        <v>182.476</v>
      </c>
      <c r="H34" s="52">
        <f>G34*(1+$P$34)</f>
        <v>178.82648</v>
      </c>
      <c r="I34" s="52">
        <f t="shared" ref="I34:N34" si="19">H34*(1+$Q$34)</f>
        <v>177.0382152</v>
      </c>
      <c r="J34" s="52">
        <f t="shared" si="19"/>
        <v>175.267833048</v>
      </c>
      <c r="K34" s="52">
        <f t="shared" si="19"/>
        <v>173.51515471752001</v>
      </c>
      <c r="L34" s="52">
        <f t="shared" si="19"/>
        <v>171.7800031703448</v>
      </c>
      <c r="M34" s="52">
        <f t="shared" si="19"/>
        <v>170.06220313864134</v>
      </c>
      <c r="N34" s="52">
        <f t="shared" si="19"/>
        <v>168.36158110725492</v>
      </c>
      <c r="O34" s="185"/>
      <c r="P34" s="99">
        <v>-0.02</v>
      </c>
      <c r="Q34" s="150">
        <v>-0.01</v>
      </c>
    </row>
    <row r="35" spans="1:20" s="131" customFormat="1" ht="14.45" x14ac:dyDescent="0.35">
      <c r="A35" s="4"/>
      <c r="B35" s="2"/>
      <c r="C35" s="2" t="s">
        <v>97</v>
      </c>
      <c r="D35" s="2"/>
      <c r="E35" s="51">
        <v>20</v>
      </c>
      <c r="F35" s="12">
        <v>20</v>
      </c>
      <c r="G35" s="12">
        <v>20</v>
      </c>
      <c r="H35" s="12">
        <v>20</v>
      </c>
      <c r="I35" s="12">
        <v>20</v>
      </c>
      <c r="J35" s="12">
        <v>20</v>
      </c>
      <c r="K35" s="12">
        <v>20</v>
      </c>
      <c r="L35" s="12">
        <v>20</v>
      </c>
      <c r="M35" s="12">
        <v>20</v>
      </c>
      <c r="N35" s="12">
        <v>20</v>
      </c>
      <c r="O35" s="186"/>
      <c r="P35" s="99"/>
    </row>
    <row r="36" spans="1:20" s="131" customFormat="1" ht="14.45" x14ac:dyDescent="0.35">
      <c r="A36" s="4"/>
      <c r="B36" s="2"/>
      <c r="C36" s="2"/>
      <c r="D36" s="2"/>
      <c r="E36" s="44"/>
      <c r="F36" s="13"/>
      <c r="G36" s="13"/>
      <c r="H36" s="13"/>
      <c r="I36" s="3"/>
      <c r="J36" s="3"/>
      <c r="K36" s="3"/>
      <c r="L36" s="3"/>
      <c r="M36" s="3"/>
      <c r="N36" s="3"/>
      <c r="O36" s="178"/>
      <c r="P36" s="99"/>
    </row>
    <row r="37" spans="1:20" s="131" customFormat="1" ht="15.6" x14ac:dyDescent="0.35">
      <c r="A37" s="4"/>
      <c r="B37" s="156"/>
      <c r="C37" s="156"/>
      <c r="D37" s="156"/>
      <c r="E37" s="157">
        <v>2014</v>
      </c>
      <c r="F37" s="155">
        <v>2015</v>
      </c>
      <c r="G37" s="155">
        <v>2016</v>
      </c>
      <c r="H37" s="155">
        <v>2017</v>
      </c>
      <c r="I37" s="155">
        <v>2018</v>
      </c>
      <c r="J37" s="155">
        <v>2019</v>
      </c>
      <c r="K37" s="155">
        <v>2020</v>
      </c>
      <c r="L37" s="155">
        <v>2021</v>
      </c>
      <c r="M37" s="155">
        <v>2022</v>
      </c>
      <c r="N37" s="155">
        <v>2023</v>
      </c>
      <c r="O37" s="176"/>
      <c r="P37" s="99"/>
      <c r="Q37" s="135"/>
      <c r="R37" s="135"/>
      <c r="S37" s="135"/>
      <c r="T37" s="135"/>
    </row>
    <row r="38" spans="1:20" s="131" customFormat="1" ht="15.6" x14ac:dyDescent="0.35">
      <c r="A38" s="4"/>
      <c r="B38" s="158" t="s">
        <v>10</v>
      </c>
      <c r="C38" s="158"/>
      <c r="D38" s="158"/>
      <c r="E38" s="159"/>
      <c r="F38" s="155"/>
      <c r="G38" s="155"/>
      <c r="H38" s="155"/>
      <c r="I38" s="155"/>
      <c r="J38" s="155"/>
      <c r="K38" s="155"/>
      <c r="L38" s="155"/>
      <c r="M38" s="155"/>
      <c r="N38" s="155"/>
      <c r="O38" s="176"/>
      <c r="P38" s="99"/>
      <c r="Q38" s="135"/>
      <c r="R38" s="135"/>
      <c r="S38" s="135"/>
      <c r="T38" s="135"/>
    </row>
    <row r="39" spans="1:20" s="131" customFormat="1" ht="14.45" x14ac:dyDescent="0.35">
      <c r="A39" s="4"/>
      <c r="B39" s="65" t="s">
        <v>11</v>
      </c>
      <c r="C39" s="65"/>
      <c r="D39" s="65"/>
      <c r="E39" s="48"/>
      <c r="F39" s="66"/>
      <c r="G39" s="66"/>
      <c r="H39" s="66"/>
      <c r="I39" s="66"/>
      <c r="J39" s="66"/>
      <c r="K39" s="66"/>
      <c r="L39" s="66"/>
      <c r="M39" s="66"/>
      <c r="N39" s="66"/>
      <c r="O39" s="187"/>
      <c r="P39" s="99"/>
      <c r="Q39" s="135"/>
      <c r="R39" s="135"/>
      <c r="S39" s="135"/>
      <c r="T39" s="135"/>
    </row>
    <row r="40" spans="1:20" s="131" customFormat="1" ht="14.45" x14ac:dyDescent="0.35">
      <c r="A40" s="4"/>
      <c r="B40" s="65"/>
      <c r="C40" s="65" t="s">
        <v>80</v>
      </c>
      <c r="D40" s="67"/>
      <c r="E40" s="48">
        <f>E11</f>
        <v>81000</v>
      </c>
      <c r="F40" s="48">
        <f t="shared" ref="F40:N40" si="20">F11</f>
        <v>69768</v>
      </c>
      <c r="G40" s="48">
        <f t="shared" si="20"/>
        <v>60114.622500000012</v>
      </c>
      <c r="H40" s="48">
        <f t="shared" si="20"/>
        <v>51815.843943750006</v>
      </c>
      <c r="I40" s="48">
        <f t="shared" si="20"/>
        <v>48230.337734365508</v>
      </c>
      <c r="J40" s="48">
        <f t="shared" si="20"/>
        <v>46124.882007483153</v>
      </c>
      <c r="K40" s="48">
        <f t="shared" si="20"/>
        <v>44142.362001123867</v>
      </c>
      <c r="L40" s="48">
        <f t="shared" si="20"/>
        <v>42276.109299607189</v>
      </c>
      <c r="M40" s="48">
        <f t="shared" si="20"/>
        <v>40519.823463473353</v>
      </c>
      <c r="N40" s="48">
        <f t="shared" si="20"/>
        <v>38867.551806613381</v>
      </c>
      <c r="O40" s="180"/>
      <c r="P40" s="99"/>
      <c r="Q40" s="135"/>
      <c r="R40" s="135"/>
      <c r="S40" s="135"/>
      <c r="T40" s="135"/>
    </row>
    <row r="41" spans="1:20" s="131" customFormat="1" ht="14.45" x14ac:dyDescent="0.35">
      <c r="A41" s="4"/>
      <c r="B41" s="65"/>
      <c r="C41" s="65" t="s">
        <v>81</v>
      </c>
      <c r="D41" s="67"/>
      <c r="E41" s="48">
        <f>E17</f>
        <v>94500</v>
      </c>
      <c r="F41" s="21">
        <f>F17</f>
        <v>98317.800000000017</v>
      </c>
      <c r="G41" s="21">
        <f>G17</f>
        <v>102289.83912000002</v>
      </c>
      <c r="H41" s="21">
        <f>H17</f>
        <v>106422.34862044801</v>
      </c>
      <c r="I41" s="21">
        <f t="shared" ref="I41:N41" si="21">I17</f>
        <v>98068.194253742855</v>
      </c>
      <c r="J41" s="21">
        <f t="shared" si="21"/>
        <v>90369.841004824033</v>
      </c>
      <c r="K41" s="21">
        <f t="shared" si="21"/>
        <v>83275.808485945337</v>
      </c>
      <c r="L41" s="21">
        <f t="shared" si="21"/>
        <v>76738.657519798624</v>
      </c>
      <c r="M41" s="21">
        <f t="shared" si="21"/>
        <v>70714.672904494422</v>
      </c>
      <c r="N41" s="21">
        <f t="shared" si="21"/>
        <v>65163.571081491609</v>
      </c>
      <c r="O41" s="188"/>
      <c r="P41" s="99"/>
      <c r="Q41" s="136"/>
      <c r="R41" s="135"/>
      <c r="S41" s="135"/>
      <c r="T41" s="135"/>
    </row>
    <row r="42" spans="1:20" s="131" customFormat="1" ht="14.45" x14ac:dyDescent="0.35">
      <c r="A42" s="4"/>
      <c r="B42" s="65"/>
      <c r="C42" s="65"/>
      <c r="D42" s="67"/>
      <c r="E42" s="48"/>
      <c r="F42" s="21"/>
      <c r="G42" s="21"/>
      <c r="H42" s="21"/>
      <c r="I42" s="21"/>
      <c r="J42" s="21"/>
      <c r="K42" s="21"/>
      <c r="L42" s="21"/>
      <c r="M42" s="21"/>
      <c r="N42" s="21"/>
      <c r="O42" s="188"/>
      <c r="P42" s="99"/>
      <c r="Q42" s="136"/>
      <c r="R42" s="135"/>
      <c r="S42" s="135"/>
      <c r="T42" s="135"/>
    </row>
    <row r="43" spans="1:20" s="131" customFormat="1" ht="14.45" x14ac:dyDescent="0.35">
      <c r="A43" s="4"/>
      <c r="B43" s="65" t="s">
        <v>12</v>
      </c>
      <c r="C43" s="65"/>
      <c r="D43" s="67"/>
      <c r="E43" s="48">
        <f t="shared" ref="E43:N43" si="22">E8*E9</f>
        <v>37799.999999999993</v>
      </c>
      <c r="F43" s="48">
        <f t="shared" si="22"/>
        <v>32318.999999999996</v>
      </c>
      <c r="G43" s="48">
        <f t="shared" si="22"/>
        <v>27632.744999999999</v>
      </c>
      <c r="H43" s="48">
        <f t="shared" si="22"/>
        <v>23625.996975000002</v>
      </c>
      <c r="I43" s="48">
        <f t="shared" si="22"/>
        <v>23602.370978025003</v>
      </c>
      <c r="J43" s="48">
        <f t="shared" si="22"/>
        <v>22304.240574233627</v>
      </c>
      <c r="K43" s="48">
        <f t="shared" si="22"/>
        <v>21077.507342650777</v>
      </c>
      <c r="L43" s="48">
        <f t="shared" si="22"/>
        <v>19918.244438804988</v>
      </c>
      <c r="M43" s="48">
        <f t="shared" si="22"/>
        <v>18822.740994670716</v>
      </c>
      <c r="N43" s="48">
        <f t="shared" si="22"/>
        <v>17787.490239963827</v>
      </c>
      <c r="O43" s="180"/>
      <c r="P43" s="99"/>
      <c r="Q43" s="135"/>
      <c r="R43" s="135"/>
      <c r="S43" s="135"/>
      <c r="T43" s="135"/>
    </row>
    <row r="44" spans="1:20" s="131" customFormat="1" ht="14.45" x14ac:dyDescent="0.35">
      <c r="A44" s="4"/>
      <c r="B44" s="65"/>
      <c r="C44" s="65"/>
      <c r="D44" s="67"/>
      <c r="E44" s="48"/>
      <c r="F44" s="21"/>
      <c r="G44" s="21"/>
      <c r="H44" s="21"/>
      <c r="I44" s="21"/>
      <c r="J44" s="21"/>
      <c r="K44" s="21"/>
      <c r="L44" s="21"/>
      <c r="M44" s="21"/>
      <c r="N44" s="21"/>
      <c r="O44" s="188"/>
      <c r="P44" s="99"/>
      <c r="Q44" s="135"/>
      <c r="R44" s="135"/>
      <c r="S44" s="135"/>
      <c r="T44" s="135"/>
    </row>
    <row r="45" spans="1:20" s="131" customFormat="1" ht="14.45" x14ac:dyDescent="0.35">
      <c r="A45" s="4"/>
      <c r="B45" s="65" t="s">
        <v>13</v>
      </c>
      <c r="C45" s="65"/>
      <c r="D45" s="67"/>
      <c r="E45" s="48"/>
      <c r="F45" s="21"/>
      <c r="G45" s="21"/>
      <c r="H45" s="21"/>
      <c r="I45" s="21"/>
      <c r="J45" s="21"/>
      <c r="K45" s="21"/>
      <c r="L45" s="21"/>
      <c r="M45" s="21"/>
      <c r="N45" s="21"/>
      <c r="O45" s="188"/>
      <c r="P45" s="99"/>
      <c r="Q45" s="135"/>
      <c r="R45" s="135"/>
      <c r="S45" s="135"/>
      <c r="T45" s="135"/>
    </row>
    <row r="46" spans="1:20" s="131" customFormat="1" ht="14.45" x14ac:dyDescent="0.35">
      <c r="A46" s="4"/>
      <c r="B46" s="65"/>
      <c r="C46" s="65" t="s">
        <v>82</v>
      </c>
      <c r="D46" s="67"/>
      <c r="E46" s="48">
        <v>45000</v>
      </c>
      <c r="F46" s="21">
        <f>E46*(1+$P$46)</f>
        <v>47250</v>
      </c>
      <c r="G46" s="21">
        <f t="shared" ref="G46:H46" si="23">F46*(1+$P$46)</f>
        <v>49612.5</v>
      </c>
      <c r="H46" s="21">
        <f t="shared" si="23"/>
        <v>52093.125</v>
      </c>
      <c r="I46" s="21">
        <f>H46*(1+$Q$46)</f>
        <v>53134.987500000003</v>
      </c>
      <c r="J46" s="21">
        <f t="shared" ref="J46:N46" si="24">I46*(1+$Q$46)</f>
        <v>54197.687250000003</v>
      </c>
      <c r="K46" s="21">
        <f t="shared" si="24"/>
        <v>55281.640995000002</v>
      </c>
      <c r="L46" s="21">
        <f t="shared" si="24"/>
        <v>56387.2738149</v>
      </c>
      <c r="M46" s="21">
        <f t="shared" si="24"/>
        <v>57515.019291197998</v>
      </c>
      <c r="N46" s="21">
        <f t="shared" si="24"/>
        <v>58665.319677021958</v>
      </c>
      <c r="O46" s="188"/>
      <c r="P46" s="99">
        <v>0.05</v>
      </c>
      <c r="Q46" s="15">
        <v>0.02</v>
      </c>
      <c r="R46" s="135"/>
      <c r="S46" s="135"/>
      <c r="T46" s="135"/>
    </row>
    <row r="47" spans="1:20" s="131" customFormat="1" ht="14.45" x14ac:dyDescent="0.35">
      <c r="A47" s="4"/>
      <c r="B47" s="65"/>
      <c r="C47" s="65" t="s">
        <v>83</v>
      </c>
      <c r="D47" s="67"/>
      <c r="E47" s="48">
        <v>9000</v>
      </c>
      <c r="F47" s="21">
        <f>E47*(1+$P$47)</f>
        <v>9857.1428571428587</v>
      </c>
      <c r="G47" s="21">
        <f t="shared" ref="G47:H47" si="25">F47*(1+$P$47)</f>
        <v>10795.918367346942</v>
      </c>
      <c r="H47" s="21">
        <f t="shared" si="25"/>
        <v>11824.101068999033</v>
      </c>
      <c r="I47" s="21">
        <f>H47*(1+$Q$47)</f>
        <v>12651.788143828966</v>
      </c>
      <c r="J47" s="21">
        <f t="shared" ref="J47:N47" si="26">I47*(1+$Q$47)</f>
        <v>13537.413313896994</v>
      </c>
      <c r="K47" s="21">
        <f t="shared" si="26"/>
        <v>14485.032245869785</v>
      </c>
      <c r="L47" s="21">
        <f t="shared" si="26"/>
        <v>15498.98450308067</v>
      </c>
      <c r="M47" s="21">
        <f t="shared" si="26"/>
        <v>16583.913418296317</v>
      </c>
      <c r="N47" s="21">
        <f t="shared" si="26"/>
        <v>17744.787357577061</v>
      </c>
      <c r="O47" s="188"/>
      <c r="P47" s="99">
        <f>E47/E17</f>
        <v>9.5238095238095233E-2</v>
      </c>
      <c r="Q47" s="15">
        <v>7.0000000000000007E-2</v>
      </c>
      <c r="R47" s="135"/>
      <c r="S47" s="135"/>
      <c r="T47" s="135"/>
    </row>
    <row r="48" spans="1:20" s="131" customFormat="1" ht="14.45" x14ac:dyDescent="0.35">
      <c r="A48" s="4"/>
      <c r="B48" s="65"/>
      <c r="C48" s="65" t="s">
        <v>14</v>
      </c>
      <c r="D48" s="67"/>
      <c r="E48" s="48">
        <v>5000</v>
      </c>
      <c r="F48" s="21">
        <f>E48*(1+$P$48)</f>
        <v>5151.7911353976933</v>
      </c>
      <c r="G48" s="21">
        <f t="shared" ref="G48:H48" si="27">F48*(1+$P$48)</f>
        <v>5308.1903805524507</v>
      </c>
      <c r="H48" s="21">
        <f t="shared" si="27"/>
        <v>5469.3376295066846</v>
      </c>
      <c r="I48" s="21">
        <f>H48*(1+$Q$48)</f>
        <v>5524.0310058017512</v>
      </c>
      <c r="J48" s="21">
        <f t="shared" ref="J48:N48" si="28">I48*(1+$Q$48)</f>
        <v>5579.2713158597689</v>
      </c>
      <c r="K48" s="21">
        <f t="shared" si="28"/>
        <v>5635.0640290183665</v>
      </c>
      <c r="L48" s="21">
        <f t="shared" si="28"/>
        <v>5691.4146693085504</v>
      </c>
      <c r="M48" s="21">
        <f t="shared" si="28"/>
        <v>5748.3288160016364</v>
      </c>
      <c r="N48" s="21">
        <f t="shared" si="28"/>
        <v>5805.8121041616532</v>
      </c>
      <c r="O48" s="189"/>
      <c r="P48" s="99">
        <f>E48/(E17+E10)</f>
        <v>3.0358227079538554E-2</v>
      </c>
      <c r="Q48" s="15">
        <v>0.01</v>
      </c>
      <c r="R48" s="135"/>
      <c r="S48" s="135"/>
      <c r="T48" s="135"/>
    </row>
    <row r="49" spans="1:20" s="131" customFormat="1" ht="14.45" x14ac:dyDescent="0.35">
      <c r="A49" s="4"/>
      <c r="B49" s="65"/>
      <c r="C49" s="65"/>
      <c r="D49" s="67"/>
      <c r="E49" s="48"/>
      <c r="F49" s="21"/>
      <c r="G49" s="21"/>
      <c r="H49" s="21"/>
      <c r="I49" s="21"/>
      <c r="J49" s="21"/>
      <c r="K49" s="21"/>
      <c r="L49" s="21"/>
      <c r="M49" s="21"/>
      <c r="N49" s="21"/>
      <c r="O49" s="188"/>
      <c r="P49" s="99"/>
      <c r="Q49" s="135"/>
      <c r="R49" s="135"/>
      <c r="S49" s="135"/>
      <c r="T49" s="135"/>
    </row>
    <row r="50" spans="1:20" s="131" customFormat="1" ht="14.45" x14ac:dyDescent="0.35">
      <c r="A50" s="4"/>
      <c r="B50" s="65" t="s">
        <v>15</v>
      </c>
      <c r="C50" s="65"/>
      <c r="D50" s="67"/>
      <c r="E50" s="48">
        <f>IF(E22&lt;0,0,E22+E26)</f>
        <v>32261.904761904763</v>
      </c>
      <c r="F50" s="48">
        <f t="shared" ref="F50:N50" si="29">IF(F22&lt;0,0,F22+F26)</f>
        <v>32261.904761904763</v>
      </c>
      <c r="G50" s="48">
        <f t="shared" si="29"/>
        <v>32261.904761904763</v>
      </c>
      <c r="H50" s="48">
        <f t="shared" si="29"/>
        <v>32261.904761904763</v>
      </c>
      <c r="I50" s="48">
        <f t="shared" si="29"/>
        <v>32261.904761904763</v>
      </c>
      <c r="J50" s="48">
        <f>IF(J22&lt;0,0,J22+J26)</f>
        <v>32261.904761904763</v>
      </c>
      <c r="K50" s="48">
        <f t="shared" si="29"/>
        <v>32261.904761904763</v>
      </c>
      <c r="L50" s="48">
        <f t="shared" si="29"/>
        <v>10833.333333333334</v>
      </c>
      <c r="M50" s="48">
        <f t="shared" si="29"/>
        <v>10833.333333333334</v>
      </c>
      <c r="N50" s="48">
        <f t="shared" si="29"/>
        <v>10833.333333333334</v>
      </c>
      <c r="O50" s="180"/>
      <c r="P50" s="99"/>
      <c r="Q50" s="135"/>
      <c r="R50" s="135"/>
      <c r="S50" s="135"/>
      <c r="T50" s="135"/>
    </row>
    <row r="51" spans="1:20" s="131" customFormat="1" ht="14.45" x14ac:dyDescent="0.35">
      <c r="A51" s="4"/>
      <c r="B51" s="65" t="s">
        <v>16</v>
      </c>
      <c r="C51" s="65"/>
      <c r="D51" s="67"/>
      <c r="E51" s="48">
        <f>SUM('Amort Table'!D8:D19)</f>
        <v>27871.280451420669</v>
      </c>
      <c r="F51" s="21">
        <f>SUM('Amort Table'!D20:D31)</f>
        <v>27577.548552643482</v>
      </c>
      <c r="G51" s="21">
        <f>SUM('Amort Table'!D32:D43)</f>
        <v>27262.582751153637</v>
      </c>
      <c r="H51" s="21">
        <f>SUM('Amort Table'!D44:D55)</f>
        <v>26924.848046407136</v>
      </c>
      <c r="I51" s="21">
        <f>SUM('Amort Table'!D56:D67)</f>
        <v>26562.698472546563</v>
      </c>
      <c r="J51" s="21">
        <f>SUM('Amort Table'!D68:D79)</f>
        <v>26174.36907670955</v>
      </c>
      <c r="K51" s="21">
        <f>SUM('Amort Table'!D80:D91)</f>
        <v>25757.967317448638</v>
      </c>
      <c r="L51" s="21">
        <f>SUM('Amort Table'!D92:D103)</f>
        <v>25311.46384134208</v>
      </c>
      <c r="M51" s="21">
        <f>SUM('Amort Table'!D104:D115)</f>
        <v>24832.682592845176</v>
      </c>
      <c r="N51" s="21">
        <f>SUM('Amort Table'!D116:D127)</f>
        <v>24319.290209181989</v>
      </c>
      <c r="O51" s="188"/>
      <c r="P51" s="99"/>
      <c r="Q51" s="135"/>
      <c r="R51" s="135"/>
      <c r="S51" s="135"/>
      <c r="T51" s="135"/>
    </row>
    <row r="52" spans="1:20" s="131" customFormat="1" ht="14.45" x14ac:dyDescent="0.35">
      <c r="A52" s="19"/>
      <c r="B52" s="16" t="s">
        <v>17</v>
      </c>
      <c r="C52" s="17"/>
      <c r="D52" s="18"/>
      <c r="E52" s="47">
        <f>$P$52*E77</f>
        <v>14800.72218513296</v>
      </c>
      <c r="F52" s="47">
        <f>$P$52*F77</f>
        <v>11424.103373290889</v>
      </c>
      <c r="G52" s="47">
        <f>$P$52*G77</f>
        <v>8150.204850428865</v>
      </c>
      <c r="H52" s="47">
        <f>$P$52*H77</f>
        <v>4926.904664801953</v>
      </c>
      <c r="I52" s="47">
        <f t="shared" ref="I52:N52" si="30">$Q$52*I77</f>
        <v>1486.3056568713496</v>
      </c>
      <c r="J52" s="47">
        <f t="shared" si="30"/>
        <v>1111.8578478407737</v>
      </c>
      <c r="K52" s="47">
        <f t="shared" si="30"/>
        <v>1351.6485060502741</v>
      </c>
      <c r="L52" s="47">
        <f t="shared" si="30"/>
        <v>2211.9903057874249</v>
      </c>
      <c r="M52" s="47">
        <f t="shared" si="30"/>
        <v>3702.881592715738</v>
      </c>
      <c r="N52" s="47">
        <f t="shared" si="30"/>
        <v>5838.0348683435814</v>
      </c>
      <c r="O52" s="189"/>
      <c r="P52" s="99">
        <v>0.12</v>
      </c>
      <c r="Q52" s="15">
        <v>0.06</v>
      </c>
      <c r="R52" s="135"/>
      <c r="S52" s="135"/>
      <c r="T52" s="135"/>
    </row>
    <row r="53" spans="1:20" s="131" customFormat="1" ht="14.45" x14ac:dyDescent="0.35">
      <c r="A53" s="4"/>
      <c r="B53" s="65"/>
      <c r="C53" s="65"/>
      <c r="D53" s="67"/>
      <c r="E53" s="48"/>
      <c r="F53" s="21"/>
      <c r="G53" s="21"/>
      <c r="H53" s="21"/>
      <c r="I53" s="61"/>
      <c r="J53" s="61"/>
      <c r="K53" s="61"/>
      <c r="L53" s="61"/>
      <c r="M53" s="61"/>
      <c r="N53" s="61"/>
      <c r="O53" s="178"/>
      <c r="P53" s="99"/>
      <c r="Q53" s="137"/>
      <c r="R53" s="135"/>
      <c r="S53" s="135"/>
      <c r="T53" s="135"/>
    </row>
    <row r="54" spans="1:20" s="131" customFormat="1" ht="14.45" x14ac:dyDescent="0.35">
      <c r="A54" s="4"/>
      <c r="B54" s="65" t="s">
        <v>18</v>
      </c>
      <c r="C54" s="65"/>
      <c r="D54" s="67"/>
      <c r="E54" s="48">
        <f t="shared" ref="E54:N54" si="31">SUM(E40:E41)-SUM(E43:E53)</f>
        <v>3766.0926015416044</v>
      </c>
      <c r="F54" s="21">
        <f t="shared" si="31"/>
        <v>2244.3093196203408</v>
      </c>
      <c r="G54" s="21">
        <f t="shared" si="31"/>
        <v>1380.4155086133687</v>
      </c>
      <c r="H54" s="21">
        <f t="shared" si="31"/>
        <v>1111.974417578429</v>
      </c>
      <c r="I54" s="21">
        <f t="shared" si="31"/>
        <v>-8925.554530870053</v>
      </c>
      <c r="J54" s="21">
        <f t="shared" si="31"/>
        <v>-18672.021128138294</v>
      </c>
      <c r="K54" s="21">
        <f t="shared" si="31"/>
        <v>-28432.594710873382</v>
      </c>
      <c r="L54" s="21">
        <f t="shared" si="31"/>
        <v>-16837.93808715124</v>
      </c>
      <c r="M54" s="21">
        <f t="shared" si="31"/>
        <v>-26804.40367109314</v>
      </c>
      <c r="N54" s="21">
        <f t="shared" si="31"/>
        <v>-36962.944901478419</v>
      </c>
      <c r="O54" s="188"/>
      <c r="P54" s="99"/>
      <c r="Q54" s="137"/>
      <c r="R54" s="135"/>
      <c r="S54" s="135"/>
      <c r="T54" s="135"/>
    </row>
    <row r="55" spans="1:20" s="131" customFormat="1" ht="14.45" x14ac:dyDescent="0.35">
      <c r="A55" s="4"/>
      <c r="B55" s="65" t="s">
        <v>19</v>
      </c>
      <c r="C55" s="65"/>
      <c r="D55" s="67"/>
      <c r="E55" s="48">
        <f>IF(E54&lt;0,0,E54*$P$55)</f>
        <v>753.21852030832088</v>
      </c>
      <c r="F55" s="20">
        <f>IF(F54&lt;0,0,F54*$P$55)</f>
        <v>448.86186392406819</v>
      </c>
      <c r="G55" s="20">
        <f>IF(G54&lt;0,0,G54*$P$55)</f>
        <v>276.08310172267375</v>
      </c>
      <c r="H55" s="20">
        <f>IF(H54&lt;0,0,H54*$P$55)</f>
        <v>222.39488351568582</v>
      </c>
      <c r="I55" s="20">
        <f t="shared" ref="I55:N55" si="32">IF(I54&lt;0,0,I54*$Q$55)</f>
        <v>0</v>
      </c>
      <c r="J55" s="20">
        <f t="shared" si="32"/>
        <v>0</v>
      </c>
      <c r="K55" s="20">
        <f t="shared" si="32"/>
        <v>0</v>
      </c>
      <c r="L55" s="20">
        <f t="shared" si="32"/>
        <v>0</v>
      </c>
      <c r="M55" s="20">
        <f t="shared" si="32"/>
        <v>0</v>
      </c>
      <c r="N55" s="20">
        <f t="shared" si="32"/>
        <v>0</v>
      </c>
      <c r="O55" s="190"/>
      <c r="P55" s="99">
        <v>0.2</v>
      </c>
      <c r="Q55" s="15">
        <v>0.22</v>
      </c>
      <c r="R55" s="135"/>
      <c r="S55" s="135"/>
      <c r="T55" s="135"/>
    </row>
    <row r="56" spans="1:20" s="131" customFormat="1" ht="14.45" x14ac:dyDescent="0.35">
      <c r="A56" s="4"/>
      <c r="B56" s="65" t="s">
        <v>20</v>
      </c>
      <c r="C56" s="65"/>
      <c r="D56" s="67"/>
      <c r="E56" s="48">
        <f>E54-E55</f>
        <v>3012.8740812332835</v>
      </c>
      <c r="F56" s="21">
        <f>F54-F55</f>
        <v>1795.4474556962728</v>
      </c>
      <c r="G56" s="21">
        <f>G54-G55</f>
        <v>1104.332406890695</v>
      </c>
      <c r="H56" s="21">
        <f>H54-H55</f>
        <v>889.57953406274316</v>
      </c>
      <c r="I56" s="21">
        <f t="shared" ref="I56:N56" si="33">I54-I55</f>
        <v>-8925.554530870053</v>
      </c>
      <c r="J56" s="21">
        <f t="shared" si="33"/>
        <v>-18672.021128138294</v>
      </c>
      <c r="K56" s="21">
        <f t="shared" si="33"/>
        <v>-28432.594710873382</v>
      </c>
      <c r="L56" s="21">
        <f t="shared" si="33"/>
        <v>-16837.93808715124</v>
      </c>
      <c r="M56" s="21">
        <f t="shared" si="33"/>
        <v>-26804.40367109314</v>
      </c>
      <c r="N56" s="21">
        <f t="shared" si="33"/>
        <v>-36962.944901478419</v>
      </c>
      <c r="O56" s="188"/>
      <c r="P56" s="99"/>
      <c r="Q56" s="135"/>
      <c r="R56" s="135"/>
      <c r="S56" s="135"/>
      <c r="T56" s="135"/>
    </row>
    <row r="57" spans="1:20" s="131" customFormat="1" ht="14.45" x14ac:dyDescent="0.35">
      <c r="A57" s="4"/>
      <c r="B57" s="65"/>
      <c r="C57" s="65"/>
      <c r="D57" s="67"/>
      <c r="E57" s="48"/>
      <c r="F57" s="21"/>
      <c r="G57" s="21"/>
      <c r="H57" s="21"/>
      <c r="I57" s="61"/>
      <c r="J57" s="61"/>
      <c r="K57" s="61"/>
      <c r="L57" s="61"/>
      <c r="M57" s="61"/>
      <c r="N57" s="61"/>
      <c r="O57" s="178"/>
      <c r="P57" s="99"/>
      <c r="Q57" s="135"/>
      <c r="R57" s="135"/>
      <c r="S57" s="135"/>
      <c r="T57" s="135"/>
    </row>
    <row r="58" spans="1:20" s="139" customFormat="1" ht="15.6" x14ac:dyDescent="0.35">
      <c r="A58" s="23"/>
      <c r="B58" s="161" t="s">
        <v>21</v>
      </c>
      <c r="C58" s="16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91"/>
      <c r="P58" s="138"/>
    </row>
    <row r="59" spans="1:20" s="131" customFormat="1" ht="14.45" x14ac:dyDescent="0.35">
      <c r="A59" s="4"/>
      <c r="B59" s="68" t="s">
        <v>22</v>
      </c>
      <c r="C59" s="68"/>
      <c r="D59" s="69"/>
      <c r="E59" s="62"/>
      <c r="F59" s="63"/>
      <c r="G59" s="63"/>
      <c r="H59" s="63"/>
      <c r="I59" s="3"/>
      <c r="J59" s="3"/>
      <c r="K59" s="3"/>
      <c r="L59" s="3"/>
      <c r="M59" s="3"/>
      <c r="N59" s="3"/>
      <c r="O59" s="178"/>
      <c r="P59" s="99"/>
      <c r="Q59" s="135"/>
    </row>
    <row r="60" spans="1:20" s="131" customFormat="1" ht="14.45" x14ac:dyDescent="0.35">
      <c r="A60" s="4"/>
      <c r="B60" s="70" t="s">
        <v>23</v>
      </c>
      <c r="C60" s="68"/>
      <c r="D60" s="69"/>
      <c r="E60" s="62">
        <v>5000</v>
      </c>
      <c r="F60" s="62">
        <v>5000</v>
      </c>
      <c r="G60" s="62">
        <v>5000</v>
      </c>
      <c r="H60" s="62">
        <v>5000</v>
      </c>
      <c r="I60" s="62">
        <v>5000</v>
      </c>
      <c r="J60" s="62">
        <v>5000</v>
      </c>
      <c r="K60" s="62">
        <v>5000</v>
      </c>
      <c r="L60" s="62">
        <v>5000</v>
      </c>
      <c r="M60" s="62">
        <v>5000</v>
      </c>
      <c r="N60" s="62">
        <v>5000</v>
      </c>
      <c r="O60" s="180"/>
      <c r="P60" s="99"/>
      <c r="Q60" s="135"/>
    </row>
    <row r="61" spans="1:20" s="131" customFormat="1" ht="14.45" x14ac:dyDescent="0.35">
      <c r="A61" s="19"/>
      <c r="B61" s="97" t="s">
        <v>24</v>
      </c>
      <c r="C61" s="17"/>
      <c r="D61" s="18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180"/>
      <c r="P61" s="99"/>
      <c r="Q61" s="135"/>
    </row>
    <row r="62" spans="1:20" s="131" customFormat="1" ht="14.45" x14ac:dyDescent="0.35">
      <c r="A62" s="162">
        <v>1</v>
      </c>
      <c r="B62" s="70" t="s">
        <v>25</v>
      </c>
      <c r="C62" s="68"/>
      <c r="D62" s="69"/>
      <c r="E62" s="46">
        <f>(E40+E41)/365*E33</f>
        <v>57698.630136986299</v>
      </c>
      <c r="F62" s="64">
        <f>E62*(1+$P$62)</f>
        <v>58852.602739726026</v>
      </c>
      <c r="G62" s="64">
        <f>F62*(1+$P$62)</f>
        <v>60029.654794520546</v>
      </c>
      <c r="H62" s="64">
        <f>G62*(1+$P$62)</f>
        <v>61230.247890410959</v>
      </c>
      <c r="I62" s="64">
        <f t="shared" ref="I62:N62" si="34">H62*(1+$Q$62)</f>
        <v>63067.155327123291</v>
      </c>
      <c r="J62" s="64">
        <f t="shared" si="34"/>
        <v>64959.169986936991</v>
      </c>
      <c r="K62" s="64">
        <f t="shared" si="34"/>
        <v>66907.945086545107</v>
      </c>
      <c r="L62" s="64">
        <f t="shared" si="34"/>
        <v>68915.18343914146</v>
      </c>
      <c r="M62" s="64">
        <f t="shared" si="34"/>
        <v>70982.638942315709</v>
      </c>
      <c r="N62" s="64">
        <f t="shared" si="34"/>
        <v>73112.118110585187</v>
      </c>
      <c r="O62" s="190"/>
      <c r="P62" s="99">
        <v>0.02</v>
      </c>
      <c r="Q62" s="132">
        <v>0.03</v>
      </c>
    </row>
    <row r="63" spans="1:20" s="131" customFormat="1" ht="14.45" x14ac:dyDescent="0.35">
      <c r="A63" s="162">
        <v>2</v>
      </c>
      <c r="B63" s="70" t="s">
        <v>9</v>
      </c>
      <c r="C63" s="68"/>
      <c r="D63" s="69"/>
      <c r="E63" s="62">
        <f>E43/365*E34</f>
        <v>19676.71232876712</v>
      </c>
      <c r="F63" s="64">
        <f>E63*(1+$P$63)</f>
        <v>19479.945205479449</v>
      </c>
      <c r="G63" s="64">
        <f>F63*(1+$P$63)</f>
        <v>19285.145753424655</v>
      </c>
      <c r="H63" s="64">
        <f>G63*(1+$P$63)</f>
        <v>19092.29429589041</v>
      </c>
      <c r="I63" s="64">
        <f t="shared" ref="I63:N63" si="35">H63*(1+$Q$63)</f>
        <v>18710.4484099726</v>
      </c>
      <c r="J63" s="64">
        <f t="shared" si="35"/>
        <v>18336.239441773148</v>
      </c>
      <c r="K63" s="64">
        <f t="shared" si="35"/>
        <v>17969.514652937683</v>
      </c>
      <c r="L63" s="64">
        <f t="shared" si="35"/>
        <v>17610.12435987893</v>
      </c>
      <c r="M63" s="64">
        <f t="shared" si="35"/>
        <v>17257.921872681352</v>
      </c>
      <c r="N63" s="64">
        <f t="shared" si="35"/>
        <v>16912.763435227724</v>
      </c>
      <c r="O63" s="190"/>
      <c r="P63" s="99">
        <v>-0.01</v>
      </c>
      <c r="Q63" s="132">
        <v>-0.02</v>
      </c>
    </row>
    <row r="64" spans="1:20" s="131" customFormat="1" ht="14.45" x14ac:dyDescent="0.35">
      <c r="A64" s="163"/>
      <c r="B64" s="68"/>
      <c r="C64" s="68"/>
      <c r="D64" s="69"/>
      <c r="E64" s="62"/>
      <c r="F64" s="63"/>
      <c r="G64" s="63"/>
      <c r="H64" s="63"/>
      <c r="I64" s="3"/>
      <c r="J64" s="3"/>
      <c r="K64" s="3"/>
      <c r="L64" s="3"/>
      <c r="M64" s="3"/>
      <c r="N64" s="3"/>
      <c r="O64" s="178"/>
      <c r="P64" s="140"/>
      <c r="Q64" s="135"/>
    </row>
    <row r="65" spans="1:43" s="131" customFormat="1" ht="14.45" x14ac:dyDescent="0.35">
      <c r="A65" s="163"/>
      <c r="B65" s="70" t="s">
        <v>74</v>
      </c>
      <c r="C65" s="68"/>
      <c r="D65" s="69"/>
      <c r="E65" s="62">
        <v>200000</v>
      </c>
      <c r="F65" s="63">
        <f>E65</f>
        <v>200000</v>
      </c>
      <c r="G65" s="63">
        <f t="shared" ref="G65:N66" si="36">F65</f>
        <v>200000</v>
      </c>
      <c r="H65" s="63">
        <f t="shared" si="36"/>
        <v>200000</v>
      </c>
      <c r="I65" s="63">
        <f t="shared" si="36"/>
        <v>200000</v>
      </c>
      <c r="J65" s="63">
        <f t="shared" si="36"/>
        <v>200000</v>
      </c>
      <c r="K65" s="63">
        <f t="shared" si="36"/>
        <v>200000</v>
      </c>
      <c r="L65" s="63">
        <f t="shared" si="36"/>
        <v>200000</v>
      </c>
      <c r="M65" s="63">
        <f t="shared" si="36"/>
        <v>200000</v>
      </c>
      <c r="N65" s="63">
        <f t="shared" si="36"/>
        <v>200000</v>
      </c>
      <c r="O65" s="188"/>
      <c r="Q65" s="135"/>
    </row>
    <row r="66" spans="1:43" s="131" customFormat="1" ht="14.45" x14ac:dyDescent="0.35">
      <c r="A66" s="163"/>
      <c r="B66" s="70" t="s">
        <v>26</v>
      </c>
      <c r="C66" s="68"/>
      <c r="D66" s="69"/>
      <c r="E66" s="62">
        <f>$E$20</f>
        <v>325000</v>
      </c>
      <c r="F66" s="63">
        <f>E66</f>
        <v>325000</v>
      </c>
      <c r="G66" s="63">
        <f t="shared" si="36"/>
        <v>325000</v>
      </c>
      <c r="H66" s="63">
        <f t="shared" si="36"/>
        <v>325000</v>
      </c>
      <c r="I66" s="63">
        <f t="shared" si="36"/>
        <v>325000</v>
      </c>
      <c r="J66" s="63">
        <f t="shared" si="36"/>
        <v>325000</v>
      </c>
      <c r="K66" s="63">
        <f t="shared" si="36"/>
        <v>325000</v>
      </c>
      <c r="L66" s="63">
        <f t="shared" si="36"/>
        <v>325000</v>
      </c>
      <c r="M66" s="63">
        <f t="shared" si="36"/>
        <v>325000</v>
      </c>
      <c r="N66" s="63">
        <f t="shared" si="36"/>
        <v>325000</v>
      </c>
      <c r="O66" s="188"/>
      <c r="Q66" s="135"/>
    </row>
    <row r="67" spans="1:43" s="131" customFormat="1" ht="14.45" x14ac:dyDescent="0.35">
      <c r="A67" s="163"/>
      <c r="B67" s="71" t="s">
        <v>76</v>
      </c>
      <c r="C67" s="68"/>
      <c r="D67" s="69"/>
      <c r="E67" s="62">
        <f>E22</f>
        <v>10833.333333333334</v>
      </c>
      <c r="F67" s="62">
        <f>E67+F22</f>
        <v>21666.666666666668</v>
      </c>
      <c r="G67" s="62">
        <f t="shared" ref="G67:M67" si="37">F67+G22</f>
        <v>32500</v>
      </c>
      <c r="H67" s="62">
        <f t="shared" si="37"/>
        <v>43333.333333333336</v>
      </c>
      <c r="I67" s="62">
        <f t="shared" si="37"/>
        <v>54166.666666666672</v>
      </c>
      <c r="J67" s="62">
        <f t="shared" si="37"/>
        <v>65000.000000000007</v>
      </c>
      <c r="K67" s="62">
        <f t="shared" si="37"/>
        <v>75833.333333333343</v>
      </c>
      <c r="L67" s="62">
        <f t="shared" si="37"/>
        <v>86666.666666666672</v>
      </c>
      <c r="M67" s="62">
        <f t="shared" si="37"/>
        <v>97500</v>
      </c>
      <c r="N67" s="62">
        <f>M67+N22</f>
        <v>108333.33333333333</v>
      </c>
      <c r="O67" s="180"/>
      <c r="Q67" s="135"/>
    </row>
    <row r="68" spans="1:43" s="131" customFormat="1" ht="14.45" x14ac:dyDescent="0.35">
      <c r="A68" s="163"/>
      <c r="B68" s="70" t="s">
        <v>75</v>
      </c>
      <c r="C68" s="68"/>
      <c r="D68" s="69"/>
      <c r="E68" s="72">
        <f t="shared" ref="E68:N68" si="38">E24</f>
        <v>150000</v>
      </c>
      <c r="F68" s="73">
        <f t="shared" si="38"/>
        <v>150000</v>
      </c>
      <c r="G68" s="73">
        <f t="shared" si="38"/>
        <v>150000</v>
      </c>
      <c r="H68" s="73">
        <f t="shared" si="38"/>
        <v>150000</v>
      </c>
      <c r="I68" s="73">
        <f t="shared" si="38"/>
        <v>150000</v>
      </c>
      <c r="J68" s="73">
        <f t="shared" si="38"/>
        <v>150000</v>
      </c>
      <c r="K68" s="73">
        <f t="shared" si="38"/>
        <v>150000</v>
      </c>
      <c r="L68" s="73">
        <f t="shared" si="38"/>
        <v>150000</v>
      </c>
      <c r="M68" s="73">
        <f t="shared" si="38"/>
        <v>150000</v>
      </c>
      <c r="N68" s="73">
        <f t="shared" si="38"/>
        <v>150000</v>
      </c>
      <c r="O68" s="188"/>
      <c r="Q68" s="135"/>
    </row>
    <row r="69" spans="1:43" s="131" customFormat="1" ht="14.45" x14ac:dyDescent="0.35">
      <c r="A69" s="163"/>
      <c r="B69" s="71" t="s">
        <v>76</v>
      </c>
      <c r="C69" s="2"/>
      <c r="D69" s="69"/>
      <c r="E69" s="72">
        <f>E26</f>
        <v>21428.571428571428</v>
      </c>
      <c r="F69" s="73">
        <f>E69+F26</f>
        <v>42857.142857142855</v>
      </c>
      <c r="G69" s="73">
        <f t="shared" ref="G69:N69" si="39">F69+G26</f>
        <v>64285.714285714283</v>
      </c>
      <c r="H69" s="73">
        <f t="shared" si="39"/>
        <v>85714.28571428571</v>
      </c>
      <c r="I69" s="73">
        <f t="shared" si="39"/>
        <v>107142.85714285713</v>
      </c>
      <c r="J69" s="73">
        <f t="shared" si="39"/>
        <v>128571.42857142855</v>
      </c>
      <c r="K69" s="73">
        <f t="shared" si="39"/>
        <v>149999.99999999997</v>
      </c>
      <c r="L69" s="73">
        <f t="shared" si="39"/>
        <v>149999.99999999997</v>
      </c>
      <c r="M69" s="73">
        <f t="shared" si="39"/>
        <v>149999.99999999997</v>
      </c>
      <c r="N69" s="73">
        <f t="shared" si="39"/>
        <v>149999.99999999997</v>
      </c>
      <c r="O69" s="188"/>
      <c r="P69" s="99"/>
      <c r="Q69" s="135"/>
    </row>
    <row r="70" spans="1:43" s="131" customFormat="1" thickBot="1" x14ac:dyDescent="0.4">
      <c r="A70" s="163"/>
      <c r="B70" s="74" t="s">
        <v>27</v>
      </c>
      <c r="C70" s="74"/>
      <c r="D70" s="75"/>
      <c r="E70" s="76">
        <f>SUM(E60:E66)+E68-E69-E67</f>
        <v>725113.43770384858</v>
      </c>
      <c r="F70" s="76">
        <f t="shared" ref="F70:N70" si="40">SUM(F60:F66)+F68-F69-F67</f>
        <v>693808.738421396</v>
      </c>
      <c r="G70" s="76">
        <f t="shared" si="40"/>
        <v>662529.08626223088</v>
      </c>
      <c r="H70" s="76">
        <f t="shared" si="40"/>
        <v>631274.92313868238</v>
      </c>
      <c r="I70" s="76">
        <f t="shared" si="40"/>
        <v>600468.07992757205</v>
      </c>
      <c r="J70" s="76">
        <f>SUM(J60:J66)+J68-J69-J67</f>
        <v>569723.9808572816</v>
      </c>
      <c r="K70" s="76">
        <f t="shared" si="40"/>
        <v>539044.12640614936</v>
      </c>
      <c r="L70" s="76">
        <f t="shared" si="40"/>
        <v>529858.64113235369</v>
      </c>
      <c r="M70" s="76">
        <f t="shared" si="40"/>
        <v>520740.56081499706</v>
      </c>
      <c r="N70" s="76">
        <f t="shared" si="40"/>
        <v>511691.54821247963</v>
      </c>
      <c r="O70" s="197"/>
      <c r="P70" s="123"/>
      <c r="Q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</row>
    <row r="71" spans="1:43" s="131" customFormat="1" thickTop="1" x14ac:dyDescent="0.35">
      <c r="A71" s="163"/>
      <c r="B71" s="68"/>
      <c r="C71" s="68"/>
      <c r="D71" s="69"/>
      <c r="E71" s="78"/>
      <c r="F71" s="79"/>
      <c r="G71" s="79"/>
      <c r="H71" s="79"/>
      <c r="I71" s="3"/>
      <c r="J71" s="3"/>
      <c r="K71" s="3"/>
      <c r="L71" s="3"/>
      <c r="M71" s="3"/>
      <c r="N71" s="3"/>
      <c r="O71" s="178"/>
      <c r="P71" s="99"/>
      <c r="Q71" s="135"/>
    </row>
    <row r="72" spans="1:43" s="131" customFormat="1" ht="14.45" x14ac:dyDescent="0.35">
      <c r="A72" s="163"/>
      <c r="B72" s="68" t="s">
        <v>28</v>
      </c>
      <c r="C72" s="68"/>
      <c r="D72" s="69"/>
      <c r="E72" s="62"/>
      <c r="F72" s="63"/>
      <c r="G72" s="63"/>
      <c r="H72" s="63"/>
      <c r="I72" s="3"/>
      <c r="J72" s="3"/>
      <c r="K72" s="3"/>
      <c r="L72" s="3"/>
      <c r="M72" s="3"/>
      <c r="N72" s="3"/>
      <c r="O72" s="178"/>
      <c r="P72" s="4"/>
      <c r="Q72" s="4"/>
    </row>
    <row r="73" spans="1:43" s="131" customFormat="1" ht="14.45" x14ac:dyDescent="0.35">
      <c r="A73" s="162">
        <v>3</v>
      </c>
      <c r="B73" s="70" t="s">
        <v>29</v>
      </c>
      <c r="C73" s="68"/>
      <c r="D73" s="69"/>
      <c r="E73" s="107">
        <f>E43/365*E35</f>
        <v>2071.2328767123286</v>
      </c>
      <c r="F73" s="62">
        <f t="shared" ref="F73:N73" si="41">F43/365*F35</f>
        <v>1770.9041095890411</v>
      </c>
      <c r="G73" s="62">
        <f t="shared" si="41"/>
        <v>1514.1230136986301</v>
      </c>
      <c r="H73" s="62">
        <f t="shared" si="41"/>
        <v>1294.5751767123288</v>
      </c>
      <c r="I73" s="62">
        <f t="shared" si="41"/>
        <v>1293.2806015356166</v>
      </c>
      <c r="J73" s="62">
        <f t="shared" si="41"/>
        <v>1222.1501684511577</v>
      </c>
      <c r="K73" s="62">
        <f t="shared" si="41"/>
        <v>1154.931909186344</v>
      </c>
      <c r="L73" s="62">
        <f t="shared" si="41"/>
        <v>1091.4106541810952</v>
      </c>
      <c r="M73" s="62">
        <f t="shared" si="41"/>
        <v>1031.3830682011351</v>
      </c>
      <c r="N73" s="62">
        <f t="shared" si="41"/>
        <v>974.6569994500727</v>
      </c>
      <c r="O73" s="180"/>
      <c r="P73" s="4"/>
      <c r="Q73" s="4"/>
      <c r="R73" s="4"/>
      <c r="S73" s="4"/>
      <c r="T73" s="4"/>
      <c r="U73" s="4"/>
      <c r="V73" s="4"/>
    </row>
    <row r="74" spans="1:43" s="131" customFormat="1" thickBot="1" x14ac:dyDescent="0.4">
      <c r="A74" s="164">
        <v>4</v>
      </c>
      <c r="B74" s="108" t="s">
        <v>30</v>
      </c>
      <c r="C74" s="109"/>
      <c r="D74" s="110"/>
      <c r="E74" s="111">
        <f>E55</f>
        <v>753.21852030832088</v>
      </c>
      <c r="F74" s="111">
        <f t="shared" ref="F74:N74" si="42">F55</f>
        <v>448.86186392406819</v>
      </c>
      <c r="G74" s="111">
        <f t="shared" si="42"/>
        <v>276.08310172267375</v>
      </c>
      <c r="H74" s="111">
        <f t="shared" si="42"/>
        <v>222.39488351568582</v>
      </c>
      <c r="I74" s="111">
        <f t="shared" si="42"/>
        <v>0</v>
      </c>
      <c r="J74" s="111">
        <f t="shared" si="42"/>
        <v>0</v>
      </c>
      <c r="K74" s="111">
        <f t="shared" si="42"/>
        <v>0</v>
      </c>
      <c r="L74" s="111">
        <f t="shared" si="42"/>
        <v>0</v>
      </c>
      <c r="M74" s="111">
        <f t="shared" si="42"/>
        <v>0</v>
      </c>
      <c r="N74" s="111">
        <f t="shared" si="42"/>
        <v>0</v>
      </c>
      <c r="O74" s="180"/>
      <c r="P74" s="174"/>
      <c r="Q74" s="4"/>
      <c r="R74" s="4"/>
      <c r="S74" s="4"/>
      <c r="T74" s="4"/>
      <c r="U74" s="4"/>
      <c r="V74" s="4"/>
    </row>
    <row r="75" spans="1:43" s="131" customFormat="1" thickBot="1" x14ac:dyDescent="0.4">
      <c r="A75" s="165"/>
      <c r="B75" s="100"/>
      <c r="C75" s="101"/>
      <c r="D75" s="102"/>
      <c r="E75" s="78"/>
      <c r="F75" s="79"/>
      <c r="G75" s="79"/>
      <c r="H75" s="79"/>
      <c r="I75" s="6"/>
      <c r="J75" s="6"/>
      <c r="K75" s="6"/>
      <c r="L75" s="6"/>
      <c r="M75" s="6"/>
      <c r="N75" s="209"/>
      <c r="O75" s="222"/>
      <c r="P75" s="218" t="s">
        <v>118</v>
      </c>
      <c r="Q75" s="219" t="s">
        <v>119</v>
      </c>
      <c r="R75" s="219" t="s">
        <v>120</v>
      </c>
      <c r="S75" s="219" t="s">
        <v>122</v>
      </c>
      <c r="T75" s="220" t="s">
        <v>121</v>
      </c>
      <c r="U75" s="223"/>
      <c r="V75" t="s">
        <v>131</v>
      </c>
      <c r="W75"/>
      <c r="X75"/>
      <c r="Y75"/>
      <c r="Z75"/>
      <c r="AA75"/>
      <c r="AB75"/>
    </row>
    <row r="76" spans="1:43" s="131" customFormat="1" ht="14.45" x14ac:dyDescent="0.35">
      <c r="A76" s="162">
        <v>1</v>
      </c>
      <c r="B76" s="70" t="s">
        <v>5</v>
      </c>
      <c r="C76" s="68"/>
      <c r="D76" s="69"/>
      <c r="E76" s="62">
        <f>'Amort Table'!F19</f>
        <v>395936.76068281988</v>
      </c>
      <c r="F76" s="63">
        <f>'Amort Table'!F31</f>
        <v>391579.78946686257</v>
      </c>
      <c r="G76" s="63">
        <f>'Amort Table'!F43</f>
        <v>386907.85244941543</v>
      </c>
      <c r="H76" s="63">
        <f>'Amort Table'!F55</f>
        <v>381898.18072722171</v>
      </c>
      <c r="I76" s="105">
        <f>'Amort Table'!F67</f>
        <v>376526.35943116748</v>
      </c>
      <c r="J76" s="105">
        <f>'Amort Table'!F79</f>
        <v>370766.20873927628</v>
      </c>
      <c r="K76" s="105">
        <f>'Amort Table'!F91</f>
        <v>364589.65628812427</v>
      </c>
      <c r="L76" s="105">
        <f>'Amort Table'!F103</f>
        <v>357966.60036086559</v>
      </c>
      <c r="M76" s="105">
        <f>'Amort Table'!F115</f>
        <v>350864.76318511006</v>
      </c>
      <c r="N76" s="210">
        <f>'Amort Table'!F127</f>
        <v>343249.53362569137</v>
      </c>
      <c r="O76" s="224"/>
      <c r="P76" s="225">
        <f>AVERAGE(E76:N76)</f>
        <v>372028.57049565541</v>
      </c>
      <c r="Q76" s="226">
        <f>P76/$P$80</f>
        <v>0.62325385179049919</v>
      </c>
      <c r="R76" s="227">
        <f>E31</f>
        <v>7.0000000000000007E-2</v>
      </c>
      <c r="S76" s="226">
        <f>R76*(1-$P$55)</f>
        <v>5.6000000000000008E-2</v>
      </c>
      <c r="T76" s="228">
        <f>Q76*S76</f>
        <v>3.4902215700267962E-2</v>
      </c>
      <c r="U76" s="229"/>
      <c r="V76"/>
      <c r="W76"/>
      <c r="X76"/>
      <c r="Y76"/>
      <c r="Z76"/>
      <c r="AA76"/>
      <c r="AB76"/>
    </row>
    <row r="77" spans="1:43" s="131" customFormat="1" thickBot="1" x14ac:dyDescent="0.4">
      <c r="A77" s="162">
        <v>2</v>
      </c>
      <c r="B77" s="97" t="s">
        <v>31</v>
      </c>
      <c r="C77" s="17"/>
      <c r="D77" s="18"/>
      <c r="E77" s="47">
        <v>123339.35154277468</v>
      </c>
      <c r="F77" s="98">
        <v>95200.86144409074</v>
      </c>
      <c r="G77" s="98">
        <v>67918.373753573876</v>
      </c>
      <c r="H77" s="98">
        <v>41057.538873349607</v>
      </c>
      <c r="I77" s="104">
        <v>24771.760947855826</v>
      </c>
      <c r="J77" s="104">
        <v>18530.964130679564</v>
      </c>
      <c r="K77" s="104">
        <v>22527.475100837903</v>
      </c>
      <c r="L77" s="104">
        <v>36866.505096457084</v>
      </c>
      <c r="M77" s="103">
        <v>61714.69321192897</v>
      </c>
      <c r="N77" s="211">
        <v>97300.581139059694</v>
      </c>
      <c r="O77" s="230"/>
      <c r="P77" s="225">
        <f>AVERAGE(E77:N77)</f>
        <v>58922.810524060798</v>
      </c>
      <c r="Q77" s="226">
        <f t="shared" ref="Q77" si="43">P77/$P$80</f>
        <v>9.8712495571281714E-2</v>
      </c>
      <c r="R77" s="227">
        <f>P52</f>
        <v>0.12</v>
      </c>
      <c r="S77" s="226">
        <f t="shared" ref="S77" si="44">R77*(1-$P$55)</f>
        <v>9.6000000000000002E-2</v>
      </c>
      <c r="T77" s="228">
        <f t="shared" ref="T77:T78" si="45">Q77*S77</f>
        <v>9.4763995748430446E-3</v>
      </c>
      <c r="U77" s="229"/>
      <c r="V77" t="s">
        <v>132</v>
      </c>
      <c r="W77">
        <v>0.55500000000000005</v>
      </c>
      <c r="X77" t="s">
        <v>133</v>
      </c>
      <c r="Y77"/>
      <c r="Z77"/>
      <c r="AA77"/>
      <c r="AB77"/>
    </row>
    <row r="78" spans="1:43" s="131" customFormat="1" thickBot="1" x14ac:dyDescent="0.4">
      <c r="A78" s="162">
        <v>3</v>
      </c>
      <c r="B78" s="70" t="s">
        <v>32</v>
      </c>
      <c r="C78" s="68"/>
      <c r="D78" s="69"/>
      <c r="E78" s="62">
        <v>200000</v>
      </c>
      <c r="F78" s="62">
        <f>E78</f>
        <v>200000</v>
      </c>
      <c r="G78" s="62">
        <f t="shared" ref="G78:N78" si="46">F78</f>
        <v>200000</v>
      </c>
      <c r="H78" s="62">
        <f t="shared" si="46"/>
        <v>200000</v>
      </c>
      <c r="I78" s="62">
        <f t="shared" si="46"/>
        <v>200000</v>
      </c>
      <c r="J78" s="62">
        <f t="shared" si="46"/>
        <v>200000</v>
      </c>
      <c r="K78" s="62">
        <f t="shared" si="46"/>
        <v>200000</v>
      </c>
      <c r="L78" s="62">
        <f t="shared" si="46"/>
        <v>200000</v>
      </c>
      <c r="M78" s="62">
        <f t="shared" si="46"/>
        <v>200000</v>
      </c>
      <c r="N78" s="212">
        <f t="shared" si="46"/>
        <v>200000</v>
      </c>
      <c r="O78" s="231"/>
      <c r="P78" s="225">
        <f>AVERAGE(E78:N78)</f>
        <v>200000</v>
      </c>
      <c r="Q78" s="226">
        <f>(P78+P79)/$P$80</f>
        <v>0.27803365263821933</v>
      </c>
      <c r="R78" s="232">
        <f>S86</f>
        <v>3.7874074665599625E-2</v>
      </c>
      <c r="S78" s="226">
        <f>R78</f>
        <v>3.7874074665599625E-2</v>
      </c>
      <c r="T78" s="228">
        <f t="shared" si="45"/>
        <v>1.053026731956931E-2</v>
      </c>
      <c r="U78" s="229"/>
      <c r="V78" t="s">
        <v>134</v>
      </c>
      <c r="W78" s="254">
        <f>SUM(Q76:Q77)</f>
        <v>0.72196634736178089</v>
      </c>
      <c r="X78" t="s">
        <v>135</v>
      </c>
      <c r="Y78"/>
      <c r="Z78"/>
      <c r="AA78"/>
      <c r="AB78"/>
      <c r="AF78"/>
      <c r="AG78"/>
    </row>
    <row r="79" spans="1:43" s="131" customFormat="1" thickBot="1" x14ac:dyDescent="0.4">
      <c r="A79" s="162">
        <v>4</v>
      </c>
      <c r="B79" s="70" t="s">
        <v>33</v>
      </c>
      <c r="C79" s="68"/>
      <c r="D79" s="69"/>
      <c r="E79" s="62">
        <f>D79+E56</f>
        <v>3012.8740812332835</v>
      </c>
      <c r="F79" s="63">
        <f t="shared" ref="F79:N79" si="47">E79+F56</f>
        <v>4808.3215369295558</v>
      </c>
      <c r="G79" s="63">
        <f t="shared" si="47"/>
        <v>5912.6539438202508</v>
      </c>
      <c r="H79" s="63">
        <f t="shared" si="47"/>
        <v>6802.2334778829936</v>
      </c>
      <c r="I79" s="63">
        <f t="shared" si="47"/>
        <v>-2123.3210529870594</v>
      </c>
      <c r="J79" s="63">
        <f t="shared" si="47"/>
        <v>-20795.342181125354</v>
      </c>
      <c r="K79" s="63">
        <f t="shared" si="47"/>
        <v>-49227.936891998732</v>
      </c>
      <c r="L79" s="63">
        <f t="shared" si="47"/>
        <v>-66065.874979149972</v>
      </c>
      <c r="M79" s="63">
        <f t="shared" si="47"/>
        <v>-92870.278650243112</v>
      </c>
      <c r="N79" s="213">
        <f t="shared" si="47"/>
        <v>-129833.22355172153</v>
      </c>
      <c r="O79" s="221"/>
      <c r="P79" s="251">
        <f t="shared" ref="P79" si="48">AVERAGE(E79:N79)</f>
        <v>-34037.98942673597</v>
      </c>
      <c r="Q79" s="226"/>
      <c r="R79" s="233"/>
      <c r="S79" s="233"/>
      <c r="T79" s="233"/>
      <c r="U79" s="229"/>
      <c r="V79" t="s">
        <v>136</v>
      </c>
      <c r="W79" s="254">
        <f>Q78</f>
        <v>0.27803365263821933</v>
      </c>
      <c r="X79"/>
      <c r="Y79"/>
      <c r="Z79"/>
      <c r="AA79"/>
      <c r="AB79"/>
      <c r="AF79"/>
      <c r="AG79"/>
    </row>
    <row r="80" spans="1:43" s="131" customFormat="1" thickBot="1" x14ac:dyDescent="0.4">
      <c r="A80" s="4"/>
      <c r="B80" s="68"/>
      <c r="C80" s="68"/>
      <c r="D80" s="68"/>
      <c r="E80" s="72"/>
      <c r="F80" s="73"/>
      <c r="G80" s="73"/>
      <c r="H80" s="73"/>
      <c r="I80" s="3"/>
      <c r="J80" s="3"/>
      <c r="K80" s="3"/>
      <c r="L80" s="3"/>
      <c r="M80" s="3"/>
      <c r="N80" s="214"/>
      <c r="O80" s="234"/>
      <c r="P80" s="225">
        <f>SUM(P76:P79)</f>
        <v>596913.39159298013</v>
      </c>
      <c r="Q80" s="228">
        <f>SUM(Q76:Q79)</f>
        <v>1.0000000000000002</v>
      </c>
      <c r="R80" s="233"/>
      <c r="S80" s="233"/>
      <c r="T80" s="235">
        <f>SUM(T76:T78)</f>
        <v>5.4908882594680318E-2</v>
      </c>
      <c r="U80" s="236" t="s">
        <v>117</v>
      </c>
      <c r="V80" t="s">
        <v>137</v>
      </c>
      <c r="W80" s="252">
        <f>P55</f>
        <v>0.2</v>
      </c>
      <c r="X80"/>
      <c r="Y80"/>
      <c r="Z80"/>
      <c r="AA80"/>
      <c r="AB80"/>
      <c r="AF80"/>
      <c r="AG80"/>
    </row>
    <row r="81" spans="1:33" s="131" customFormat="1" thickBot="1" x14ac:dyDescent="0.4">
      <c r="A81" s="4"/>
      <c r="B81" s="74" t="s">
        <v>34</v>
      </c>
      <c r="C81" s="74"/>
      <c r="D81" s="74"/>
      <c r="E81" s="76">
        <f t="shared" ref="E81:N81" si="49">SUM(E71:E80)</f>
        <v>725113.43770384847</v>
      </c>
      <c r="F81" s="77">
        <f t="shared" si="49"/>
        <v>693808.738421396</v>
      </c>
      <c r="G81" s="77">
        <f t="shared" si="49"/>
        <v>662529.08626223088</v>
      </c>
      <c r="H81" s="77">
        <f t="shared" si="49"/>
        <v>631274.92313868238</v>
      </c>
      <c r="I81" s="77">
        <f t="shared" si="49"/>
        <v>600468.07992757193</v>
      </c>
      <c r="J81" s="77">
        <f t="shared" si="49"/>
        <v>569723.9808572816</v>
      </c>
      <c r="K81" s="77">
        <f>SUM(K71:K80)</f>
        <v>539044.12640614982</v>
      </c>
      <c r="L81" s="77">
        <f t="shared" si="49"/>
        <v>529858.64113235381</v>
      </c>
      <c r="M81" s="77">
        <f t="shared" si="49"/>
        <v>520740.56081499701</v>
      </c>
      <c r="N81" s="215">
        <f t="shared" si="49"/>
        <v>511691.54821247957</v>
      </c>
      <c r="O81" s="221"/>
      <c r="P81" s="237"/>
      <c r="Q81" s="233"/>
      <c r="R81" s="233"/>
      <c r="S81" s="233"/>
      <c r="T81" s="233"/>
      <c r="U81" s="229"/>
      <c r="V81"/>
      <c r="W81"/>
      <c r="X81"/>
      <c r="Y81"/>
      <c r="Z81"/>
      <c r="AA81"/>
      <c r="AB81"/>
      <c r="AF81"/>
      <c r="AG81"/>
    </row>
    <row r="82" spans="1:33" s="131" customFormat="1" ht="15.75" thickTop="1" x14ac:dyDescent="0.25">
      <c r="A82" s="4"/>
      <c r="B82" s="2" t="s">
        <v>35</v>
      </c>
      <c r="C82" s="2"/>
      <c r="D82" s="2"/>
      <c r="E82" s="45">
        <f t="shared" ref="E82:N82" si="50">E70-E81</f>
        <v>0</v>
      </c>
      <c r="F82" s="80">
        <f t="shared" si="50"/>
        <v>0</v>
      </c>
      <c r="G82" s="80">
        <f t="shared" si="50"/>
        <v>0</v>
      </c>
      <c r="H82" s="80">
        <f t="shared" si="50"/>
        <v>0</v>
      </c>
      <c r="I82" s="80">
        <f t="shared" si="50"/>
        <v>0</v>
      </c>
      <c r="J82" s="80">
        <f>J70-J81</f>
        <v>0</v>
      </c>
      <c r="K82" s="80">
        <f t="shared" si="50"/>
        <v>0</v>
      </c>
      <c r="L82" s="80">
        <f t="shared" si="50"/>
        <v>0</v>
      </c>
      <c r="M82" s="80">
        <f t="shared" si="50"/>
        <v>0</v>
      </c>
      <c r="N82" s="216">
        <f t="shared" si="50"/>
        <v>0</v>
      </c>
      <c r="O82" s="238"/>
      <c r="P82" s="237"/>
      <c r="Q82" s="233"/>
      <c r="R82" s="233"/>
      <c r="S82" s="233"/>
      <c r="T82" s="233"/>
      <c r="U82" s="229"/>
      <c r="V82" t="s">
        <v>138</v>
      </c>
      <c r="W82" s="253">
        <f>W77/(1+(1-W80)*(W78/W79))</f>
        <v>0.18035000393118827</v>
      </c>
      <c r="X82" t="s">
        <v>139</v>
      </c>
      <c r="Y82" t="s">
        <v>140</v>
      </c>
      <c r="Z82"/>
      <c r="AA82"/>
      <c r="AB82"/>
      <c r="AF82"/>
      <c r="AG82"/>
    </row>
    <row r="83" spans="1:33" s="131" customFormat="1" ht="14.45" x14ac:dyDescent="0.35">
      <c r="A83" s="4"/>
      <c r="B83" s="81" t="s">
        <v>36</v>
      </c>
      <c r="C83" s="82"/>
      <c r="D83" s="152">
        <v>0</v>
      </c>
      <c r="E83" s="153">
        <v>1</v>
      </c>
      <c r="F83" s="152">
        <v>2</v>
      </c>
      <c r="G83" s="152">
        <v>3</v>
      </c>
      <c r="H83" s="152">
        <v>4</v>
      </c>
      <c r="I83" s="154">
        <v>5</v>
      </c>
      <c r="J83" s="152">
        <v>6</v>
      </c>
      <c r="K83" s="154">
        <v>7</v>
      </c>
      <c r="L83" s="152">
        <v>8</v>
      </c>
      <c r="M83" s="154">
        <v>9</v>
      </c>
      <c r="N83" s="217">
        <v>10</v>
      </c>
      <c r="O83" s="239"/>
      <c r="P83" s="237"/>
      <c r="Q83" s="240"/>
      <c r="R83" s="233" t="s">
        <v>115</v>
      </c>
      <c r="S83" s="256">
        <f>W86</f>
        <v>0.24218429099330999</v>
      </c>
      <c r="T83" s="241"/>
      <c r="U83" s="229"/>
      <c r="V83" t="s">
        <v>141</v>
      </c>
      <c r="W83" s="252">
        <v>0</v>
      </c>
      <c r="X83" t="s">
        <v>142</v>
      </c>
      <c r="Y83" t="s">
        <v>143</v>
      </c>
      <c r="Z83"/>
      <c r="AA83"/>
      <c r="AB83"/>
      <c r="AF83"/>
      <c r="AG83"/>
    </row>
    <row r="84" spans="1:33" s="131" customFormat="1" ht="14.45" x14ac:dyDescent="0.35">
      <c r="A84" s="4"/>
      <c r="B84" s="84"/>
      <c r="C84" s="84"/>
      <c r="D84" s="85"/>
      <c r="E84" s="86"/>
      <c r="F84" s="85"/>
      <c r="G84" s="85"/>
      <c r="H84" s="85"/>
      <c r="I84" s="87"/>
      <c r="J84" s="87"/>
      <c r="K84" s="87"/>
      <c r="L84" s="87"/>
      <c r="M84" s="87"/>
      <c r="N84" s="160"/>
      <c r="O84" s="234"/>
      <c r="P84" s="237"/>
      <c r="Q84" s="240"/>
      <c r="R84" s="233" t="s">
        <v>130</v>
      </c>
      <c r="S84" s="228">
        <v>2.7E-2</v>
      </c>
      <c r="T84" s="242" t="s">
        <v>129</v>
      </c>
      <c r="U84" s="229"/>
      <c r="V84" t="s">
        <v>144</v>
      </c>
      <c r="W84" s="252">
        <f>100%-W83</f>
        <v>1</v>
      </c>
      <c r="X84"/>
      <c r="Y84"/>
      <c r="Z84"/>
      <c r="AA84"/>
      <c r="AB84"/>
      <c r="AF84"/>
      <c r="AG84"/>
    </row>
    <row r="85" spans="1:33" s="131" customFormat="1" thickBot="1" x14ac:dyDescent="0.4">
      <c r="A85" s="4"/>
      <c r="B85" s="88" t="s">
        <v>37</v>
      </c>
      <c r="C85" s="84"/>
      <c r="D85" s="85"/>
      <c r="E85" s="86"/>
      <c r="F85" s="85"/>
      <c r="G85" s="85"/>
      <c r="H85" s="85"/>
      <c r="I85" s="87"/>
      <c r="J85" s="87"/>
      <c r="K85" s="87"/>
      <c r="L85" s="87"/>
      <c r="M85" s="87"/>
      <c r="N85" s="160"/>
      <c r="O85" s="234"/>
      <c r="P85" s="237"/>
      <c r="Q85" s="243"/>
      <c r="R85" s="243" t="s">
        <v>116</v>
      </c>
      <c r="S85" s="241">
        <v>7.1900000000000006E-2</v>
      </c>
      <c r="T85" s="241" t="s">
        <v>125</v>
      </c>
      <c r="U85" s="229"/>
      <c r="V85"/>
      <c r="W85"/>
      <c r="X85"/>
      <c r="Y85"/>
      <c r="Z85"/>
      <c r="AA85"/>
      <c r="AB85"/>
    </row>
    <row r="86" spans="1:33" s="131" customFormat="1" ht="15.75" thickBot="1" x14ac:dyDescent="0.3">
      <c r="A86" s="4"/>
      <c r="B86" s="84"/>
      <c r="C86" s="84" t="s">
        <v>38</v>
      </c>
      <c r="D86" s="89"/>
      <c r="E86" s="86">
        <f>E40+E41-E43-E46-E47-E48</f>
        <v>78700</v>
      </c>
      <c r="F86" s="89">
        <f>F40+F41-F43-F46-F47-F48</f>
        <v>73507.866007459466</v>
      </c>
      <c r="G86" s="89">
        <f>G40+G41-G43-G46-G47-G48</f>
        <v>69055.107872100634</v>
      </c>
      <c r="H86" s="89">
        <f>H40+H41-H43-H46-H47-H48</f>
        <v>65225.631890692312</v>
      </c>
      <c r="I86" s="89">
        <f t="shared" ref="I86:N86" si="51">I40+I41-I43-I46-I47-I48</f>
        <v>51385.354360452635</v>
      </c>
      <c r="J86" s="89">
        <f t="shared" si="51"/>
        <v>40876.110558316803</v>
      </c>
      <c r="K86" s="89">
        <f t="shared" si="51"/>
        <v>30938.92587453028</v>
      </c>
      <c r="L86" s="89">
        <f t="shared" si="51"/>
        <v>21518.849393311597</v>
      </c>
      <c r="M86" s="89">
        <f t="shared" si="51"/>
        <v>12564.493847801104</v>
      </c>
      <c r="N86" s="128">
        <f t="shared" si="51"/>
        <v>4027.7135093804945</v>
      </c>
      <c r="O86" s="238"/>
      <c r="P86" s="237"/>
      <c r="Q86" s="240"/>
      <c r="R86" s="612" t="s">
        <v>126</v>
      </c>
      <c r="S86" s="244">
        <f>(S85-S84)*S83+S84</f>
        <v>3.7874074665599625E-2</v>
      </c>
      <c r="T86" s="241"/>
      <c r="U86" s="229"/>
      <c r="V86" t="s">
        <v>145</v>
      </c>
      <c r="W86" s="255">
        <f>W82*(1+(1-W80)*(W87/W88))</f>
        <v>0.24218429099330999</v>
      </c>
      <c r="X86" t="s">
        <v>146</v>
      </c>
      <c r="Y86"/>
      <c r="Z86"/>
      <c r="AA86"/>
      <c r="AB86"/>
    </row>
    <row r="87" spans="1:33" s="131" customFormat="1" ht="15.75" thickBot="1" x14ac:dyDescent="0.3">
      <c r="A87" s="4"/>
      <c r="B87" s="84"/>
      <c r="C87" s="84" t="s">
        <v>39</v>
      </c>
      <c r="D87" s="85"/>
      <c r="E87" s="86">
        <f>E50</f>
        <v>32261.904761904763</v>
      </c>
      <c r="F87" s="89">
        <f>F50</f>
        <v>32261.904761904763</v>
      </c>
      <c r="G87" s="89">
        <f>G50</f>
        <v>32261.904761904763</v>
      </c>
      <c r="H87" s="89">
        <f>H50</f>
        <v>32261.904761904763</v>
      </c>
      <c r="I87" s="89">
        <f t="shared" ref="I87:N87" si="52">I50</f>
        <v>32261.904761904763</v>
      </c>
      <c r="J87" s="89">
        <f t="shared" si="52"/>
        <v>32261.904761904763</v>
      </c>
      <c r="K87" s="89">
        <f t="shared" si="52"/>
        <v>32261.904761904763</v>
      </c>
      <c r="L87" s="89">
        <f t="shared" si="52"/>
        <v>10833.333333333334</v>
      </c>
      <c r="M87" s="89">
        <f t="shared" si="52"/>
        <v>10833.333333333334</v>
      </c>
      <c r="N87" s="128">
        <f t="shared" si="52"/>
        <v>10833.333333333334</v>
      </c>
      <c r="O87" s="245"/>
      <c r="P87" s="246"/>
      <c r="Q87" s="247"/>
      <c r="R87" s="613"/>
      <c r="S87" s="248"/>
      <c r="T87" s="249"/>
      <c r="U87" s="250"/>
      <c r="V87" t="s">
        <v>147</v>
      </c>
      <c r="W87" s="254">
        <v>0.3</v>
      </c>
      <c r="X87" t="s">
        <v>148</v>
      </c>
      <c r="Y87"/>
      <c r="Z87"/>
      <c r="AA87"/>
      <c r="AB87"/>
    </row>
    <row r="88" spans="1:33" s="131" customFormat="1" ht="14.45" x14ac:dyDescent="0.35">
      <c r="A88" s="4"/>
      <c r="B88" s="84"/>
      <c r="C88" s="84" t="s">
        <v>40</v>
      </c>
      <c r="D88" s="85"/>
      <c r="E88" s="86">
        <f>E86-E87</f>
        <v>46438.095238095237</v>
      </c>
      <c r="F88" s="89">
        <f>F86-F87</f>
        <v>41245.961245554703</v>
      </c>
      <c r="G88" s="89">
        <f>G86-G87</f>
        <v>36793.203110195871</v>
      </c>
      <c r="H88" s="89">
        <f>H86-H87</f>
        <v>32963.727128787548</v>
      </c>
      <c r="I88" s="89">
        <f t="shared" ref="I88:N88" si="53">I86-I87</f>
        <v>19123.449598547872</v>
      </c>
      <c r="J88" s="89">
        <f t="shared" si="53"/>
        <v>8614.2057964120395</v>
      </c>
      <c r="K88" s="89">
        <f t="shared" si="53"/>
        <v>-1322.9788873744837</v>
      </c>
      <c r="L88" s="89">
        <f t="shared" si="53"/>
        <v>10685.516059978263</v>
      </c>
      <c r="M88" s="89">
        <f t="shared" si="53"/>
        <v>1731.1605144677706</v>
      </c>
      <c r="N88" s="89">
        <f t="shared" si="53"/>
        <v>-6805.6198239528394</v>
      </c>
      <c r="O88" s="193"/>
      <c r="P88" s="174"/>
      <c r="Q88" s="175"/>
      <c r="R88" s="4"/>
      <c r="S88" s="4"/>
      <c r="T88" s="4"/>
      <c r="U88" s="4"/>
      <c r="V88" t="s">
        <v>149</v>
      </c>
      <c r="W88" s="254">
        <v>0.7</v>
      </c>
      <c r="X88"/>
      <c r="Y88"/>
      <c r="Z88"/>
      <c r="AA88"/>
      <c r="AB88"/>
    </row>
    <row r="89" spans="1:33" s="131" customFormat="1" ht="14.45" x14ac:dyDescent="0.35">
      <c r="A89" s="4"/>
      <c r="B89" s="84"/>
      <c r="C89" s="84" t="s">
        <v>41</v>
      </c>
      <c r="D89" s="85"/>
      <c r="E89" s="124">
        <f t="shared" ref="E89:N89" si="54">E88*$P$55</f>
        <v>9287.6190476190477</v>
      </c>
      <c r="F89" s="90">
        <f t="shared" si="54"/>
        <v>8249.1922491109417</v>
      </c>
      <c r="G89" s="90">
        <f t="shared" si="54"/>
        <v>7358.6406220391746</v>
      </c>
      <c r="H89" s="90">
        <f t="shared" si="54"/>
        <v>6592.74542575751</v>
      </c>
      <c r="I89" s="90">
        <f t="shared" si="54"/>
        <v>3824.6899197095745</v>
      </c>
      <c r="J89" s="90">
        <f t="shared" si="54"/>
        <v>1722.8411592824079</v>
      </c>
      <c r="K89" s="90">
        <f t="shared" si="54"/>
        <v>-264.59577747489675</v>
      </c>
      <c r="L89" s="90">
        <f t="shared" si="54"/>
        <v>2137.1032119956526</v>
      </c>
      <c r="M89" s="90">
        <f t="shared" si="54"/>
        <v>346.23210289355416</v>
      </c>
      <c r="N89" s="90">
        <f t="shared" si="54"/>
        <v>-1361.1239647905679</v>
      </c>
      <c r="O89" s="194"/>
      <c r="P89" s="174"/>
      <c r="Q89" s="4"/>
      <c r="R89" s="4"/>
      <c r="S89" s="4"/>
      <c r="T89" s="4"/>
      <c r="U89" s="4"/>
      <c r="V89"/>
      <c r="W89"/>
      <c r="X89"/>
      <c r="Y89"/>
      <c r="Z89"/>
      <c r="AA89"/>
      <c r="AB89"/>
    </row>
    <row r="90" spans="1:33" s="131" customFormat="1" thickBot="1" x14ac:dyDescent="0.4">
      <c r="A90" s="4"/>
      <c r="B90" s="84"/>
      <c r="C90" s="84" t="s">
        <v>42</v>
      </c>
      <c r="D90" s="85"/>
      <c r="E90" s="86">
        <f>E50</f>
        <v>32261.904761904763</v>
      </c>
      <c r="F90" s="89">
        <f>F50</f>
        <v>32261.904761904763</v>
      </c>
      <c r="G90" s="89">
        <f>G50</f>
        <v>32261.904761904763</v>
      </c>
      <c r="H90" s="89">
        <f>H50</f>
        <v>32261.904761904763</v>
      </c>
      <c r="I90" s="89">
        <f t="shared" ref="I90:N90" si="55">I50</f>
        <v>32261.904761904763</v>
      </c>
      <c r="J90" s="89">
        <f t="shared" si="55"/>
        <v>32261.904761904763</v>
      </c>
      <c r="K90" s="89">
        <f t="shared" si="55"/>
        <v>32261.904761904763</v>
      </c>
      <c r="L90" s="89">
        <f t="shared" si="55"/>
        <v>10833.333333333334</v>
      </c>
      <c r="M90" s="89">
        <f t="shared" si="55"/>
        <v>10833.333333333334</v>
      </c>
      <c r="N90" s="89">
        <f t="shared" si="55"/>
        <v>10833.333333333334</v>
      </c>
      <c r="O90" s="193"/>
      <c r="P90" s="99"/>
      <c r="V90"/>
      <c r="W90"/>
      <c r="X90"/>
      <c r="Y90"/>
      <c r="Z90"/>
      <c r="AA90"/>
      <c r="AB90"/>
    </row>
    <row r="91" spans="1:33" s="131" customFormat="1" x14ac:dyDescent="0.25">
      <c r="A91" s="4"/>
      <c r="B91" s="84"/>
      <c r="C91" s="84"/>
      <c r="D91" s="85"/>
      <c r="E91" s="86"/>
      <c r="F91" s="85"/>
      <c r="G91" s="85"/>
      <c r="H91" s="85"/>
      <c r="I91" s="87"/>
      <c r="J91" s="87"/>
      <c r="K91" s="87"/>
      <c r="L91" s="87"/>
      <c r="M91" s="87"/>
      <c r="N91" s="87"/>
      <c r="O91" s="178"/>
      <c r="P91" s="99"/>
      <c r="Q91" s="142" t="s">
        <v>98</v>
      </c>
      <c r="R91" s="143">
        <f>N66-N67</f>
        <v>216666.66666666669</v>
      </c>
      <c r="S91" s="142" t="s">
        <v>110</v>
      </c>
      <c r="T91" s="143">
        <f>N65</f>
        <v>200000</v>
      </c>
      <c r="V91"/>
      <c r="W91"/>
      <c r="X91"/>
      <c r="Y91"/>
      <c r="Z91"/>
      <c r="AA91"/>
      <c r="AB91"/>
    </row>
    <row r="92" spans="1:33" s="131" customFormat="1" ht="15.75" thickBot="1" x14ac:dyDescent="0.3">
      <c r="A92" s="4"/>
      <c r="B92" s="84"/>
      <c r="C92" s="88" t="s">
        <v>43</v>
      </c>
      <c r="D92" s="91">
        <f>SUM(D84:D91)</f>
        <v>0</v>
      </c>
      <c r="E92" s="92">
        <f>E88-E89+E90</f>
        <v>69412.380952380947</v>
      </c>
      <c r="F92" s="92">
        <f t="shared" ref="F92:M92" si="56">F88-F89+F90</f>
        <v>65258.673758348523</v>
      </c>
      <c r="G92" s="92">
        <f t="shared" si="56"/>
        <v>61696.467250061462</v>
      </c>
      <c r="H92" s="92">
        <f t="shared" si="56"/>
        <v>58632.886464934803</v>
      </c>
      <c r="I92" s="92">
        <f t="shared" si="56"/>
        <v>47560.664440743058</v>
      </c>
      <c r="J92" s="92">
        <f t="shared" si="56"/>
        <v>39153.269399034398</v>
      </c>
      <c r="K92" s="92">
        <f t="shared" si="56"/>
        <v>31203.521652005176</v>
      </c>
      <c r="L92" s="92">
        <f t="shared" si="56"/>
        <v>19381.746181315946</v>
      </c>
      <c r="M92" s="92">
        <f t="shared" si="56"/>
        <v>12218.26174490755</v>
      </c>
      <c r="N92" s="92">
        <f>N88-N89+N90</f>
        <v>5388.8374741710622</v>
      </c>
      <c r="O92" s="195"/>
      <c r="P92" s="99"/>
      <c r="Q92" s="144" t="s">
        <v>99</v>
      </c>
      <c r="R92" s="145">
        <v>1.2</v>
      </c>
      <c r="S92" s="144" t="s">
        <v>99</v>
      </c>
      <c r="T92" s="145">
        <v>1.3</v>
      </c>
      <c r="V92" t="s">
        <v>118</v>
      </c>
      <c r="W92" t="s">
        <v>150</v>
      </c>
      <c r="X92" t="s">
        <v>151</v>
      </c>
      <c r="Y92" t="s">
        <v>152</v>
      </c>
      <c r="Z92" t="s">
        <v>153</v>
      </c>
      <c r="AA92"/>
      <c r="AB92"/>
    </row>
    <row r="93" spans="1:33" s="131" customFormat="1" x14ac:dyDescent="0.25">
      <c r="A93" s="4"/>
      <c r="B93" s="84"/>
      <c r="C93" s="84"/>
      <c r="D93" s="85"/>
      <c r="E93" s="86"/>
      <c r="F93" s="85"/>
      <c r="G93" s="85"/>
      <c r="H93" s="85"/>
      <c r="I93" s="87"/>
      <c r="J93" s="87"/>
      <c r="K93" s="87"/>
      <c r="L93" s="87"/>
      <c r="M93" s="87"/>
      <c r="N93" s="87"/>
      <c r="O93" s="178"/>
      <c r="P93" s="99"/>
      <c r="Q93" s="142" t="s">
        <v>100</v>
      </c>
      <c r="R93" s="146">
        <f>R91*R92</f>
        <v>260000</v>
      </c>
      <c r="S93" s="142" t="s">
        <v>100</v>
      </c>
      <c r="T93" s="146">
        <f>T91*T92</f>
        <v>260000</v>
      </c>
      <c r="V93">
        <v>2500</v>
      </c>
      <c r="W93"/>
      <c r="X93"/>
      <c r="Y93"/>
      <c r="Z93"/>
      <c r="AA93"/>
      <c r="AB93"/>
    </row>
    <row r="94" spans="1:33" s="131" customFormat="1" ht="15.75" thickBot="1" x14ac:dyDescent="0.3">
      <c r="A94" s="4"/>
      <c r="B94" s="88" t="s">
        <v>44</v>
      </c>
      <c r="C94" s="84"/>
      <c r="D94" s="85"/>
      <c r="E94" s="86"/>
      <c r="F94" s="85"/>
      <c r="G94" s="85"/>
      <c r="H94" s="85"/>
      <c r="I94" s="87"/>
      <c r="J94" s="87"/>
      <c r="K94" s="87"/>
      <c r="L94" s="87"/>
      <c r="M94" s="87"/>
      <c r="N94" s="87"/>
      <c r="O94" s="178"/>
      <c r="P94" s="99"/>
      <c r="Q94" s="144" t="s">
        <v>48</v>
      </c>
      <c r="R94" s="147">
        <f>R93-R91</f>
        <v>43333.333333333314</v>
      </c>
      <c r="S94" s="144" t="s">
        <v>48</v>
      </c>
      <c r="T94" s="147">
        <f>T93-T91</f>
        <v>60000</v>
      </c>
      <c r="V94"/>
      <c r="W94"/>
      <c r="X94"/>
      <c r="Y94"/>
      <c r="Z94"/>
      <c r="AA94"/>
      <c r="AB94"/>
    </row>
    <row r="95" spans="1:33" s="131" customFormat="1" ht="15.75" thickBot="1" x14ac:dyDescent="0.3">
      <c r="A95" s="4"/>
      <c r="B95" s="84"/>
      <c r="C95" s="84" t="s">
        <v>45</v>
      </c>
      <c r="D95" s="91">
        <f>-E66</f>
        <v>-325000</v>
      </c>
      <c r="E95" s="86"/>
      <c r="F95" s="85"/>
      <c r="G95" s="85"/>
      <c r="H95" s="85"/>
      <c r="I95" s="87"/>
      <c r="J95" s="87"/>
      <c r="K95" s="87"/>
      <c r="L95" s="87"/>
      <c r="M95" s="87"/>
      <c r="N95" s="87"/>
      <c r="O95" s="178"/>
      <c r="P95" s="99"/>
      <c r="Q95" s="171" t="s">
        <v>111</v>
      </c>
      <c r="R95" s="172">
        <f>-(R94*$P$97)</f>
        <v>-8666.6666666666624</v>
      </c>
      <c r="S95" s="171" t="s">
        <v>111</v>
      </c>
      <c r="T95" s="172">
        <f>-(T94*$P$97)</f>
        <v>-12000</v>
      </c>
    </row>
    <row r="96" spans="1:33" s="131" customFormat="1" ht="15.75" thickBot="1" x14ac:dyDescent="0.3">
      <c r="A96" s="4"/>
      <c r="B96" s="84"/>
      <c r="C96" s="166" t="s">
        <v>46</v>
      </c>
      <c r="D96" s="85"/>
      <c r="E96" s="86"/>
      <c r="F96" s="85"/>
      <c r="G96" s="85"/>
      <c r="H96" s="87"/>
      <c r="I96" s="87"/>
      <c r="J96" s="87"/>
      <c r="K96" s="87"/>
      <c r="L96" s="87"/>
      <c r="M96" s="87"/>
      <c r="N96" s="91">
        <f>R93</f>
        <v>260000</v>
      </c>
      <c r="O96" s="196"/>
      <c r="P96" s="99"/>
      <c r="Q96" s="141"/>
      <c r="R96" s="141"/>
      <c r="S96" s="141"/>
    </row>
    <row r="97" spans="1:19" s="131" customFormat="1" x14ac:dyDescent="0.25">
      <c r="A97" s="4"/>
      <c r="B97" s="84"/>
      <c r="C97" s="166" t="s">
        <v>47</v>
      </c>
      <c r="D97" s="85"/>
      <c r="E97" s="86"/>
      <c r="F97" s="85"/>
      <c r="G97" s="85"/>
      <c r="H97" s="87"/>
      <c r="I97" s="87"/>
      <c r="J97" s="87"/>
      <c r="K97" s="87"/>
      <c r="L97" s="87"/>
      <c r="M97" s="87"/>
      <c r="N97" s="93">
        <f>R95</f>
        <v>-8666.6666666666624</v>
      </c>
      <c r="O97" s="184"/>
      <c r="P97" s="99">
        <v>0.2</v>
      </c>
      <c r="Q97" s="142" t="s">
        <v>114</v>
      </c>
      <c r="R97" s="143">
        <f>N68-N69</f>
        <v>0</v>
      </c>
      <c r="S97" s="141"/>
    </row>
    <row r="98" spans="1:19" s="131" customFormat="1" x14ac:dyDescent="0.25">
      <c r="A98" s="4"/>
      <c r="B98" s="84"/>
      <c r="C98" s="84" t="s">
        <v>104</v>
      </c>
      <c r="D98" s="167">
        <f>-E65</f>
        <v>-200000</v>
      </c>
      <c r="E98" s="86"/>
      <c r="F98" s="85"/>
      <c r="G98" s="85"/>
      <c r="H98" s="87"/>
      <c r="I98" s="87"/>
      <c r="J98" s="87"/>
      <c r="K98" s="87"/>
      <c r="L98" s="87"/>
      <c r="M98" s="87"/>
      <c r="N98" s="93"/>
      <c r="O98" s="184"/>
      <c r="P98" s="99"/>
      <c r="Q98" s="169" t="s">
        <v>113</v>
      </c>
      <c r="R98" s="170">
        <f>E68</f>
        <v>150000</v>
      </c>
      <c r="S98" s="141"/>
    </row>
    <row r="99" spans="1:19" s="131" customFormat="1" ht="30.75" thickBot="1" x14ac:dyDescent="0.3">
      <c r="A99" s="4"/>
      <c r="B99" s="84"/>
      <c r="C99" s="173" t="s">
        <v>105</v>
      </c>
      <c r="D99" s="85"/>
      <c r="E99" s="86"/>
      <c r="F99" s="85"/>
      <c r="G99" s="85"/>
      <c r="H99" s="87"/>
      <c r="I99" s="87"/>
      <c r="J99" s="87"/>
      <c r="K99" s="87"/>
      <c r="L99" s="87"/>
      <c r="M99" s="87"/>
      <c r="N99" s="93">
        <f>T93</f>
        <v>260000</v>
      </c>
      <c r="O99" s="184"/>
      <c r="P99" s="99"/>
      <c r="Q99" s="168" t="s">
        <v>112</v>
      </c>
      <c r="R99" s="145">
        <v>0.65</v>
      </c>
      <c r="S99" s="141"/>
    </row>
    <row r="100" spans="1:19" s="131" customFormat="1" x14ac:dyDescent="0.25">
      <c r="A100" s="4"/>
      <c r="B100" s="84"/>
      <c r="C100" s="166" t="s">
        <v>109</v>
      </c>
      <c r="D100" s="85"/>
      <c r="E100" s="86"/>
      <c r="F100" s="85"/>
      <c r="G100" s="85"/>
      <c r="H100" s="87"/>
      <c r="I100" s="87"/>
      <c r="J100" s="87"/>
      <c r="K100" s="87"/>
      <c r="L100" s="87"/>
      <c r="M100" s="87"/>
      <c r="N100" s="93">
        <f>T95</f>
        <v>-12000</v>
      </c>
      <c r="O100" s="184"/>
      <c r="P100" s="99"/>
      <c r="Q100" s="142" t="s">
        <v>100</v>
      </c>
      <c r="R100" s="146">
        <f>R98*R99</f>
        <v>97500</v>
      </c>
      <c r="S100" s="141"/>
    </row>
    <row r="101" spans="1:19" s="131" customFormat="1" ht="15.75" thickBot="1" x14ac:dyDescent="0.3">
      <c r="A101" s="4"/>
      <c r="B101" s="84"/>
      <c r="C101" s="84" t="s">
        <v>106</v>
      </c>
      <c r="D101" s="167">
        <f>-E68</f>
        <v>-150000</v>
      </c>
      <c r="E101" s="86"/>
      <c r="F101" s="85"/>
      <c r="G101" s="85"/>
      <c r="H101" s="87"/>
      <c r="I101" s="87"/>
      <c r="J101" s="87"/>
      <c r="K101" s="87"/>
      <c r="L101" s="87"/>
      <c r="M101" s="87"/>
      <c r="N101" s="93"/>
      <c r="O101" s="184"/>
      <c r="P101" s="99"/>
      <c r="Q101" s="144" t="s">
        <v>48</v>
      </c>
      <c r="R101" s="147">
        <f>R100-R97</f>
        <v>97500</v>
      </c>
      <c r="S101" s="141"/>
    </row>
    <row r="102" spans="1:19" s="131" customFormat="1" ht="15.75" thickBot="1" x14ac:dyDescent="0.3">
      <c r="A102" s="4"/>
      <c r="B102" s="84"/>
      <c r="C102" s="166" t="s">
        <v>107</v>
      </c>
      <c r="D102" s="85"/>
      <c r="E102" s="86"/>
      <c r="F102" s="85"/>
      <c r="G102" s="85"/>
      <c r="H102" s="87"/>
      <c r="I102" s="87"/>
      <c r="J102" s="87"/>
      <c r="K102" s="87"/>
      <c r="L102" s="87"/>
      <c r="M102" s="87"/>
      <c r="N102" s="93">
        <f>R100</f>
        <v>97500</v>
      </c>
      <c r="O102" s="184"/>
      <c r="P102" s="99"/>
      <c r="Q102" s="171" t="s">
        <v>111</v>
      </c>
      <c r="R102" s="172">
        <f>-(R101*$P$97)</f>
        <v>-19500</v>
      </c>
      <c r="S102" s="141"/>
    </row>
    <row r="103" spans="1:19" s="131" customFormat="1" x14ac:dyDescent="0.25">
      <c r="A103" s="4"/>
      <c r="B103" s="84"/>
      <c r="C103" s="166" t="s">
        <v>108</v>
      </c>
      <c r="D103" s="85"/>
      <c r="E103" s="86"/>
      <c r="F103" s="85"/>
      <c r="G103" s="85"/>
      <c r="H103" s="87"/>
      <c r="I103" s="87"/>
      <c r="J103" s="87"/>
      <c r="K103" s="87"/>
      <c r="L103" s="87"/>
      <c r="M103" s="87"/>
      <c r="N103" s="93">
        <f>R102</f>
        <v>-19500</v>
      </c>
      <c r="O103" s="184"/>
      <c r="P103" s="99"/>
      <c r="R103" s="148"/>
    </row>
    <row r="104" spans="1:19" s="131" customFormat="1" x14ac:dyDescent="0.25">
      <c r="A104" s="4"/>
      <c r="B104" s="84"/>
      <c r="C104" s="84"/>
      <c r="D104" s="85"/>
      <c r="E104" s="86"/>
      <c r="F104" s="85"/>
      <c r="G104" s="85"/>
      <c r="H104" s="87"/>
      <c r="I104" s="87"/>
      <c r="J104" s="87"/>
      <c r="K104" s="87"/>
      <c r="L104" s="87"/>
      <c r="M104" s="87"/>
      <c r="N104" s="93"/>
      <c r="O104" s="184"/>
      <c r="P104" s="99"/>
      <c r="R104" s="148"/>
    </row>
    <row r="105" spans="1:19" s="131" customFormat="1" x14ac:dyDescent="0.25">
      <c r="A105" s="4"/>
      <c r="B105" s="88" t="s">
        <v>49</v>
      </c>
      <c r="C105" s="84"/>
      <c r="D105" s="85"/>
      <c r="E105" s="86"/>
      <c r="F105" s="85"/>
      <c r="G105" s="85"/>
      <c r="H105" s="85"/>
      <c r="I105" s="87"/>
      <c r="J105" s="87"/>
      <c r="K105" s="87"/>
      <c r="L105" s="87"/>
      <c r="M105" s="87"/>
      <c r="N105" s="160"/>
      <c r="O105" s="178"/>
      <c r="P105"/>
    </row>
    <row r="106" spans="1:19" s="131" customFormat="1" x14ac:dyDescent="0.25">
      <c r="A106" s="4"/>
      <c r="B106" s="84" t="s">
        <v>50</v>
      </c>
      <c r="C106" s="84" t="s">
        <v>25</v>
      </c>
      <c r="D106" s="85"/>
      <c r="E106" s="86">
        <f>-(E62-D62)</f>
        <v>-57698.630136986299</v>
      </c>
      <c r="F106" s="86">
        <f t="shared" ref="F106:N106" si="57">-(F62-E62)</f>
        <v>-1153.9726027397264</v>
      </c>
      <c r="G106" s="86">
        <f t="shared" si="57"/>
        <v>-1177.0520547945198</v>
      </c>
      <c r="H106" s="86">
        <f t="shared" si="57"/>
        <v>-1200.5930958904137</v>
      </c>
      <c r="I106" s="86">
        <f t="shared" si="57"/>
        <v>-1836.9074367123321</v>
      </c>
      <c r="J106" s="86">
        <f t="shared" si="57"/>
        <v>-1892.0146598136998</v>
      </c>
      <c r="K106" s="86">
        <f t="shared" si="57"/>
        <v>-1948.7750996081159</v>
      </c>
      <c r="L106" s="86">
        <f t="shared" si="57"/>
        <v>-2007.2383525963523</v>
      </c>
      <c r="M106" s="86">
        <f t="shared" si="57"/>
        <v>-2067.4555031742493</v>
      </c>
      <c r="N106" s="86">
        <f t="shared" si="57"/>
        <v>-2129.4791682694777</v>
      </c>
      <c r="O106" s="180"/>
      <c r="P106"/>
    </row>
    <row r="107" spans="1:19" s="131" customFormat="1" x14ac:dyDescent="0.25">
      <c r="A107" s="4"/>
      <c r="B107" s="84" t="s">
        <v>50</v>
      </c>
      <c r="C107" s="84" t="s">
        <v>9</v>
      </c>
      <c r="D107" s="85"/>
      <c r="E107" s="86">
        <f t="shared" ref="E107:N107" si="58">-(E63-D63)</f>
        <v>-19676.71232876712</v>
      </c>
      <c r="F107" s="86">
        <f t="shared" si="58"/>
        <v>196.76712328767098</v>
      </c>
      <c r="G107" s="86">
        <f t="shared" si="58"/>
        <v>194.79945205479453</v>
      </c>
      <c r="H107" s="86">
        <f t="shared" si="58"/>
        <v>192.85145753424513</v>
      </c>
      <c r="I107" s="86">
        <f t="shared" si="58"/>
        <v>381.84588591780994</v>
      </c>
      <c r="J107" s="86">
        <f t="shared" si="58"/>
        <v>374.20896819945119</v>
      </c>
      <c r="K107" s="86">
        <f t="shared" si="58"/>
        <v>366.72478883546501</v>
      </c>
      <c r="L107" s="86">
        <f t="shared" si="58"/>
        <v>359.39029305875374</v>
      </c>
      <c r="M107" s="86">
        <f t="shared" si="58"/>
        <v>352.20248719757728</v>
      </c>
      <c r="N107" s="127">
        <f t="shared" si="58"/>
        <v>345.15843745362872</v>
      </c>
      <c r="O107" s="180"/>
      <c r="P107"/>
    </row>
    <row r="108" spans="1:19" s="131" customFormat="1" x14ac:dyDescent="0.25">
      <c r="A108" s="4"/>
      <c r="B108" s="84" t="s">
        <v>51</v>
      </c>
      <c r="C108" s="84" t="s">
        <v>29</v>
      </c>
      <c r="D108" s="85"/>
      <c r="E108" s="86">
        <f>E73</f>
        <v>2071.2328767123286</v>
      </c>
      <c r="F108" s="89">
        <f t="shared" ref="F108:N108" si="59">F73-E73</f>
        <v>-300.32876712328743</v>
      </c>
      <c r="G108" s="89">
        <f t="shared" si="59"/>
        <v>-256.78109589041105</v>
      </c>
      <c r="H108" s="89">
        <f t="shared" si="59"/>
        <v>-219.54783698630126</v>
      </c>
      <c r="I108" s="89">
        <f t="shared" si="59"/>
        <v>-1.2945751767122147</v>
      </c>
      <c r="J108" s="89">
        <f t="shared" si="59"/>
        <v>-71.1304330844589</v>
      </c>
      <c r="K108" s="89">
        <f t="shared" si="59"/>
        <v>-67.218259264813696</v>
      </c>
      <c r="L108" s="89">
        <f t="shared" si="59"/>
        <v>-63.521255005248804</v>
      </c>
      <c r="M108" s="89">
        <f t="shared" si="59"/>
        <v>-60.027585979960122</v>
      </c>
      <c r="N108" s="128">
        <f t="shared" si="59"/>
        <v>-56.726068751062371</v>
      </c>
      <c r="O108" s="193"/>
      <c r="P108"/>
      <c r="Q108" s="141"/>
    </row>
    <row r="109" spans="1:19" s="131" customFormat="1" x14ac:dyDescent="0.25">
      <c r="A109" s="4"/>
      <c r="B109" s="84" t="s">
        <v>51</v>
      </c>
      <c r="C109" s="84" t="s">
        <v>30</v>
      </c>
      <c r="D109" s="85"/>
      <c r="E109" s="86">
        <f t="shared" ref="E109:N109" si="60">E89-D89</f>
        <v>9287.6190476190477</v>
      </c>
      <c r="F109" s="86">
        <f t="shared" si="60"/>
        <v>-1038.426798508106</v>
      </c>
      <c r="G109" s="86">
        <f t="shared" si="60"/>
        <v>-890.55162707176714</v>
      </c>
      <c r="H109" s="86">
        <f t="shared" si="60"/>
        <v>-765.89519628166454</v>
      </c>
      <c r="I109" s="86">
        <f t="shared" si="60"/>
        <v>-2768.0555060479355</v>
      </c>
      <c r="J109" s="86">
        <f t="shared" si="60"/>
        <v>-2101.8487604271668</v>
      </c>
      <c r="K109" s="86">
        <f t="shared" si="60"/>
        <v>-1987.4369367573047</v>
      </c>
      <c r="L109" s="86">
        <f t="shared" si="60"/>
        <v>2401.6989894705493</v>
      </c>
      <c r="M109" s="86">
        <f t="shared" si="60"/>
        <v>-1790.8711091020984</v>
      </c>
      <c r="N109" s="127">
        <f t="shared" si="60"/>
        <v>-1707.3560676841221</v>
      </c>
      <c r="O109" s="180"/>
      <c r="P109"/>
    </row>
    <row r="110" spans="1:19" s="131" customFormat="1" x14ac:dyDescent="0.25">
      <c r="A110" s="4"/>
      <c r="B110" s="84"/>
      <c r="C110" s="84"/>
      <c r="D110" s="85"/>
      <c r="E110" s="86"/>
      <c r="F110" s="85"/>
      <c r="G110" s="85"/>
      <c r="H110" s="85"/>
      <c r="I110" s="87"/>
      <c r="J110" s="87"/>
      <c r="K110" s="87"/>
      <c r="L110" s="87"/>
      <c r="M110" s="87"/>
      <c r="N110" s="87"/>
      <c r="O110" s="178"/>
      <c r="P110"/>
    </row>
    <row r="111" spans="1:19" s="131" customFormat="1" x14ac:dyDescent="0.25">
      <c r="A111" s="4"/>
      <c r="B111" s="88" t="s">
        <v>52</v>
      </c>
      <c r="C111" s="84"/>
      <c r="D111" s="85"/>
      <c r="E111" s="86"/>
      <c r="F111" s="85"/>
      <c r="G111" s="85"/>
      <c r="H111" s="85"/>
      <c r="I111" s="87"/>
      <c r="J111" s="87"/>
      <c r="K111" s="87"/>
      <c r="L111" s="87"/>
      <c r="M111" s="87"/>
      <c r="N111" s="87"/>
      <c r="O111" s="178"/>
      <c r="P111" s="99"/>
    </row>
    <row r="112" spans="1:19" s="131" customFormat="1" x14ac:dyDescent="0.25">
      <c r="A112" s="4"/>
      <c r="B112" s="84" t="s">
        <v>53</v>
      </c>
      <c r="C112" s="84" t="s">
        <v>25</v>
      </c>
      <c r="D112" s="85"/>
      <c r="E112" s="86"/>
      <c r="F112" s="85"/>
      <c r="G112" s="85"/>
      <c r="H112" s="90"/>
      <c r="I112" s="87"/>
      <c r="J112" s="87"/>
      <c r="K112" s="87"/>
      <c r="L112" s="87"/>
      <c r="M112" s="87"/>
      <c r="N112" s="90">
        <f>N62</f>
        <v>73112.118110585187</v>
      </c>
      <c r="O112" s="194"/>
      <c r="P112" s="99"/>
    </row>
    <row r="113" spans="1:16" s="131" customFormat="1" x14ac:dyDescent="0.25">
      <c r="A113" s="4"/>
      <c r="B113" s="84" t="s">
        <v>53</v>
      </c>
      <c r="C113" s="84" t="s">
        <v>9</v>
      </c>
      <c r="D113" s="85"/>
      <c r="E113" s="86"/>
      <c r="F113" s="85"/>
      <c r="G113" s="85"/>
      <c r="H113" s="89"/>
      <c r="I113" s="87"/>
      <c r="J113" s="87"/>
      <c r="K113" s="87"/>
      <c r="L113" s="87"/>
      <c r="M113" s="87"/>
      <c r="N113" s="89">
        <f>N63</f>
        <v>16912.763435227724</v>
      </c>
      <c r="O113" s="193"/>
      <c r="P113" s="99"/>
    </row>
    <row r="114" spans="1:16" s="131" customFormat="1" x14ac:dyDescent="0.25">
      <c r="A114" s="4"/>
      <c r="B114" s="84" t="s">
        <v>54</v>
      </c>
      <c r="C114" s="84" t="s">
        <v>29</v>
      </c>
      <c r="D114" s="85"/>
      <c r="E114" s="86"/>
      <c r="F114" s="85"/>
      <c r="G114" s="85"/>
      <c r="H114" s="89"/>
      <c r="I114" s="87"/>
      <c r="J114" s="87"/>
      <c r="K114" s="87"/>
      <c r="L114" s="87"/>
      <c r="M114" s="87"/>
      <c r="N114" s="89">
        <f>-N73</f>
        <v>-974.6569994500727</v>
      </c>
      <c r="O114" s="193"/>
      <c r="P114" s="99"/>
    </row>
    <row r="115" spans="1:16" s="131" customFormat="1" x14ac:dyDescent="0.25">
      <c r="A115" s="4"/>
      <c r="B115" s="84" t="s">
        <v>50</v>
      </c>
      <c r="C115" s="84" t="s">
        <v>30</v>
      </c>
      <c r="D115" s="85"/>
      <c r="E115" s="86"/>
      <c r="F115" s="90"/>
      <c r="G115" s="90"/>
      <c r="H115" s="89"/>
      <c r="I115" s="87"/>
      <c r="J115" s="87"/>
      <c r="K115" s="87"/>
      <c r="L115" s="87"/>
      <c r="M115" s="87"/>
      <c r="N115" s="89">
        <f>-N89</f>
        <v>1361.1239647905679</v>
      </c>
      <c r="O115" s="193"/>
      <c r="P115" s="130"/>
    </row>
    <row r="116" spans="1:16" s="131" customFormat="1" x14ac:dyDescent="0.25">
      <c r="A116" s="4"/>
      <c r="B116" s="84"/>
      <c r="C116" s="84"/>
      <c r="D116" s="85"/>
      <c r="E116" s="86"/>
      <c r="F116" s="85"/>
      <c r="G116" s="85"/>
      <c r="H116" s="85"/>
      <c r="I116" s="87"/>
      <c r="J116" s="87"/>
      <c r="K116" s="87"/>
      <c r="L116" s="87"/>
      <c r="M116" s="87"/>
      <c r="N116" s="87"/>
      <c r="O116" s="178"/>
      <c r="P116" s="99"/>
    </row>
    <row r="117" spans="1:16" s="131" customFormat="1" x14ac:dyDescent="0.25">
      <c r="A117" s="4"/>
      <c r="B117" s="88" t="s">
        <v>55</v>
      </c>
      <c r="C117" s="84"/>
      <c r="D117" s="91">
        <f t="shared" ref="D117:N117" si="61">SUM(D92:D116)</f>
        <v>-675000</v>
      </c>
      <c r="E117" s="91">
        <f t="shared" si="61"/>
        <v>3395.8904109589039</v>
      </c>
      <c r="F117" s="91">
        <f t="shared" si="61"/>
        <v>62962.712713265078</v>
      </c>
      <c r="G117" s="91">
        <f t="shared" si="61"/>
        <v>59566.881924359564</v>
      </c>
      <c r="H117" s="91">
        <f t="shared" si="61"/>
        <v>56639.701793310669</v>
      </c>
      <c r="I117" s="91">
        <f t="shared" si="61"/>
        <v>43336.25280872389</v>
      </c>
      <c r="J117" s="91">
        <f t="shared" si="61"/>
        <v>35462.484513908523</v>
      </c>
      <c r="K117" s="91">
        <f t="shared" si="61"/>
        <v>27566.816145210407</v>
      </c>
      <c r="L117" s="91">
        <f t="shared" si="61"/>
        <v>20072.075856243646</v>
      </c>
      <c r="M117" s="91">
        <f t="shared" si="61"/>
        <v>8652.1100338488195</v>
      </c>
      <c r="N117" s="91">
        <f t="shared" si="61"/>
        <v>669585.11645140685</v>
      </c>
      <c r="O117" s="196"/>
      <c r="P117" s="99"/>
    </row>
    <row r="118" spans="1:16" s="131" customFormat="1" x14ac:dyDescent="0.25">
      <c r="A118" s="4"/>
      <c r="B118" s="88" t="s">
        <v>56</v>
      </c>
      <c r="C118" s="84"/>
      <c r="D118" s="94">
        <f>-PV($D$121,D120,,D117)</f>
        <v>-675000</v>
      </c>
      <c r="E118" s="94">
        <f t="shared" ref="E118:N118" si="62">-PV($D$121,E120,,E117)</f>
        <v>3144.342973110096</v>
      </c>
      <c r="F118" s="94">
        <f t="shared" si="62"/>
        <v>53980.377840590772</v>
      </c>
      <c r="G118" s="94">
        <f t="shared" si="62"/>
        <v>47286.111368598184</v>
      </c>
      <c r="H118" s="94">
        <f t="shared" si="62"/>
        <v>41631.871671572153</v>
      </c>
      <c r="I118" s="94">
        <f t="shared" si="62"/>
        <v>29493.925484024265</v>
      </c>
      <c r="J118" s="94">
        <f t="shared" si="62"/>
        <v>22347.380634477606</v>
      </c>
      <c r="K118" s="94">
        <f t="shared" si="62"/>
        <v>16084.972448687393</v>
      </c>
      <c r="L118" s="94">
        <f t="shared" si="62"/>
        <v>10844.318032491794</v>
      </c>
      <c r="M118" s="94">
        <f t="shared" si="62"/>
        <v>4328.2091079406046</v>
      </c>
      <c r="N118" s="94">
        <f t="shared" si="62"/>
        <v>310147.46565871662</v>
      </c>
      <c r="O118" s="192"/>
      <c r="P118" s="99"/>
    </row>
    <row r="119" spans="1:16" s="131" customFormat="1" x14ac:dyDescent="0.25">
      <c r="A119" s="4"/>
      <c r="B119" s="88" t="s">
        <v>127</v>
      </c>
      <c r="C119" s="84"/>
      <c r="D119" s="198">
        <f>-PV($T$80,D120,,D117,0)</f>
        <v>-675000</v>
      </c>
      <c r="E119" s="198">
        <f t="shared" ref="E119:N119" si="63">-PV($T$80,E120,,E117,0)</f>
        <v>3219.1314975055348</v>
      </c>
      <c r="F119" s="198">
        <f t="shared" si="63"/>
        <v>56578.774016679716</v>
      </c>
      <c r="G119" s="198">
        <f t="shared" si="63"/>
        <v>50741.116549991399</v>
      </c>
      <c r="H119" s="198">
        <f t="shared" si="63"/>
        <v>45736.314047504573</v>
      </c>
      <c r="I119" s="198">
        <f t="shared" si="63"/>
        <v>33172.378345119425</v>
      </c>
      <c r="J119" s="198">
        <f t="shared" si="63"/>
        <v>25732.350831473395</v>
      </c>
      <c r="K119" s="198">
        <f t="shared" si="63"/>
        <v>18961.904950631244</v>
      </c>
      <c r="L119" s="198">
        <f t="shared" si="63"/>
        <v>13087.982206731529</v>
      </c>
      <c r="M119" s="198">
        <f t="shared" si="63"/>
        <v>5347.9518821313632</v>
      </c>
      <c r="N119" s="198">
        <f t="shared" si="63"/>
        <v>392334.31923721713</v>
      </c>
      <c r="O119" s="178"/>
      <c r="P119" s="99"/>
    </row>
    <row r="120" spans="1:16" s="131" customFormat="1" x14ac:dyDescent="0.25">
      <c r="A120" s="4"/>
      <c r="B120" s="88" t="s">
        <v>57</v>
      </c>
      <c r="C120" s="84"/>
      <c r="D120" s="125">
        <v>0</v>
      </c>
      <c r="E120" s="126">
        <v>1</v>
      </c>
      <c r="F120" s="125">
        <v>2</v>
      </c>
      <c r="G120" s="125">
        <v>3</v>
      </c>
      <c r="H120" s="125">
        <v>4</v>
      </c>
      <c r="I120" s="126">
        <v>5</v>
      </c>
      <c r="J120" s="125">
        <v>6</v>
      </c>
      <c r="K120" s="125">
        <v>7</v>
      </c>
      <c r="L120" s="125">
        <v>8</v>
      </c>
      <c r="M120" s="126">
        <v>9</v>
      </c>
      <c r="N120" s="125">
        <v>10</v>
      </c>
      <c r="O120" s="185"/>
      <c r="P120" s="99"/>
    </row>
    <row r="121" spans="1:16" s="131" customFormat="1" x14ac:dyDescent="0.25">
      <c r="A121" s="4"/>
      <c r="B121" s="88" t="s">
        <v>58</v>
      </c>
      <c r="C121" s="84"/>
      <c r="D121" s="95">
        <v>0.08</v>
      </c>
      <c r="E121" s="86"/>
      <c r="F121" s="85"/>
      <c r="G121" s="85"/>
      <c r="H121" s="85"/>
      <c r="I121" s="87"/>
      <c r="J121" s="87"/>
      <c r="K121" s="87"/>
      <c r="L121" s="87"/>
      <c r="M121" s="87"/>
      <c r="N121" s="87"/>
      <c r="O121" s="178"/>
      <c r="P121" s="99"/>
    </row>
    <row r="122" spans="1:16" s="131" customFormat="1" x14ac:dyDescent="0.25">
      <c r="A122" s="4"/>
      <c r="B122" s="88" t="s">
        <v>59</v>
      </c>
      <c r="C122" s="84"/>
      <c r="D122" s="96">
        <f>SUM(D118:N118)</f>
        <v>-135711.02477979049</v>
      </c>
      <c r="E122" s="86"/>
      <c r="F122" s="85"/>
      <c r="G122" s="85"/>
      <c r="H122" s="85"/>
      <c r="I122" s="87"/>
      <c r="J122" s="87"/>
      <c r="K122" s="87"/>
      <c r="L122" s="87"/>
      <c r="M122" s="87"/>
      <c r="N122" s="87"/>
      <c r="O122" s="178"/>
      <c r="P122" s="99"/>
    </row>
    <row r="123" spans="1:16" s="131" customFormat="1" x14ac:dyDescent="0.25">
      <c r="A123" s="4"/>
      <c r="B123" s="88" t="s">
        <v>60</v>
      </c>
      <c r="C123" s="84"/>
      <c r="D123" s="199">
        <f>IRR(D117:N117)</f>
        <v>4.8721126989746288E-2</v>
      </c>
      <c r="E123" s="200"/>
      <c r="F123" s="201"/>
      <c r="G123" s="201"/>
      <c r="H123" s="201"/>
      <c r="I123" s="202"/>
      <c r="J123" s="202"/>
      <c r="K123" s="202"/>
      <c r="L123" s="202"/>
      <c r="M123" s="202"/>
      <c r="N123" s="202"/>
      <c r="O123" s="178"/>
      <c r="P123" s="99"/>
    </row>
    <row r="124" spans="1:16" x14ac:dyDescent="0.25">
      <c r="B124" s="207" t="s">
        <v>128</v>
      </c>
      <c r="C124" s="208"/>
      <c r="D124" s="204">
        <f>SUM(D119:N119)</f>
        <v>-30087.776435014617</v>
      </c>
      <c r="E124" s="205"/>
      <c r="F124" s="203"/>
      <c r="G124" s="203"/>
      <c r="H124" s="203"/>
      <c r="I124" s="203"/>
      <c r="J124" s="203"/>
      <c r="K124" s="203"/>
      <c r="L124" s="203"/>
      <c r="M124" s="203"/>
      <c r="N124" s="203"/>
    </row>
    <row r="126" spans="1:16" ht="18.75" x14ac:dyDescent="0.3">
      <c r="B126" s="259" t="s">
        <v>154</v>
      </c>
      <c r="D126" t="s">
        <v>160</v>
      </c>
      <c r="E126" s="263">
        <v>0.7</v>
      </c>
    </row>
    <row r="127" spans="1:16" x14ac:dyDescent="0.25">
      <c r="B127" s="88" t="s">
        <v>55</v>
      </c>
      <c r="C127" s="84"/>
      <c r="D127" s="91">
        <f>SUM(D92:D116)</f>
        <v>-675000</v>
      </c>
      <c r="E127" s="91">
        <v>-99000.041984113996</v>
      </c>
      <c r="F127" s="91">
        <v>43000</v>
      </c>
      <c r="G127" s="91">
        <v>67000</v>
      </c>
      <c r="H127" s="91">
        <v>75000</v>
      </c>
      <c r="I127" s="91">
        <v>52000</v>
      </c>
      <c r="J127" s="91">
        <v>75000</v>
      </c>
      <c r="K127" s="91">
        <v>60000</v>
      </c>
      <c r="L127" s="91">
        <v>48000</v>
      </c>
      <c r="M127" s="91">
        <v>50000</v>
      </c>
      <c r="N127" s="91">
        <v>700000</v>
      </c>
    </row>
    <row r="128" spans="1:16" x14ac:dyDescent="0.25">
      <c r="B128" s="88" t="s">
        <v>56</v>
      </c>
      <c r="C128" s="84"/>
      <c r="D128" s="94">
        <f>-PV($D$130,D129,,D127)</f>
        <v>-675000</v>
      </c>
      <c r="E128" s="94">
        <f t="shared" ref="E128:N128" si="64">-PV($D$130,E129,,E127)</f>
        <v>-93847.007658719303</v>
      </c>
      <c r="F128" s="94">
        <f t="shared" si="64"/>
        <v>38640.128067491343</v>
      </c>
      <c r="G128" s="94">
        <f t="shared" si="64"/>
        <v>57072.901904894781</v>
      </c>
      <c r="H128" s="94">
        <f t="shared" si="64"/>
        <v>60562.175381508867</v>
      </c>
      <c r="I128" s="94">
        <f t="shared" si="64"/>
        <v>39804.172307185792</v>
      </c>
      <c r="J128" s="94">
        <f t="shared" si="64"/>
        <v>54421.632855520322</v>
      </c>
      <c r="K128" s="94">
        <f t="shared" si="64"/>
        <v>41271.153369503161</v>
      </c>
      <c r="L128" s="94">
        <f t="shared" si="64"/>
        <v>31298.364475226783</v>
      </c>
      <c r="M128" s="94">
        <f t="shared" si="64"/>
        <v>30905.477745943386</v>
      </c>
      <c r="N128" s="94">
        <f t="shared" si="64"/>
        <v>410155.50781882217</v>
      </c>
    </row>
    <row r="129" spans="2:15" s="129" customFormat="1" x14ac:dyDescent="0.25">
      <c r="B129" s="88" t="s">
        <v>57</v>
      </c>
      <c r="C129" s="84"/>
      <c r="D129" s="125">
        <v>0</v>
      </c>
      <c r="E129" s="126">
        <v>1</v>
      </c>
      <c r="F129" s="125">
        <v>2</v>
      </c>
      <c r="G129" s="125">
        <v>3</v>
      </c>
      <c r="H129" s="125">
        <v>4</v>
      </c>
      <c r="I129" s="126">
        <v>5</v>
      </c>
      <c r="J129" s="125">
        <v>6</v>
      </c>
      <c r="K129" s="125">
        <v>7</v>
      </c>
      <c r="L129" s="125">
        <v>8</v>
      </c>
      <c r="M129" s="126">
        <v>9</v>
      </c>
      <c r="N129" s="125">
        <v>10</v>
      </c>
    </row>
    <row r="130" spans="2:15" s="129" customFormat="1" x14ac:dyDescent="0.25">
      <c r="B130" s="88" t="s">
        <v>117</v>
      </c>
      <c r="C130" s="84"/>
      <c r="D130" s="257">
        <f>$T$80</f>
        <v>5.4908882594680318E-2</v>
      </c>
      <c r="E130" s="86"/>
      <c r="F130" s="85"/>
      <c r="G130" s="85"/>
      <c r="H130" s="85"/>
      <c r="I130" s="87"/>
      <c r="J130" s="87"/>
      <c r="K130" s="87"/>
      <c r="L130" s="87"/>
      <c r="M130" s="87"/>
      <c r="N130" s="87"/>
    </row>
    <row r="131" spans="2:15" s="129" customFormat="1" x14ac:dyDescent="0.25">
      <c r="B131" s="88" t="s">
        <v>59</v>
      </c>
      <c r="C131" s="84"/>
      <c r="D131" s="96">
        <f>SUM(D128:N128)</f>
        <v>-4715.49373262265</v>
      </c>
      <c r="E131" s="86"/>
      <c r="F131" s="85"/>
      <c r="G131" s="85"/>
      <c r="H131" s="85"/>
      <c r="I131" s="87"/>
      <c r="J131" s="87"/>
      <c r="K131" s="87"/>
      <c r="L131" s="87"/>
      <c r="M131" s="87"/>
      <c r="N131" s="87"/>
    </row>
    <row r="132" spans="2:15" s="129" customFormat="1" x14ac:dyDescent="0.25">
      <c r="B132" s="88" t="s">
        <v>60</v>
      </c>
      <c r="C132" s="84"/>
      <c r="D132" s="258">
        <f>IRR(D127:N127)</f>
        <v>5.4060698167536891E-2</v>
      </c>
      <c r="E132" s="200"/>
      <c r="F132" s="201"/>
      <c r="G132" s="201"/>
      <c r="H132" s="201"/>
      <c r="I132" s="202"/>
      <c r="J132" s="202"/>
      <c r="K132" s="202"/>
      <c r="L132" s="202"/>
      <c r="M132" s="202"/>
      <c r="N132" s="202"/>
    </row>
    <row r="134" spans="2:15" s="129" customFormat="1" x14ac:dyDescent="0.25">
      <c r="B134"/>
      <c r="C134"/>
      <c r="D134"/>
      <c r="E134" s="49"/>
      <c r="F134" s="260">
        <v>5000</v>
      </c>
      <c r="G134" s="260">
        <v>5000</v>
      </c>
      <c r="H134" s="260">
        <f t="shared" ref="H134:N134" si="65">G134+5000</f>
        <v>10000</v>
      </c>
      <c r="I134" s="260">
        <f t="shared" si="65"/>
        <v>15000</v>
      </c>
      <c r="J134" s="260">
        <f t="shared" si="65"/>
        <v>20000</v>
      </c>
      <c r="K134" s="260">
        <f t="shared" si="65"/>
        <v>25000</v>
      </c>
      <c r="L134" s="260">
        <f t="shared" si="65"/>
        <v>30000</v>
      </c>
      <c r="M134" s="260">
        <f t="shared" si="65"/>
        <v>35000</v>
      </c>
      <c r="N134" s="260">
        <f t="shared" si="65"/>
        <v>40000</v>
      </c>
      <c r="O134" s="261"/>
    </row>
    <row r="135" spans="2:15" s="129" customFormat="1" ht="18.75" x14ac:dyDescent="0.3">
      <c r="B135" s="259" t="s">
        <v>155</v>
      </c>
      <c r="C135"/>
      <c r="D135" t="s">
        <v>160</v>
      </c>
      <c r="E135" s="263">
        <v>0.2</v>
      </c>
      <c r="F135" t="s">
        <v>159</v>
      </c>
      <c r="G135"/>
      <c r="H135"/>
      <c r="I135"/>
      <c r="J135"/>
      <c r="K135"/>
      <c r="L135"/>
      <c r="M135"/>
      <c r="N135"/>
    </row>
    <row r="136" spans="2:15" s="129" customFormat="1" x14ac:dyDescent="0.25">
      <c r="B136" s="88" t="s">
        <v>55</v>
      </c>
      <c r="C136" s="84"/>
      <c r="D136" s="91">
        <f>D127</f>
        <v>-675000</v>
      </c>
      <c r="E136" s="91">
        <f t="shared" ref="E136" si="66">E127</f>
        <v>-99000.041984113996</v>
      </c>
      <c r="F136" s="91">
        <f t="shared" ref="F136:N136" si="67">F127+F134</f>
        <v>48000</v>
      </c>
      <c r="G136" s="91">
        <f t="shared" si="67"/>
        <v>72000</v>
      </c>
      <c r="H136" s="91">
        <f t="shared" si="67"/>
        <v>85000</v>
      </c>
      <c r="I136" s="91">
        <f t="shared" si="67"/>
        <v>67000</v>
      </c>
      <c r="J136" s="91">
        <f t="shared" si="67"/>
        <v>95000</v>
      </c>
      <c r="K136" s="91">
        <f t="shared" si="67"/>
        <v>85000</v>
      </c>
      <c r="L136" s="91">
        <f t="shared" si="67"/>
        <v>78000</v>
      </c>
      <c r="M136" s="91">
        <f t="shared" si="67"/>
        <v>85000</v>
      </c>
      <c r="N136" s="91">
        <f t="shared" si="67"/>
        <v>740000</v>
      </c>
    </row>
    <row r="137" spans="2:15" s="129" customFormat="1" x14ac:dyDescent="0.25">
      <c r="B137" s="88" t="s">
        <v>56</v>
      </c>
      <c r="C137" s="84"/>
      <c r="D137" s="94">
        <f>-PV($D$130,D138,,D136)</f>
        <v>-675000</v>
      </c>
      <c r="E137" s="94">
        <f t="shared" ref="E137:N137" si="68">-PV($D$130,E138,,E136)</f>
        <v>-93847.007658719303</v>
      </c>
      <c r="F137" s="94">
        <f t="shared" si="68"/>
        <v>43133.166214874058</v>
      </c>
      <c r="G137" s="94">
        <f t="shared" si="68"/>
        <v>61332.07368884216</v>
      </c>
      <c r="H137" s="94">
        <f t="shared" si="68"/>
        <v>68637.132099043389</v>
      </c>
      <c r="I137" s="94">
        <f t="shared" si="68"/>
        <v>51286.145088104771</v>
      </c>
      <c r="J137" s="94">
        <f t="shared" si="68"/>
        <v>68934.068283659071</v>
      </c>
      <c r="K137" s="94">
        <f t="shared" si="68"/>
        <v>58467.467273462811</v>
      </c>
      <c r="L137" s="94">
        <f t="shared" si="68"/>
        <v>50859.842272243528</v>
      </c>
      <c r="M137" s="94">
        <f t="shared" si="68"/>
        <v>52539.312168103752</v>
      </c>
      <c r="N137" s="94">
        <f t="shared" si="68"/>
        <v>433592.9654084692</v>
      </c>
    </row>
    <row r="138" spans="2:15" s="129" customFormat="1" x14ac:dyDescent="0.25">
      <c r="B138" s="88" t="s">
        <v>57</v>
      </c>
      <c r="C138" s="84"/>
      <c r="D138" s="125">
        <v>0</v>
      </c>
      <c r="E138" s="126">
        <v>1</v>
      </c>
      <c r="F138" s="125">
        <v>2</v>
      </c>
      <c r="G138" s="125">
        <v>3</v>
      </c>
      <c r="H138" s="125">
        <v>4</v>
      </c>
      <c r="I138" s="126">
        <v>5</v>
      </c>
      <c r="J138" s="125">
        <v>6</v>
      </c>
      <c r="K138" s="125">
        <v>7</v>
      </c>
      <c r="L138" s="125">
        <v>8</v>
      </c>
      <c r="M138" s="126">
        <v>9</v>
      </c>
      <c r="N138" s="125">
        <v>10</v>
      </c>
    </row>
    <row r="139" spans="2:15" s="129" customFormat="1" x14ac:dyDescent="0.25">
      <c r="B139" s="88" t="s">
        <v>117</v>
      </c>
      <c r="C139" s="84"/>
      <c r="D139" s="257">
        <f>$T$80</f>
        <v>5.4908882594680318E-2</v>
      </c>
      <c r="E139" s="86"/>
      <c r="F139" s="85"/>
      <c r="G139" s="85"/>
      <c r="H139" s="85"/>
      <c r="I139" s="87"/>
      <c r="J139" s="87"/>
      <c r="K139" s="87"/>
      <c r="L139" s="87"/>
      <c r="M139" s="87"/>
      <c r="N139" s="87"/>
    </row>
    <row r="140" spans="2:15" s="129" customFormat="1" x14ac:dyDescent="0.25">
      <c r="B140" s="88" t="s">
        <v>59</v>
      </c>
      <c r="C140" s="84"/>
      <c r="D140" s="96">
        <f>SUM(D137:N137)</f>
        <v>119935.16483808326</v>
      </c>
      <c r="E140" s="86"/>
      <c r="F140" s="85"/>
      <c r="G140" s="85"/>
      <c r="H140" s="85"/>
      <c r="I140" s="87"/>
      <c r="J140" s="87"/>
      <c r="K140" s="87"/>
      <c r="L140" s="87"/>
      <c r="M140" s="87"/>
      <c r="N140" s="87"/>
    </row>
    <row r="141" spans="2:15" s="129" customFormat="1" x14ac:dyDescent="0.25">
      <c r="B141" s="88" t="s">
        <v>60</v>
      </c>
      <c r="C141" s="84"/>
      <c r="D141" s="258">
        <f>IRR(D136:N136)</f>
        <v>7.549365934516139E-2</v>
      </c>
      <c r="E141" s="200"/>
      <c r="F141" s="201"/>
      <c r="G141" s="201"/>
      <c r="H141" s="201"/>
      <c r="I141" s="202"/>
      <c r="J141" s="202"/>
      <c r="K141" s="202"/>
      <c r="L141" s="202"/>
      <c r="M141" s="202"/>
      <c r="N141" s="202"/>
    </row>
    <row r="143" spans="2:15" s="129" customFormat="1" x14ac:dyDescent="0.25">
      <c r="B143"/>
      <c r="C143"/>
      <c r="D143"/>
      <c r="E143" s="49"/>
      <c r="F143" s="260"/>
      <c r="G143" s="260">
        <v>5000</v>
      </c>
      <c r="H143" s="260">
        <f t="shared" ref="H143:N143" si="69">G143-5000</f>
        <v>0</v>
      </c>
      <c r="I143" s="260">
        <f t="shared" si="69"/>
        <v>-5000</v>
      </c>
      <c r="J143" s="260">
        <f t="shared" si="69"/>
        <v>-10000</v>
      </c>
      <c r="K143" s="260">
        <f t="shared" si="69"/>
        <v>-15000</v>
      </c>
      <c r="L143" s="260">
        <f t="shared" si="69"/>
        <v>-20000</v>
      </c>
      <c r="M143" s="260">
        <f t="shared" si="69"/>
        <v>-25000</v>
      </c>
      <c r="N143" s="260">
        <f t="shared" si="69"/>
        <v>-30000</v>
      </c>
      <c r="O143" s="261"/>
    </row>
    <row r="144" spans="2:15" s="129" customFormat="1" ht="18.75" x14ac:dyDescent="0.3">
      <c r="B144" s="259" t="s">
        <v>156</v>
      </c>
      <c r="C144"/>
      <c r="D144" t="s">
        <v>160</v>
      </c>
      <c r="E144" s="263">
        <v>0.1</v>
      </c>
      <c r="F144"/>
      <c r="G144" t="s">
        <v>159</v>
      </c>
      <c r="H144"/>
      <c r="I144"/>
      <c r="J144"/>
      <c r="K144"/>
      <c r="L144"/>
      <c r="M144"/>
      <c r="N144"/>
    </row>
    <row r="145" spans="2:15" s="129" customFormat="1" x14ac:dyDescent="0.25">
      <c r="B145" s="88" t="s">
        <v>55</v>
      </c>
      <c r="C145" s="84"/>
      <c r="D145" s="91">
        <f>D127</f>
        <v>-675000</v>
      </c>
      <c r="E145" s="91">
        <f t="shared" ref="E145" si="70">E127</f>
        <v>-99000.041984113996</v>
      </c>
      <c r="F145" s="91">
        <f t="shared" ref="F145:J145" si="71">F127+F143</f>
        <v>43000</v>
      </c>
      <c r="G145" s="91">
        <f t="shared" si="71"/>
        <v>72000</v>
      </c>
      <c r="H145" s="91">
        <f t="shared" si="71"/>
        <v>75000</v>
      </c>
      <c r="I145" s="91">
        <f t="shared" si="71"/>
        <v>47000</v>
      </c>
      <c r="J145" s="91">
        <f t="shared" si="71"/>
        <v>65000</v>
      </c>
      <c r="K145" s="91">
        <f>K127+K143</f>
        <v>45000</v>
      </c>
      <c r="L145" s="91">
        <f t="shared" ref="L145:N145" si="72">L127+L143</f>
        <v>28000</v>
      </c>
      <c r="M145" s="91">
        <f t="shared" si="72"/>
        <v>25000</v>
      </c>
      <c r="N145" s="91">
        <f t="shared" si="72"/>
        <v>670000</v>
      </c>
    </row>
    <row r="146" spans="2:15" s="129" customFormat="1" x14ac:dyDescent="0.25">
      <c r="B146" s="88" t="s">
        <v>56</v>
      </c>
      <c r="C146" s="84"/>
      <c r="D146" s="94">
        <f>-PV($D$130,D147,,D145)</f>
        <v>-675000</v>
      </c>
      <c r="E146" s="94">
        <f t="shared" ref="E146:N146" si="73">-PV($D$130,E147,,E145)</f>
        <v>-93847.007658719303</v>
      </c>
      <c r="F146" s="94">
        <f t="shared" si="73"/>
        <v>38640.128067491343</v>
      </c>
      <c r="G146" s="94">
        <f t="shared" si="73"/>
        <v>61332.07368884216</v>
      </c>
      <c r="H146" s="94">
        <f t="shared" si="73"/>
        <v>60562.175381508867</v>
      </c>
      <c r="I146" s="94">
        <f t="shared" si="73"/>
        <v>35976.848046879466</v>
      </c>
      <c r="J146" s="94">
        <f t="shared" si="73"/>
        <v>47165.415141450947</v>
      </c>
      <c r="K146" s="94">
        <f t="shared" si="73"/>
        <v>30953.365027127369</v>
      </c>
      <c r="L146" s="94">
        <f t="shared" si="73"/>
        <v>18257.379277215623</v>
      </c>
      <c r="M146" s="94">
        <f t="shared" si="73"/>
        <v>15452.738872971693</v>
      </c>
      <c r="N146" s="94">
        <f t="shared" si="73"/>
        <v>392577.41462658695</v>
      </c>
    </row>
    <row r="147" spans="2:15" s="129" customFormat="1" x14ac:dyDescent="0.25">
      <c r="B147" s="88" t="s">
        <v>57</v>
      </c>
      <c r="C147" s="84"/>
      <c r="D147" s="125">
        <v>0</v>
      </c>
      <c r="E147" s="126">
        <v>1</v>
      </c>
      <c r="F147" s="125">
        <v>2</v>
      </c>
      <c r="G147" s="125">
        <v>3</v>
      </c>
      <c r="H147" s="125">
        <v>4</v>
      </c>
      <c r="I147" s="126">
        <v>5</v>
      </c>
      <c r="J147" s="125">
        <v>6</v>
      </c>
      <c r="K147" s="125">
        <v>7</v>
      </c>
      <c r="L147" s="125">
        <v>8</v>
      </c>
      <c r="M147" s="126">
        <v>9</v>
      </c>
      <c r="N147" s="125">
        <v>10</v>
      </c>
    </row>
    <row r="148" spans="2:15" s="129" customFormat="1" x14ac:dyDescent="0.25">
      <c r="B148" s="88" t="s">
        <v>117</v>
      </c>
      <c r="C148" s="84"/>
      <c r="D148" s="257">
        <f>$T$80</f>
        <v>5.4908882594680318E-2</v>
      </c>
      <c r="E148" s="86"/>
      <c r="F148" s="85"/>
      <c r="G148" s="85"/>
      <c r="H148" s="85"/>
      <c r="I148" s="87"/>
      <c r="J148" s="87"/>
      <c r="K148" s="87"/>
      <c r="L148" s="87"/>
      <c r="M148" s="87"/>
      <c r="N148" s="87"/>
    </row>
    <row r="149" spans="2:15" s="129" customFormat="1" x14ac:dyDescent="0.25">
      <c r="B149" s="88" t="s">
        <v>59</v>
      </c>
      <c r="C149" s="84"/>
      <c r="D149" s="96">
        <f>SUM(D146:N146)</f>
        <v>-67929.46952864487</v>
      </c>
      <c r="E149" s="86"/>
      <c r="F149" s="85"/>
      <c r="G149" s="85"/>
      <c r="H149" s="85"/>
      <c r="I149" s="87"/>
      <c r="J149" s="87"/>
      <c r="K149" s="87"/>
      <c r="L149" s="87"/>
      <c r="M149" s="87"/>
      <c r="N149" s="87"/>
    </row>
    <row r="150" spans="2:15" s="129" customFormat="1" x14ac:dyDescent="0.25">
      <c r="B150" s="88" t="s">
        <v>60</v>
      </c>
      <c r="C150" s="84"/>
      <c r="D150" s="258">
        <f>IRR(D145:N145)</f>
        <v>4.2187044747207025E-2</v>
      </c>
      <c r="E150" s="200"/>
      <c r="F150" s="201"/>
      <c r="G150" s="201"/>
      <c r="H150" s="201"/>
      <c r="I150" s="202"/>
      <c r="J150" s="202"/>
      <c r="K150" s="202"/>
      <c r="L150" s="202"/>
      <c r="M150" s="202"/>
      <c r="N150" s="202"/>
    </row>
    <row r="152" spans="2:15" s="129" customFormat="1" x14ac:dyDescent="0.25">
      <c r="B152" s="139" t="s">
        <v>161</v>
      </c>
      <c r="C152"/>
      <c r="D152" s="262">
        <f>E126*D131+E135*D140+E144*D149</f>
        <v>13893.240401916311</v>
      </c>
      <c r="E152" s="49"/>
      <c r="F152"/>
      <c r="G152"/>
      <c r="H152"/>
      <c r="I152"/>
      <c r="J152"/>
      <c r="K152"/>
      <c r="L152"/>
      <c r="M152"/>
      <c r="N152"/>
    </row>
    <row r="154" spans="2:15" s="129" customFormat="1" x14ac:dyDescent="0.25">
      <c r="B154"/>
      <c r="C154"/>
      <c r="D154"/>
      <c r="E154" s="49"/>
      <c r="F154" s="260">
        <v>-400000</v>
      </c>
      <c r="G154" s="260">
        <v>10000</v>
      </c>
      <c r="H154" s="260">
        <f>G154+10000</f>
        <v>20000</v>
      </c>
      <c r="I154" s="260">
        <f t="shared" ref="I154:M154" si="74">H154+10000</f>
        <v>30000</v>
      </c>
      <c r="J154" s="260">
        <f t="shared" si="74"/>
        <v>40000</v>
      </c>
      <c r="K154" s="260">
        <f t="shared" si="74"/>
        <v>50000</v>
      </c>
      <c r="L154" s="260">
        <f t="shared" si="74"/>
        <v>60000</v>
      </c>
      <c r="M154" s="260">
        <f t="shared" si="74"/>
        <v>70000</v>
      </c>
      <c r="N154" s="260">
        <f>M154+10000-F154*O155</f>
        <v>620000</v>
      </c>
      <c r="O154" s="261"/>
    </row>
    <row r="155" spans="2:15" s="129" customFormat="1" ht="18.75" x14ac:dyDescent="0.3">
      <c r="B155" s="259" t="s">
        <v>162</v>
      </c>
      <c r="C155"/>
      <c r="D155" t="s">
        <v>160</v>
      </c>
      <c r="E155" s="263">
        <v>0.2</v>
      </c>
      <c r="F155" t="s">
        <v>157</v>
      </c>
      <c r="G155" t="s">
        <v>159</v>
      </c>
      <c r="H155"/>
      <c r="I155"/>
      <c r="J155"/>
      <c r="K155"/>
      <c r="L155"/>
      <c r="M155"/>
      <c r="N155" t="s">
        <v>158</v>
      </c>
      <c r="O155" s="261">
        <v>1.35</v>
      </c>
    </row>
    <row r="156" spans="2:15" s="129" customFormat="1" x14ac:dyDescent="0.25">
      <c r="B156" s="88" t="s">
        <v>55</v>
      </c>
      <c r="C156" s="84"/>
      <c r="D156" s="91">
        <f t="shared" ref="D156" si="75">D127</f>
        <v>-675000</v>
      </c>
      <c r="E156" s="91">
        <f>E127</f>
        <v>-99000.041984113996</v>
      </c>
      <c r="F156" s="91">
        <f>F127+F154</f>
        <v>-357000</v>
      </c>
      <c r="G156" s="91">
        <f t="shared" ref="G156:N156" si="76">G127+G154</f>
        <v>77000</v>
      </c>
      <c r="H156" s="91">
        <f t="shared" si="76"/>
        <v>95000</v>
      </c>
      <c r="I156" s="91">
        <f t="shared" si="76"/>
        <v>82000</v>
      </c>
      <c r="J156" s="91">
        <f t="shared" si="76"/>
        <v>115000</v>
      </c>
      <c r="K156" s="91">
        <f t="shared" si="76"/>
        <v>110000</v>
      </c>
      <c r="L156" s="91">
        <f t="shared" si="76"/>
        <v>108000</v>
      </c>
      <c r="M156" s="91">
        <f t="shared" si="76"/>
        <v>120000</v>
      </c>
      <c r="N156" s="91">
        <f t="shared" si="76"/>
        <v>1320000</v>
      </c>
    </row>
    <row r="157" spans="2:15" s="129" customFormat="1" x14ac:dyDescent="0.25">
      <c r="B157" s="88" t="s">
        <v>56</v>
      </c>
      <c r="C157" s="84"/>
      <c r="D157" s="94">
        <f>-PV($D$130,D158,,D156)</f>
        <v>-675000</v>
      </c>
      <c r="E157" s="94">
        <f t="shared" ref="E157:N157" si="77">-PV($D$130,E158,,E156)</f>
        <v>-93847.007658719303</v>
      </c>
      <c r="F157" s="94">
        <f t="shared" si="77"/>
        <v>-320802.92372312577</v>
      </c>
      <c r="G157" s="94">
        <f t="shared" si="77"/>
        <v>65591.245472789524</v>
      </c>
      <c r="H157" s="94">
        <f t="shared" si="77"/>
        <v>76712.088816577903</v>
      </c>
      <c r="I157" s="94">
        <f t="shared" si="77"/>
        <v>62768.11786902375</v>
      </c>
      <c r="J157" s="94">
        <f t="shared" si="77"/>
        <v>83446.503711797835</v>
      </c>
      <c r="K157" s="94">
        <f t="shared" si="77"/>
        <v>75663.781177422454</v>
      </c>
      <c r="L157" s="94">
        <f t="shared" si="77"/>
        <v>70421.32006926027</v>
      </c>
      <c r="M157" s="94">
        <f t="shared" si="77"/>
        <v>74173.146590264121</v>
      </c>
      <c r="N157" s="94">
        <f t="shared" si="77"/>
        <v>773436.10045835038</v>
      </c>
    </row>
    <row r="158" spans="2:15" s="129" customFormat="1" x14ac:dyDescent="0.25">
      <c r="B158" s="88" t="s">
        <v>57</v>
      </c>
      <c r="C158" s="84"/>
      <c r="D158" s="125">
        <v>0</v>
      </c>
      <c r="E158" s="126">
        <v>1</v>
      </c>
      <c r="F158" s="125">
        <v>2</v>
      </c>
      <c r="G158" s="125">
        <v>3</v>
      </c>
      <c r="H158" s="125">
        <v>4</v>
      </c>
      <c r="I158" s="126">
        <v>5</v>
      </c>
      <c r="J158" s="125">
        <v>6</v>
      </c>
      <c r="K158" s="125">
        <v>7</v>
      </c>
      <c r="L158" s="125">
        <v>8</v>
      </c>
      <c r="M158" s="126">
        <v>9</v>
      </c>
      <c r="N158" s="125">
        <v>10</v>
      </c>
    </row>
    <row r="159" spans="2:15" s="129" customFormat="1" x14ac:dyDescent="0.25">
      <c r="B159" s="88" t="s">
        <v>117</v>
      </c>
      <c r="C159" s="84"/>
      <c r="D159" s="257">
        <f>$T$80</f>
        <v>5.4908882594680318E-2</v>
      </c>
      <c r="E159" s="86"/>
      <c r="F159" s="85"/>
      <c r="G159" s="85"/>
      <c r="H159" s="85"/>
      <c r="I159" s="87"/>
      <c r="J159" s="87"/>
      <c r="K159" s="87"/>
      <c r="L159" s="87"/>
      <c r="M159" s="87"/>
      <c r="N159" s="87"/>
    </row>
    <row r="160" spans="2:15" s="129" customFormat="1" x14ac:dyDescent="0.25">
      <c r="B160" s="88" t="s">
        <v>59</v>
      </c>
      <c r="C160" s="84"/>
      <c r="D160" s="96">
        <f>SUM(D157:N157)</f>
        <v>192562.37278364121</v>
      </c>
      <c r="E160" s="86"/>
      <c r="F160" s="85"/>
      <c r="G160" s="85"/>
      <c r="H160" s="85"/>
      <c r="I160" s="87"/>
      <c r="J160" s="87"/>
      <c r="K160" s="87"/>
      <c r="L160" s="87"/>
      <c r="M160" s="87"/>
      <c r="N160" s="87"/>
    </row>
    <row r="161" spans="2:14" s="129" customFormat="1" x14ac:dyDescent="0.25">
      <c r="B161" s="88" t="s">
        <v>60</v>
      </c>
      <c r="C161" s="84"/>
      <c r="D161" s="258">
        <f>IRR(D156:N156)</f>
        <v>7.7411077464639932E-2</v>
      </c>
      <c r="E161" s="200"/>
      <c r="F161" s="201"/>
      <c r="G161" s="201"/>
      <c r="H161" s="201"/>
      <c r="I161" s="202"/>
      <c r="J161" s="202"/>
      <c r="K161" s="202"/>
      <c r="L161" s="202"/>
      <c r="M161" s="202"/>
      <c r="N161" s="202"/>
    </row>
  </sheetData>
  <mergeCells count="2">
    <mergeCell ref="B2:C2"/>
    <mergeCell ref="R86:R87"/>
  </mergeCells>
  <hyperlinks>
    <hyperlink ref="T84" r:id="rId1"/>
  </hyperlinks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270"/>
  <sheetViews>
    <sheetView tabSelected="1" zoomScale="80" zoomScaleNormal="80" zoomScaleSheetLayoutView="30" zoomScalePageLayoutView="60" workbookViewId="0">
      <selection activeCell="D173" sqref="D173"/>
    </sheetView>
  </sheetViews>
  <sheetFormatPr defaultColWidth="9.42578125" defaultRowHeight="15" x14ac:dyDescent="0.25"/>
  <cols>
    <col min="1" max="1" width="23.7109375" style="293" customWidth="1"/>
    <col min="2" max="2" width="34.5703125" style="293" bestFit="1" customWidth="1"/>
    <col min="3" max="3" width="17.42578125" style="293" customWidth="1"/>
    <col min="4" max="4" width="18.7109375" style="401" customWidth="1"/>
    <col min="5" max="5" width="14.28515625" style="293" customWidth="1"/>
    <col min="6" max="6" width="15" style="293" customWidth="1"/>
    <col min="7" max="7" width="14.28515625" style="293" customWidth="1"/>
    <col min="8" max="8" width="14.42578125" style="293" bestFit="1" customWidth="1"/>
    <col min="9" max="9" width="13.7109375" style="350" bestFit="1" customWidth="1"/>
    <col min="10" max="10" width="10.5703125" style="350" bestFit="1" customWidth="1"/>
    <col min="11" max="11" width="19.42578125" style="350" bestFit="1" customWidth="1"/>
    <col min="12" max="12" width="20.42578125" style="350" bestFit="1" customWidth="1"/>
    <col min="13" max="13" width="12.42578125" style="350" bestFit="1" customWidth="1"/>
    <col min="14" max="14" width="26.28515625" style="350" bestFit="1" customWidth="1"/>
    <col min="15" max="15" width="18.42578125" style="350" bestFit="1" customWidth="1"/>
    <col min="16" max="17" width="12.42578125" style="350" bestFit="1" customWidth="1"/>
    <col min="18" max="35" width="9.42578125" style="350" bestFit="1" customWidth="1"/>
    <col min="36" max="256" width="9.42578125" style="350"/>
    <col min="257" max="257" width="5.42578125" style="350" customWidth="1"/>
    <col min="258" max="258" width="41.140625" style="350" customWidth="1"/>
    <col min="259" max="259" width="17.42578125" style="350" customWidth="1"/>
    <col min="260" max="260" width="18.7109375" style="350" customWidth="1"/>
    <col min="261" max="261" width="14.28515625" style="350" customWidth="1"/>
    <col min="262" max="262" width="15" style="350" customWidth="1"/>
    <col min="263" max="263" width="14.28515625" style="350" customWidth="1"/>
    <col min="264" max="264" width="17" style="350" customWidth="1"/>
    <col min="265" max="265" width="19.42578125" style="350" customWidth="1"/>
    <col min="266" max="266" width="19.28515625" style="350" customWidth="1"/>
    <col min="267" max="512" width="9.42578125" style="350"/>
    <col min="513" max="513" width="5.42578125" style="350" customWidth="1"/>
    <col min="514" max="514" width="41.140625" style="350" customWidth="1"/>
    <col min="515" max="515" width="17.42578125" style="350" customWidth="1"/>
    <col min="516" max="516" width="18.7109375" style="350" customWidth="1"/>
    <col min="517" max="517" width="14.28515625" style="350" customWidth="1"/>
    <col min="518" max="518" width="15" style="350" customWidth="1"/>
    <col min="519" max="519" width="14.28515625" style="350" customWidth="1"/>
    <col min="520" max="520" width="17" style="350" customWidth="1"/>
    <col min="521" max="521" width="19.42578125" style="350" customWidth="1"/>
    <col min="522" max="522" width="19.28515625" style="350" customWidth="1"/>
    <col min="523" max="768" width="9.42578125" style="350"/>
    <col min="769" max="769" width="5.42578125" style="350" customWidth="1"/>
    <col min="770" max="770" width="41.140625" style="350" customWidth="1"/>
    <col min="771" max="771" width="17.42578125" style="350" customWidth="1"/>
    <col min="772" max="772" width="18.7109375" style="350" customWidth="1"/>
    <col min="773" max="773" width="14.28515625" style="350" customWidth="1"/>
    <col min="774" max="774" width="15" style="350" customWidth="1"/>
    <col min="775" max="775" width="14.28515625" style="350" customWidth="1"/>
    <col min="776" max="776" width="17" style="350" customWidth="1"/>
    <col min="777" max="777" width="19.42578125" style="350" customWidth="1"/>
    <col min="778" max="778" width="19.28515625" style="350" customWidth="1"/>
    <col min="779" max="1024" width="9.42578125" style="350"/>
    <col min="1025" max="1025" width="5.42578125" style="350" customWidth="1"/>
    <col min="1026" max="1026" width="41.140625" style="350" customWidth="1"/>
    <col min="1027" max="1027" width="17.42578125" style="350" customWidth="1"/>
    <col min="1028" max="1028" width="18.7109375" style="350" customWidth="1"/>
    <col min="1029" max="1029" width="14.28515625" style="350" customWidth="1"/>
    <col min="1030" max="1030" width="15" style="350" customWidth="1"/>
    <col min="1031" max="1031" width="14.28515625" style="350" customWidth="1"/>
    <col min="1032" max="1032" width="17" style="350" customWidth="1"/>
    <col min="1033" max="1033" width="19.42578125" style="350" customWidth="1"/>
    <col min="1034" max="1034" width="19.28515625" style="350" customWidth="1"/>
    <col min="1035" max="1280" width="9.42578125" style="350"/>
    <col min="1281" max="1281" width="5.42578125" style="350" customWidth="1"/>
    <col min="1282" max="1282" width="41.140625" style="350" customWidth="1"/>
    <col min="1283" max="1283" width="17.42578125" style="350" customWidth="1"/>
    <col min="1284" max="1284" width="18.7109375" style="350" customWidth="1"/>
    <col min="1285" max="1285" width="14.28515625" style="350" customWidth="1"/>
    <col min="1286" max="1286" width="15" style="350" customWidth="1"/>
    <col min="1287" max="1287" width="14.28515625" style="350" customWidth="1"/>
    <col min="1288" max="1288" width="17" style="350" customWidth="1"/>
    <col min="1289" max="1289" width="19.42578125" style="350" customWidth="1"/>
    <col min="1290" max="1290" width="19.28515625" style="350" customWidth="1"/>
    <col min="1291" max="1536" width="9.42578125" style="350"/>
    <col min="1537" max="1537" width="5.42578125" style="350" customWidth="1"/>
    <col min="1538" max="1538" width="41.140625" style="350" customWidth="1"/>
    <col min="1539" max="1539" width="17.42578125" style="350" customWidth="1"/>
    <col min="1540" max="1540" width="18.7109375" style="350" customWidth="1"/>
    <col min="1541" max="1541" width="14.28515625" style="350" customWidth="1"/>
    <col min="1542" max="1542" width="15" style="350" customWidth="1"/>
    <col min="1543" max="1543" width="14.28515625" style="350" customWidth="1"/>
    <col min="1544" max="1544" width="17" style="350" customWidth="1"/>
    <col min="1545" max="1545" width="19.42578125" style="350" customWidth="1"/>
    <col min="1546" max="1546" width="19.28515625" style="350" customWidth="1"/>
    <col min="1547" max="1792" width="9.42578125" style="350"/>
    <col min="1793" max="1793" width="5.42578125" style="350" customWidth="1"/>
    <col min="1794" max="1794" width="41.140625" style="350" customWidth="1"/>
    <col min="1795" max="1795" width="17.42578125" style="350" customWidth="1"/>
    <col min="1796" max="1796" width="18.7109375" style="350" customWidth="1"/>
    <col min="1797" max="1797" width="14.28515625" style="350" customWidth="1"/>
    <col min="1798" max="1798" width="15" style="350" customWidth="1"/>
    <col min="1799" max="1799" width="14.28515625" style="350" customWidth="1"/>
    <col min="1800" max="1800" width="17" style="350" customWidth="1"/>
    <col min="1801" max="1801" width="19.42578125" style="350" customWidth="1"/>
    <col min="1802" max="1802" width="19.28515625" style="350" customWidth="1"/>
    <col min="1803" max="2048" width="9.42578125" style="350"/>
    <col min="2049" max="2049" width="5.42578125" style="350" customWidth="1"/>
    <col min="2050" max="2050" width="41.140625" style="350" customWidth="1"/>
    <col min="2051" max="2051" width="17.42578125" style="350" customWidth="1"/>
    <col min="2052" max="2052" width="18.7109375" style="350" customWidth="1"/>
    <col min="2053" max="2053" width="14.28515625" style="350" customWidth="1"/>
    <col min="2054" max="2054" width="15" style="350" customWidth="1"/>
    <col min="2055" max="2055" width="14.28515625" style="350" customWidth="1"/>
    <col min="2056" max="2056" width="17" style="350" customWidth="1"/>
    <col min="2057" max="2057" width="19.42578125" style="350" customWidth="1"/>
    <col min="2058" max="2058" width="19.28515625" style="350" customWidth="1"/>
    <col min="2059" max="2304" width="9.42578125" style="350"/>
    <col min="2305" max="2305" width="5.42578125" style="350" customWidth="1"/>
    <col min="2306" max="2306" width="41.140625" style="350" customWidth="1"/>
    <col min="2307" max="2307" width="17.42578125" style="350" customWidth="1"/>
    <col min="2308" max="2308" width="18.7109375" style="350" customWidth="1"/>
    <col min="2309" max="2309" width="14.28515625" style="350" customWidth="1"/>
    <col min="2310" max="2310" width="15" style="350" customWidth="1"/>
    <col min="2311" max="2311" width="14.28515625" style="350" customWidth="1"/>
    <col min="2312" max="2312" width="17" style="350" customWidth="1"/>
    <col min="2313" max="2313" width="19.42578125" style="350" customWidth="1"/>
    <col min="2314" max="2314" width="19.28515625" style="350" customWidth="1"/>
    <col min="2315" max="2560" width="9.42578125" style="350"/>
    <col min="2561" max="2561" width="5.42578125" style="350" customWidth="1"/>
    <col min="2562" max="2562" width="41.140625" style="350" customWidth="1"/>
    <col min="2563" max="2563" width="17.42578125" style="350" customWidth="1"/>
    <col min="2564" max="2564" width="18.7109375" style="350" customWidth="1"/>
    <col min="2565" max="2565" width="14.28515625" style="350" customWidth="1"/>
    <col min="2566" max="2566" width="15" style="350" customWidth="1"/>
    <col min="2567" max="2567" width="14.28515625" style="350" customWidth="1"/>
    <col min="2568" max="2568" width="17" style="350" customWidth="1"/>
    <col min="2569" max="2569" width="19.42578125" style="350" customWidth="1"/>
    <col min="2570" max="2570" width="19.28515625" style="350" customWidth="1"/>
    <col min="2571" max="2816" width="9.42578125" style="350"/>
    <col min="2817" max="2817" width="5.42578125" style="350" customWidth="1"/>
    <col min="2818" max="2818" width="41.140625" style="350" customWidth="1"/>
    <col min="2819" max="2819" width="17.42578125" style="350" customWidth="1"/>
    <col min="2820" max="2820" width="18.7109375" style="350" customWidth="1"/>
    <col min="2821" max="2821" width="14.28515625" style="350" customWidth="1"/>
    <col min="2822" max="2822" width="15" style="350" customWidth="1"/>
    <col min="2823" max="2823" width="14.28515625" style="350" customWidth="1"/>
    <col min="2824" max="2824" width="17" style="350" customWidth="1"/>
    <col min="2825" max="2825" width="19.42578125" style="350" customWidth="1"/>
    <col min="2826" max="2826" width="19.28515625" style="350" customWidth="1"/>
    <col min="2827" max="3072" width="9.42578125" style="350"/>
    <col min="3073" max="3073" width="5.42578125" style="350" customWidth="1"/>
    <col min="3074" max="3074" width="41.140625" style="350" customWidth="1"/>
    <col min="3075" max="3075" width="17.42578125" style="350" customWidth="1"/>
    <col min="3076" max="3076" width="18.7109375" style="350" customWidth="1"/>
    <col min="3077" max="3077" width="14.28515625" style="350" customWidth="1"/>
    <col min="3078" max="3078" width="15" style="350" customWidth="1"/>
    <col min="3079" max="3079" width="14.28515625" style="350" customWidth="1"/>
    <col min="3080" max="3080" width="17" style="350" customWidth="1"/>
    <col min="3081" max="3081" width="19.42578125" style="350" customWidth="1"/>
    <col min="3082" max="3082" width="19.28515625" style="350" customWidth="1"/>
    <col min="3083" max="3328" width="9.42578125" style="350"/>
    <col min="3329" max="3329" width="5.42578125" style="350" customWidth="1"/>
    <col min="3330" max="3330" width="41.140625" style="350" customWidth="1"/>
    <col min="3331" max="3331" width="17.42578125" style="350" customWidth="1"/>
    <col min="3332" max="3332" width="18.7109375" style="350" customWidth="1"/>
    <col min="3333" max="3333" width="14.28515625" style="350" customWidth="1"/>
    <col min="3334" max="3334" width="15" style="350" customWidth="1"/>
    <col min="3335" max="3335" width="14.28515625" style="350" customWidth="1"/>
    <col min="3336" max="3336" width="17" style="350" customWidth="1"/>
    <col min="3337" max="3337" width="19.42578125" style="350" customWidth="1"/>
    <col min="3338" max="3338" width="19.28515625" style="350" customWidth="1"/>
    <col min="3339" max="3584" width="9.42578125" style="350"/>
    <col min="3585" max="3585" width="5.42578125" style="350" customWidth="1"/>
    <col min="3586" max="3586" width="41.140625" style="350" customWidth="1"/>
    <col min="3587" max="3587" width="17.42578125" style="350" customWidth="1"/>
    <col min="3588" max="3588" width="18.7109375" style="350" customWidth="1"/>
    <col min="3589" max="3589" width="14.28515625" style="350" customWidth="1"/>
    <col min="3590" max="3590" width="15" style="350" customWidth="1"/>
    <col min="3591" max="3591" width="14.28515625" style="350" customWidth="1"/>
    <col min="3592" max="3592" width="17" style="350" customWidth="1"/>
    <col min="3593" max="3593" width="19.42578125" style="350" customWidth="1"/>
    <col min="3594" max="3594" width="19.28515625" style="350" customWidth="1"/>
    <col min="3595" max="3840" width="9.42578125" style="350"/>
    <col min="3841" max="3841" width="5.42578125" style="350" customWidth="1"/>
    <col min="3842" max="3842" width="41.140625" style="350" customWidth="1"/>
    <col min="3843" max="3843" width="17.42578125" style="350" customWidth="1"/>
    <col min="3844" max="3844" width="18.7109375" style="350" customWidth="1"/>
    <col min="3845" max="3845" width="14.28515625" style="350" customWidth="1"/>
    <col min="3846" max="3846" width="15" style="350" customWidth="1"/>
    <col min="3847" max="3847" width="14.28515625" style="350" customWidth="1"/>
    <col min="3848" max="3848" width="17" style="350" customWidth="1"/>
    <col min="3849" max="3849" width="19.42578125" style="350" customWidth="1"/>
    <col min="3850" max="3850" width="19.28515625" style="350" customWidth="1"/>
    <col min="3851" max="4096" width="9.42578125" style="350"/>
    <col min="4097" max="4097" width="5.42578125" style="350" customWidth="1"/>
    <col min="4098" max="4098" width="41.140625" style="350" customWidth="1"/>
    <col min="4099" max="4099" width="17.42578125" style="350" customWidth="1"/>
    <col min="4100" max="4100" width="18.7109375" style="350" customWidth="1"/>
    <col min="4101" max="4101" width="14.28515625" style="350" customWidth="1"/>
    <col min="4102" max="4102" width="15" style="350" customWidth="1"/>
    <col min="4103" max="4103" width="14.28515625" style="350" customWidth="1"/>
    <col min="4104" max="4104" width="17" style="350" customWidth="1"/>
    <col min="4105" max="4105" width="19.42578125" style="350" customWidth="1"/>
    <col min="4106" max="4106" width="19.28515625" style="350" customWidth="1"/>
    <col min="4107" max="4352" width="9.42578125" style="350"/>
    <col min="4353" max="4353" width="5.42578125" style="350" customWidth="1"/>
    <col min="4354" max="4354" width="41.140625" style="350" customWidth="1"/>
    <col min="4355" max="4355" width="17.42578125" style="350" customWidth="1"/>
    <col min="4356" max="4356" width="18.7109375" style="350" customWidth="1"/>
    <col min="4357" max="4357" width="14.28515625" style="350" customWidth="1"/>
    <col min="4358" max="4358" width="15" style="350" customWidth="1"/>
    <col min="4359" max="4359" width="14.28515625" style="350" customWidth="1"/>
    <col min="4360" max="4360" width="17" style="350" customWidth="1"/>
    <col min="4361" max="4361" width="19.42578125" style="350" customWidth="1"/>
    <col min="4362" max="4362" width="19.28515625" style="350" customWidth="1"/>
    <col min="4363" max="4608" width="9.42578125" style="350"/>
    <col min="4609" max="4609" width="5.42578125" style="350" customWidth="1"/>
    <col min="4610" max="4610" width="41.140625" style="350" customWidth="1"/>
    <col min="4611" max="4611" width="17.42578125" style="350" customWidth="1"/>
    <col min="4612" max="4612" width="18.7109375" style="350" customWidth="1"/>
    <col min="4613" max="4613" width="14.28515625" style="350" customWidth="1"/>
    <col min="4614" max="4614" width="15" style="350" customWidth="1"/>
    <col min="4615" max="4615" width="14.28515625" style="350" customWidth="1"/>
    <col min="4616" max="4616" width="17" style="350" customWidth="1"/>
    <col min="4617" max="4617" width="19.42578125" style="350" customWidth="1"/>
    <col min="4618" max="4618" width="19.28515625" style="350" customWidth="1"/>
    <col min="4619" max="4864" width="9.42578125" style="350"/>
    <col min="4865" max="4865" width="5.42578125" style="350" customWidth="1"/>
    <col min="4866" max="4866" width="41.140625" style="350" customWidth="1"/>
    <col min="4867" max="4867" width="17.42578125" style="350" customWidth="1"/>
    <col min="4868" max="4868" width="18.7109375" style="350" customWidth="1"/>
    <col min="4869" max="4869" width="14.28515625" style="350" customWidth="1"/>
    <col min="4870" max="4870" width="15" style="350" customWidth="1"/>
    <col min="4871" max="4871" width="14.28515625" style="350" customWidth="1"/>
    <col min="4872" max="4872" width="17" style="350" customWidth="1"/>
    <col min="4873" max="4873" width="19.42578125" style="350" customWidth="1"/>
    <col min="4874" max="4874" width="19.28515625" style="350" customWidth="1"/>
    <col min="4875" max="5120" width="9.42578125" style="350"/>
    <col min="5121" max="5121" width="5.42578125" style="350" customWidth="1"/>
    <col min="5122" max="5122" width="41.140625" style="350" customWidth="1"/>
    <col min="5123" max="5123" width="17.42578125" style="350" customWidth="1"/>
    <col min="5124" max="5124" width="18.7109375" style="350" customWidth="1"/>
    <col min="5125" max="5125" width="14.28515625" style="350" customWidth="1"/>
    <col min="5126" max="5126" width="15" style="350" customWidth="1"/>
    <col min="5127" max="5127" width="14.28515625" style="350" customWidth="1"/>
    <col min="5128" max="5128" width="17" style="350" customWidth="1"/>
    <col min="5129" max="5129" width="19.42578125" style="350" customWidth="1"/>
    <col min="5130" max="5130" width="19.28515625" style="350" customWidth="1"/>
    <col min="5131" max="5376" width="9.42578125" style="350"/>
    <col min="5377" max="5377" width="5.42578125" style="350" customWidth="1"/>
    <col min="5378" max="5378" width="41.140625" style="350" customWidth="1"/>
    <col min="5379" max="5379" width="17.42578125" style="350" customWidth="1"/>
    <col min="5380" max="5380" width="18.7109375" style="350" customWidth="1"/>
    <col min="5381" max="5381" width="14.28515625" style="350" customWidth="1"/>
    <col min="5382" max="5382" width="15" style="350" customWidth="1"/>
    <col min="5383" max="5383" width="14.28515625" style="350" customWidth="1"/>
    <col min="5384" max="5384" width="17" style="350" customWidth="1"/>
    <col min="5385" max="5385" width="19.42578125" style="350" customWidth="1"/>
    <col min="5386" max="5386" width="19.28515625" style="350" customWidth="1"/>
    <col min="5387" max="5632" width="9.42578125" style="350"/>
    <col min="5633" max="5633" width="5.42578125" style="350" customWidth="1"/>
    <col min="5634" max="5634" width="41.140625" style="350" customWidth="1"/>
    <col min="5635" max="5635" width="17.42578125" style="350" customWidth="1"/>
    <col min="5636" max="5636" width="18.7109375" style="350" customWidth="1"/>
    <col min="5637" max="5637" width="14.28515625" style="350" customWidth="1"/>
    <col min="5638" max="5638" width="15" style="350" customWidth="1"/>
    <col min="5639" max="5639" width="14.28515625" style="350" customWidth="1"/>
    <col min="5640" max="5640" width="17" style="350" customWidth="1"/>
    <col min="5641" max="5641" width="19.42578125" style="350" customWidth="1"/>
    <col min="5642" max="5642" width="19.28515625" style="350" customWidth="1"/>
    <col min="5643" max="5888" width="9.42578125" style="350"/>
    <col min="5889" max="5889" width="5.42578125" style="350" customWidth="1"/>
    <col min="5890" max="5890" width="41.140625" style="350" customWidth="1"/>
    <col min="5891" max="5891" width="17.42578125" style="350" customWidth="1"/>
    <col min="5892" max="5892" width="18.7109375" style="350" customWidth="1"/>
    <col min="5893" max="5893" width="14.28515625" style="350" customWidth="1"/>
    <col min="5894" max="5894" width="15" style="350" customWidth="1"/>
    <col min="5895" max="5895" width="14.28515625" style="350" customWidth="1"/>
    <col min="5896" max="5896" width="17" style="350" customWidth="1"/>
    <col min="5897" max="5897" width="19.42578125" style="350" customWidth="1"/>
    <col min="5898" max="5898" width="19.28515625" style="350" customWidth="1"/>
    <col min="5899" max="6144" width="9.42578125" style="350"/>
    <col min="6145" max="6145" width="5.42578125" style="350" customWidth="1"/>
    <col min="6146" max="6146" width="41.140625" style="350" customWidth="1"/>
    <col min="6147" max="6147" width="17.42578125" style="350" customWidth="1"/>
    <col min="6148" max="6148" width="18.7109375" style="350" customWidth="1"/>
    <col min="6149" max="6149" width="14.28515625" style="350" customWidth="1"/>
    <col min="6150" max="6150" width="15" style="350" customWidth="1"/>
    <col min="6151" max="6151" width="14.28515625" style="350" customWidth="1"/>
    <col min="6152" max="6152" width="17" style="350" customWidth="1"/>
    <col min="6153" max="6153" width="19.42578125" style="350" customWidth="1"/>
    <col min="6154" max="6154" width="19.28515625" style="350" customWidth="1"/>
    <col min="6155" max="6400" width="9.42578125" style="350"/>
    <col min="6401" max="6401" width="5.42578125" style="350" customWidth="1"/>
    <col min="6402" max="6402" width="41.140625" style="350" customWidth="1"/>
    <col min="6403" max="6403" width="17.42578125" style="350" customWidth="1"/>
    <col min="6404" max="6404" width="18.7109375" style="350" customWidth="1"/>
    <col min="6405" max="6405" width="14.28515625" style="350" customWidth="1"/>
    <col min="6406" max="6406" width="15" style="350" customWidth="1"/>
    <col min="6407" max="6407" width="14.28515625" style="350" customWidth="1"/>
    <col min="6408" max="6408" width="17" style="350" customWidth="1"/>
    <col min="6409" max="6409" width="19.42578125" style="350" customWidth="1"/>
    <col min="6410" max="6410" width="19.28515625" style="350" customWidth="1"/>
    <col min="6411" max="6656" width="9.42578125" style="350"/>
    <col min="6657" max="6657" width="5.42578125" style="350" customWidth="1"/>
    <col min="6658" max="6658" width="41.140625" style="350" customWidth="1"/>
    <col min="6659" max="6659" width="17.42578125" style="350" customWidth="1"/>
    <col min="6660" max="6660" width="18.7109375" style="350" customWidth="1"/>
    <col min="6661" max="6661" width="14.28515625" style="350" customWidth="1"/>
    <col min="6662" max="6662" width="15" style="350" customWidth="1"/>
    <col min="6663" max="6663" width="14.28515625" style="350" customWidth="1"/>
    <col min="6664" max="6664" width="17" style="350" customWidth="1"/>
    <col min="6665" max="6665" width="19.42578125" style="350" customWidth="1"/>
    <col min="6666" max="6666" width="19.28515625" style="350" customWidth="1"/>
    <col min="6667" max="6912" width="9.42578125" style="350"/>
    <col min="6913" max="6913" width="5.42578125" style="350" customWidth="1"/>
    <col min="6914" max="6914" width="41.140625" style="350" customWidth="1"/>
    <col min="6915" max="6915" width="17.42578125" style="350" customWidth="1"/>
    <col min="6916" max="6916" width="18.7109375" style="350" customWidth="1"/>
    <col min="6917" max="6917" width="14.28515625" style="350" customWidth="1"/>
    <col min="6918" max="6918" width="15" style="350" customWidth="1"/>
    <col min="6919" max="6919" width="14.28515625" style="350" customWidth="1"/>
    <col min="6920" max="6920" width="17" style="350" customWidth="1"/>
    <col min="6921" max="6921" width="19.42578125" style="350" customWidth="1"/>
    <col min="6922" max="6922" width="19.28515625" style="350" customWidth="1"/>
    <col min="6923" max="7168" width="9.42578125" style="350"/>
    <col min="7169" max="7169" width="5.42578125" style="350" customWidth="1"/>
    <col min="7170" max="7170" width="41.140625" style="350" customWidth="1"/>
    <col min="7171" max="7171" width="17.42578125" style="350" customWidth="1"/>
    <col min="7172" max="7172" width="18.7109375" style="350" customWidth="1"/>
    <col min="7173" max="7173" width="14.28515625" style="350" customWidth="1"/>
    <col min="7174" max="7174" width="15" style="350" customWidth="1"/>
    <col min="7175" max="7175" width="14.28515625" style="350" customWidth="1"/>
    <col min="7176" max="7176" width="17" style="350" customWidth="1"/>
    <col min="7177" max="7177" width="19.42578125" style="350" customWidth="1"/>
    <col min="7178" max="7178" width="19.28515625" style="350" customWidth="1"/>
    <col min="7179" max="7424" width="9.42578125" style="350"/>
    <col min="7425" max="7425" width="5.42578125" style="350" customWidth="1"/>
    <col min="7426" max="7426" width="41.140625" style="350" customWidth="1"/>
    <col min="7427" max="7427" width="17.42578125" style="350" customWidth="1"/>
    <col min="7428" max="7428" width="18.7109375" style="350" customWidth="1"/>
    <col min="7429" max="7429" width="14.28515625" style="350" customWidth="1"/>
    <col min="7430" max="7430" width="15" style="350" customWidth="1"/>
    <col min="7431" max="7431" width="14.28515625" style="350" customWidth="1"/>
    <col min="7432" max="7432" width="17" style="350" customWidth="1"/>
    <col min="7433" max="7433" width="19.42578125" style="350" customWidth="1"/>
    <col min="7434" max="7434" width="19.28515625" style="350" customWidth="1"/>
    <col min="7435" max="7680" width="9.42578125" style="350"/>
    <col min="7681" max="7681" width="5.42578125" style="350" customWidth="1"/>
    <col min="7682" max="7682" width="41.140625" style="350" customWidth="1"/>
    <col min="7683" max="7683" width="17.42578125" style="350" customWidth="1"/>
    <col min="7684" max="7684" width="18.7109375" style="350" customWidth="1"/>
    <col min="7685" max="7685" width="14.28515625" style="350" customWidth="1"/>
    <col min="7686" max="7686" width="15" style="350" customWidth="1"/>
    <col min="7687" max="7687" width="14.28515625" style="350" customWidth="1"/>
    <col min="7688" max="7688" width="17" style="350" customWidth="1"/>
    <col min="7689" max="7689" width="19.42578125" style="350" customWidth="1"/>
    <col min="7690" max="7690" width="19.28515625" style="350" customWidth="1"/>
    <col min="7691" max="7936" width="9.42578125" style="350"/>
    <col min="7937" max="7937" width="5.42578125" style="350" customWidth="1"/>
    <col min="7938" max="7938" width="41.140625" style="350" customWidth="1"/>
    <col min="7939" max="7939" width="17.42578125" style="350" customWidth="1"/>
    <col min="7940" max="7940" width="18.7109375" style="350" customWidth="1"/>
    <col min="7941" max="7941" width="14.28515625" style="350" customWidth="1"/>
    <col min="7942" max="7942" width="15" style="350" customWidth="1"/>
    <col min="7943" max="7943" width="14.28515625" style="350" customWidth="1"/>
    <col min="7944" max="7944" width="17" style="350" customWidth="1"/>
    <col min="7945" max="7945" width="19.42578125" style="350" customWidth="1"/>
    <col min="7946" max="7946" width="19.28515625" style="350" customWidth="1"/>
    <col min="7947" max="8192" width="9.42578125" style="350"/>
    <col min="8193" max="8193" width="5.42578125" style="350" customWidth="1"/>
    <col min="8194" max="8194" width="41.140625" style="350" customWidth="1"/>
    <col min="8195" max="8195" width="17.42578125" style="350" customWidth="1"/>
    <col min="8196" max="8196" width="18.7109375" style="350" customWidth="1"/>
    <col min="8197" max="8197" width="14.28515625" style="350" customWidth="1"/>
    <col min="8198" max="8198" width="15" style="350" customWidth="1"/>
    <col min="8199" max="8199" width="14.28515625" style="350" customWidth="1"/>
    <col min="8200" max="8200" width="17" style="350" customWidth="1"/>
    <col min="8201" max="8201" width="19.42578125" style="350" customWidth="1"/>
    <col min="8202" max="8202" width="19.28515625" style="350" customWidth="1"/>
    <col min="8203" max="8448" width="9.42578125" style="350"/>
    <col min="8449" max="8449" width="5.42578125" style="350" customWidth="1"/>
    <col min="8450" max="8450" width="41.140625" style="350" customWidth="1"/>
    <col min="8451" max="8451" width="17.42578125" style="350" customWidth="1"/>
    <col min="8452" max="8452" width="18.7109375" style="350" customWidth="1"/>
    <col min="8453" max="8453" width="14.28515625" style="350" customWidth="1"/>
    <col min="8454" max="8454" width="15" style="350" customWidth="1"/>
    <col min="8455" max="8455" width="14.28515625" style="350" customWidth="1"/>
    <col min="8456" max="8456" width="17" style="350" customWidth="1"/>
    <col min="8457" max="8457" width="19.42578125" style="350" customWidth="1"/>
    <col min="8458" max="8458" width="19.28515625" style="350" customWidth="1"/>
    <col min="8459" max="8704" width="9.42578125" style="350"/>
    <col min="8705" max="8705" width="5.42578125" style="350" customWidth="1"/>
    <col min="8706" max="8706" width="41.140625" style="350" customWidth="1"/>
    <col min="8707" max="8707" width="17.42578125" style="350" customWidth="1"/>
    <col min="8708" max="8708" width="18.7109375" style="350" customWidth="1"/>
    <col min="8709" max="8709" width="14.28515625" style="350" customWidth="1"/>
    <col min="8710" max="8710" width="15" style="350" customWidth="1"/>
    <col min="8711" max="8711" width="14.28515625" style="350" customWidth="1"/>
    <col min="8712" max="8712" width="17" style="350" customWidth="1"/>
    <col min="8713" max="8713" width="19.42578125" style="350" customWidth="1"/>
    <col min="8714" max="8714" width="19.28515625" style="350" customWidth="1"/>
    <col min="8715" max="8960" width="9.42578125" style="350"/>
    <col min="8961" max="8961" width="5.42578125" style="350" customWidth="1"/>
    <col min="8962" max="8962" width="41.140625" style="350" customWidth="1"/>
    <col min="8963" max="8963" width="17.42578125" style="350" customWidth="1"/>
    <col min="8964" max="8964" width="18.7109375" style="350" customWidth="1"/>
    <col min="8965" max="8965" width="14.28515625" style="350" customWidth="1"/>
    <col min="8966" max="8966" width="15" style="350" customWidth="1"/>
    <col min="8967" max="8967" width="14.28515625" style="350" customWidth="1"/>
    <col min="8968" max="8968" width="17" style="350" customWidth="1"/>
    <col min="8969" max="8969" width="19.42578125" style="350" customWidth="1"/>
    <col min="8970" max="8970" width="19.28515625" style="350" customWidth="1"/>
    <col min="8971" max="9216" width="9.42578125" style="350"/>
    <col min="9217" max="9217" width="5.42578125" style="350" customWidth="1"/>
    <col min="9218" max="9218" width="41.140625" style="350" customWidth="1"/>
    <col min="9219" max="9219" width="17.42578125" style="350" customWidth="1"/>
    <col min="9220" max="9220" width="18.7109375" style="350" customWidth="1"/>
    <col min="9221" max="9221" width="14.28515625" style="350" customWidth="1"/>
    <col min="9222" max="9222" width="15" style="350" customWidth="1"/>
    <col min="9223" max="9223" width="14.28515625" style="350" customWidth="1"/>
    <col min="9224" max="9224" width="17" style="350" customWidth="1"/>
    <col min="9225" max="9225" width="19.42578125" style="350" customWidth="1"/>
    <col min="9226" max="9226" width="19.28515625" style="350" customWidth="1"/>
    <col min="9227" max="9472" width="9.42578125" style="350"/>
    <col min="9473" max="9473" width="5.42578125" style="350" customWidth="1"/>
    <col min="9474" max="9474" width="41.140625" style="350" customWidth="1"/>
    <col min="9475" max="9475" width="17.42578125" style="350" customWidth="1"/>
    <col min="9476" max="9476" width="18.7109375" style="350" customWidth="1"/>
    <col min="9477" max="9477" width="14.28515625" style="350" customWidth="1"/>
    <col min="9478" max="9478" width="15" style="350" customWidth="1"/>
    <col min="9479" max="9479" width="14.28515625" style="350" customWidth="1"/>
    <col min="9480" max="9480" width="17" style="350" customWidth="1"/>
    <col min="9481" max="9481" width="19.42578125" style="350" customWidth="1"/>
    <col min="9482" max="9482" width="19.28515625" style="350" customWidth="1"/>
    <col min="9483" max="9728" width="9.42578125" style="350"/>
    <col min="9729" max="9729" width="5.42578125" style="350" customWidth="1"/>
    <col min="9730" max="9730" width="41.140625" style="350" customWidth="1"/>
    <col min="9731" max="9731" width="17.42578125" style="350" customWidth="1"/>
    <col min="9732" max="9732" width="18.7109375" style="350" customWidth="1"/>
    <col min="9733" max="9733" width="14.28515625" style="350" customWidth="1"/>
    <col min="9734" max="9734" width="15" style="350" customWidth="1"/>
    <col min="9735" max="9735" width="14.28515625" style="350" customWidth="1"/>
    <col min="9736" max="9736" width="17" style="350" customWidth="1"/>
    <col min="9737" max="9737" width="19.42578125" style="350" customWidth="1"/>
    <col min="9738" max="9738" width="19.28515625" style="350" customWidth="1"/>
    <col min="9739" max="9984" width="9.42578125" style="350"/>
    <col min="9985" max="9985" width="5.42578125" style="350" customWidth="1"/>
    <col min="9986" max="9986" width="41.140625" style="350" customWidth="1"/>
    <col min="9987" max="9987" width="17.42578125" style="350" customWidth="1"/>
    <col min="9988" max="9988" width="18.7109375" style="350" customWidth="1"/>
    <col min="9989" max="9989" width="14.28515625" style="350" customWidth="1"/>
    <col min="9990" max="9990" width="15" style="350" customWidth="1"/>
    <col min="9991" max="9991" width="14.28515625" style="350" customWidth="1"/>
    <col min="9992" max="9992" width="17" style="350" customWidth="1"/>
    <col min="9993" max="9993" width="19.42578125" style="350" customWidth="1"/>
    <col min="9994" max="9994" width="19.28515625" style="350" customWidth="1"/>
    <col min="9995" max="10240" width="9.42578125" style="350"/>
    <col min="10241" max="10241" width="5.42578125" style="350" customWidth="1"/>
    <col min="10242" max="10242" width="41.140625" style="350" customWidth="1"/>
    <col min="10243" max="10243" width="17.42578125" style="350" customWidth="1"/>
    <col min="10244" max="10244" width="18.7109375" style="350" customWidth="1"/>
    <col min="10245" max="10245" width="14.28515625" style="350" customWidth="1"/>
    <col min="10246" max="10246" width="15" style="350" customWidth="1"/>
    <col min="10247" max="10247" width="14.28515625" style="350" customWidth="1"/>
    <col min="10248" max="10248" width="17" style="350" customWidth="1"/>
    <col min="10249" max="10249" width="19.42578125" style="350" customWidth="1"/>
    <col min="10250" max="10250" width="19.28515625" style="350" customWidth="1"/>
    <col min="10251" max="10496" width="9.42578125" style="350"/>
    <col min="10497" max="10497" width="5.42578125" style="350" customWidth="1"/>
    <col min="10498" max="10498" width="41.140625" style="350" customWidth="1"/>
    <col min="10499" max="10499" width="17.42578125" style="350" customWidth="1"/>
    <col min="10500" max="10500" width="18.7109375" style="350" customWidth="1"/>
    <col min="10501" max="10501" width="14.28515625" style="350" customWidth="1"/>
    <col min="10502" max="10502" width="15" style="350" customWidth="1"/>
    <col min="10503" max="10503" width="14.28515625" style="350" customWidth="1"/>
    <col min="10504" max="10504" width="17" style="350" customWidth="1"/>
    <col min="10505" max="10505" width="19.42578125" style="350" customWidth="1"/>
    <col min="10506" max="10506" width="19.28515625" style="350" customWidth="1"/>
    <col min="10507" max="10752" width="9.42578125" style="350"/>
    <col min="10753" max="10753" width="5.42578125" style="350" customWidth="1"/>
    <col min="10754" max="10754" width="41.140625" style="350" customWidth="1"/>
    <col min="10755" max="10755" width="17.42578125" style="350" customWidth="1"/>
    <col min="10756" max="10756" width="18.7109375" style="350" customWidth="1"/>
    <col min="10757" max="10757" width="14.28515625" style="350" customWidth="1"/>
    <col min="10758" max="10758" width="15" style="350" customWidth="1"/>
    <col min="10759" max="10759" width="14.28515625" style="350" customWidth="1"/>
    <col min="10760" max="10760" width="17" style="350" customWidth="1"/>
    <col min="10761" max="10761" width="19.42578125" style="350" customWidth="1"/>
    <col min="10762" max="10762" width="19.28515625" style="350" customWidth="1"/>
    <col min="10763" max="11008" width="9.42578125" style="350"/>
    <col min="11009" max="11009" width="5.42578125" style="350" customWidth="1"/>
    <col min="11010" max="11010" width="41.140625" style="350" customWidth="1"/>
    <col min="11011" max="11011" width="17.42578125" style="350" customWidth="1"/>
    <col min="11012" max="11012" width="18.7109375" style="350" customWidth="1"/>
    <col min="11013" max="11013" width="14.28515625" style="350" customWidth="1"/>
    <col min="11014" max="11014" width="15" style="350" customWidth="1"/>
    <col min="11015" max="11015" width="14.28515625" style="350" customWidth="1"/>
    <col min="11016" max="11016" width="17" style="350" customWidth="1"/>
    <col min="11017" max="11017" width="19.42578125" style="350" customWidth="1"/>
    <col min="11018" max="11018" width="19.28515625" style="350" customWidth="1"/>
    <col min="11019" max="11264" width="9.42578125" style="350"/>
    <col min="11265" max="11265" width="5.42578125" style="350" customWidth="1"/>
    <col min="11266" max="11266" width="41.140625" style="350" customWidth="1"/>
    <col min="11267" max="11267" width="17.42578125" style="350" customWidth="1"/>
    <col min="11268" max="11268" width="18.7109375" style="350" customWidth="1"/>
    <col min="11269" max="11269" width="14.28515625" style="350" customWidth="1"/>
    <col min="11270" max="11270" width="15" style="350" customWidth="1"/>
    <col min="11271" max="11271" width="14.28515625" style="350" customWidth="1"/>
    <col min="11272" max="11272" width="17" style="350" customWidth="1"/>
    <col min="11273" max="11273" width="19.42578125" style="350" customWidth="1"/>
    <col min="11274" max="11274" width="19.28515625" style="350" customWidth="1"/>
    <col min="11275" max="11520" width="9.42578125" style="350"/>
    <col min="11521" max="11521" width="5.42578125" style="350" customWidth="1"/>
    <col min="11522" max="11522" width="41.140625" style="350" customWidth="1"/>
    <col min="11523" max="11523" width="17.42578125" style="350" customWidth="1"/>
    <col min="11524" max="11524" width="18.7109375" style="350" customWidth="1"/>
    <col min="11525" max="11525" width="14.28515625" style="350" customWidth="1"/>
    <col min="11526" max="11526" width="15" style="350" customWidth="1"/>
    <col min="11527" max="11527" width="14.28515625" style="350" customWidth="1"/>
    <col min="11528" max="11528" width="17" style="350" customWidth="1"/>
    <col min="11529" max="11529" width="19.42578125" style="350" customWidth="1"/>
    <col min="11530" max="11530" width="19.28515625" style="350" customWidth="1"/>
    <col min="11531" max="11776" width="9.42578125" style="350"/>
    <col min="11777" max="11777" width="5.42578125" style="350" customWidth="1"/>
    <col min="11778" max="11778" width="41.140625" style="350" customWidth="1"/>
    <col min="11779" max="11779" width="17.42578125" style="350" customWidth="1"/>
    <col min="11780" max="11780" width="18.7109375" style="350" customWidth="1"/>
    <col min="11781" max="11781" width="14.28515625" style="350" customWidth="1"/>
    <col min="11782" max="11782" width="15" style="350" customWidth="1"/>
    <col min="11783" max="11783" width="14.28515625" style="350" customWidth="1"/>
    <col min="11784" max="11784" width="17" style="350" customWidth="1"/>
    <col min="11785" max="11785" width="19.42578125" style="350" customWidth="1"/>
    <col min="11786" max="11786" width="19.28515625" style="350" customWidth="1"/>
    <col min="11787" max="12032" width="9.42578125" style="350"/>
    <col min="12033" max="12033" width="5.42578125" style="350" customWidth="1"/>
    <col min="12034" max="12034" width="41.140625" style="350" customWidth="1"/>
    <col min="12035" max="12035" width="17.42578125" style="350" customWidth="1"/>
    <col min="12036" max="12036" width="18.7109375" style="350" customWidth="1"/>
    <col min="12037" max="12037" width="14.28515625" style="350" customWidth="1"/>
    <col min="12038" max="12038" width="15" style="350" customWidth="1"/>
    <col min="12039" max="12039" width="14.28515625" style="350" customWidth="1"/>
    <col min="12040" max="12040" width="17" style="350" customWidth="1"/>
    <col min="12041" max="12041" width="19.42578125" style="350" customWidth="1"/>
    <col min="12042" max="12042" width="19.28515625" style="350" customWidth="1"/>
    <col min="12043" max="12288" width="9.42578125" style="350"/>
    <col min="12289" max="12289" width="5.42578125" style="350" customWidth="1"/>
    <col min="12290" max="12290" width="41.140625" style="350" customWidth="1"/>
    <col min="12291" max="12291" width="17.42578125" style="350" customWidth="1"/>
    <col min="12292" max="12292" width="18.7109375" style="350" customWidth="1"/>
    <col min="12293" max="12293" width="14.28515625" style="350" customWidth="1"/>
    <col min="12294" max="12294" width="15" style="350" customWidth="1"/>
    <col min="12295" max="12295" width="14.28515625" style="350" customWidth="1"/>
    <col min="12296" max="12296" width="17" style="350" customWidth="1"/>
    <col min="12297" max="12297" width="19.42578125" style="350" customWidth="1"/>
    <col min="12298" max="12298" width="19.28515625" style="350" customWidth="1"/>
    <col min="12299" max="12544" width="9.42578125" style="350"/>
    <col min="12545" max="12545" width="5.42578125" style="350" customWidth="1"/>
    <col min="12546" max="12546" width="41.140625" style="350" customWidth="1"/>
    <col min="12547" max="12547" width="17.42578125" style="350" customWidth="1"/>
    <col min="12548" max="12548" width="18.7109375" style="350" customWidth="1"/>
    <col min="12549" max="12549" width="14.28515625" style="350" customWidth="1"/>
    <col min="12550" max="12550" width="15" style="350" customWidth="1"/>
    <col min="12551" max="12551" width="14.28515625" style="350" customWidth="1"/>
    <col min="12552" max="12552" width="17" style="350" customWidth="1"/>
    <col min="12553" max="12553" width="19.42578125" style="350" customWidth="1"/>
    <col min="12554" max="12554" width="19.28515625" style="350" customWidth="1"/>
    <col min="12555" max="12800" width="9.42578125" style="350"/>
    <col min="12801" max="12801" width="5.42578125" style="350" customWidth="1"/>
    <col min="12802" max="12802" width="41.140625" style="350" customWidth="1"/>
    <col min="12803" max="12803" width="17.42578125" style="350" customWidth="1"/>
    <col min="12804" max="12804" width="18.7109375" style="350" customWidth="1"/>
    <col min="12805" max="12805" width="14.28515625" style="350" customWidth="1"/>
    <col min="12806" max="12806" width="15" style="350" customWidth="1"/>
    <col min="12807" max="12807" width="14.28515625" style="350" customWidth="1"/>
    <col min="12808" max="12808" width="17" style="350" customWidth="1"/>
    <col min="12809" max="12809" width="19.42578125" style="350" customWidth="1"/>
    <col min="12810" max="12810" width="19.28515625" style="350" customWidth="1"/>
    <col min="12811" max="13056" width="9.42578125" style="350"/>
    <col min="13057" max="13057" width="5.42578125" style="350" customWidth="1"/>
    <col min="13058" max="13058" width="41.140625" style="350" customWidth="1"/>
    <col min="13059" max="13059" width="17.42578125" style="350" customWidth="1"/>
    <col min="13060" max="13060" width="18.7109375" style="350" customWidth="1"/>
    <col min="13061" max="13061" width="14.28515625" style="350" customWidth="1"/>
    <col min="13062" max="13062" width="15" style="350" customWidth="1"/>
    <col min="13063" max="13063" width="14.28515625" style="350" customWidth="1"/>
    <col min="13064" max="13064" width="17" style="350" customWidth="1"/>
    <col min="13065" max="13065" width="19.42578125" style="350" customWidth="1"/>
    <col min="13066" max="13066" width="19.28515625" style="350" customWidth="1"/>
    <col min="13067" max="13312" width="9.42578125" style="350"/>
    <col min="13313" max="13313" width="5.42578125" style="350" customWidth="1"/>
    <col min="13314" max="13314" width="41.140625" style="350" customWidth="1"/>
    <col min="13315" max="13315" width="17.42578125" style="350" customWidth="1"/>
    <col min="13316" max="13316" width="18.7109375" style="350" customWidth="1"/>
    <col min="13317" max="13317" width="14.28515625" style="350" customWidth="1"/>
    <col min="13318" max="13318" width="15" style="350" customWidth="1"/>
    <col min="13319" max="13319" width="14.28515625" style="350" customWidth="1"/>
    <col min="13320" max="13320" width="17" style="350" customWidth="1"/>
    <col min="13321" max="13321" width="19.42578125" style="350" customWidth="1"/>
    <col min="13322" max="13322" width="19.28515625" style="350" customWidth="1"/>
    <col min="13323" max="13568" width="9.42578125" style="350"/>
    <col min="13569" max="13569" width="5.42578125" style="350" customWidth="1"/>
    <col min="13570" max="13570" width="41.140625" style="350" customWidth="1"/>
    <col min="13571" max="13571" width="17.42578125" style="350" customWidth="1"/>
    <col min="13572" max="13572" width="18.7109375" style="350" customWidth="1"/>
    <col min="13573" max="13573" width="14.28515625" style="350" customWidth="1"/>
    <col min="13574" max="13574" width="15" style="350" customWidth="1"/>
    <col min="13575" max="13575" width="14.28515625" style="350" customWidth="1"/>
    <col min="13576" max="13576" width="17" style="350" customWidth="1"/>
    <col min="13577" max="13577" width="19.42578125" style="350" customWidth="1"/>
    <col min="13578" max="13578" width="19.28515625" style="350" customWidth="1"/>
    <col min="13579" max="13824" width="9.42578125" style="350"/>
    <col min="13825" max="13825" width="5.42578125" style="350" customWidth="1"/>
    <col min="13826" max="13826" width="41.140625" style="350" customWidth="1"/>
    <col min="13827" max="13827" width="17.42578125" style="350" customWidth="1"/>
    <col min="13828" max="13828" width="18.7109375" style="350" customWidth="1"/>
    <col min="13829" max="13829" width="14.28515625" style="350" customWidth="1"/>
    <col min="13830" max="13830" width="15" style="350" customWidth="1"/>
    <col min="13831" max="13831" width="14.28515625" style="350" customWidth="1"/>
    <col min="13832" max="13832" width="17" style="350" customWidth="1"/>
    <col min="13833" max="13833" width="19.42578125" style="350" customWidth="1"/>
    <col min="13834" max="13834" width="19.28515625" style="350" customWidth="1"/>
    <col min="13835" max="14080" width="9.42578125" style="350"/>
    <col min="14081" max="14081" width="5.42578125" style="350" customWidth="1"/>
    <col min="14082" max="14082" width="41.140625" style="350" customWidth="1"/>
    <col min="14083" max="14083" width="17.42578125" style="350" customWidth="1"/>
    <col min="14084" max="14084" width="18.7109375" style="350" customWidth="1"/>
    <col min="14085" max="14085" width="14.28515625" style="350" customWidth="1"/>
    <col min="14086" max="14086" width="15" style="350" customWidth="1"/>
    <col min="14087" max="14087" width="14.28515625" style="350" customWidth="1"/>
    <col min="14088" max="14088" width="17" style="350" customWidth="1"/>
    <col min="14089" max="14089" width="19.42578125" style="350" customWidth="1"/>
    <col min="14090" max="14090" width="19.28515625" style="350" customWidth="1"/>
    <col min="14091" max="14336" width="9.42578125" style="350"/>
    <col min="14337" max="14337" width="5.42578125" style="350" customWidth="1"/>
    <col min="14338" max="14338" width="41.140625" style="350" customWidth="1"/>
    <col min="14339" max="14339" width="17.42578125" style="350" customWidth="1"/>
    <col min="14340" max="14340" width="18.7109375" style="350" customWidth="1"/>
    <col min="14341" max="14341" width="14.28515625" style="350" customWidth="1"/>
    <col min="14342" max="14342" width="15" style="350" customWidth="1"/>
    <col min="14343" max="14343" width="14.28515625" style="350" customWidth="1"/>
    <col min="14344" max="14344" width="17" style="350" customWidth="1"/>
    <col min="14345" max="14345" width="19.42578125" style="350" customWidth="1"/>
    <col min="14346" max="14346" width="19.28515625" style="350" customWidth="1"/>
    <col min="14347" max="14592" width="9.42578125" style="350"/>
    <col min="14593" max="14593" width="5.42578125" style="350" customWidth="1"/>
    <col min="14594" max="14594" width="41.140625" style="350" customWidth="1"/>
    <col min="14595" max="14595" width="17.42578125" style="350" customWidth="1"/>
    <col min="14596" max="14596" width="18.7109375" style="350" customWidth="1"/>
    <col min="14597" max="14597" width="14.28515625" style="350" customWidth="1"/>
    <col min="14598" max="14598" width="15" style="350" customWidth="1"/>
    <col min="14599" max="14599" width="14.28515625" style="350" customWidth="1"/>
    <col min="14600" max="14600" width="17" style="350" customWidth="1"/>
    <col min="14601" max="14601" width="19.42578125" style="350" customWidth="1"/>
    <col min="14602" max="14602" width="19.28515625" style="350" customWidth="1"/>
    <col min="14603" max="14848" width="9.42578125" style="350"/>
    <col min="14849" max="14849" width="5.42578125" style="350" customWidth="1"/>
    <col min="14850" max="14850" width="41.140625" style="350" customWidth="1"/>
    <col min="14851" max="14851" width="17.42578125" style="350" customWidth="1"/>
    <col min="14852" max="14852" width="18.7109375" style="350" customWidth="1"/>
    <col min="14853" max="14853" width="14.28515625" style="350" customWidth="1"/>
    <col min="14854" max="14854" width="15" style="350" customWidth="1"/>
    <col min="14855" max="14855" width="14.28515625" style="350" customWidth="1"/>
    <col min="14856" max="14856" width="17" style="350" customWidth="1"/>
    <col min="14857" max="14857" width="19.42578125" style="350" customWidth="1"/>
    <col min="14858" max="14858" width="19.28515625" style="350" customWidth="1"/>
    <col min="14859" max="15104" width="9.42578125" style="350"/>
    <col min="15105" max="15105" width="5.42578125" style="350" customWidth="1"/>
    <col min="15106" max="15106" width="41.140625" style="350" customWidth="1"/>
    <col min="15107" max="15107" width="17.42578125" style="350" customWidth="1"/>
    <col min="15108" max="15108" width="18.7109375" style="350" customWidth="1"/>
    <col min="15109" max="15109" width="14.28515625" style="350" customWidth="1"/>
    <col min="15110" max="15110" width="15" style="350" customWidth="1"/>
    <col min="15111" max="15111" width="14.28515625" style="350" customWidth="1"/>
    <col min="15112" max="15112" width="17" style="350" customWidth="1"/>
    <col min="15113" max="15113" width="19.42578125" style="350" customWidth="1"/>
    <col min="15114" max="15114" width="19.28515625" style="350" customWidth="1"/>
    <col min="15115" max="15360" width="9.42578125" style="350"/>
    <col min="15361" max="15361" width="5.42578125" style="350" customWidth="1"/>
    <col min="15362" max="15362" width="41.140625" style="350" customWidth="1"/>
    <col min="15363" max="15363" width="17.42578125" style="350" customWidth="1"/>
    <col min="15364" max="15364" width="18.7109375" style="350" customWidth="1"/>
    <col min="15365" max="15365" width="14.28515625" style="350" customWidth="1"/>
    <col min="15366" max="15366" width="15" style="350" customWidth="1"/>
    <col min="15367" max="15367" width="14.28515625" style="350" customWidth="1"/>
    <col min="15368" max="15368" width="17" style="350" customWidth="1"/>
    <col min="15369" max="15369" width="19.42578125" style="350" customWidth="1"/>
    <col min="15370" max="15370" width="19.28515625" style="350" customWidth="1"/>
    <col min="15371" max="15616" width="9.42578125" style="350"/>
    <col min="15617" max="15617" width="5.42578125" style="350" customWidth="1"/>
    <col min="15618" max="15618" width="41.140625" style="350" customWidth="1"/>
    <col min="15619" max="15619" width="17.42578125" style="350" customWidth="1"/>
    <col min="15620" max="15620" width="18.7109375" style="350" customWidth="1"/>
    <col min="15621" max="15621" width="14.28515625" style="350" customWidth="1"/>
    <col min="15622" max="15622" width="15" style="350" customWidth="1"/>
    <col min="15623" max="15623" width="14.28515625" style="350" customWidth="1"/>
    <col min="15624" max="15624" width="17" style="350" customWidth="1"/>
    <col min="15625" max="15625" width="19.42578125" style="350" customWidth="1"/>
    <col min="15626" max="15626" width="19.28515625" style="350" customWidth="1"/>
    <col min="15627" max="15872" width="9.42578125" style="350"/>
    <col min="15873" max="15873" width="5.42578125" style="350" customWidth="1"/>
    <col min="15874" max="15874" width="41.140625" style="350" customWidth="1"/>
    <col min="15875" max="15875" width="17.42578125" style="350" customWidth="1"/>
    <col min="15876" max="15876" width="18.7109375" style="350" customWidth="1"/>
    <col min="15877" max="15877" width="14.28515625" style="350" customWidth="1"/>
    <col min="15878" max="15878" width="15" style="350" customWidth="1"/>
    <col min="15879" max="15879" width="14.28515625" style="350" customWidth="1"/>
    <col min="15880" max="15880" width="17" style="350" customWidth="1"/>
    <col min="15881" max="15881" width="19.42578125" style="350" customWidth="1"/>
    <col min="15882" max="15882" width="19.28515625" style="350" customWidth="1"/>
    <col min="15883" max="16128" width="9.42578125" style="350"/>
    <col min="16129" max="16129" width="5.42578125" style="350" customWidth="1"/>
    <col min="16130" max="16130" width="41.140625" style="350" customWidth="1"/>
    <col min="16131" max="16131" width="17.42578125" style="350" customWidth="1"/>
    <col min="16132" max="16132" width="18.7109375" style="350" customWidth="1"/>
    <col min="16133" max="16133" width="14.28515625" style="350" customWidth="1"/>
    <col min="16134" max="16134" width="15" style="350" customWidth="1"/>
    <col min="16135" max="16135" width="14.28515625" style="350" customWidth="1"/>
    <col min="16136" max="16136" width="17" style="350" customWidth="1"/>
    <col min="16137" max="16137" width="19.42578125" style="350" customWidth="1"/>
    <col min="16138" max="16138" width="19.28515625" style="350" customWidth="1"/>
    <col min="16139" max="16384" width="9.42578125" style="350"/>
  </cols>
  <sheetData>
    <row r="1" spans="1:9" ht="15.95" thickBot="1" x14ac:dyDescent="0.4">
      <c r="A1" s="583" t="s">
        <v>103</v>
      </c>
      <c r="B1" s="582"/>
      <c r="C1" s="570">
        <v>2014</v>
      </c>
      <c r="D1" s="570">
        <v>2015</v>
      </c>
      <c r="E1" s="570">
        <v>2016</v>
      </c>
      <c r="F1" s="570">
        <v>2017</v>
      </c>
      <c r="G1" s="571">
        <v>2018</v>
      </c>
      <c r="H1" s="350"/>
    </row>
    <row r="2" spans="1:9" ht="15.6" x14ac:dyDescent="0.35">
      <c r="B2" s="414"/>
      <c r="C2" s="580"/>
      <c r="D2" s="581"/>
      <c r="E2" s="581"/>
      <c r="F2" s="581"/>
      <c r="G2" s="581"/>
      <c r="H2" s="350"/>
    </row>
    <row r="3" spans="1:9" s="277" customFormat="1" ht="14.45" x14ac:dyDescent="0.35">
      <c r="A3" s="443" t="s">
        <v>78</v>
      </c>
      <c r="B3" s="354"/>
      <c r="C3" s="353"/>
      <c r="D3" s="276"/>
      <c r="E3" s="276"/>
      <c r="F3" s="276"/>
      <c r="G3" s="276"/>
      <c r="H3" s="355" t="s">
        <v>178</v>
      </c>
      <c r="I3" s="277" t="s">
        <v>182</v>
      </c>
    </row>
    <row r="4" spans="1:9" s="277" customFormat="1" ht="14.45" x14ac:dyDescent="0.35">
      <c r="A4" s="465" t="s">
        <v>101</v>
      </c>
      <c r="B4" s="354"/>
      <c r="C4" s="356">
        <v>120</v>
      </c>
      <c r="D4" s="357">
        <f>C4*(1+$H$4)</f>
        <v>114</v>
      </c>
      <c r="E4" s="357">
        <f>D4*(1+$H$4)</f>
        <v>108.3</v>
      </c>
      <c r="F4" s="357">
        <f>E4*(1+$H$4)</f>
        <v>102.88499999999999</v>
      </c>
      <c r="G4" s="357">
        <f>F4*(1+$I$4)</f>
        <v>115.80735599999998</v>
      </c>
      <c r="H4" s="355">
        <v>-0.05</v>
      </c>
      <c r="I4" s="358">
        <v>0.12559999999999999</v>
      </c>
    </row>
    <row r="5" spans="1:9" s="277" customFormat="1" ht="14.45" x14ac:dyDescent="0.35">
      <c r="A5" s="465" t="s">
        <v>89</v>
      </c>
      <c r="B5" s="354"/>
      <c r="C5" s="353">
        <v>45</v>
      </c>
      <c r="D5" s="353">
        <f>C5*(1+$H$5)</f>
        <v>42.75</v>
      </c>
      <c r="E5" s="353">
        <f>D5*(1+$H$5)</f>
        <v>40.612499999999997</v>
      </c>
      <c r="F5" s="353">
        <f>E5*(1+$H$5)</f>
        <v>38.581874999999997</v>
      </c>
      <c r="G5" s="353">
        <f>F5*(1+$I$5)</f>
        <v>34.723687499999997</v>
      </c>
      <c r="H5" s="355">
        <v>-0.05</v>
      </c>
      <c r="I5" s="361">
        <v>-0.1</v>
      </c>
    </row>
    <row r="6" spans="1:9" s="277" customFormat="1" ht="14.45" x14ac:dyDescent="0.35">
      <c r="A6" s="465" t="s">
        <v>90</v>
      </c>
      <c r="B6" s="354"/>
      <c r="C6" s="353">
        <f>C4*C5</f>
        <v>5400</v>
      </c>
      <c r="D6" s="353">
        <f>D4*D5</f>
        <v>4873.5</v>
      </c>
      <c r="E6" s="353">
        <f t="shared" ref="E6:G6" si="0">E4*E5</f>
        <v>4398.3337499999998</v>
      </c>
      <c r="F6" s="353">
        <f t="shared" si="0"/>
        <v>3969.4962093749991</v>
      </c>
      <c r="G6" s="353">
        <f t="shared" si="0"/>
        <v>4021.2584399452489</v>
      </c>
      <c r="H6" s="355"/>
    </row>
    <row r="7" spans="1:9" s="277" customFormat="1" ht="14.45" x14ac:dyDescent="0.35">
      <c r="A7" s="465" t="s">
        <v>84</v>
      </c>
      <c r="B7" s="354"/>
      <c r="C7" s="353">
        <f>180</f>
        <v>180</v>
      </c>
      <c r="D7" s="353">
        <f>C7*(1+$H$7)</f>
        <v>162</v>
      </c>
      <c r="E7" s="353">
        <f>D7*(1+$H$7)</f>
        <v>145.80000000000001</v>
      </c>
      <c r="F7" s="353">
        <f>E7*(1+$H$7)</f>
        <v>131.22000000000003</v>
      </c>
      <c r="G7" s="353">
        <f>F7*(1+$I$7)</f>
        <v>137.78100000000003</v>
      </c>
      <c r="H7" s="362">
        <v>-0.1</v>
      </c>
      <c r="I7" s="363">
        <v>0.05</v>
      </c>
    </row>
    <row r="8" spans="1:9" s="277" customFormat="1" ht="14.45" x14ac:dyDescent="0.35">
      <c r="A8" s="465" t="s">
        <v>85</v>
      </c>
      <c r="B8" s="354"/>
      <c r="C8" s="353">
        <f>C7*H8</f>
        <v>99.000000000000014</v>
      </c>
      <c r="D8" s="353">
        <f>D7*$H$8</f>
        <v>89.100000000000009</v>
      </c>
      <c r="E8" s="353">
        <f>E7*$H$8</f>
        <v>80.190000000000012</v>
      </c>
      <c r="F8" s="353">
        <f>F7*$H$8</f>
        <v>72.171000000000021</v>
      </c>
      <c r="G8" s="364">
        <f>G7*$I$8</f>
        <v>50.978970000000011</v>
      </c>
      <c r="H8" s="355">
        <v>0.55000000000000004</v>
      </c>
      <c r="I8" s="365">
        <v>0.37</v>
      </c>
    </row>
    <row r="9" spans="1:9" s="277" customFormat="1" ht="14.45" x14ac:dyDescent="0.35">
      <c r="A9" s="465" t="s">
        <v>86</v>
      </c>
      <c r="B9" s="344"/>
      <c r="C9" s="356">
        <v>600</v>
      </c>
      <c r="D9" s="356">
        <f>C9*(1+$H$9)</f>
        <v>570</v>
      </c>
      <c r="E9" s="410">
        <f>D9*(1+$H$9)</f>
        <v>541.5</v>
      </c>
      <c r="F9" s="410">
        <f>E9*(1+$H$9)</f>
        <v>514.42499999999995</v>
      </c>
      <c r="G9" s="410">
        <f>F9*(1+$I$9)</f>
        <v>462.98249999999996</v>
      </c>
      <c r="H9" s="355">
        <v>-0.05</v>
      </c>
      <c r="I9" s="365">
        <v>-0.1</v>
      </c>
    </row>
    <row r="10" spans="1:9" s="277" customFormat="1" ht="14.45" x14ac:dyDescent="0.35">
      <c r="A10" s="465" t="s">
        <v>197</v>
      </c>
      <c r="B10" s="344"/>
      <c r="C10" s="353">
        <f>(C7-C8)*C9</f>
        <v>48599.999999999993</v>
      </c>
      <c r="D10" s="353">
        <f>(D7-D8)*D9</f>
        <v>41552.999999999993</v>
      </c>
      <c r="E10" s="353">
        <f t="shared" ref="E10:G10" si="1">(E7-E8)*E9</f>
        <v>35527.815000000002</v>
      </c>
      <c r="F10" s="353">
        <f t="shared" si="1"/>
        <v>30376.281825000002</v>
      </c>
      <c r="G10" s="353">
        <f t="shared" si="1"/>
        <v>40187.820854475009</v>
      </c>
      <c r="H10" s="355"/>
    </row>
    <row r="11" spans="1:9" s="277" customFormat="1" ht="14.45" x14ac:dyDescent="0.35">
      <c r="A11" s="465" t="s">
        <v>92</v>
      </c>
      <c r="B11" s="344"/>
      <c r="C11" s="353">
        <f>C6+C10</f>
        <v>53999.999999999993</v>
      </c>
      <c r="D11" s="353">
        <f t="shared" ref="D11:G11" si="2">D6+D10</f>
        <v>46426.499999999993</v>
      </c>
      <c r="E11" s="353">
        <f t="shared" si="2"/>
        <v>39926.14875</v>
      </c>
      <c r="F11" s="353">
        <f t="shared" si="2"/>
        <v>34345.778034374998</v>
      </c>
      <c r="G11" s="353">
        <f t="shared" si="2"/>
        <v>44209.079294420255</v>
      </c>
      <c r="H11" s="355"/>
    </row>
    <row r="12" spans="1:9" s="277" customFormat="1" ht="14.45" x14ac:dyDescent="0.35">
      <c r="A12" s="465"/>
      <c r="B12" s="344"/>
      <c r="C12" s="353"/>
      <c r="D12" s="276"/>
      <c r="E12" s="276"/>
      <c r="F12" s="276"/>
      <c r="G12" s="276"/>
      <c r="H12" s="355"/>
    </row>
    <row r="13" spans="1:9" s="277" customFormat="1" ht="14.45" x14ac:dyDescent="0.35">
      <c r="A13" s="443" t="s">
        <v>79</v>
      </c>
      <c r="B13" s="344"/>
      <c r="C13" s="353"/>
      <c r="D13" s="276"/>
      <c r="E13" s="276"/>
      <c r="F13" s="276"/>
      <c r="G13" s="276"/>
      <c r="H13" s="355"/>
    </row>
    <row r="14" spans="1:9" s="277" customFormat="1" ht="14.45" x14ac:dyDescent="0.35">
      <c r="A14" s="465" t="s">
        <v>93</v>
      </c>
      <c r="B14" s="354"/>
      <c r="C14" s="353">
        <v>150</v>
      </c>
      <c r="D14" s="353">
        <f>C14*(1+$H$14)</f>
        <v>153</v>
      </c>
      <c r="E14" s="353">
        <f>D14*(1+$H$14)</f>
        <v>156.06</v>
      </c>
      <c r="F14" s="353">
        <f>E14*(1+$H$14)</f>
        <v>159.18120000000002</v>
      </c>
      <c r="G14" s="353">
        <f>F14*(1+$I$14)</f>
        <v>151.22214000000002</v>
      </c>
      <c r="H14" s="355">
        <v>0.02</v>
      </c>
      <c r="I14" s="365">
        <v>-0.05</v>
      </c>
    </row>
    <row r="15" spans="1:9" s="277" customFormat="1" ht="14.45" x14ac:dyDescent="0.35">
      <c r="A15" s="465" t="s">
        <v>94</v>
      </c>
      <c r="B15" s="354"/>
      <c r="C15" s="356">
        <v>210</v>
      </c>
      <c r="D15" s="353">
        <f>C15*(1+$H$15)</f>
        <v>214.20000000000002</v>
      </c>
      <c r="E15" s="353">
        <f>D15*(1+$H$15)</f>
        <v>218.48400000000001</v>
      </c>
      <c r="F15" s="353">
        <f>E15*(1+$H$15)</f>
        <v>222.85368000000003</v>
      </c>
      <c r="G15" s="353">
        <f>F15*(1+$I$15)</f>
        <v>216.16806960000002</v>
      </c>
      <c r="H15" s="355">
        <v>0.02</v>
      </c>
      <c r="I15" s="365">
        <v>-0.03</v>
      </c>
    </row>
    <row r="16" spans="1:9" s="277" customFormat="1" ht="14.45" x14ac:dyDescent="0.35">
      <c r="A16" s="465" t="s">
        <v>95</v>
      </c>
      <c r="B16" s="344"/>
      <c r="C16" s="356">
        <v>3</v>
      </c>
      <c r="D16" s="356">
        <v>3</v>
      </c>
      <c r="E16" s="356">
        <f>$D$16</f>
        <v>3</v>
      </c>
      <c r="F16" s="356">
        <f t="shared" ref="F16:G16" si="3">$D$16</f>
        <v>3</v>
      </c>
      <c r="G16" s="356">
        <f t="shared" si="3"/>
        <v>3</v>
      </c>
      <c r="H16" s="355"/>
    </row>
    <row r="17" spans="1:8" s="277" customFormat="1" ht="14.45" x14ac:dyDescent="0.35">
      <c r="A17" s="465" t="s">
        <v>96</v>
      </c>
      <c r="B17" s="344"/>
      <c r="C17" s="353">
        <f>C14*C15*C16</f>
        <v>94500</v>
      </c>
      <c r="D17" s="353">
        <f t="shared" ref="D17:G17" si="4">D14*D15*D16</f>
        <v>98317.800000000017</v>
      </c>
      <c r="E17" s="353">
        <f t="shared" si="4"/>
        <v>102289.83912000002</v>
      </c>
      <c r="F17" s="353">
        <f t="shared" si="4"/>
        <v>106422.34862044801</v>
      </c>
      <c r="G17" s="353">
        <f t="shared" si="4"/>
        <v>98068.194253742855</v>
      </c>
      <c r="H17" s="355"/>
    </row>
    <row r="18" spans="1:8" s="277" customFormat="1" ht="14.45" x14ac:dyDescent="0.35">
      <c r="A18" s="465"/>
      <c r="B18" s="354"/>
      <c r="C18" s="353"/>
      <c r="D18" s="368"/>
      <c r="E18" s="368"/>
      <c r="F18" s="368"/>
      <c r="G18" s="276"/>
      <c r="H18" s="355"/>
    </row>
    <row r="19" spans="1:8" s="277" customFormat="1" ht="14.45" x14ac:dyDescent="0.35">
      <c r="A19" s="443" t="s">
        <v>0</v>
      </c>
      <c r="B19" s="354"/>
      <c r="C19" s="353"/>
      <c r="D19" s="368"/>
      <c r="E19" s="368"/>
      <c r="F19" s="368"/>
      <c r="G19" s="276"/>
      <c r="H19" s="355"/>
    </row>
    <row r="20" spans="1:8" s="277" customFormat="1" ht="14.45" x14ac:dyDescent="0.35">
      <c r="A20" s="465" t="s">
        <v>1</v>
      </c>
      <c r="B20" s="354"/>
      <c r="C20" s="353">
        <v>325000</v>
      </c>
      <c r="D20" s="353">
        <f>C20</f>
        <v>325000</v>
      </c>
      <c r="E20" s="353">
        <f t="shared" ref="E20:F20" si="5">D20</f>
        <v>325000</v>
      </c>
      <c r="F20" s="353">
        <f t="shared" si="5"/>
        <v>325000</v>
      </c>
      <c r="G20" s="353">
        <f>F20</f>
        <v>325000</v>
      </c>
      <c r="H20" s="355"/>
    </row>
    <row r="21" spans="1:8" s="277" customFormat="1" ht="14.45" x14ac:dyDescent="0.35">
      <c r="A21" s="465" t="s">
        <v>2</v>
      </c>
      <c r="B21" s="354"/>
      <c r="C21" s="356">
        <v>30</v>
      </c>
      <c r="D21" s="368"/>
      <c r="E21" s="368"/>
      <c r="F21" s="368"/>
      <c r="G21" s="368"/>
      <c r="H21" s="355"/>
    </row>
    <row r="22" spans="1:8" s="277" customFormat="1" ht="14.45" x14ac:dyDescent="0.35">
      <c r="A22" s="465" t="s">
        <v>3</v>
      </c>
      <c r="B22" s="354"/>
      <c r="C22" s="364">
        <f>$C$20/$C$21</f>
        <v>10833.333333333334</v>
      </c>
      <c r="D22" s="368">
        <f>$C$20/$C$21</f>
        <v>10833.333333333334</v>
      </c>
      <c r="E22" s="368">
        <f>$C$20/$C$21</f>
        <v>10833.333333333334</v>
      </c>
      <c r="F22" s="368">
        <f>$C$20/$C$21</f>
        <v>10833.333333333334</v>
      </c>
      <c r="G22" s="368">
        <f>$C$20/$C$21</f>
        <v>10833.333333333334</v>
      </c>
      <c r="H22" s="355"/>
    </row>
    <row r="23" spans="1:8" s="277" customFormat="1" ht="14.45" x14ac:dyDescent="0.35">
      <c r="A23" s="443" t="s">
        <v>77</v>
      </c>
      <c r="B23" s="354"/>
      <c r="C23" s="353"/>
      <c r="D23" s="368"/>
      <c r="E23" s="368"/>
      <c r="F23" s="368"/>
      <c r="G23" s="368"/>
      <c r="H23" s="355"/>
    </row>
    <row r="24" spans="1:8" s="277" customFormat="1" ht="14.45" x14ac:dyDescent="0.35">
      <c r="A24" s="465" t="s">
        <v>1</v>
      </c>
      <c r="B24" s="354"/>
      <c r="C24" s="274">
        <v>150000</v>
      </c>
      <c r="D24" s="274">
        <f>C24</f>
        <v>150000</v>
      </c>
      <c r="E24" s="274">
        <f t="shared" ref="E24:G24" si="6">D24</f>
        <v>150000</v>
      </c>
      <c r="F24" s="274">
        <f t="shared" si="6"/>
        <v>150000</v>
      </c>
      <c r="G24" s="274">
        <f t="shared" si="6"/>
        <v>150000</v>
      </c>
      <c r="H24" s="355"/>
    </row>
    <row r="25" spans="1:8" s="277" customFormat="1" ht="14.45" x14ac:dyDescent="0.35">
      <c r="A25" s="465" t="s">
        <v>2</v>
      </c>
      <c r="B25" s="354"/>
      <c r="C25" s="274">
        <v>7</v>
      </c>
      <c r="D25" s="367"/>
      <c r="E25" s="367"/>
      <c r="F25" s="367"/>
      <c r="G25" s="367"/>
      <c r="H25" s="355"/>
    </row>
    <row r="26" spans="1:8" s="277" customFormat="1" ht="14.45" x14ac:dyDescent="0.35">
      <c r="A26" s="465" t="s">
        <v>3</v>
      </c>
      <c r="B26" s="354"/>
      <c r="C26" s="353">
        <f>$C$24/$C$25</f>
        <v>21428.571428571428</v>
      </c>
      <c r="D26" s="368">
        <f t="shared" ref="D26:G26" si="7">$C$24/$C$25</f>
        <v>21428.571428571428</v>
      </c>
      <c r="E26" s="368">
        <f t="shared" si="7"/>
        <v>21428.571428571428</v>
      </c>
      <c r="F26" s="368">
        <f t="shared" si="7"/>
        <v>21428.571428571428</v>
      </c>
      <c r="G26" s="368">
        <f t="shared" si="7"/>
        <v>21428.571428571428</v>
      </c>
      <c r="H26" s="355"/>
    </row>
    <row r="27" spans="1:8" s="277" customFormat="1" x14ac:dyDescent="0.25">
      <c r="A27" s="465"/>
      <c r="B27" s="354"/>
      <c r="C27" s="274"/>
      <c r="D27" s="367"/>
      <c r="E27" s="367"/>
      <c r="F27" s="367"/>
      <c r="G27" s="276"/>
      <c r="H27" s="355"/>
    </row>
    <row r="28" spans="1:8" s="277" customFormat="1" x14ac:dyDescent="0.25">
      <c r="A28" s="443" t="s">
        <v>4</v>
      </c>
      <c r="B28" s="354"/>
      <c r="C28" s="274"/>
      <c r="D28" s="275"/>
      <c r="E28" s="275"/>
      <c r="F28" s="275"/>
      <c r="G28" s="276"/>
      <c r="H28" s="355"/>
    </row>
    <row r="29" spans="1:8" s="277" customFormat="1" x14ac:dyDescent="0.25">
      <c r="A29" s="465" t="s">
        <v>5</v>
      </c>
      <c r="B29" s="354"/>
      <c r="C29" s="274">
        <v>400000</v>
      </c>
      <c r="D29" s="275"/>
      <c r="E29" s="275"/>
      <c r="F29" s="275"/>
      <c r="G29" s="276"/>
      <c r="H29" s="355"/>
    </row>
    <row r="30" spans="1:8" s="277" customFormat="1" x14ac:dyDescent="0.25">
      <c r="A30" s="465" t="s">
        <v>6</v>
      </c>
      <c r="B30" s="354"/>
      <c r="C30" s="278">
        <v>30</v>
      </c>
      <c r="D30" s="275"/>
      <c r="E30" s="275"/>
      <c r="F30" s="275"/>
      <c r="G30" s="276"/>
      <c r="H30" s="355"/>
    </row>
    <row r="31" spans="1:8" s="277" customFormat="1" x14ac:dyDescent="0.25">
      <c r="A31" s="465" t="s">
        <v>7</v>
      </c>
      <c r="B31" s="354"/>
      <c r="C31" s="369">
        <v>7.0000000000000007E-2</v>
      </c>
      <c r="D31" s="275"/>
      <c r="E31" s="275"/>
      <c r="F31" s="275"/>
      <c r="G31" s="276"/>
      <c r="H31" s="355"/>
    </row>
    <row r="32" spans="1:8" s="277" customFormat="1" x14ac:dyDescent="0.25">
      <c r="A32" s="443" t="s">
        <v>8</v>
      </c>
      <c r="B32" s="354"/>
      <c r="C32" s="370"/>
      <c r="D32" s="275"/>
      <c r="E32" s="275"/>
      <c r="F32" s="275"/>
      <c r="G32" s="276"/>
      <c r="H32" s="355"/>
    </row>
    <row r="33" spans="1:9" s="277" customFormat="1" x14ac:dyDescent="0.25">
      <c r="A33" s="465" t="s">
        <v>124</v>
      </c>
      <c r="B33" s="354"/>
      <c r="C33" s="371">
        <v>120</v>
      </c>
      <c r="D33" s="372">
        <f>C33*(1+$H$33)</f>
        <v>126</v>
      </c>
      <c r="E33" s="373">
        <f>D33*(1+$H$33)</f>
        <v>132.30000000000001</v>
      </c>
      <c r="F33" s="373">
        <f>E33*(1+$H$33)</f>
        <v>138.91500000000002</v>
      </c>
      <c r="G33" s="373">
        <f>F33*(1+$I$33)</f>
        <v>143.08245000000002</v>
      </c>
      <c r="H33" s="355">
        <v>0.05</v>
      </c>
      <c r="I33" s="358">
        <v>0.03</v>
      </c>
    </row>
    <row r="34" spans="1:9" s="277" customFormat="1" x14ac:dyDescent="0.25">
      <c r="A34" s="465" t="s">
        <v>9</v>
      </c>
      <c r="B34" s="354"/>
      <c r="C34" s="371">
        <v>190</v>
      </c>
      <c r="D34" s="373">
        <f>C34*(1+$H$34)</f>
        <v>186.2</v>
      </c>
      <c r="E34" s="373">
        <f>D34*(1+$H$34)</f>
        <v>182.476</v>
      </c>
      <c r="F34" s="373">
        <f>E34*(1+$H$34)</f>
        <v>178.82648</v>
      </c>
      <c r="G34" s="373">
        <f>F34*(1+$I$34)</f>
        <v>177.0382152</v>
      </c>
      <c r="H34" s="355">
        <v>-0.02</v>
      </c>
      <c r="I34" s="358">
        <v>-0.01</v>
      </c>
    </row>
    <row r="35" spans="1:9" s="277" customFormat="1" x14ac:dyDescent="0.25">
      <c r="A35" s="465" t="s">
        <v>97</v>
      </c>
      <c r="B35" s="354"/>
      <c r="C35" s="371">
        <v>20</v>
      </c>
      <c r="D35" s="372">
        <v>20</v>
      </c>
      <c r="E35" s="372">
        <v>20</v>
      </c>
      <c r="F35" s="372">
        <v>20</v>
      </c>
      <c r="G35" s="372">
        <v>20</v>
      </c>
      <c r="H35" s="355"/>
    </row>
    <row r="36" spans="1:9" s="277" customFormat="1" x14ac:dyDescent="0.25">
      <c r="A36" s="465"/>
      <c r="B36" s="354"/>
      <c r="C36" s="353"/>
      <c r="D36" s="374"/>
      <c r="E36" s="374"/>
      <c r="F36" s="374"/>
      <c r="G36" s="276"/>
      <c r="H36" s="355"/>
    </row>
    <row r="37" spans="1:9" s="277" customFormat="1" ht="15.75" x14ac:dyDescent="0.25">
      <c r="A37" s="565"/>
      <c r="B37" s="375"/>
      <c r="C37" s="276"/>
      <c r="D37" s="276"/>
      <c r="E37" s="276"/>
      <c r="F37" s="276"/>
      <c r="G37" s="276"/>
      <c r="H37" s="355"/>
    </row>
    <row r="38" spans="1:9" s="277" customFormat="1" ht="15.75" x14ac:dyDescent="0.25">
      <c r="A38" s="566" t="s">
        <v>195</v>
      </c>
      <c r="B38" s="352"/>
      <c r="C38" s="376">
        <v>2014</v>
      </c>
      <c r="D38" s="351">
        <v>2015</v>
      </c>
      <c r="E38" s="351">
        <v>2016</v>
      </c>
      <c r="F38" s="351">
        <v>2017</v>
      </c>
      <c r="G38" s="351">
        <v>2018</v>
      </c>
      <c r="H38" s="355"/>
    </row>
    <row r="39" spans="1:9" s="277" customFormat="1" x14ac:dyDescent="0.25">
      <c r="A39" s="465" t="s">
        <v>11</v>
      </c>
      <c r="B39" s="354"/>
      <c r="C39" s="353"/>
      <c r="D39" s="276"/>
      <c r="E39" s="276"/>
      <c r="F39" s="276"/>
      <c r="G39" s="276"/>
      <c r="H39" s="355"/>
    </row>
    <row r="40" spans="1:9" s="277" customFormat="1" x14ac:dyDescent="0.25">
      <c r="A40" s="465" t="s">
        <v>80</v>
      </c>
      <c r="B40" s="378"/>
      <c r="C40" s="353">
        <f>C11</f>
        <v>53999.999999999993</v>
      </c>
      <c r="D40" s="353">
        <f t="shared" ref="D40:G40" si="8">D11</f>
        <v>46426.499999999993</v>
      </c>
      <c r="E40" s="353">
        <f t="shared" si="8"/>
        <v>39926.14875</v>
      </c>
      <c r="F40" s="353">
        <f t="shared" si="8"/>
        <v>34345.778034374998</v>
      </c>
      <c r="G40" s="353">
        <f t="shared" si="8"/>
        <v>44209.079294420255</v>
      </c>
      <c r="H40" s="355"/>
    </row>
    <row r="41" spans="1:9" s="277" customFormat="1" x14ac:dyDescent="0.25">
      <c r="A41" s="465" t="s">
        <v>81</v>
      </c>
      <c r="B41" s="378"/>
      <c r="C41" s="353">
        <f>C17</f>
        <v>94500</v>
      </c>
      <c r="D41" s="377">
        <f>D17</f>
        <v>98317.800000000017</v>
      </c>
      <c r="E41" s="377">
        <f>E17</f>
        <v>102289.83912000002</v>
      </c>
      <c r="F41" s="377">
        <f>F17</f>
        <v>106422.34862044801</v>
      </c>
      <c r="G41" s="377">
        <f t="shared" ref="G41" si="9">G17</f>
        <v>98068.194253742855</v>
      </c>
      <c r="H41" s="355"/>
      <c r="I41" s="379"/>
    </row>
    <row r="42" spans="1:9" s="277" customFormat="1" x14ac:dyDescent="0.25">
      <c r="A42" s="465"/>
      <c r="B42" s="378"/>
      <c r="C42" s="353"/>
      <c r="D42" s="377"/>
      <c r="E42" s="377"/>
      <c r="F42" s="377"/>
      <c r="G42" s="377"/>
      <c r="H42" s="355"/>
      <c r="I42" s="379"/>
    </row>
    <row r="43" spans="1:9" s="277" customFormat="1" x14ac:dyDescent="0.25">
      <c r="A43" s="465" t="s">
        <v>12</v>
      </c>
      <c r="B43" s="378"/>
      <c r="C43" s="353">
        <f t="shared" ref="C43:G43" si="10">C8*C9</f>
        <v>59400.000000000007</v>
      </c>
      <c r="D43" s="353">
        <f t="shared" si="10"/>
        <v>50787.000000000007</v>
      </c>
      <c r="E43" s="353">
        <f t="shared" si="10"/>
        <v>43422.885000000009</v>
      </c>
      <c r="F43" s="353">
        <f t="shared" si="10"/>
        <v>37126.566675000009</v>
      </c>
      <c r="G43" s="353">
        <f t="shared" si="10"/>
        <v>23602.370978025003</v>
      </c>
      <c r="H43" s="355"/>
    </row>
    <row r="44" spans="1:9" s="277" customFormat="1" x14ac:dyDescent="0.25">
      <c r="A44" s="465"/>
      <c r="B44" s="378"/>
      <c r="C44" s="353"/>
      <c r="D44" s="377"/>
      <c r="E44" s="377"/>
      <c r="F44" s="377"/>
      <c r="G44" s="377"/>
      <c r="H44" s="355"/>
    </row>
    <row r="45" spans="1:9" s="277" customFormat="1" x14ac:dyDescent="0.25">
      <c r="A45" s="465" t="s">
        <v>13</v>
      </c>
      <c r="B45" s="378"/>
      <c r="C45" s="353"/>
      <c r="D45" s="377"/>
      <c r="E45" s="377"/>
      <c r="F45" s="377"/>
      <c r="G45" s="377"/>
      <c r="H45" s="355"/>
    </row>
    <row r="46" spans="1:9" s="277" customFormat="1" x14ac:dyDescent="0.25">
      <c r="A46" s="465" t="s">
        <v>82</v>
      </c>
      <c r="B46" s="378"/>
      <c r="C46" s="353">
        <v>45000</v>
      </c>
      <c r="D46" s="377">
        <f>C46*(1+$H$46)</f>
        <v>47250</v>
      </c>
      <c r="E46" s="377">
        <f>D46*(1+$H$46)</f>
        <v>49612.5</v>
      </c>
      <c r="F46" s="377">
        <f>E46*(1+$H$46)</f>
        <v>52093.125</v>
      </c>
      <c r="G46" s="377">
        <f>F46*(1+$I$46)</f>
        <v>53134.987500000003</v>
      </c>
      <c r="H46" s="355">
        <v>0.05</v>
      </c>
      <c r="I46" s="15">
        <v>0.02</v>
      </c>
    </row>
    <row r="47" spans="1:9" s="277" customFormat="1" x14ac:dyDescent="0.25">
      <c r="A47" s="465" t="s">
        <v>83</v>
      </c>
      <c r="B47" s="378"/>
      <c r="C47" s="353">
        <v>9000</v>
      </c>
      <c r="D47" s="377">
        <f>C47*(1+$H$47)</f>
        <v>9857.1428571428587</v>
      </c>
      <c r="E47" s="377">
        <f>D47*(1+$H$47)</f>
        <v>10795.918367346942</v>
      </c>
      <c r="F47" s="377">
        <f>E47*(1+$H$47)</f>
        <v>11824.101068999033</v>
      </c>
      <c r="G47" s="377">
        <f>F47*(1+$I$47)</f>
        <v>12651.788143828966</v>
      </c>
      <c r="H47" s="355">
        <f>C47/C17</f>
        <v>9.5238095238095233E-2</v>
      </c>
      <c r="I47" s="15">
        <v>7.0000000000000007E-2</v>
      </c>
    </row>
    <row r="48" spans="1:9" s="277" customFormat="1" x14ac:dyDescent="0.25">
      <c r="A48" s="465" t="s">
        <v>14</v>
      </c>
      <c r="B48" s="378"/>
      <c r="C48" s="353">
        <v>5000</v>
      </c>
      <c r="D48" s="377">
        <f>C48*(1+$H$48)</f>
        <v>5174.703004891684</v>
      </c>
      <c r="E48" s="377">
        <f>D48*(1+$H$48)</f>
        <v>5355.5102377670046</v>
      </c>
      <c r="F48" s="377">
        <f>E48*(1+$H$48)</f>
        <v>5542.6349840202192</v>
      </c>
      <c r="G48" s="377">
        <f>F48*(1+$I$48)</f>
        <v>5598.0613338604217</v>
      </c>
      <c r="H48" s="355">
        <f>C48/(C17+C10)</f>
        <v>3.494060097833683E-2</v>
      </c>
      <c r="I48" s="15">
        <v>0.01</v>
      </c>
    </row>
    <row r="49" spans="1:9" s="277" customFormat="1" x14ac:dyDescent="0.25">
      <c r="A49" s="465"/>
      <c r="B49" s="378"/>
      <c r="C49" s="353"/>
      <c r="D49" s="377"/>
      <c r="E49" s="377"/>
      <c r="F49" s="377"/>
      <c r="G49" s="377"/>
      <c r="H49" s="355"/>
    </row>
    <row r="50" spans="1:9" s="277" customFormat="1" x14ac:dyDescent="0.25">
      <c r="A50" s="465" t="s">
        <v>15</v>
      </c>
      <c r="B50" s="378"/>
      <c r="C50" s="353">
        <f>IF(C22&lt;0,0,C22+C26)</f>
        <v>32261.904761904763</v>
      </c>
      <c r="D50" s="353">
        <f t="shared" ref="D50:G50" si="11">IF(D22&lt;0,0,D22+D26)</f>
        <v>32261.904761904763</v>
      </c>
      <c r="E50" s="353">
        <f t="shared" si="11"/>
        <v>32261.904761904763</v>
      </c>
      <c r="F50" s="353">
        <f t="shared" si="11"/>
        <v>32261.904761904763</v>
      </c>
      <c r="G50" s="353">
        <f t="shared" si="11"/>
        <v>32261.904761904763</v>
      </c>
      <c r="H50" s="355"/>
    </row>
    <row r="51" spans="1:9" s="277" customFormat="1" x14ac:dyDescent="0.25">
      <c r="A51" s="465" t="s">
        <v>16</v>
      </c>
      <c r="B51" s="378"/>
      <c r="C51" s="353">
        <f>SUM('[2]Amort Table'!D8:D19)</f>
        <v>27871.280451420669</v>
      </c>
      <c r="D51" s="377">
        <f>SUM('[2]Amort Table'!D20:D31)</f>
        <v>27577.548552643482</v>
      </c>
      <c r="E51" s="377">
        <f>SUM('[2]Amort Table'!D32:D43)</f>
        <v>27262.582751153637</v>
      </c>
      <c r="F51" s="377">
        <f>SUM('[2]Amort Table'!D44:D55)</f>
        <v>26924.848046407136</v>
      </c>
      <c r="G51" s="377">
        <f>SUM('[2]Amort Table'!D56:D67)</f>
        <v>26562.698472546563</v>
      </c>
      <c r="H51" s="355"/>
    </row>
    <row r="52" spans="1:9" s="277" customFormat="1" x14ac:dyDescent="0.25">
      <c r="A52" s="440" t="s">
        <v>17</v>
      </c>
      <c r="B52" s="378"/>
      <c r="C52" s="353">
        <f>$H$52*C77</f>
        <v>21589.389682019653</v>
      </c>
      <c r="D52" s="353">
        <f>$H$52*D77</f>
        <v>24724.066963135199</v>
      </c>
      <c r="E52" s="353">
        <f>$H$52*E77</f>
        <v>28095.355051703093</v>
      </c>
      <c r="F52" s="353">
        <f>$H$52*F77</f>
        <v>31764.3569352501</v>
      </c>
      <c r="G52" s="353">
        <f>$I$52*G77</f>
        <v>16024.004885947093</v>
      </c>
      <c r="H52" s="355">
        <v>0.12</v>
      </c>
      <c r="I52" s="15">
        <v>0.06</v>
      </c>
    </row>
    <row r="53" spans="1:9" s="277" customFormat="1" x14ac:dyDescent="0.25">
      <c r="A53" s="465"/>
      <c r="B53" s="378"/>
      <c r="C53" s="353"/>
      <c r="D53" s="377"/>
      <c r="E53" s="377"/>
      <c r="F53" s="377"/>
      <c r="G53" s="276"/>
      <c r="H53" s="355"/>
      <c r="I53" s="380"/>
    </row>
    <row r="54" spans="1:9" s="277" customFormat="1" x14ac:dyDescent="0.25">
      <c r="A54" s="465" t="s">
        <v>18</v>
      </c>
      <c r="B54" s="378"/>
      <c r="C54" s="353">
        <f t="shared" ref="C54:G54" si="12">SUM(C40:C41)-SUM(C43:C53)</f>
        <v>-51622.574895345082</v>
      </c>
      <c r="D54" s="377">
        <f t="shared" si="12"/>
        <v>-52888.066139717965</v>
      </c>
      <c r="E54" s="377">
        <f t="shared" si="12"/>
        <v>-54590.668299875426</v>
      </c>
      <c r="F54" s="377">
        <f t="shared" si="12"/>
        <v>-56769.41081675826</v>
      </c>
      <c r="G54" s="377">
        <f t="shared" si="12"/>
        <v>-27558.542527949699</v>
      </c>
      <c r="H54" s="355"/>
      <c r="I54" s="380"/>
    </row>
    <row r="55" spans="1:9" s="277" customFormat="1" ht="15.75" thickBot="1" x14ac:dyDescent="0.3">
      <c r="A55" s="465" t="s">
        <v>19</v>
      </c>
      <c r="B55" s="378"/>
      <c r="C55" s="359">
        <f>IF(C54&lt;0,0,C54*$H$55)</f>
        <v>0</v>
      </c>
      <c r="D55" s="403">
        <f>IF(D54&lt;0,0,D54*$H$55)</f>
        <v>0</v>
      </c>
      <c r="E55" s="403">
        <f>IF(E54&lt;0,0,E54*$H$55)</f>
        <v>0</v>
      </c>
      <c r="F55" s="403">
        <f>IF(F54&lt;0,0,F54*$H$55)</f>
        <v>0</v>
      </c>
      <c r="G55" s="403">
        <f>IF(G54&lt;0,0,G54*$I$55)</f>
        <v>0</v>
      </c>
      <c r="H55" s="355">
        <v>0.2</v>
      </c>
      <c r="I55" s="15">
        <v>0.22</v>
      </c>
    </row>
    <row r="56" spans="1:9" s="277" customFormat="1" ht="15.75" thickBot="1" x14ac:dyDescent="0.3">
      <c r="A56" s="511" t="s">
        <v>20</v>
      </c>
      <c r="B56" s="402"/>
      <c r="C56" s="366">
        <f>C54-C55</f>
        <v>-51622.574895345082</v>
      </c>
      <c r="D56" s="404">
        <f>D54-D55</f>
        <v>-52888.066139717965</v>
      </c>
      <c r="E56" s="404">
        <f>E54-E55</f>
        <v>-54590.668299875426</v>
      </c>
      <c r="F56" s="404">
        <f>F54-F55</f>
        <v>-56769.41081675826</v>
      </c>
      <c r="G56" s="404">
        <f t="shared" ref="G56" si="13">G54-G55</f>
        <v>-27558.542527949699</v>
      </c>
      <c r="H56" s="355"/>
    </row>
    <row r="57" spans="1:9" s="277" customFormat="1" x14ac:dyDescent="0.25">
      <c r="A57" s="465"/>
      <c r="B57" s="378"/>
      <c r="C57"/>
      <c r="D57"/>
      <c r="E57"/>
      <c r="F57"/>
      <c r="G57"/>
      <c r="H57" s="355"/>
    </row>
    <row r="58" spans="1:9" s="382" customFormat="1" ht="15.75" x14ac:dyDescent="0.25">
      <c r="A58" s="572" t="s">
        <v>21</v>
      </c>
      <c r="B58" s="573"/>
      <c r="C58" s="584"/>
      <c r="D58" s="584"/>
      <c r="E58" s="584"/>
      <c r="F58" s="584"/>
      <c r="G58" s="584"/>
      <c r="H58" s="138"/>
    </row>
    <row r="59" spans="1:9" s="277" customFormat="1" x14ac:dyDescent="0.25">
      <c r="A59" s="465" t="s">
        <v>22</v>
      </c>
      <c r="B59" s="378"/>
      <c r="C59" s="353"/>
      <c r="D59" s="377"/>
      <c r="E59" s="377"/>
      <c r="F59" s="377"/>
      <c r="G59" s="276"/>
    </row>
    <row r="60" spans="1:9" s="277" customFormat="1" x14ac:dyDescent="0.25">
      <c r="A60" s="567" t="s">
        <v>23</v>
      </c>
      <c r="B60" s="378"/>
      <c r="C60" s="353">
        <v>5000</v>
      </c>
      <c r="D60" s="353">
        <v>5000</v>
      </c>
      <c r="E60" s="353">
        <v>5000</v>
      </c>
      <c r="F60" s="353">
        <v>5000</v>
      </c>
      <c r="G60" s="353">
        <v>5000</v>
      </c>
    </row>
    <row r="61" spans="1:9" s="277" customFormat="1" x14ac:dyDescent="0.25">
      <c r="A61" s="567" t="s">
        <v>167</v>
      </c>
      <c r="B61" s="378"/>
      <c r="C61" s="353">
        <v>0</v>
      </c>
      <c r="D61" s="353">
        <v>0</v>
      </c>
      <c r="E61" s="353">
        <v>0</v>
      </c>
      <c r="F61" s="353">
        <v>0</v>
      </c>
      <c r="G61" s="353">
        <v>0</v>
      </c>
    </row>
    <row r="62" spans="1:9" s="277" customFormat="1" x14ac:dyDescent="0.25">
      <c r="A62" s="567" t="s">
        <v>25</v>
      </c>
      <c r="B62" s="378"/>
      <c r="C62" s="370">
        <f>(C40+C41)/365*C33</f>
        <v>48821.917808219172</v>
      </c>
      <c r="D62" s="381">
        <f>C62*(1+$H$62)</f>
        <v>49798.356164383556</v>
      </c>
      <c r="E62" s="381">
        <f>D62*(1+$H$62)</f>
        <v>50794.323287671228</v>
      </c>
      <c r="F62" s="381">
        <f>E62*(1+$H$62)</f>
        <v>51810.209753424657</v>
      </c>
      <c r="G62" s="381">
        <f>F62*(1+$I$62)</f>
        <v>53364.516046027398</v>
      </c>
      <c r="H62" s="355">
        <v>0.02</v>
      </c>
      <c r="I62" s="365">
        <v>0.03</v>
      </c>
    </row>
    <row r="63" spans="1:9" s="277" customFormat="1" x14ac:dyDescent="0.25">
      <c r="A63" s="567" t="s">
        <v>9</v>
      </c>
      <c r="B63" s="378"/>
      <c r="C63" s="353">
        <f>C43/365*C34</f>
        <v>30920.547945205482</v>
      </c>
      <c r="D63" s="381">
        <f>C63*(1+$H$63)</f>
        <v>30611.342465753427</v>
      </c>
      <c r="E63" s="381">
        <f>D63*(1+$H$63)</f>
        <v>30305.229041095892</v>
      </c>
      <c r="F63" s="381">
        <f>E63*(1+$H$63)</f>
        <v>30002.176750684932</v>
      </c>
      <c r="G63" s="381">
        <f>F63*(1+$I$63)</f>
        <v>29402.133215671234</v>
      </c>
      <c r="H63" s="355">
        <v>-0.01</v>
      </c>
      <c r="I63" s="365">
        <v>-0.02</v>
      </c>
    </row>
    <row r="64" spans="1:9" s="277" customFormat="1" x14ac:dyDescent="0.25">
      <c r="A64" s="465"/>
      <c r="B64" s="378"/>
      <c r="C64" s="353"/>
      <c r="D64" s="377"/>
      <c r="E64" s="377"/>
      <c r="F64" s="377"/>
      <c r="G64" s="276"/>
    </row>
    <row r="65" spans="1:34" s="277" customFormat="1" x14ac:dyDescent="0.25">
      <c r="A65" s="567" t="s">
        <v>74</v>
      </c>
      <c r="B65" s="378"/>
      <c r="C65" s="353">
        <v>200000</v>
      </c>
      <c r="D65" s="377">
        <f>C65</f>
        <v>200000</v>
      </c>
      <c r="E65" s="377">
        <f t="shared" ref="E65:G66" si="14">D65</f>
        <v>200000</v>
      </c>
      <c r="F65" s="377">
        <f t="shared" si="14"/>
        <v>200000</v>
      </c>
      <c r="G65" s="377">
        <f t="shared" si="14"/>
        <v>200000</v>
      </c>
    </row>
    <row r="66" spans="1:34" s="277" customFormat="1" x14ac:dyDescent="0.25">
      <c r="A66" s="567" t="s">
        <v>26</v>
      </c>
      <c r="B66" s="378"/>
      <c r="C66" s="353">
        <f>$C$20</f>
        <v>325000</v>
      </c>
      <c r="D66" s="377">
        <f>C66</f>
        <v>325000</v>
      </c>
      <c r="E66" s="377">
        <f t="shared" si="14"/>
        <v>325000</v>
      </c>
      <c r="F66" s="377">
        <f t="shared" si="14"/>
        <v>325000</v>
      </c>
      <c r="G66" s="377">
        <f t="shared" si="14"/>
        <v>325000</v>
      </c>
    </row>
    <row r="67" spans="1:34" s="277" customFormat="1" x14ac:dyDescent="0.25">
      <c r="A67" s="568" t="s">
        <v>76</v>
      </c>
      <c r="B67" s="378"/>
      <c r="C67" s="353">
        <f>C22</f>
        <v>10833.333333333334</v>
      </c>
      <c r="D67" s="353">
        <f>C67+D22</f>
        <v>21666.666666666668</v>
      </c>
      <c r="E67" s="353">
        <f t="shared" ref="E67:G67" si="15">D67+E22</f>
        <v>32500</v>
      </c>
      <c r="F67" s="353">
        <f t="shared" si="15"/>
        <v>43333.333333333336</v>
      </c>
      <c r="G67" s="353">
        <f t="shared" si="15"/>
        <v>54166.666666666672</v>
      </c>
    </row>
    <row r="68" spans="1:34" s="277" customFormat="1" x14ac:dyDescent="0.25">
      <c r="A68" s="567" t="s">
        <v>75</v>
      </c>
      <c r="B68" s="378"/>
      <c r="C68" s="359">
        <f t="shared" ref="C68:G68" si="16">C24</f>
        <v>150000</v>
      </c>
      <c r="D68" s="383">
        <f t="shared" si="16"/>
        <v>150000</v>
      </c>
      <c r="E68" s="383">
        <f t="shared" si="16"/>
        <v>150000</v>
      </c>
      <c r="F68" s="383">
        <f t="shared" si="16"/>
        <v>150000</v>
      </c>
      <c r="G68" s="383">
        <f t="shared" si="16"/>
        <v>150000</v>
      </c>
    </row>
    <row r="69" spans="1:34" s="277" customFormat="1" x14ac:dyDescent="0.25">
      <c r="A69" s="568" t="s">
        <v>76</v>
      </c>
      <c r="B69" s="378"/>
      <c r="C69" s="359">
        <f>C26</f>
        <v>21428.571428571428</v>
      </c>
      <c r="D69" s="383">
        <f>C69+D26</f>
        <v>42857.142857142855</v>
      </c>
      <c r="E69" s="383">
        <f t="shared" ref="E69:G69" si="17">D69+E26</f>
        <v>64285.714285714283</v>
      </c>
      <c r="F69" s="383">
        <f t="shared" si="17"/>
        <v>85714.28571428571</v>
      </c>
      <c r="G69" s="383">
        <f t="shared" si="17"/>
        <v>107142.85714285713</v>
      </c>
    </row>
    <row r="70" spans="1:34" s="277" customFormat="1" ht="15.75" thickBot="1" x14ac:dyDescent="0.3">
      <c r="A70" s="456" t="s">
        <v>27</v>
      </c>
      <c r="B70" s="313"/>
      <c r="C70" s="314">
        <f>SUM(C60:C66)+C68-C69-C67</f>
        <v>727480.56099151983</v>
      </c>
      <c r="D70" s="314">
        <f t="shared" ref="D70:G70" si="18">SUM(D60:D66)+D68-D69-D67</f>
        <v>695885.88910632755</v>
      </c>
      <c r="E70" s="314">
        <f t="shared" si="18"/>
        <v>664313.83804305282</v>
      </c>
      <c r="F70" s="314">
        <f t="shared" si="18"/>
        <v>632764.76745649055</v>
      </c>
      <c r="G70" s="314">
        <f t="shared" si="18"/>
        <v>601457.12545217481</v>
      </c>
      <c r="R70" s="384"/>
      <c r="S70" s="384"/>
      <c r="T70" s="384"/>
      <c r="U70" s="384"/>
      <c r="V70" s="384"/>
      <c r="W70" s="384"/>
      <c r="X70" s="384"/>
      <c r="Y70" s="384"/>
      <c r="Z70" s="384"/>
      <c r="AA70" s="384"/>
      <c r="AB70" s="384"/>
      <c r="AC70" s="384"/>
      <c r="AD70" s="384"/>
      <c r="AE70" s="384"/>
      <c r="AF70" s="384"/>
      <c r="AG70" s="384"/>
      <c r="AH70" s="384"/>
    </row>
    <row r="71" spans="1:34" s="277" customFormat="1" ht="15.75" thickTop="1" x14ac:dyDescent="0.25">
      <c r="A71" s="465"/>
      <c r="B71" s="378"/>
      <c r="C71" s="274"/>
      <c r="D71" s="385"/>
      <c r="E71" s="385"/>
      <c r="F71" s="385"/>
      <c r="G71" s="276"/>
    </row>
    <row r="72" spans="1:34" s="277" customFormat="1" x14ac:dyDescent="0.25">
      <c r="A72" s="465" t="s">
        <v>28</v>
      </c>
      <c r="B72" s="378"/>
      <c r="C72" s="353"/>
      <c r="D72" s="377"/>
      <c r="E72" s="377"/>
      <c r="F72" s="377"/>
      <c r="G72" s="276"/>
    </row>
    <row r="73" spans="1:34" s="277" customFormat="1" x14ac:dyDescent="0.25">
      <c r="A73" s="567" t="s">
        <v>29</v>
      </c>
      <c r="B73" s="378"/>
      <c r="C73" s="364">
        <f>C43/365*C35</f>
        <v>3254.7945205479455</v>
      </c>
      <c r="D73" s="353">
        <f t="shared" ref="D73:G73" si="19">D43/365*D35</f>
        <v>2782.8493150684935</v>
      </c>
      <c r="E73" s="353">
        <f t="shared" si="19"/>
        <v>2379.3361643835619</v>
      </c>
      <c r="F73" s="353">
        <f t="shared" si="19"/>
        <v>2034.3324205479457</v>
      </c>
      <c r="G73" s="353">
        <f t="shared" si="19"/>
        <v>1293.2806015356166</v>
      </c>
    </row>
    <row r="74" spans="1:34" s="277" customFormat="1" x14ac:dyDescent="0.25">
      <c r="A74" s="567" t="s">
        <v>30</v>
      </c>
      <c r="B74" s="378"/>
      <c r="C74" s="353">
        <f>C55</f>
        <v>0</v>
      </c>
      <c r="D74" s="353">
        <f t="shared" ref="D74:G74" si="20">D55</f>
        <v>0</v>
      </c>
      <c r="E74" s="353">
        <f t="shared" si="20"/>
        <v>0</v>
      </c>
      <c r="F74" s="353">
        <f t="shared" si="20"/>
        <v>0</v>
      </c>
      <c r="G74" s="353">
        <f t="shared" si="20"/>
        <v>0</v>
      </c>
    </row>
    <row r="75" spans="1:34" s="277" customFormat="1" ht="15.75" thickBot="1" x14ac:dyDescent="0.3">
      <c r="A75" s="569"/>
      <c r="B75" s="585"/>
      <c r="C75" s="353"/>
      <c r="D75" s="377"/>
      <c r="E75" s="377"/>
      <c r="F75" s="377"/>
      <c r="G75" s="276"/>
      <c r="Q75" s="293"/>
      <c r="R75" s="293"/>
      <c r="S75" s="293"/>
    </row>
    <row r="76" spans="1:34" s="277" customFormat="1" x14ac:dyDescent="0.25">
      <c r="A76" s="567" t="s">
        <v>5</v>
      </c>
      <c r="B76" s="378"/>
      <c r="C76" s="353">
        <f>'[2]Amort Table'!F19</f>
        <v>395936.76068281988</v>
      </c>
      <c r="D76" s="377">
        <f>'[2]Amort Table'!F31</f>
        <v>391579.78946686257</v>
      </c>
      <c r="E76" s="377">
        <f>'[2]Amort Table'!F43</f>
        <v>386907.85244941543</v>
      </c>
      <c r="F76" s="377">
        <f>'[2]Amort Table'!F55</f>
        <v>381898.18072722171</v>
      </c>
      <c r="G76" s="386">
        <f>'[2]Amort Table'!F67</f>
        <v>376526.35943116748</v>
      </c>
      <c r="Q76" s="293"/>
      <c r="R76" s="293"/>
      <c r="S76" s="293"/>
    </row>
    <row r="77" spans="1:34" s="277" customFormat="1" x14ac:dyDescent="0.25">
      <c r="A77" s="567" t="s">
        <v>31</v>
      </c>
      <c r="B77" s="378"/>
      <c r="C77" s="353">
        <v>179911.58068349713</v>
      </c>
      <c r="D77" s="377">
        <v>206033.89135945999</v>
      </c>
      <c r="E77" s="377">
        <v>234127.95876419244</v>
      </c>
      <c r="F77" s="377">
        <v>264702.97446041752</v>
      </c>
      <c r="G77" s="353">
        <v>267066.74809911824</v>
      </c>
      <c r="Q77" s="293"/>
      <c r="R77" s="293"/>
      <c r="S77" s="293"/>
    </row>
    <row r="78" spans="1:34" s="277" customFormat="1" x14ac:dyDescent="0.25">
      <c r="A78" s="567" t="s">
        <v>32</v>
      </c>
      <c r="B78" s="378"/>
      <c r="C78" s="353">
        <v>200000</v>
      </c>
      <c r="D78" s="353">
        <f>C78</f>
        <v>200000</v>
      </c>
      <c r="E78" s="353">
        <f t="shared" ref="E78:G78" si="21">D78</f>
        <v>200000</v>
      </c>
      <c r="F78" s="353">
        <f t="shared" si="21"/>
        <v>200000</v>
      </c>
      <c r="G78" s="353">
        <f t="shared" si="21"/>
        <v>200000</v>
      </c>
      <c r="Q78" s="293"/>
      <c r="R78" s="293"/>
      <c r="S78" s="293"/>
      <c r="W78" s="293"/>
      <c r="X78" s="293"/>
    </row>
    <row r="79" spans="1:34" s="277" customFormat="1" x14ac:dyDescent="0.25">
      <c r="A79" s="567" t="s">
        <v>33</v>
      </c>
      <c r="B79" s="378"/>
      <c r="C79" s="353">
        <f>B79+C56</f>
        <v>-51622.574895345082</v>
      </c>
      <c r="D79" s="377">
        <f t="shared" ref="D79:G79" si="22">C79+D56</f>
        <v>-104510.64103506305</v>
      </c>
      <c r="E79" s="377">
        <f t="shared" si="22"/>
        <v>-159101.30933493847</v>
      </c>
      <c r="F79" s="377">
        <f t="shared" si="22"/>
        <v>-215870.72015169673</v>
      </c>
      <c r="G79" s="377">
        <f t="shared" si="22"/>
        <v>-243429.26267964643</v>
      </c>
      <c r="Q79" s="293"/>
      <c r="R79" s="293"/>
      <c r="S79" s="293"/>
      <c r="W79" s="293"/>
      <c r="X79" s="293"/>
    </row>
    <row r="80" spans="1:34" s="277" customFormat="1" x14ac:dyDescent="0.25">
      <c r="A80" s="465"/>
      <c r="B80" s="354"/>
      <c r="C80" s="359"/>
      <c r="D80" s="383"/>
      <c r="E80" s="383"/>
      <c r="F80" s="383"/>
      <c r="G80" s="276"/>
      <c r="Q80" s="293"/>
      <c r="R80" s="293"/>
      <c r="S80" s="293"/>
      <c r="W80" s="293"/>
      <c r="X80" s="293"/>
    </row>
    <row r="81" spans="1:25" s="277" customFormat="1" ht="15.75" thickBot="1" x14ac:dyDescent="0.3">
      <c r="A81" s="456" t="s">
        <v>34</v>
      </c>
      <c r="B81" s="312"/>
      <c r="C81" s="314">
        <f t="shared" ref="C81:G81" si="23">SUM(C71:C80)</f>
        <v>727480.56099151983</v>
      </c>
      <c r="D81" s="322">
        <f t="shared" si="23"/>
        <v>695885.88910632802</v>
      </c>
      <c r="E81" s="322">
        <f t="shared" si="23"/>
        <v>664313.83804305294</v>
      </c>
      <c r="F81" s="322">
        <f t="shared" si="23"/>
        <v>632764.76745649043</v>
      </c>
      <c r="G81" s="322">
        <f t="shared" si="23"/>
        <v>601457.12545217481</v>
      </c>
      <c r="Q81" s="293"/>
      <c r="R81" s="293"/>
      <c r="S81" s="293"/>
      <c r="W81" s="293"/>
      <c r="X81" s="293"/>
    </row>
    <row r="82" spans="1:25" s="277" customFormat="1" ht="15.75" thickTop="1" x14ac:dyDescent="0.25">
      <c r="A82" s="467" t="s">
        <v>35</v>
      </c>
      <c r="B82" s="468"/>
      <c r="C82" s="274">
        <f>C81-C70</f>
        <v>0</v>
      </c>
      <c r="D82" s="274">
        <f t="shared" ref="D82:G82" si="24">D81-D70</f>
        <v>0</v>
      </c>
      <c r="E82" s="274">
        <f t="shared" si="24"/>
        <v>0</v>
      </c>
      <c r="F82" s="274">
        <f t="shared" si="24"/>
        <v>0</v>
      </c>
      <c r="G82" s="274">
        <f t="shared" si="24"/>
        <v>0</v>
      </c>
      <c r="Q82" s="293"/>
      <c r="R82" s="293"/>
      <c r="S82" s="293"/>
      <c r="W82" s="293"/>
      <c r="X82" s="293"/>
    </row>
    <row r="83" spans="1:25" s="277" customFormat="1" ht="15.75" thickBot="1" x14ac:dyDescent="0.3">
      <c r="D83" s="293"/>
      <c r="E83" s="360"/>
      <c r="F83" s="360"/>
      <c r="G83" s="360"/>
      <c r="H83" s="360"/>
      <c r="R83" s="293"/>
      <c r="S83" s="293"/>
      <c r="T83" s="293"/>
      <c r="X83" s="293"/>
      <c r="Y83" s="293"/>
    </row>
    <row r="84" spans="1:25" s="277" customFormat="1" ht="15.75" thickBot="1" x14ac:dyDescent="0.3">
      <c r="A84" s="346" t="s">
        <v>168</v>
      </c>
      <c r="B84" s="396"/>
      <c r="C84" s="399"/>
      <c r="D84" s="393"/>
      <c r="E84" s="393"/>
      <c r="F84" s="393"/>
      <c r="G84" s="618" t="s">
        <v>193</v>
      </c>
      <c r="H84" s="619"/>
      <c r="I84" s="355"/>
      <c r="R84" s="293"/>
      <c r="S84" s="293"/>
      <c r="T84" s="293"/>
      <c r="X84" s="293"/>
      <c r="Y84" s="293"/>
    </row>
    <row r="85" spans="1:25" s="277" customFormat="1" x14ac:dyDescent="0.25">
      <c r="B85" s="396"/>
      <c r="C85" s="399"/>
      <c r="D85" s="393"/>
      <c r="E85" s="393"/>
      <c r="F85" s="393"/>
      <c r="G85" s="393"/>
      <c r="H85" s="393"/>
      <c r="I85" s="355"/>
      <c r="R85" s="293"/>
      <c r="S85" s="293"/>
      <c r="T85" s="293"/>
      <c r="X85" s="293"/>
      <c r="Y85" s="293"/>
    </row>
    <row r="86" spans="1:25" s="277" customFormat="1" x14ac:dyDescent="0.25">
      <c r="A86" s="514" t="s">
        <v>118</v>
      </c>
      <c r="B86" s="515" t="s">
        <v>119</v>
      </c>
      <c r="C86" s="515" t="s">
        <v>120</v>
      </c>
      <c r="D86" s="515" t="s">
        <v>122</v>
      </c>
      <c r="E86" s="516" t="s">
        <v>121</v>
      </c>
      <c r="F86" s="517"/>
      <c r="G86" s="616" t="s">
        <v>132</v>
      </c>
      <c r="H86" s="617"/>
      <c r="I86" s="490">
        <v>0.55500000000000005</v>
      </c>
      <c r="R86" s="293"/>
      <c r="S86" s="293"/>
      <c r="T86" s="293"/>
      <c r="X86" s="293"/>
      <c r="Y86" s="293"/>
    </row>
    <row r="87" spans="1:25" s="277" customFormat="1" x14ac:dyDescent="0.25">
      <c r="A87" s="518">
        <f>AVERAGE(C76:G76)</f>
        <v>386569.78855149745</v>
      </c>
      <c r="B87" s="519">
        <f>A87/$A$91</f>
        <v>0.58391447879956326</v>
      </c>
      <c r="C87" s="520">
        <f>C31</f>
        <v>7.0000000000000007E-2</v>
      </c>
      <c r="D87" s="519">
        <f>C87*(1-$H$55)</f>
        <v>5.6000000000000008E-2</v>
      </c>
      <c r="E87" s="521">
        <f>B87*D87</f>
        <v>3.2699210812775548E-2</v>
      </c>
      <c r="F87" s="522"/>
      <c r="G87" s="614" t="s">
        <v>134</v>
      </c>
      <c r="H87" s="615"/>
      <c r="I87" s="491">
        <f>SUM(B87:B88)</f>
        <v>0.93188678003766434</v>
      </c>
      <c r="R87" s="293"/>
      <c r="S87" s="293"/>
      <c r="T87" s="293"/>
      <c r="X87" s="293"/>
      <c r="Y87" s="293"/>
    </row>
    <row r="88" spans="1:25" s="277" customFormat="1" x14ac:dyDescent="0.25">
      <c r="A88" s="518">
        <f>AVERAGE(C77:G77)</f>
        <v>230368.63067333709</v>
      </c>
      <c r="B88" s="519">
        <f>A88/$A$91</f>
        <v>0.34797230123810108</v>
      </c>
      <c r="C88" s="520">
        <f>H52</f>
        <v>0.12</v>
      </c>
      <c r="D88" s="519">
        <f t="shared" ref="D88" si="25">C88*(1-$H$55)</f>
        <v>9.6000000000000002E-2</v>
      </c>
      <c r="E88" s="521">
        <f t="shared" ref="E88:E89" si="26">B88*D88</f>
        <v>3.3405340918857704E-2</v>
      </c>
      <c r="F88" s="522"/>
      <c r="G88" s="614" t="s">
        <v>136</v>
      </c>
      <c r="H88" s="615"/>
      <c r="I88" s="492">
        <f>B89</f>
        <v>6.8113219962335589E-2</v>
      </c>
      <c r="R88" s="293"/>
      <c r="S88" s="293"/>
      <c r="T88" s="293"/>
      <c r="X88" s="293"/>
      <c r="Y88" s="293"/>
    </row>
    <row r="89" spans="1:25" s="277" customFormat="1" x14ac:dyDescent="0.25">
      <c r="A89" s="518">
        <f>AVERAGE(C78:G78)</f>
        <v>200000</v>
      </c>
      <c r="B89" s="519">
        <f>(A89+A90)/$A$91</f>
        <v>6.8113219962335589E-2</v>
      </c>
      <c r="C89" s="540">
        <f>D97</f>
        <v>5.1117714285714294E-2</v>
      </c>
      <c r="D89" s="519">
        <f>C89</f>
        <v>5.1117714285714294E-2</v>
      </c>
      <c r="E89" s="521">
        <f t="shared" si="26"/>
        <v>3.4817921171146821E-3</v>
      </c>
      <c r="F89" s="522"/>
      <c r="G89" s="614" t="s">
        <v>137</v>
      </c>
      <c r="H89" s="615"/>
      <c r="I89" s="493">
        <f>H55</f>
        <v>0.2</v>
      </c>
      <c r="R89" s="293"/>
      <c r="S89" s="293"/>
      <c r="T89" s="293"/>
      <c r="X89" s="293"/>
      <c r="Y89" s="293"/>
    </row>
    <row r="90" spans="1:25" s="277" customFormat="1" x14ac:dyDescent="0.25">
      <c r="A90" s="523">
        <f>AVERAGE(C79:G79)</f>
        <v>-154906.90161933796</v>
      </c>
      <c r="B90" s="519"/>
      <c r="C90" s="296"/>
      <c r="D90" s="296"/>
      <c r="E90" s="296"/>
      <c r="F90" s="522"/>
      <c r="G90" s="450"/>
      <c r="H90" s="522"/>
      <c r="I90" s="494"/>
      <c r="R90" s="293"/>
      <c r="S90" s="293"/>
      <c r="T90" s="293"/>
      <c r="X90" s="293"/>
      <c r="Y90" s="293"/>
    </row>
    <row r="91" spans="1:25" s="277" customFormat="1" x14ac:dyDescent="0.25">
      <c r="A91" s="518">
        <f>SUM(A87:A90)</f>
        <v>662031.51760549657</v>
      </c>
      <c r="B91" s="521">
        <f>SUM(B87:B90)</f>
        <v>0.99999999999999989</v>
      </c>
      <c r="C91" s="296"/>
      <c r="D91" s="296"/>
      <c r="E91" s="541">
        <f>SUM(E87:E89)</f>
        <v>6.9586343848747928E-2</v>
      </c>
      <c r="F91" s="284" t="s">
        <v>117</v>
      </c>
      <c r="G91" s="620" t="s">
        <v>138</v>
      </c>
      <c r="H91" s="615"/>
      <c r="I91" s="495">
        <v>0.4</v>
      </c>
      <c r="R91" s="293"/>
      <c r="S91" s="293"/>
      <c r="T91" s="293"/>
      <c r="X91" s="293"/>
      <c r="Y91" s="293"/>
    </row>
    <row r="92" spans="1:25" s="277" customFormat="1" x14ac:dyDescent="0.25">
      <c r="A92" s="524"/>
      <c r="B92" s="296"/>
      <c r="C92" s="296"/>
      <c r="D92" s="296"/>
      <c r="E92" s="296"/>
      <c r="F92" s="522"/>
      <c r="G92" s="614" t="s">
        <v>141</v>
      </c>
      <c r="H92" s="615"/>
      <c r="I92" s="493">
        <v>0</v>
      </c>
      <c r="R92" s="293"/>
      <c r="S92" s="293"/>
      <c r="T92" s="293"/>
      <c r="X92" s="293"/>
      <c r="Y92" s="293"/>
    </row>
    <row r="93" spans="1:25" s="277" customFormat="1" x14ac:dyDescent="0.25">
      <c r="A93" s="524"/>
      <c r="B93" s="296"/>
      <c r="C93" s="296"/>
      <c r="D93" s="296"/>
      <c r="E93" s="296"/>
      <c r="F93" s="522"/>
      <c r="G93" s="614" t="s">
        <v>144</v>
      </c>
      <c r="H93" s="615"/>
      <c r="I93" s="493">
        <f>100%-I92</f>
        <v>1</v>
      </c>
      <c r="R93" s="293"/>
      <c r="S93" s="293"/>
      <c r="T93" s="293"/>
      <c r="X93" s="293"/>
      <c r="Y93" s="293"/>
    </row>
    <row r="94" spans="1:25" s="277" customFormat="1" x14ac:dyDescent="0.25">
      <c r="A94" s="524"/>
      <c r="B94" s="525"/>
      <c r="C94" s="296" t="s">
        <v>115</v>
      </c>
      <c r="D94" s="526">
        <f>I95</f>
        <v>0.53714285714285726</v>
      </c>
      <c r="E94" s="560"/>
      <c r="F94" s="522"/>
      <c r="G94" s="450"/>
      <c r="H94" s="522"/>
      <c r="I94" s="494"/>
      <c r="R94" s="293"/>
      <c r="S94" s="293"/>
      <c r="T94" s="293"/>
      <c r="X94" s="293"/>
      <c r="Y94" s="293"/>
    </row>
    <row r="95" spans="1:25" s="277" customFormat="1" x14ac:dyDescent="0.25">
      <c r="A95" s="524"/>
      <c r="B95" s="525"/>
      <c r="C95" s="296" t="s">
        <v>130</v>
      </c>
      <c r="D95" s="521">
        <v>2.7E-2</v>
      </c>
      <c r="E95" s="561"/>
      <c r="F95" s="522"/>
      <c r="G95" s="614" t="s">
        <v>173</v>
      </c>
      <c r="H95" s="620"/>
      <c r="I95" s="562">
        <f>I91*(1+(1-I89)*(I96/I97))</f>
        <v>0.53714285714285726</v>
      </c>
      <c r="R95" s="293"/>
      <c r="S95" s="293"/>
      <c r="T95" s="293"/>
      <c r="X95" s="293"/>
      <c r="Y95" s="293"/>
    </row>
    <row r="96" spans="1:25" s="277" customFormat="1" x14ac:dyDescent="0.25">
      <c r="A96" s="524"/>
      <c r="B96" s="563"/>
      <c r="C96" s="563" t="s">
        <v>116</v>
      </c>
      <c r="D96" s="560">
        <v>7.1900000000000006E-2</v>
      </c>
      <c r="E96" s="560" t="s">
        <v>125</v>
      </c>
      <c r="F96" s="522"/>
      <c r="G96" s="614" t="s">
        <v>147</v>
      </c>
      <c r="H96" s="615"/>
      <c r="I96" s="491">
        <v>0.3</v>
      </c>
      <c r="R96" s="293"/>
      <c r="S96" s="293"/>
      <c r="T96" s="293"/>
      <c r="X96" s="293"/>
      <c r="Y96" s="293"/>
    </row>
    <row r="97" spans="1:25" s="277" customFormat="1" x14ac:dyDescent="0.25">
      <c r="A97" s="524"/>
      <c r="B97" s="525"/>
      <c r="C97" s="623" t="s">
        <v>126</v>
      </c>
      <c r="D97" s="540">
        <f>(D96-D95)*D94+D95</f>
        <v>5.1117714285714294E-2</v>
      </c>
      <c r="E97" s="560"/>
      <c r="F97" s="522"/>
      <c r="G97" s="621" t="s">
        <v>149</v>
      </c>
      <c r="H97" s="622"/>
      <c r="I97" s="492">
        <v>0.7</v>
      </c>
      <c r="R97" s="293"/>
      <c r="S97" s="293"/>
      <c r="T97" s="293"/>
      <c r="X97" s="293"/>
      <c r="Y97" s="293"/>
    </row>
    <row r="98" spans="1:25" s="277" customFormat="1" x14ac:dyDescent="0.25">
      <c r="A98" s="524"/>
      <c r="B98" s="525"/>
      <c r="C98" s="624"/>
      <c r="D98" s="521"/>
      <c r="E98" s="560"/>
      <c r="F98" s="522"/>
      <c r="G98" s="558"/>
      <c r="H98" s="558"/>
      <c r="I98" s="559"/>
      <c r="R98" s="293"/>
      <c r="S98" s="293"/>
      <c r="T98" s="293"/>
      <c r="X98" s="293"/>
      <c r="Y98" s="293"/>
    </row>
    <row r="99" spans="1:25" s="277" customFormat="1" x14ac:dyDescent="0.25">
      <c r="A99" s="529"/>
      <c r="B99" s="564"/>
      <c r="C99" s="625"/>
      <c r="D99" s="457"/>
      <c r="E99" s="530"/>
      <c r="F99" s="531"/>
      <c r="G99" s="287"/>
      <c r="H99" s="287"/>
      <c r="I99" s="287"/>
      <c r="R99" s="293"/>
      <c r="S99" s="293"/>
      <c r="T99" s="293"/>
      <c r="X99" s="293"/>
      <c r="Y99" s="293"/>
    </row>
    <row r="100" spans="1:25" s="277" customFormat="1" x14ac:dyDescent="0.25">
      <c r="R100" s="293"/>
      <c r="S100" s="293"/>
      <c r="T100" s="293"/>
      <c r="X100" s="293"/>
      <c r="Y100" s="293"/>
    </row>
    <row r="101" spans="1:25" s="277" customFormat="1" x14ac:dyDescent="0.25">
      <c r="C101" s="417"/>
      <c r="D101" s="417"/>
      <c r="E101" s="417"/>
      <c r="F101" s="417"/>
      <c r="G101" s="417"/>
      <c r="H101" s="417"/>
      <c r="R101" s="293"/>
      <c r="S101" s="293"/>
      <c r="T101" s="293"/>
      <c r="X101" s="293"/>
      <c r="Y101" s="293"/>
    </row>
    <row r="102" spans="1:25" s="277" customFormat="1" x14ac:dyDescent="0.25">
      <c r="A102" s="469" t="s">
        <v>36</v>
      </c>
      <c r="B102" s="470"/>
      <c r="C102" s="374">
        <v>0</v>
      </c>
      <c r="D102" s="356">
        <v>1</v>
      </c>
      <c r="E102" s="374">
        <v>2</v>
      </c>
      <c r="F102" s="374">
        <v>3</v>
      </c>
      <c r="G102" s="374">
        <v>4</v>
      </c>
      <c r="H102" s="374">
        <v>5</v>
      </c>
      <c r="R102" s="293"/>
      <c r="S102" s="293"/>
      <c r="T102" s="293"/>
      <c r="X102" s="293"/>
      <c r="Y102" s="293"/>
    </row>
    <row r="103" spans="1:25" s="277" customFormat="1" x14ac:dyDescent="0.25">
      <c r="A103" s="465"/>
      <c r="B103" s="354"/>
      <c r="C103" s="276"/>
      <c r="D103" s="353"/>
      <c r="E103" s="276"/>
      <c r="F103" s="276"/>
      <c r="G103" s="276"/>
      <c r="H103" s="276"/>
      <c r="R103" s="293"/>
      <c r="S103" s="293"/>
      <c r="T103" s="293"/>
      <c r="X103" s="293"/>
      <c r="Y103" s="293"/>
    </row>
    <row r="104" spans="1:25" s="277" customFormat="1" x14ac:dyDescent="0.25">
      <c r="A104" s="466" t="s">
        <v>37</v>
      </c>
      <c r="B104" s="354"/>
      <c r="C104" s="276"/>
      <c r="D104" s="353"/>
      <c r="E104" s="276"/>
      <c r="F104" s="276"/>
      <c r="G104" s="276"/>
      <c r="H104" s="276"/>
      <c r="R104" s="293"/>
      <c r="S104" s="293"/>
      <c r="T104" s="293"/>
      <c r="X104" s="293"/>
      <c r="Y104" s="293"/>
    </row>
    <row r="105" spans="1:25" s="277" customFormat="1" x14ac:dyDescent="0.25">
      <c r="A105" s="465" t="s">
        <v>38</v>
      </c>
      <c r="B105" s="354"/>
      <c r="C105" s="405"/>
      <c r="D105" s="353">
        <f>C40+C41-C43-C46-C47-C48</f>
        <v>30100</v>
      </c>
      <c r="E105" s="405">
        <f>D40+D41-D43-D46-D47-D48</f>
        <v>31675.454137965477</v>
      </c>
      <c r="F105" s="405">
        <f>E40+E41-E43-E46-E47-E48</f>
        <v>33029.17426488606</v>
      </c>
      <c r="G105" s="405">
        <f>F40+F41-F43-F46-F47-F48</f>
        <v>34181.698926803758</v>
      </c>
      <c r="H105" s="405">
        <f>G40+G41-G43-G46-G47-G48</f>
        <v>47290.065592448729</v>
      </c>
      <c r="R105" s="293"/>
      <c r="S105" s="293"/>
      <c r="T105" s="293"/>
      <c r="X105" s="293"/>
      <c r="Y105" s="293"/>
    </row>
    <row r="106" spans="1:25" s="277" customFormat="1" x14ac:dyDescent="0.25">
      <c r="A106" s="465" t="s">
        <v>39</v>
      </c>
      <c r="B106" s="354"/>
      <c r="C106" s="276"/>
      <c r="D106" s="353">
        <f>C50</f>
        <v>32261.904761904763</v>
      </c>
      <c r="E106" s="405">
        <f>D50</f>
        <v>32261.904761904763</v>
      </c>
      <c r="F106" s="405">
        <f>E50</f>
        <v>32261.904761904763</v>
      </c>
      <c r="G106" s="405">
        <f>F50</f>
        <v>32261.904761904763</v>
      </c>
      <c r="H106" s="405">
        <f>G50</f>
        <v>32261.904761904763</v>
      </c>
      <c r="R106" s="293"/>
      <c r="S106" s="293"/>
      <c r="T106" s="293"/>
      <c r="X106" s="293"/>
      <c r="Y106" s="293"/>
    </row>
    <row r="107" spans="1:25" s="277" customFormat="1" x14ac:dyDescent="0.25">
      <c r="A107" s="465" t="s">
        <v>40</v>
      </c>
      <c r="B107" s="354"/>
      <c r="C107" s="276"/>
      <c r="D107" s="353">
        <f>D105-D106</f>
        <v>-2161.9047619047633</v>
      </c>
      <c r="E107" s="405">
        <f>E105-E106</f>
        <v>-586.45062393928674</v>
      </c>
      <c r="F107" s="405">
        <f>F105-F106</f>
        <v>767.26950298129668</v>
      </c>
      <c r="G107" s="405">
        <f>G105-G106</f>
        <v>1919.7941648989945</v>
      </c>
      <c r="H107" s="405">
        <f t="shared" ref="H107" si="27">H105-H106</f>
        <v>15028.160830543966</v>
      </c>
      <c r="R107" s="293"/>
      <c r="S107" s="293"/>
      <c r="T107" s="293"/>
      <c r="X107" s="293"/>
      <c r="Y107" s="293"/>
    </row>
    <row r="108" spans="1:25" s="277" customFormat="1" x14ac:dyDescent="0.25">
      <c r="A108" s="465" t="s">
        <v>41</v>
      </c>
      <c r="B108" s="354"/>
      <c r="C108" s="276"/>
      <c r="D108" s="364">
        <f>D107*$H$55</f>
        <v>-432.38095238095269</v>
      </c>
      <c r="E108" s="406">
        <f>E107*$H$55</f>
        <v>-117.29012478785735</v>
      </c>
      <c r="F108" s="406">
        <f>F107*$H$55</f>
        <v>153.45390059625933</v>
      </c>
      <c r="G108" s="406">
        <f>G107*$H$55</f>
        <v>383.9588329797989</v>
      </c>
      <c r="H108" s="406">
        <f>H107*$H$55</f>
        <v>3005.6321661087932</v>
      </c>
      <c r="R108" s="293"/>
      <c r="S108" s="293"/>
      <c r="T108" s="293"/>
      <c r="X108" s="293"/>
      <c r="Y108" s="293"/>
    </row>
    <row r="109" spans="1:25" s="277" customFormat="1" x14ac:dyDescent="0.25">
      <c r="A109" s="465" t="s">
        <v>42</v>
      </c>
      <c r="B109" s="354"/>
      <c r="C109" s="276"/>
      <c r="D109" s="353">
        <f>C50</f>
        <v>32261.904761904763</v>
      </c>
      <c r="E109" s="405">
        <f>D50</f>
        <v>32261.904761904763</v>
      </c>
      <c r="F109" s="405">
        <f>E50</f>
        <v>32261.904761904763</v>
      </c>
      <c r="G109" s="405">
        <f>F50</f>
        <v>32261.904761904763</v>
      </c>
      <c r="H109" s="405">
        <f>G50</f>
        <v>32261.904761904763</v>
      </c>
      <c r="R109" s="293"/>
      <c r="S109" s="293"/>
      <c r="T109" s="293"/>
      <c r="X109" s="293"/>
      <c r="Y109" s="293"/>
    </row>
    <row r="110" spans="1:25" s="277" customFormat="1" x14ac:dyDescent="0.25">
      <c r="A110" s="465"/>
      <c r="B110" s="354"/>
      <c r="C110" s="276"/>
      <c r="D110" s="353"/>
      <c r="E110" s="276"/>
      <c r="F110" s="276"/>
      <c r="G110" s="276"/>
      <c r="H110" s="276"/>
      <c r="R110" s="293"/>
      <c r="S110" s="293"/>
      <c r="T110" s="293"/>
      <c r="X110" s="293"/>
      <c r="Y110" s="293"/>
    </row>
    <row r="111" spans="1:25" s="277" customFormat="1" x14ac:dyDescent="0.25">
      <c r="A111" s="466" t="s">
        <v>43</v>
      </c>
      <c r="B111" s="354"/>
      <c r="C111" s="407">
        <f>SUM(C103:C110)</f>
        <v>0</v>
      </c>
      <c r="D111" s="370">
        <f>D107-D108+D109</f>
        <v>30532.380952380954</v>
      </c>
      <c r="E111" s="370">
        <f t="shared" ref="E111:H111" si="28">E107-E108+E109</f>
        <v>31792.744262753335</v>
      </c>
      <c r="F111" s="370">
        <f t="shared" si="28"/>
        <v>32875.720364289802</v>
      </c>
      <c r="G111" s="370">
        <f t="shared" si="28"/>
        <v>33797.740093823959</v>
      </c>
      <c r="H111" s="370">
        <f t="shared" si="28"/>
        <v>44284.433426339936</v>
      </c>
      <c r="R111" s="293"/>
      <c r="S111" s="293"/>
      <c r="T111" s="293"/>
      <c r="X111" s="293"/>
      <c r="Y111" s="293"/>
    </row>
    <row r="112" spans="1:25" s="277" customFormat="1" x14ac:dyDescent="0.25">
      <c r="A112" s="465"/>
      <c r="B112" s="354"/>
      <c r="C112" s="276"/>
      <c r="D112" s="353"/>
      <c r="E112" s="276"/>
      <c r="F112" s="276"/>
      <c r="G112" s="276"/>
      <c r="H112" s="276"/>
      <c r="R112" s="293"/>
      <c r="S112" s="293"/>
      <c r="T112" s="293"/>
      <c r="X112" s="293"/>
      <c r="Y112" s="293"/>
    </row>
    <row r="113" spans="1:25" s="277" customFormat="1" x14ac:dyDescent="0.25">
      <c r="A113" s="466" t="s">
        <v>44</v>
      </c>
      <c r="B113" s="354"/>
      <c r="C113" s="276"/>
      <c r="D113" s="353"/>
      <c r="E113" s="276"/>
      <c r="F113" s="276"/>
      <c r="G113" s="276"/>
      <c r="H113" s="276"/>
      <c r="R113" s="293"/>
      <c r="S113" s="293"/>
      <c r="T113" s="293"/>
      <c r="X113" s="293"/>
      <c r="Y113" s="293"/>
    </row>
    <row r="114" spans="1:25" s="277" customFormat="1" x14ac:dyDescent="0.25">
      <c r="A114" s="465" t="s">
        <v>45</v>
      </c>
      <c r="B114" s="354"/>
      <c r="C114" s="407">
        <f>-C66</f>
        <v>-325000</v>
      </c>
      <c r="D114" s="353"/>
      <c r="E114" s="276"/>
      <c r="F114" s="276"/>
      <c r="G114" s="276"/>
      <c r="H114" s="276"/>
      <c r="R114" s="293"/>
      <c r="S114" s="293"/>
      <c r="T114" s="293"/>
      <c r="X114" s="293"/>
      <c r="Y114" s="293"/>
    </row>
    <row r="115" spans="1:25" s="277" customFormat="1" x14ac:dyDescent="0.25">
      <c r="A115" s="556" t="s">
        <v>46</v>
      </c>
      <c r="B115" s="354"/>
      <c r="C115" s="276"/>
      <c r="D115" s="353"/>
      <c r="E115" s="276"/>
      <c r="F115" s="276"/>
      <c r="G115" s="276"/>
      <c r="H115" s="276"/>
      <c r="R115" s="293"/>
      <c r="S115" s="293"/>
      <c r="T115" s="293"/>
      <c r="X115" s="293"/>
      <c r="Y115" s="293"/>
    </row>
    <row r="116" spans="1:25" s="277" customFormat="1" x14ac:dyDescent="0.25">
      <c r="A116" s="556" t="s">
        <v>47</v>
      </c>
      <c r="B116" s="354"/>
      <c r="C116" s="276"/>
      <c r="D116" s="353"/>
      <c r="E116" s="276"/>
      <c r="F116" s="276"/>
      <c r="G116" s="276"/>
      <c r="H116" s="276"/>
      <c r="R116" s="293"/>
      <c r="S116" s="293"/>
      <c r="T116" s="293"/>
      <c r="X116" s="293"/>
      <c r="Y116" s="293"/>
    </row>
    <row r="117" spans="1:25" s="277" customFormat="1" x14ac:dyDescent="0.25">
      <c r="A117" s="465" t="s">
        <v>104</v>
      </c>
      <c r="B117" s="354"/>
      <c r="C117" s="408">
        <f>-C65</f>
        <v>-200000</v>
      </c>
      <c r="D117" s="353"/>
      <c r="E117" s="276"/>
      <c r="F117" s="276"/>
      <c r="G117" s="276"/>
      <c r="H117" s="276"/>
      <c r="R117" s="293"/>
      <c r="S117" s="293"/>
      <c r="T117" s="293"/>
      <c r="X117" s="293"/>
      <c r="Y117" s="293"/>
    </row>
    <row r="118" spans="1:25" s="277" customFormat="1" x14ac:dyDescent="0.25">
      <c r="A118" s="557" t="s">
        <v>105</v>
      </c>
      <c r="B118" s="354"/>
      <c r="C118" s="276"/>
      <c r="D118" s="353"/>
      <c r="E118" s="276"/>
      <c r="F118" s="276"/>
      <c r="G118" s="276"/>
      <c r="H118" s="276"/>
      <c r="R118" s="293"/>
      <c r="S118" s="293"/>
      <c r="T118" s="293"/>
      <c r="X118" s="293"/>
      <c r="Y118" s="293"/>
    </row>
    <row r="119" spans="1:25" s="277" customFormat="1" x14ac:dyDescent="0.25">
      <c r="A119" s="556" t="s">
        <v>109</v>
      </c>
      <c r="B119" s="354"/>
      <c r="C119" s="276"/>
      <c r="D119" s="353"/>
      <c r="E119" s="276"/>
      <c r="F119" s="276"/>
      <c r="G119" s="276"/>
      <c r="H119" s="276"/>
      <c r="R119" s="293"/>
      <c r="S119" s="293"/>
      <c r="T119" s="293"/>
      <c r="X119" s="293"/>
      <c r="Y119" s="293"/>
    </row>
    <row r="120" spans="1:25" s="277" customFormat="1" x14ac:dyDescent="0.25">
      <c r="A120" s="465" t="s">
        <v>106</v>
      </c>
      <c r="B120" s="354"/>
      <c r="C120" s="408">
        <f>-C68</f>
        <v>-150000</v>
      </c>
      <c r="D120" s="353"/>
      <c r="E120" s="276"/>
      <c r="F120" s="276"/>
      <c r="G120" s="276"/>
      <c r="H120" s="276"/>
      <c r="R120" s="293"/>
      <c r="S120" s="293"/>
      <c r="T120" s="293"/>
      <c r="X120" s="293"/>
      <c r="Y120" s="293"/>
    </row>
    <row r="121" spans="1:25" s="277" customFormat="1" x14ac:dyDescent="0.25">
      <c r="A121" s="556" t="s">
        <v>107</v>
      </c>
      <c r="B121" s="354"/>
      <c r="C121" s="276"/>
      <c r="D121" s="353"/>
      <c r="E121" s="276"/>
      <c r="F121" s="276"/>
      <c r="G121" s="276"/>
      <c r="H121" s="276"/>
      <c r="R121" s="293"/>
      <c r="S121" s="293"/>
      <c r="T121" s="293"/>
      <c r="X121" s="293"/>
      <c r="Y121" s="293"/>
    </row>
    <row r="122" spans="1:25" s="277" customFormat="1" x14ac:dyDescent="0.25">
      <c r="A122" s="556" t="s">
        <v>108</v>
      </c>
      <c r="B122" s="354"/>
      <c r="C122" s="276"/>
      <c r="D122" s="353"/>
      <c r="E122" s="276"/>
      <c r="F122" s="276"/>
      <c r="G122" s="276"/>
      <c r="H122" s="276"/>
      <c r="R122" s="293"/>
      <c r="S122" s="293"/>
      <c r="T122" s="293"/>
      <c r="X122" s="293"/>
      <c r="Y122" s="293"/>
    </row>
    <row r="123" spans="1:25" s="277" customFormat="1" x14ac:dyDescent="0.25">
      <c r="A123" s="465"/>
      <c r="B123" s="354"/>
      <c r="C123" s="276"/>
      <c r="D123" s="353"/>
      <c r="E123" s="276"/>
      <c r="F123" s="276"/>
      <c r="G123" s="276"/>
      <c r="H123" s="276"/>
      <c r="R123" s="293"/>
      <c r="S123" s="293"/>
      <c r="T123" s="293"/>
      <c r="X123" s="293"/>
      <c r="Y123" s="293"/>
    </row>
    <row r="124" spans="1:25" s="277" customFormat="1" x14ac:dyDescent="0.25">
      <c r="A124" s="466" t="s">
        <v>49</v>
      </c>
      <c r="B124" s="354"/>
      <c r="C124" s="276"/>
      <c r="D124" s="353"/>
      <c r="E124" s="276"/>
      <c r="F124" s="276"/>
      <c r="G124" s="276"/>
      <c r="H124" s="276"/>
      <c r="R124" s="293"/>
      <c r="S124" s="293"/>
      <c r="T124" s="293"/>
      <c r="X124" s="293"/>
      <c r="Y124" s="293"/>
    </row>
    <row r="125" spans="1:25" s="277" customFormat="1" x14ac:dyDescent="0.25">
      <c r="A125" s="465" t="s">
        <v>25</v>
      </c>
      <c r="B125" s="354"/>
      <c r="C125" s="276"/>
      <c r="D125" s="353">
        <f t="shared" ref="D125:H126" si="29">-(C62-B62)</f>
        <v>-48821.917808219172</v>
      </c>
      <c r="E125" s="353">
        <f t="shared" si="29"/>
        <v>-976.43835616438446</v>
      </c>
      <c r="F125" s="353">
        <f t="shared" si="29"/>
        <v>-995.96712328767171</v>
      </c>
      <c r="G125" s="353">
        <f t="shared" si="29"/>
        <v>-1015.8864657534286</v>
      </c>
      <c r="H125" s="353">
        <f t="shared" si="29"/>
        <v>-1554.3062926027415</v>
      </c>
      <c r="R125" s="293"/>
      <c r="S125" s="293"/>
      <c r="T125" s="293"/>
      <c r="X125" s="293"/>
      <c r="Y125" s="293"/>
    </row>
    <row r="126" spans="1:25" s="277" customFormat="1" x14ac:dyDescent="0.25">
      <c r="A126" s="465" t="s">
        <v>9</v>
      </c>
      <c r="B126" s="354"/>
      <c r="C126" s="276"/>
      <c r="D126" s="353">
        <f t="shared" si="29"/>
        <v>-30920.547945205482</v>
      </c>
      <c r="E126" s="353">
        <f t="shared" si="29"/>
        <v>309.20547945205544</v>
      </c>
      <c r="F126" s="353">
        <f t="shared" si="29"/>
        <v>306.11342465753478</v>
      </c>
      <c r="G126" s="353">
        <f t="shared" si="29"/>
        <v>303.05229041096027</v>
      </c>
      <c r="H126" s="353">
        <f t="shared" si="29"/>
        <v>600.04353501369769</v>
      </c>
      <c r="R126" s="293"/>
      <c r="S126" s="293"/>
      <c r="T126" s="293"/>
      <c r="X126" s="293"/>
      <c r="Y126" s="293"/>
    </row>
    <row r="127" spans="1:25" s="277" customFormat="1" x14ac:dyDescent="0.25">
      <c r="A127" s="465" t="s">
        <v>29</v>
      </c>
      <c r="B127" s="354"/>
      <c r="C127" s="276"/>
      <c r="D127" s="353">
        <f>C73</f>
        <v>3254.7945205479455</v>
      </c>
      <c r="E127" s="405">
        <f>D73-C73</f>
        <v>-471.94520547945194</v>
      </c>
      <c r="F127" s="405">
        <f>E73-D73</f>
        <v>-403.51315068493159</v>
      </c>
      <c r="G127" s="405">
        <f>F73-E73</f>
        <v>-345.00374383561621</v>
      </c>
      <c r="H127" s="405">
        <f>G73-F73</f>
        <v>-741.05181901232913</v>
      </c>
      <c r="R127" s="293"/>
      <c r="S127" s="293"/>
      <c r="T127" s="293"/>
      <c r="X127" s="293"/>
      <c r="Y127" s="293"/>
    </row>
    <row r="128" spans="1:25" s="277" customFormat="1" x14ac:dyDescent="0.25">
      <c r="A128" s="465" t="s">
        <v>30</v>
      </c>
      <c r="B128" s="354"/>
      <c r="C128" s="276"/>
      <c r="D128" s="353">
        <f t="shared" ref="D128:H128" si="30">D108-C108</f>
        <v>-432.38095238095269</v>
      </c>
      <c r="E128" s="353">
        <f t="shared" si="30"/>
        <v>315.09082759309536</v>
      </c>
      <c r="F128" s="353">
        <f t="shared" si="30"/>
        <v>270.7440253841167</v>
      </c>
      <c r="G128" s="353">
        <f t="shared" si="30"/>
        <v>230.50493238353957</v>
      </c>
      <c r="H128" s="353">
        <f t="shared" si="30"/>
        <v>2621.6733331289943</v>
      </c>
      <c r="R128" s="293"/>
      <c r="S128" s="293"/>
      <c r="T128" s="293"/>
      <c r="X128" s="293"/>
      <c r="Y128" s="293"/>
    </row>
    <row r="129" spans="1:25" s="277" customFormat="1" x14ac:dyDescent="0.25">
      <c r="A129" s="465"/>
      <c r="B129" s="354"/>
      <c r="C129" s="276"/>
      <c r="D129" s="353"/>
      <c r="E129" s="276"/>
      <c r="F129" s="276"/>
      <c r="G129" s="276"/>
      <c r="H129" s="276"/>
      <c r="R129" s="293"/>
      <c r="S129" s="293"/>
      <c r="T129" s="293"/>
      <c r="X129" s="293"/>
      <c r="Y129" s="293"/>
    </row>
    <row r="130" spans="1:25" s="277" customFormat="1" x14ac:dyDescent="0.25">
      <c r="A130" s="466" t="s">
        <v>52</v>
      </c>
      <c r="B130" s="354"/>
      <c r="C130" s="276"/>
      <c r="D130" s="353"/>
      <c r="E130" s="276"/>
      <c r="F130" s="276"/>
      <c r="G130" s="276"/>
      <c r="H130" s="276"/>
      <c r="R130" s="293"/>
      <c r="S130" s="293"/>
      <c r="T130" s="293"/>
      <c r="X130" s="293"/>
      <c r="Y130" s="293"/>
    </row>
    <row r="131" spans="1:25" s="277" customFormat="1" x14ac:dyDescent="0.25">
      <c r="A131" s="465" t="s">
        <v>25</v>
      </c>
      <c r="B131" s="354"/>
      <c r="C131" s="276"/>
      <c r="D131" s="353"/>
      <c r="E131" s="276"/>
      <c r="F131" s="276"/>
      <c r="G131" s="406"/>
      <c r="H131" s="276"/>
      <c r="R131" s="293"/>
      <c r="S131" s="293"/>
      <c r="T131" s="293"/>
      <c r="X131" s="293"/>
      <c r="Y131" s="293"/>
    </row>
    <row r="132" spans="1:25" s="277" customFormat="1" x14ac:dyDescent="0.25">
      <c r="A132" s="465" t="s">
        <v>9</v>
      </c>
      <c r="B132" s="354"/>
      <c r="C132" s="276"/>
      <c r="D132" s="353"/>
      <c r="E132" s="276"/>
      <c r="F132" s="276"/>
      <c r="G132" s="405"/>
      <c r="H132" s="276"/>
      <c r="R132" s="293"/>
      <c r="S132" s="293"/>
      <c r="T132" s="293"/>
      <c r="X132" s="293"/>
      <c r="Y132" s="293"/>
    </row>
    <row r="133" spans="1:25" s="277" customFormat="1" x14ac:dyDescent="0.25">
      <c r="A133" s="465" t="s">
        <v>29</v>
      </c>
      <c r="B133" s="354"/>
      <c r="C133" s="276"/>
      <c r="D133" s="353"/>
      <c r="E133" s="276"/>
      <c r="F133" s="276"/>
      <c r="G133" s="405"/>
      <c r="H133" s="276"/>
      <c r="R133" s="293"/>
      <c r="S133" s="293"/>
      <c r="T133" s="293"/>
      <c r="X133" s="293"/>
      <c r="Y133" s="293"/>
    </row>
    <row r="134" spans="1:25" s="277" customFormat="1" x14ac:dyDescent="0.25">
      <c r="A134" s="465" t="s">
        <v>30</v>
      </c>
      <c r="B134" s="354"/>
      <c r="C134" s="276"/>
      <c r="D134" s="353"/>
      <c r="E134" s="406"/>
      <c r="F134" s="406"/>
      <c r="G134" s="405"/>
      <c r="H134" s="276"/>
      <c r="R134" s="293"/>
      <c r="S134" s="293"/>
      <c r="T134" s="293"/>
      <c r="X134" s="293"/>
      <c r="Y134" s="293"/>
    </row>
    <row r="135" spans="1:25" s="277" customFormat="1" x14ac:dyDescent="0.25">
      <c r="A135" s="465"/>
      <c r="B135" s="354"/>
      <c r="C135" s="276"/>
      <c r="D135" s="353"/>
      <c r="E135" s="276"/>
      <c r="F135" s="276"/>
      <c r="G135" s="276"/>
      <c r="H135" s="276"/>
      <c r="R135" s="293"/>
      <c r="S135" s="293"/>
      <c r="T135" s="293"/>
      <c r="X135" s="293"/>
      <c r="Y135" s="293"/>
    </row>
    <row r="136" spans="1:25" s="277" customFormat="1" x14ac:dyDescent="0.25">
      <c r="A136" s="466" t="s">
        <v>55</v>
      </c>
      <c r="B136" s="354"/>
      <c r="C136" s="407">
        <f t="shared" ref="C136:H136" si="31">SUM(C111:C135)</f>
        <v>-675000</v>
      </c>
      <c r="D136" s="407">
        <f t="shared" si="31"/>
        <v>-46387.67123287671</v>
      </c>
      <c r="E136" s="407">
        <f t="shared" si="31"/>
        <v>30968.657008154649</v>
      </c>
      <c r="F136" s="407">
        <f t="shared" si="31"/>
        <v>32053.097540358849</v>
      </c>
      <c r="G136" s="407">
        <f t="shared" si="31"/>
        <v>32970.407107029416</v>
      </c>
      <c r="H136" s="407">
        <f t="shared" si="31"/>
        <v>45210.792182867561</v>
      </c>
      <c r="R136" s="293"/>
      <c r="S136" s="293"/>
      <c r="T136" s="293"/>
      <c r="X136" s="293"/>
      <c r="Y136" s="293"/>
    </row>
    <row r="137" spans="1:25" s="277" customFormat="1" x14ac:dyDescent="0.25">
      <c r="A137" s="466" t="s">
        <v>56</v>
      </c>
      <c r="B137" s="354"/>
      <c r="C137" s="386">
        <f t="shared" ref="C137:H137" si="32">-PV($C$140,C139,,C136)</f>
        <v>-675000</v>
      </c>
      <c r="D137" s="386">
        <f t="shared" si="32"/>
        <v>-42951.5474378488</v>
      </c>
      <c r="E137" s="386">
        <f t="shared" si="32"/>
        <v>26550.631865701856</v>
      </c>
      <c r="F137" s="386">
        <f t="shared" si="32"/>
        <v>25444.782252101151</v>
      </c>
      <c r="G137" s="386">
        <f t="shared" si="32"/>
        <v>24234.233482518968</v>
      </c>
      <c r="H137" s="386">
        <f t="shared" si="32"/>
        <v>30769.705484244612</v>
      </c>
      <c r="R137" s="293"/>
      <c r="S137" s="293"/>
      <c r="T137" s="293"/>
      <c r="X137" s="293"/>
      <c r="Y137" s="293"/>
    </row>
    <row r="138" spans="1:25" s="277" customFormat="1" x14ac:dyDescent="0.25">
      <c r="A138" s="466" t="s">
        <v>127</v>
      </c>
      <c r="B138" s="354"/>
      <c r="C138" s="386">
        <f t="shared" ref="C138:H138" si="33">-PV($E$91,C139,,C136,0)</f>
        <v>-675000</v>
      </c>
      <c r="D138" s="386">
        <f t="shared" si="33"/>
        <v>-43369.730269701795</v>
      </c>
      <c r="E138" s="386">
        <f t="shared" si="33"/>
        <v>27070.15069233143</v>
      </c>
      <c r="F138" s="386">
        <f t="shared" si="33"/>
        <v>26195.244541487013</v>
      </c>
      <c r="G138" s="386">
        <f t="shared" si="33"/>
        <v>25191.899338979838</v>
      </c>
      <c r="H138" s="386">
        <f t="shared" si="33"/>
        <v>32297.051055877935</v>
      </c>
      <c r="R138" s="293"/>
      <c r="S138" s="293"/>
      <c r="T138" s="293"/>
      <c r="X138" s="293"/>
      <c r="Y138" s="293"/>
    </row>
    <row r="139" spans="1:25" s="277" customFormat="1" x14ac:dyDescent="0.25">
      <c r="A139" s="466" t="s">
        <v>57</v>
      </c>
      <c r="B139" s="354"/>
      <c r="C139" s="409">
        <v>0</v>
      </c>
      <c r="D139" s="410">
        <v>1</v>
      </c>
      <c r="E139" s="409">
        <v>2</v>
      </c>
      <c r="F139" s="409">
        <v>3</v>
      </c>
      <c r="G139" s="409">
        <v>4</v>
      </c>
      <c r="H139" s="410">
        <v>5</v>
      </c>
      <c r="R139" s="293"/>
      <c r="S139" s="293"/>
      <c r="T139" s="293"/>
      <c r="X139" s="293"/>
      <c r="Y139" s="293"/>
    </row>
    <row r="140" spans="1:25" s="277" customFormat="1" x14ac:dyDescent="0.25">
      <c r="A140" s="466" t="s">
        <v>58</v>
      </c>
      <c r="B140" s="354"/>
      <c r="C140" s="369">
        <v>0.08</v>
      </c>
      <c r="D140" s="353"/>
      <c r="E140" s="276"/>
      <c r="F140" s="276"/>
      <c r="G140" s="276"/>
      <c r="H140" s="276"/>
      <c r="R140" s="293"/>
      <c r="S140" s="293"/>
      <c r="T140" s="293"/>
      <c r="X140" s="293"/>
      <c r="Y140" s="293"/>
    </row>
    <row r="141" spans="1:25" s="277" customFormat="1" x14ac:dyDescent="0.25">
      <c r="A141" s="466" t="s">
        <v>59</v>
      </c>
      <c r="B141" s="354"/>
      <c r="C141" s="411">
        <f>SUM(C137:H137)</f>
        <v>-610952.19435328222</v>
      </c>
      <c r="D141" s="353"/>
      <c r="E141" s="276"/>
      <c r="F141" s="276"/>
      <c r="G141" s="276"/>
      <c r="H141" s="276"/>
      <c r="R141" s="293"/>
      <c r="S141" s="293"/>
      <c r="T141" s="293"/>
      <c r="X141" s="293"/>
      <c r="Y141" s="293"/>
    </row>
    <row r="142" spans="1:25" s="277" customFormat="1" x14ac:dyDescent="0.25">
      <c r="A142" s="466" t="s">
        <v>60</v>
      </c>
      <c r="B142" s="354"/>
      <c r="C142" s="412">
        <f>IRR(C136:H136)</f>
        <v>-0.34617983562508214</v>
      </c>
      <c r="D142" s="359"/>
      <c r="E142" s="413"/>
      <c r="F142" s="413"/>
      <c r="G142" s="413"/>
      <c r="H142" s="413"/>
      <c r="R142" s="293"/>
      <c r="S142" s="293"/>
      <c r="T142" s="293"/>
      <c r="X142" s="293"/>
      <c r="Y142" s="293"/>
    </row>
    <row r="143" spans="1:25" s="277" customFormat="1" x14ac:dyDescent="0.25">
      <c r="A143" s="471" t="s">
        <v>128</v>
      </c>
      <c r="B143" s="472"/>
      <c r="C143" s="415">
        <f>SUM(C138:H138)</f>
        <v>-607615.38464102556</v>
      </c>
      <c r="D143" s="370"/>
      <c r="E143" s="416"/>
      <c r="F143" s="416"/>
      <c r="G143" s="416"/>
      <c r="H143" s="416"/>
      <c r="R143" s="293"/>
      <c r="S143" s="293"/>
      <c r="T143" s="293"/>
      <c r="X143" s="293"/>
      <c r="Y143" s="293"/>
    </row>
    <row r="144" spans="1:25" s="277" customFormat="1" x14ac:dyDescent="0.25">
      <c r="R144" s="293"/>
      <c r="S144" s="293"/>
      <c r="T144" s="293"/>
      <c r="X144" s="293"/>
      <c r="Y144" s="293"/>
    </row>
    <row r="145" spans="1:51" s="277" customFormat="1" x14ac:dyDescent="0.25">
      <c r="A145" s="438" t="s">
        <v>194</v>
      </c>
      <c r="B145" s="470"/>
      <c r="C145" s="470"/>
      <c r="D145" s="473"/>
      <c r="E145" s="474"/>
      <c r="F145" s="474"/>
      <c r="G145" s="474"/>
      <c r="H145" s="475"/>
      <c r="Q145" s="293"/>
      <c r="R145" s="293"/>
      <c r="S145" s="293"/>
      <c r="W145" s="293"/>
      <c r="X145" s="293"/>
    </row>
    <row r="146" spans="1:51" s="277" customFormat="1" x14ac:dyDescent="0.25">
      <c r="A146" s="465"/>
      <c r="B146" s="388" t="s">
        <v>183</v>
      </c>
      <c r="C146" s="389" t="s">
        <v>163</v>
      </c>
      <c r="D146" s="388" t="s">
        <v>164</v>
      </c>
      <c r="E146" s="418"/>
      <c r="F146" s="418"/>
      <c r="G146" s="418"/>
      <c r="H146" s="476"/>
      <c r="Q146" s="293"/>
      <c r="R146" s="293"/>
      <c r="S146" s="293"/>
      <c r="W146" s="293"/>
      <c r="X146" s="293"/>
    </row>
    <row r="147" spans="1:51" s="277" customFormat="1" x14ac:dyDescent="0.25">
      <c r="A147" s="450"/>
      <c r="B147" s="388" t="s">
        <v>183</v>
      </c>
      <c r="C147" s="389" t="s">
        <v>163</v>
      </c>
      <c r="D147" s="388" t="s">
        <v>164</v>
      </c>
      <c r="E147" s="418"/>
      <c r="F147" s="418"/>
      <c r="G147" s="418"/>
      <c r="H147" s="476"/>
      <c r="Q147" s="293"/>
      <c r="R147" s="293"/>
      <c r="S147" s="293"/>
      <c r="W147" s="293"/>
      <c r="X147" s="293"/>
    </row>
    <row r="148" spans="1:51" s="277" customFormat="1" x14ac:dyDescent="0.25">
      <c r="A148" s="477" t="str">
        <f>A60</f>
        <v>Minimum Cash Inventory</v>
      </c>
      <c r="B148" s="420">
        <v>1</v>
      </c>
      <c r="C148" s="421"/>
      <c r="D148" s="390">
        <f>G60*B148</f>
        <v>5000</v>
      </c>
      <c r="E148" s="418"/>
      <c r="F148" s="418"/>
      <c r="G148" s="418"/>
      <c r="H148" s="476"/>
      <c r="Q148" s="293"/>
      <c r="R148" s="293"/>
      <c r="S148" s="293"/>
    </row>
    <row r="149" spans="1:51" s="277" customFormat="1" x14ac:dyDescent="0.25">
      <c r="A149" s="477" t="str">
        <f>A61</f>
        <v>Extra Cash</v>
      </c>
      <c r="B149" s="391"/>
      <c r="C149" s="422"/>
      <c r="D149" s="390"/>
      <c r="E149" s="418"/>
      <c r="F149" s="418"/>
      <c r="G149" s="423"/>
      <c r="H149" s="476"/>
      <c r="Q149" s="293"/>
      <c r="R149" s="293"/>
      <c r="S149" s="293"/>
    </row>
    <row r="150" spans="1:51" s="277" customFormat="1" x14ac:dyDescent="0.25">
      <c r="A150" s="477" t="str">
        <f>A62</f>
        <v>Accounts Receivable</v>
      </c>
      <c r="B150" s="420">
        <v>0.5</v>
      </c>
      <c r="C150" s="424"/>
      <c r="D150" s="390">
        <f>G62*B150</f>
        <v>26682.258023013699</v>
      </c>
      <c r="E150" s="418"/>
      <c r="F150" s="418"/>
      <c r="G150" s="418"/>
      <c r="H150" s="478"/>
      <c r="Q150" s="293"/>
      <c r="R150" s="293"/>
      <c r="S150" s="293"/>
    </row>
    <row r="151" spans="1:51" s="277" customFormat="1" x14ac:dyDescent="0.25">
      <c r="A151" s="477" t="str">
        <f>A63</f>
        <v>Inventory</v>
      </c>
      <c r="B151" s="420">
        <v>0.5</v>
      </c>
      <c r="C151" s="424"/>
      <c r="D151" s="390">
        <f>G63*B151</f>
        <v>14701.066607835617</v>
      </c>
      <c r="E151" s="425"/>
      <c r="F151" s="418"/>
      <c r="G151" s="418"/>
      <c r="H151" s="479"/>
      <c r="Q151" s="293"/>
      <c r="R151" s="293"/>
      <c r="S151" s="293"/>
    </row>
    <row r="152" spans="1:51" s="277" customFormat="1" x14ac:dyDescent="0.25">
      <c r="A152" s="480"/>
      <c r="B152" s="426"/>
      <c r="C152" s="426"/>
      <c r="D152" s="390"/>
      <c r="E152" s="418"/>
      <c r="F152" s="418"/>
      <c r="G152" s="418"/>
      <c r="H152" s="479"/>
      <c r="N152" s="293"/>
      <c r="O152" s="293"/>
      <c r="P152" s="293"/>
      <c r="Q152" s="293"/>
      <c r="R152" s="293"/>
      <c r="S152" s="293"/>
    </row>
    <row r="153" spans="1:51" s="277" customFormat="1" x14ac:dyDescent="0.25">
      <c r="A153" s="477" t="str">
        <f>A65</f>
        <v>Land</v>
      </c>
      <c r="B153" s="420">
        <v>0.8</v>
      </c>
      <c r="C153" s="390">
        <f>G65*B153</f>
        <v>160000</v>
      </c>
      <c r="D153" s="390"/>
      <c r="E153" s="425"/>
      <c r="F153" s="418"/>
      <c r="G153" s="418"/>
      <c r="H153" s="476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</row>
    <row r="154" spans="1:51" s="277" customFormat="1" x14ac:dyDescent="0.25">
      <c r="A154" s="477" t="str">
        <f>A66</f>
        <v>Buildings</v>
      </c>
      <c r="B154" s="420">
        <v>0.8</v>
      </c>
      <c r="C154" s="390">
        <f>G66*B154</f>
        <v>260000</v>
      </c>
      <c r="D154" s="390"/>
      <c r="E154" s="418"/>
      <c r="F154" s="418"/>
      <c r="G154" s="418"/>
      <c r="H154" s="481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</row>
    <row r="155" spans="1:51" s="277" customFormat="1" x14ac:dyDescent="0.25">
      <c r="A155" s="480"/>
      <c r="B155" s="420"/>
      <c r="C155" s="418"/>
      <c r="D155" s="390"/>
      <c r="E155" s="418"/>
      <c r="F155" s="418"/>
      <c r="G155" s="418"/>
      <c r="H155" s="476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</row>
    <row r="156" spans="1:51" s="277" customFormat="1" x14ac:dyDescent="0.25">
      <c r="A156" s="477" t="str">
        <f>A68</f>
        <v xml:space="preserve">Equipment </v>
      </c>
      <c r="B156" s="420">
        <v>0.8</v>
      </c>
      <c r="C156" s="354"/>
      <c r="D156" s="390">
        <f>G68*B156</f>
        <v>120000</v>
      </c>
      <c r="E156" s="418"/>
      <c r="F156" s="418"/>
      <c r="G156" s="418"/>
      <c r="H156" s="476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</row>
    <row r="157" spans="1:51" s="277" customFormat="1" x14ac:dyDescent="0.25">
      <c r="A157" s="477"/>
      <c r="B157" s="420"/>
      <c r="C157" s="421"/>
      <c r="D157" s="390"/>
      <c r="E157" s="418"/>
      <c r="F157" s="418"/>
      <c r="G157" s="418"/>
      <c r="H157" s="476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</row>
    <row r="158" spans="1:51" s="277" customFormat="1" x14ac:dyDescent="0.25">
      <c r="A158" s="480"/>
      <c r="B158" s="420"/>
      <c r="C158" s="426"/>
      <c r="D158" s="390"/>
      <c r="E158" s="418"/>
      <c r="F158" s="418"/>
      <c r="G158" s="418"/>
      <c r="H158" s="476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</row>
    <row r="159" spans="1:51" s="277" customFormat="1" x14ac:dyDescent="0.25">
      <c r="A159" s="480"/>
      <c r="B159" s="420"/>
      <c r="C159" s="426"/>
      <c r="D159" s="390"/>
      <c r="E159" s="418"/>
      <c r="F159" s="418"/>
      <c r="G159" s="418"/>
      <c r="H159" s="476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</row>
    <row r="160" spans="1:51" s="277" customFormat="1" x14ac:dyDescent="0.25">
      <c r="A160" s="480"/>
      <c r="B160" s="354"/>
      <c r="C160" s="354"/>
      <c r="D160" s="354"/>
      <c r="E160" s="354"/>
      <c r="F160" s="354"/>
      <c r="G160" s="354"/>
      <c r="H160" s="437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</row>
    <row r="161" spans="1:51" s="277" customFormat="1" x14ac:dyDescent="0.25">
      <c r="A161" s="477" t="str">
        <f>A73</f>
        <v>Accounts Payable</v>
      </c>
      <c r="B161" s="420">
        <v>1</v>
      </c>
      <c r="C161" s="421"/>
      <c r="D161" s="390">
        <f>-B161*G73</f>
        <v>-1293.2806015356166</v>
      </c>
      <c r="E161" s="418"/>
      <c r="F161" s="418"/>
      <c r="G161" s="418"/>
      <c r="H161" s="476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</row>
    <row r="162" spans="1:51" s="277" customFormat="1" x14ac:dyDescent="0.25">
      <c r="A162" s="480"/>
      <c r="B162" s="420"/>
      <c r="C162" s="426"/>
      <c r="D162" s="426"/>
      <c r="E162" s="418"/>
      <c r="F162" s="418"/>
      <c r="G162" s="418"/>
      <c r="H162" s="476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</row>
    <row r="163" spans="1:51" s="277" customFormat="1" x14ac:dyDescent="0.25">
      <c r="A163" s="480"/>
      <c r="B163" s="427" t="s">
        <v>165</v>
      </c>
      <c r="C163" s="389">
        <f>SUM(C153+C154)</f>
        <v>420000</v>
      </c>
      <c r="D163" s="389">
        <f>SUM(D148:D161)</f>
        <v>165090.04402931372</v>
      </c>
      <c r="E163" s="392" t="s">
        <v>184</v>
      </c>
      <c r="F163" s="392" t="s">
        <v>185</v>
      </c>
      <c r="G163" s="392" t="s">
        <v>186</v>
      </c>
      <c r="H163" s="482" t="s">
        <v>187</v>
      </c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</row>
    <row r="164" spans="1:51" s="277" customFormat="1" x14ac:dyDescent="0.25">
      <c r="A164" s="477" t="str">
        <f>A76</f>
        <v>Mortgage Loan</v>
      </c>
      <c r="B164" s="428"/>
      <c r="C164" s="425">
        <f>MIN(C163,G76)</f>
        <v>376526.35943116748</v>
      </c>
      <c r="D164" s="421">
        <f>G76-C164</f>
        <v>0</v>
      </c>
      <c r="E164" s="429">
        <f>D164/D166</f>
        <v>0</v>
      </c>
      <c r="F164" s="430">
        <f>E164*$D$163</f>
        <v>0</v>
      </c>
      <c r="G164" s="425">
        <f>C164+F164</f>
        <v>376526.35943116748</v>
      </c>
      <c r="H164" s="483">
        <f>G164/G76</f>
        <v>1</v>
      </c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</row>
    <row r="165" spans="1:51" s="277" customFormat="1" x14ac:dyDescent="0.25">
      <c r="A165" s="477" t="str">
        <f>A77</f>
        <v>Extra Bank Loan</v>
      </c>
      <c r="B165" s="420"/>
      <c r="C165" s="425">
        <f>C163-C164</f>
        <v>43473.640568832518</v>
      </c>
      <c r="D165" s="389">
        <f>G77</f>
        <v>267066.74809911824</v>
      </c>
      <c r="E165" s="429">
        <f>D165/D166</f>
        <v>1</v>
      </c>
      <c r="F165" s="430">
        <f>E165*$D$163</f>
        <v>165090.04402931372</v>
      </c>
      <c r="G165" s="425">
        <f>C165+F165</f>
        <v>208563.68459814624</v>
      </c>
      <c r="H165" s="483">
        <f>G165/G76</f>
        <v>0.55391522897156853</v>
      </c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293"/>
      <c r="AX165" s="293"/>
      <c r="AY165" s="293"/>
    </row>
    <row r="166" spans="1:51" s="277" customFormat="1" x14ac:dyDescent="0.25">
      <c r="A166" s="450"/>
      <c r="B166" s="420"/>
      <c r="C166" s="426"/>
      <c r="D166" s="421">
        <f>SUM(D164:D165)</f>
        <v>267066.74809911824</v>
      </c>
      <c r="E166" s="429"/>
      <c r="F166" s="429"/>
      <c r="G166" s="418"/>
      <c r="H166" s="476"/>
      <c r="Q166" s="293"/>
      <c r="R166" s="293"/>
      <c r="S166" s="293"/>
      <c r="T166" s="293"/>
      <c r="U166" s="293"/>
      <c r="V166" s="293"/>
      <c r="W166" s="293"/>
      <c r="X166" s="293"/>
      <c r="Y166" s="293"/>
      <c r="Z166" s="293"/>
      <c r="AA166" s="293"/>
      <c r="AB166" s="293"/>
      <c r="AC166" s="293"/>
      <c r="AD166" s="293"/>
      <c r="AE166" s="293"/>
      <c r="AF166" s="293"/>
      <c r="AG166" s="293"/>
      <c r="AH166" s="293"/>
      <c r="AI166" s="293"/>
      <c r="AJ166" s="293"/>
      <c r="AK166" s="293"/>
      <c r="AL166" s="293"/>
      <c r="AM166" s="293"/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  <c r="AY166" s="293"/>
    </row>
    <row r="167" spans="1:51" s="277" customFormat="1" x14ac:dyDescent="0.25">
      <c r="A167" s="450"/>
      <c r="B167" s="354"/>
      <c r="C167" s="354"/>
      <c r="D167" s="354"/>
      <c r="E167" s="354"/>
      <c r="F167" s="354"/>
      <c r="G167" s="354"/>
      <c r="H167" s="437"/>
      <c r="Q167" s="293"/>
      <c r="R167" s="293"/>
      <c r="S167" s="293"/>
      <c r="T167" s="293"/>
      <c r="U167" s="293"/>
      <c r="V167" s="293"/>
      <c r="W167" s="293"/>
      <c r="X167" s="293"/>
      <c r="Y167" s="293"/>
      <c r="Z167" s="293"/>
      <c r="AA167" s="293"/>
      <c r="AB167" s="293"/>
      <c r="AC167" s="293"/>
      <c r="AD167" s="293"/>
      <c r="AE167" s="293"/>
      <c r="AF167" s="293"/>
      <c r="AG167" s="293"/>
      <c r="AH167" s="293"/>
      <c r="AI167" s="293"/>
      <c r="AJ167" s="293"/>
      <c r="AK167" s="293"/>
      <c r="AL167" s="293"/>
      <c r="AM167" s="293"/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  <c r="AY167" s="293"/>
    </row>
    <row r="168" spans="1:51" s="277" customFormat="1" x14ac:dyDescent="0.25">
      <c r="A168" s="450"/>
      <c r="B168" s="354"/>
      <c r="C168" s="354"/>
      <c r="D168" s="354"/>
      <c r="E168" s="354"/>
      <c r="F168" s="354"/>
      <c r="G168" s="354"/>
      <c r="H168" s="437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3"/>
      <c r="Z168" s="293"/>
      <c r="AA168" s="293"/>
      <c r="AB168" s="293"/>
      <c r="AC168" s="293"/>
      <c r="AD168" s="293"/>
      <c r="AE168" s="293"/>
      <c r="AF168" s="293"/>
      <c r="AG168" s="293"/>
      <c r="AH168" s="293"/>
      <c r="AI168" s="293"/>
      <c r="AJ168" s="293"/>
      <c r="AK168" s="293"/>
      <c r="AL168" s="293"/>
      <c r="AM168" s="293"/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  <c r="AY168" s="293"/>
    </row>
    <row r="169" spans="1:51" s="277" customFormat="1" x14ac:dyDescent="0.25">
      <c r="A169" s="450"/>
      <c r="B169" s="431" t="s">
        <v>188</v>
      </c>
      <c r="C169" s="432"/>
      <c r="D169" s="432"/>
      <c r="E169" s="432"/>
      <c r="F169" s="432"/>
      <c r="G169" s="432"/>
      <c r="H169" s="484"/>
      <c r="O169" s="293"/>
      <c r="P169" s="293"/>
      <c r="Q169" s="293"/>
      <c r="R169" s="293"/>
      <c r="S169" s="293"/>
      <c r="T169" s="293"/>
      <c r="U169" s="293"/>
      <c r="V169" s="293"/>
      <c r="W169" s="293"/>
      <c r="X169" s="293"/>
      <c r="Y169" s="293"/>
      <c r="Z169" s="293"/>
      <c r="AA169" s="293"/>
      <c r="AB169" s="293"/>
      <c r="AC169" s="293"/>
      <c r="AD169" s="293"/>
      <c r="AE169" s="293"/>
      <c r="AF169" s="293"/>
      <c r="AG169" s="293"/>
      <c r="AH169" s="293"/>
      <c r="AI169" s="293"/>
      <c r="AJ169" s="293"/>
      <c r="AK169" s="293"/>
      <c r="AL169" s="293"/>
      <c r="AM169" s="293"/>
      <c r="AN169" s="293"/>
      <c r="AO169" s="293"/>
      <c r="AP169" s="293"/>
      <c r="AQ169" s="293"/>
      <c r="AR169" s="293"/>
      <c r="AS169" s="293"/>
      <c r="AT169" s="293"/>
      <c r="AU169" s="293"/>
      <c r="AV169" s="293"/>
      <c r="AW169" s="293"/>
      <c r="AX169" s="293"/>
      <c r="AY169" s="293"/>
    </row>
    <row r="170" spans="1:51" s="277" customFormat="1" x14ac:dyDescent="0.25">
      <c r="A170" s="450"/>
      <c r="B170" s="394" t="s">
        <v>166</v>
      </c>
      <c r="C170" s="395">
        <v>0</v>
      </c>
      <c r="D170" s="395">
        <v>1</v>
      </c>
      <c r="E170" s="395">
        <v>2</v>
      </c>
      <c r="F170" s="395">
        <v>3</v>
      </c>
      <c r="G170" s="395">
        <v>4</v>
      </c>
      <c r="H170" s="485">
        <v>5</v>
      </c>
      <c r="O170" s="293"/>
      <c r="P170" s="293"/>
      <c r="Q170" s="293"/>
      <c r="R170" s="293"/>
      <c r="S170" s="293"/>
      <c r="T170" s="293"/>
      <c r="U170" s="293"/>
      <c r="V170" s="293"/>
      <c r="W170" s="293"/>
      <c r="X170" s="293"/>
      <c r="Y170" s="293"/>
      <c r="Z170" s="293"/>
      <c r="AA170" s="293"/>
      <c r="AB170" s="293"/>
      <c r="AC170" s="293"/>
      <c r="AD170" s="293"/>
      <c r="AE170" s="293"/>
      <c r="AF170" s="293"/>
      <c r="AG170" s="293"/>
      <c r="AH170" s="293"/>
      <c r="AI170" s="293"/>
      <c r="AJ170" s="293"/>
      <c r="AK170" s="293"/>
      <c r="AL170" s="293"/>
      <c r="AM170" s="293"/>
      <c r="AN170" s="293"/>
      <c r="AO170" s="293"/>
      <c r="AP170" s="293"/>
      <c r="AQ170" s="293"/>
      <c r="AR170" s="293"/>
      <c r="AS170" s="293"/>
      <c r="AT170" s="293"/>
      <c r="AU170" s="293"/>
      <c r="AV170" s="293"/>
      <c r="AW170" s="293"/>
      <c r="AX170" s="293"/>
      <c r="AY170" s="293"/>
    </row>
    <row r="171" spans="1:51" s="277" customFormat="1" x14ac:dyDescent="0.25">
      <c r="A171" s="450"/>
      <c r="B171" s="433" t="s">
        <v>189</v>
      </c>
      <c r="C171" s="434">
        <f>-C76</f>
        <v>-395936.76068281988</v>
      </c>
      <c r="D171" s="434"/>
      <c r="E171" s="434"/>
      <c r="F171" s="434"/>
      <c r="G171" s="434"/>
      <c r="H171" s="486"/>
      <c r="O171" s="293"/>
      <c r="P171" s="293"/>
      <c r="Q171" s="293"/>
      <c r="R171" s="293"/>
      <c r="S171" s="293"/>
      <c r="T171" s="293"/>
      <c r="U171" s="293"/>
      <c r="V171" s="293"/>
      <c r="W171" s="293"/>
      <c r="X171" s="293"/>
      <c r="Y171" s="293"/>
      <c r="Z171" s="293"/>
      <c r="AA171" s="293"/>
      <c r="AB171" s="293"/>
      <c r="AC171" s="293"/>
      <c r="AD171" s="293"/>
      <c r="AE171" s="293"/>
      <c r="AF171" s="293"/>
      <c r="AG171" s="293"/>
      <c r="AH171" s="293"/>
      <c r="AI171" s="293"/>
      <c r="AJ171" s="293"/>
      <c r="AK171" s="293"/>
      <c r="AL171" s="293"/>
      <c r="AM171" s="293"/>
      <c r="AN171" s="293"/>
      <c r="AO171" s="293"/>
      <c r="AP171" s="293"/>
      <c r="AQ171" s="293"/>
      <c r="AR171" s="293"/>
      <c r="AS171" s="293"/>
      <c r="AT171" s="293"/>
      <c r="AU171" s="293"/>
      <c r="AV171" s="293"/>
      <c r="AW171" s="293"/>
      <c r="AX171" s="293"/>
      <c r="AY171" s="293"/>
    </row>
    <row r="172" spans="1:51" s="277" customFormat="1" x14ac:dyDescent="0.25">
      <c r="A172" s="450"/>
      <c r="B172" s="433" t="s">
        <v>190</v>
      </c>
      <c r="C172" s="432"/>
      <c r="D172" s="434">
        <f>C51</f>
        <v>27871.280451420669</v>
      </c>
      <c r="E172" s="434">
        <f>D51</f>
        <v>27577.548552643482</v>
      </c>
      <c r="F172" s="434">
        <f>E51</f>
        <v>27262.582751153637</v>
      </c>
      <c r="G172" s="434">
        <f>F51</f>
        <v>26924.848046407136</v>
      </c>
      <c r="H172" s="486">
        <f>G51</f>
        <v>26562.698472546563</v>
      </c>
      <c r="O172" s="293"/>
      <c r="P172" s="293"/>
      <c r="Q172" s="293"/>
      <c r="R172" s="293"/>
      <c r="S172" s="293"/>
      <c r="T172" s="293"/>
      <c r="U172" s="293"/>
      <c r="V172" s="293"/>
      <c r="W172" s="293"/>
      <c r="X172" s="293"/>
      <c r="Y172" s="293"/>
      <c r="Z172" s="293"/>
      <c r="AA172" s="293"/>
      <c r="AB172" s="293"/>
      <c r="AC172" s="293"/>
      <c r="AD172" s="293"/>
      <c r="AE172" s="293"/>
      <c r="AF172" s="293"/>
      <c r="AG172" s="293"/>
      <c r="AH172" s="293"/>
      <c r="AI172" s="293"/>
      <c r="AJ172" s="293"/>
      <c r="AK172" s="293"/>
      <c r="AL172" s="293"/>
      <c r="AM172" s="293"/>
      <c r="AN172" s="293"/>
      <c r="AO172" s="293"/>
      <c r="AP172" s="293"/>
      <c r="AQ172" s="293"/>
      <c r="AR172" s="293"/>
      <c r="AS172" s="293"/>
      <c r="AT172" s="293"/>
      <c r="AU172" s="293"/>
      <c r="AV172" s="293"/>
      <c r="AW172" s="293"/>
      <c r="AX172" s="293"/>
      <c r="AY172" s="293"/>
    </row>
    <row r="173" spans="1:51" s="277" customFormat="1" x14ac:dyDescent="0.25">
      <c r="A173" s="450"/>
      <c r="B173" s="433" t="s">
        <v>191</v>
      </c>
      <c r="C173" s="432"/>
      <c r="D173" s="434">
        <f>C76-D76</f>
        <v>4356.9712159573101</v>
      </c>
      <c r="E173" s="434">
        <f>D76-E76</f>
        <v>4671.9370174471405</v>
      </c>
      <c r="F173" s="434">
        <f>E76-F76</f>
        <v>5009.6717221937142</v>
      </c>
      <c r="G173" s="434">
        <f>F76-G76</f>
        <v>5371.8212960542296</v>
      </c>
      <c r="H173" s="484"/>
      <c r="O173" s="293"/>
      <c r="P173" s="293"/>
      <c r="Q173" s="293"/>
      <c r="R173" s="293"/>
      <c r="S173" s="293"/>
      <c r="T173" s="293"/>
      <c r="U173" s="293"/>
      <c r="V173" s="293"/>
      <c r="W173" s="293"/>
      <c r="X173" s="293"/>
      <c r="Y173" s="293"/>
      <c r="Z173" s="293"/>
      <c r="AA173" s="293"/>
      <c r="AB173" s="293"/>
      <c r="AC173" s="293"/>
      <c r="AD173" s="293"/>
      <c r="AE173" s="293"/>
      <c r="AF173" s="293"/>
      <c r="AG173" s="293"/>
      <c r="AH173" s="293"/>
      <c r="AI173" s="293"/>
      <c r="AJ173" s="293"/>
      <c r="AK173" s="293"/>
      <c r="AL173" s="293"/>
      <c r="AM173" s="293"/>
      <c r="AN173" s="293"/>
      <c r="AO173" s="293"/>
      <c r="AP173" s="293"/>
      <c r="AQ173" s="293"/>
      <c r="AR173" s="293"/>
      <c r="AS173" s="293"/>
      <c r="AT173" s="293"/>
      <c r="AU173" s="293"/>
      <c r="AV173" s="293"/>
      <c r="AW173" s="293"/>
      <c r="AX173" s="293"/>
      <c r="AY173" s="293"/>
    </row>
    <row r="174" spans="1:51" s="277" customFormat="1" x14ac:dyDescent="0.25">
      <c r="A174" s="450"/>
      <c r="B174" s="433" t="s">
        <v>192</v>
      </c>
      <c r="C174" s="432"/>
      <c r="D174" s="432"/>
      <c r="E174" s="432"/>
      <c r="F174" s="432"/>
      <c r="G174" s="432"/>
      <c r="H174" s="486">
        <f>G164</f>
        <v>376526.35943116748</v>
      </c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93"/>
      <c r="AB174" s="293"/>
      <c r="AC174" s="293"/>
      <c r="AD174" s="293"/>
      <c r="AE174" s="293"/>
      <c r="AF174" s="293"/>
      <c r="AG174" s="293"/>
      <c r="AH174" s="293"/>
      <c r="AI174" s="293"/>
      <c r="AJ174" s="293"/>
      <c r="AK174" s="293"/>
      <c r="AL174" s="293"/>
      <c r="AM174" s="293"/>
      <c r="AN174" s="293"/>
      <c r="AO174" s="293"/>
      <c r="AP174" s="293"/>
      <c r="AQ174" s="293"/>
      <c r="AR174" s="293"/>
      <c r="AS174" s="293"/>
      <c r="AT174" s="293"/>
      <c r="AU174" s="293"/>
      <c r="AV174" s="293"/>
      <c r="AW174" s="293"/>
      <c r="AX174" s="293"/>
      <c r="AY174" s="293"/>
    </row>
    <row r="175" spans="1:51" s="277" customFormat="1" x14ac:dyDescent="0.25">
      <c r="A175" s="450"/>
      <c r="B175" s="397" t="s">
        <v>165</v>
      </c>
      <c r="C175" s="398">
        <f>SUM(C171:C174)</f>
        <v>-395936.76068281988</v>
      </c>
      <c r="D175" s="398">
        <f t="shared" ref="D175:H175" si="34">SUM(D171:D174)</f>
        <v>32228.251667377979</v>
      </c>
      <c r="E175" s="398">
        <f t="shared" si="34"/>
        <v>32249.485570090623</v>
      </c>
      <c r="F175" s="398">
        <f t="shared" si="34"/>
        <v>32272.254473347351</v>
      </c>
      <c r="G175" s="398">
        <f t="shared" si="34"/>
        <v>32296.669342461366</v>
      </c>
      <c r="H175" s="487">
        <f t="shared" si="34"/>
        <v>403089.05790371407</v>
      </c>
      <c r="O175" s="293"/>
      <c r="P175" s="293"/>
      <c r="Q175" s="293"/>
      <c r="R175" s="293"/>
      <c r="S175" s="293"/>
      <c r="T175" s="293"/>
      <c r="U175" s="293"/>
      <c r="V175" s="293"/>
      <c r="W175" s="293"/>
      <c r="X175" s="293"/>
      <c r="Y175" s="293"/>
      <c r="Z175" s="293"/>
      <c r="AA175" s="293"/>
      <c r="AB175" s="293"/>
      <c r="AC175" s="293"/>
      <c r="AD175" s="293"/>
      <c r="AE175" s="293"/>
      <c r="AF175" s="293"/>
      <c r="AG175" s="293"/>
      <c r="AH175" s="293"/>
      <c r="AI175" s="293"/>
      <c r="AJ175" s="293"/>
      <c r="AK175" s="293"/>
      <c r="AL175" s="293"/>
      <c r="AM175" s="293"/>
      <c r="AN175" s="293"/>
      <c r="AO175" s="293"/>
      <c r="AP175" s="293"/>
      <c r="AQ175" s="293"/>
      <c r="AR175" s="293"/>
      <c r="AS175" s="293"/>
      <c r="AT175" s="293"/>
      <c r="AU175" s="293"/>
      <c r="AV175" s="293"/>
      <c r="AW175" s="293"/>
      <c r="AX175" s="293"/>
      <c r="AY175" s="293"/>
    </row>
    <row r="176" spans="1:51" s="277" customFormat="1" x14ac:dyDescent="0.25">
      <c r="A176" s="450"/>
      <c r="B176" s="435" t="s">
        <v>60</v>
      </c>
      <c r="C176" s="436">
        <f>IRR(C175:H175)</f>
        <v>7.0460210527758083E-2</v>
      </c>
      <c r="D176" s="432"/>
      <c r="E176" s="432"/>
      <c r="F176" s="432"/>
      <c r="G176" s="432"/>
      <c r="H176" s="484"/>
      <c r="O176" s="293"/>
      <c r="P176" s="293"/>
      <c r="Q176" s="293"/>
      <c r="R176" s="293"/>
      <c r="S176" s="293"/>
      <c r="T176" s="293"/>
      <c r="U176" s="293"/>
      <c r="V176" s="293"/>
      <c r="W176" s="293"/>
      <c r="X176" s="293"/>
      <c r="Y176" s="293"/>
      <c r="Z176" s="293"/>
      <c r="AA176" s="293"/>
      <c r="AB176" s="293"/>
      <c r="AC176" s="293"/>
      <c r="AD176" s="293"/>
      <c r="AE176" s="293"/>
      <c r="AF176" s="293"/>
      <c r="AG176" s="293"/>
      <c r="AH176" s="293"/>
      <c r="AI176" s="293"/>
      <c r="AJ176" s="293"/>
      <c r="AK176" s="293"/>
      <c r="AL176" s="293"/>
      <c r="AM176" s="293"/>
      <c r="AN176" s="293"/>
      <c r="AO176" s="293"/>
      <c r="AP176" s="293"/>
      <c r="AQ176" s="293"/>
      <c r="AR176" s="293"/>
      <c r="AS176" s="293"/>
      <c r="AT176" s="293"/>
      <c r="AU176" s="293"/>
      <c r="AV176" s="293"/>
      <c r="AW176" s="293"/>
      <c r="AX176" s="293"/>
      <c r="AY176" s="293"/>
    </row>
    <row r="177" spans="1:51" s="277" customFormat="1" x14ac:dyDescent="0.25">
      <c r="A177" s="450"/>
      <c r="B177" s="432" t="s">
        <v>31</v>
      </c>
      <c r="C177" s="432">
        <v>0</v>
      </c>
      <c r="D177" s="432">
        <v>1</v>
      </c>
      <c r="E177" s="432">
        <v>2</v>
      </c>
      <c r="F177" s="432">
        <v>3</v>
      </c>
      <c r="G177" s="432">
        <v>4</v>
      </c>
      <c r="H177" s="484">
        <v>5</v>
      </c>
      <c r="O177" s="293"/>
      <c r="P177" s="293"/>
      <c r="Q177" s="293"/>
      <c r="R177" s="293"/>
      <c r="S177" s="293"/>
      <c r="T177" s="293"/>
      <c r="U177" s="293"/>
      <c r="V177" s="293"/>
      <c r="W177" s="293"/>
      <c r="X177" s="293"/>
      <c r="Y177" s="293"/>
      <c r="Z177" s="293"/>
      <c r="AA177" s="293"/>
      <c r="AB177" s="293"/>
      <c r="AC177" s="293"/>
      <c r="AD177" s="293"/>
      <c r="AE177" s="293"/>
      <c r="AF177" s="293"/>
      <c r="AG177" s="293"/>
      <c r="AH177" s="293"/>
      <c r="AI177" s="293"/>
      <c r="AJ177" s="293"/>
      <c r="AK177" s="293"/>
      <c r="AL177" s="293"/>
      <c r="AM177" s="293"/>
      <c r="AN177" s="293"/>
      <c r="AO177" s="293"/>
      <c r="AP177" s="293"/>
      <c r="AQ177" s="293"/>
      <c r="AR177" s="293"/>
      <c r="AS177" s="293"/>
      <c r="AT177" s="293"/>
      <c r="AU177" s="293"/>
      <c r="AV177" s="293"/>
      <c r="AW177" s="293"/>
      <c r="AX177" s="293"/>
      <c r="AY177" s="293"/>
    </row>
    <row r="178" spans="1:51" s="277" customFormat="1" x14ac:dyDescent="0.25">
      <c r="A178" s="450"/>
      <c r="B178" s="433" t="s">
        <v>189</v>
      </c>
      <c r="C178" s="434">
        <f>-C77</f>
        <v>-179911.58068349713</v>
      </c>
      <c r="D178" s="432"/>
      <c r="E178" s="432"/>
      <c r="F178" s="432"/>
      <c r="G178" s="432"/>
      <c r="H178" s="484"/>
      <c r="O178" s="293"/>
      <c r="P178" s="293"/>
    </row>
    <row r="179" spans="1:51" s="277" customFormat="1" ht="15.75" customHeight="1" x14ac:dyDescent="0.25">
      <c r="A179" s="450"/>
      <c r="B179" s="433" t="s">
        <v>190</v>
      </c>
      <c r="C179" s="432"/>
      <c r="D179" s="434">
        <f>C52</f>
        <v>21589.389682019653</v>
      </c>
      <c r="E179" s="434">
        <f>D52</f>
        <v>24724.066963135199</v>
      </c>
      <c r="F179" s="434">
        <f>E52</f>
        <v>28095.355051703093</v>
      </c>
      <c r="G179" s="434">
        <f>F52</f>
        <v>31764.3569352501</v>
      </c>
      <c r="H179" s="486">
        <f>G52</f>
        <v>16024.004885947093</v>
      </c>
      <c r="O179" s="293"/>
      <c r="P179" s="293"/>
    </row>
    <row r="180" spans="1:51" s="277" customFormat="1" x14ac:dyDescent="0.25">
      <c r="A180" s="450"/>
      <c r="B180" s="433" t="s">
        <v>191</v>
      </c>
      <c r="C180" s="432"/>
      <c r="D180" s="434">
        <f>C77-D77</f>
        <v>-26122.310675962857</v>
      </c>
      <c r="E180" s="434">
        <f>D77-E77</f>
        <v>-28094.067404732457</v>
      </c>
      <c r="F180" s="434">
        <f>E77-F77</f>
        <v>-30575.015696225077</v>
      </c>
      <c r="G180" s="434">
        <f>F77-G77</f>
        <v>-2363.7736387007171</v>
      </c>
      <c r="H180" s="484"/>
      <c r="O180" s="293"/>
      <c r="P180" s="293"/>
    </row>
    <row r="181" spans="1:51" s="277" customFormat="1" x14ac:dyDescent="0.25">
      <c r="A181" s="450"/>
      <c r="B181" s="433" t="s">
        <v>192</v>
      </c>
      <c r="C181" s="432"/>
      <c r="D181" s="432"/>
      <c r="E181" s="432"/>
      <c r="F181" s="432"/>
      <c r="G181" s="432"/>
      <c r="H181" s="486">
        <f>G165</f>
        <v>208563.68459814624</v>
      </c>
      <c r="I181" s="400"/>
      <c r="J181" s="387"/>
      <c r="K181" s="387"/>
      <c r="L181" s="387"/>
      <c r="O181" s="293"/>
      <c r="P181" s="293"/>
    </row>
    <row r="182" spans="1:51" s="277" customFormat="1" x14ac:dyDescent="0.25">
      <c r="A182" s="450"/>
      <c r="B182" s="397" t="s">
        <v>165</v>
      </c>
      <c r="C182" s="398">
        <f>SUM(C178:C181)</f>
        <v>-179911.58068349713</v>
      </c>
      <c r="D182" s="398">
        <f t="shared" ref="D182:H182" si="35">SUM(D178:D181)</f>
        <v>-4532.9209939432039</v>
      </c>
      <c r="E182" s="398">
        <f t="shared" si="35"/>
        <v>-3370.000441597258</v>
      </c>
      <c r="F182" s="398">
        <f t="shared" si="35"/>
        <v>-2479.6606445219841</v>
      </c>
      <c r="G182" s="398">
        <f t="shared" si="35"/>
        <v>29400.583296549383</v>
      </c>
      <c r="H182" s="487">
        <f t="shared" si="35"/>
        <v>224587.68948409334</v>
      </c>
    </row>
    <row r="183" spans="1:51" s="277" customFormat="1" x14ac:dyDescent="0.25">
      <c r="A183" s="467"/>
      <c r="B183" s="488" t="s">
        <v>60</v>
      </c>
      <c r="C183" s="489">
        <f>IRR(C182:H182)</f>
        <v>6.2147127276163117E-2</v>
      </c>
      <c r="D183" s="395"/>
      <c r="E183" s="395"/>
      <c r="F183" s="395"/>
      <c r="G183" s="395"/>
      <c r="H183" s="485"/>
    </row>
    <row r="184" spans="1:51" s="277" customFormat="1" x14ac:dyDescent="0.25"/>
    <row r="185" spans="1:51" s="277" customFormat="1" x14ac:dyDescent="0.25"/>
    <row r="186" spans="1:51" s="277" customFormat="1" x14ac:dyDescent="0.25"/>
    <row r="187" spans="1:51" s="277" customFormat="1" x14ac:dyDescent="0.25"/>
    <row r="188" spans="1:51" s="277" customFormat="1" x14ac:dyDescent="0.25"/>
    <row r="189" spans="1:51" s="277" customFormat="1" x14ac:dyDescent="0.25"/>
    <row r="190" spans="1:51" s="277" customFormat="1" x14ac:dyDescent="0.25"/>
    <row r="191" spans="1:51" s="277" customFormat="1" x14ac:dyDescent="0.25"/>
    <row r="192" spans="1:51" s="277" customFormat="1" x14ac:dyDescent="0.25"/>
    <row r="193" spans="9:9" s="277" customFormat="1" x14ac:dyDescent="0.25"/>
    <row r="194" spans="9:9" s="277" customFormat="1" x14ac:dyDescent="0.25"/>
    <row r="195" spans="9:9" s="277" customFormat="1" x14ac:dyDescent="0.25"/>
    <row r="196" spans="9:9" s="277" customFormat="1" x14ac:dyDescent="0.25"/>
    <row r="197" spans="9:9" s="277" customFormat="1" x14ac:dyDescent="0.25"/>
    <row r="198" spans="9:9" s="277" customFormat="1" x14ac:dyDescent="0.25"/>
    <row r="199" spans="9:9" s="277" customFormat="1" x14ac:dyDescent="0.25"/>
    <row r="200" spans="9:9" s="277" customFormat="1" x14ac:dyDescent="0.25">
      <c r="I200" s="355"/>
    </row>
    <row r="201" spans="9:9" s="277" customFormat="1" x14ac:dyDescent="0.25">
      <c r="I201" s="355"/>
    </row>
    <row r="202" spans="9:9" s="277" customFormat="1" x14ac:dyDescent="0.25">
      <c r="I202" s="355"/>
    </row>
    <row r="203" spans="9:9" s="277" customFormat="1" x14ac:dyDescent="0.25">
      <c r="I203" s="355"/>
    </row>
    <row r="204" spans="9:9" s="277" customFormat="1" x14ac:dyDescent="0.25">
      <c r="I204" s="355"/>
    </row>
    <row r="205" spans="9:9" s="277" customFormat="1" x14ac:dyDescent="0.25">
      <c r="I205" s="355"/>
    </row>
    <row r="206" spans="9:9" s="277" customFormat="1" x14ac:dyDescent="0.25">
      <c r="I206" s="355"/>
    </row>
    <row r="207" spans="9:9" s="277" customFormat="1" x14ac:dyDescent="0.25">
      <c r="I207" s="355"/>
    </row>
    <row r="208" spans="9:9" s="277" customFormat="1" x14ac:dyDescent="0.25">
      <c r="I208" s="355"/>
    </row>
    <row r="209" spans="9:9" s="277" customFormat="1" x14ac:dyDescent="0.25">
      <c r="I209" s="355"/>
    </row>
    <row r="210" spans="9:9" s="277" customFormat="1" x14ac:dyDescent="0.25">
      <c r="I210" s="355"/>
    </row>
    <row r="211" spans="9:9" s="277" customFormat="1" x14ac:dyDescent="0.25">
      <c r="I211" s="355"/>
    </row>
    <row r="212" spans="9:9" s="277" customFormat="1" x14ac:dyDescent="0.25">
      <c r="I212" s="355"/>
    </row>
    <row r="213" spans="9:9" s="277" customFormat="1" x14ac:dyDescent="0.25">
      <c r="I213" s="355"/>
    </row>
    <row r="214" spans="9:9" s="277" customFormat="1" x14ac:dyDescent="0.25">
      <c r="I214" s="355"/>
    </row>
    <row r="215" spans="9:9" s="277" customFormat="1" x14ac:dyDescent="0.25">
      <c r="I215" s="355"/>
    </row>
    <row r="216" spans="9:9" s="277" customFormat="1" x14ac:dyDescent="0.25">
      <c r="I216" s="355"/>
    </row>
    <row r="217" spans="9:9" s="277" customFormat="1" x14ac:dyDescent="0.25">
      <c r="I217" s="355"/>
    </row>
    <row r="218" spans="9:9" s="277" customFormat="1" x14ac:dyDescent="0.25">
      <c r="I218" s="355"/>
    </row>
    <row r="219" spans="9:9" s="277" customFormat="1" x14ac:dyDescent="0.25">
      <c r="I219" s="355"/>
    </row>
    <row r="220" spans="9:9" s="277" customFormat="1" x14ac:dyDescent="0.25">
      <c r="I220" s="355"/>
    </row>
    <row r="221" spans="9:9" s="277" customFormat="1" x14ac:dyDescent="0.25">
      <c r="I221" s="355"/>
    </row>
    <row r="222" spans="9:9" s="277" customFormat="1" x14ac:dyDescent="0.25">
      <c r="I222" s="355"/>
    </row>
    <row r="223" spans="9:9" s="277" customFormat="1" x14ac:dyDescent="0.25">
      <c r="I223" s="355"/>
    </row>
    <row r="224" spans="9:9" s="277" customFormat="1" x14ac:dyDescent="0.25">
      <c r="I224" s="355"/>
    </row>
    <row r="225" spans="1:9" s="277" customFormat="1" x14ac:dyDescent="0.25">
      <c r="I225" s="355"/>
    </row>
    <row r="226" spans="1:9" s="277" customFormat="1" x14ac:dyDescent="0.25">
      <c r="I226" s="355"/>
    </row>
    <row r="227" spans="1:9" s="277" customFormat="1" x14ac:dyDescent="0.25">
      <c r="I227" s="355"/>
    </row>
    <row r="228" spans="1:9" s="277" customFormat="1" x14ac:dyDescent="0.25">
      <c r="I228" s="355"/>
    </row>
    <row r="229" spans="1:9" x14ac:dyDescent="0.25">
      <c r="A229" s="350"/>
      <c r="B229" s="350"/>
      <c r="C229" s="350"/>
      <c r="D229" s="350"/>
      <c r="E229" s="350"/>
      <c r="F229" s="350"/>
      <c r="G229" s="350"/>
      <c r="H229" s="350"/>
    </row>
    <row r="230" spans="1:9" x14ac:dyDescent="0.25">
      <c r="A230" s="350"/>
      <c r="B230" s="350"/>
      <c r="C230" s="350"/>
      <c r="D230" s="350"/>
      <c r="E230" s="350"/>
      <c r="F230" s="350"/>
      <c r="G230" s="350"/>
      <c r="H230" s="350"/>
    </row>
    <row r="231" spans="1:9" x14ac:dyDescent="0.25">
      <c r="A231" s="350"/>
      <c r="B231" s="350"/>
      <c r="C231" s="350"/>
      <c r="D231" s="350"/>
      <c r="E231" s="350"/>
      <c r="F231" s="350"/>
      <c r="G231" s="350"/>
      <c r="H231" s="350"/>
    </row>
    <row r="232" spans="1:9" x14ac:dyDescent="0.25">
      <c r="A232" s="350"/>
      <c r="B232" s="350"/>
      <c r="C232" s="350"/>
      <c r="D232" s="350"/>
      <c r="E232" s="350"/>
      <c r="F232" s="350"/>
      <c r="G232" s="350"/>
      <c r="H232" s="350"/>
    </row>
    <row r="233" spans="1:9" x14ac:dyDescent="0.25">
      <c r="A233" s="350"/>
      <c r="B233" s="350"/>
      <c r="C233" s="350"/>
      <c r="D233" s="350"/>
      <c r="E233" s="350"/>
      <c r="F233" s="350"/>
      <c r="G233" s="350"/>
      <c r="H233" s="350"/>
    </row>
    <row r="234" spans="1:9" x14ac:dyDescent="0.25">
      <c r="A234" s="350"/>
      <c r="B234" s="350"/>
      <c r="C234" s="350"/>
      <c r="D234" s="350"/>
      <c r="E234" s="350"/>
      <c r="F234" s="350"/>
      <c r="G234" s="350"/>
      <c r="H234" s="350"/>
    </row>
    <row r="235" spans="1:9" x14ac:dyDescent="0.25">
      <c r="A235" s="350"/>
      <c r="B235" s="350"/>
      <c r="C235" s="350"/>
      <c r="D235" s="350"/>
      <c r="E235" s="350"/>
      <c r="F235" s="350"/>
      <c r="G235" s="350"/>
      <c r="H235" s="350"/>
    </row>
    <row r="236" spans="1:9" x14ac:dyDescent="0.25">
      <c r="A236" s="350"/>
      <c r="B236" s="350"/>
      <c r="C236" s="350"/>
      <c r="D236" s="350"/>
      <c r="E236" s="350"/>
      <c r="F236" s="350"/>
      <c r="G236" s="350"/>
      <c r="H236" s="350"/>
    </row>
    <row r="237" spans="1:9" x14ac:dyDescent="0.25">
      <c r="A237" s="350"/>
      <c r="B237" s="350"/>
      <c r="C237" s="350"/>
      <c r="D237" s="350"/>
      <c r="E237" s="350"/>
      <c r="F237" s="350"/>
      <c r="G237" s="350"/>
      <c r="H237" s="350"/>
    </row>
    <row r="238" spans="1:9" x14ac:dyDescent="0.25">
      <c r="A238" s="350"/>
      <c r="B238" s="350"/>
      <c r="C238" s="350"/>
      <c r="D238" s="350"/>
      <c r="E238" s="350"/>
      <c r="F238" s="350"/>
      <c r="G238" s="350"/>
      <c r="H238" s="350"/>
    </row>
    <row r="239" spans="1:9" x14ac:dyDescent="0.25">
      <c r="A239" s="350"/>
      <c r="B239" s="350"/>
      <c r="C239" s="350"/>
      <c r="D239" s="350"/>
      <c r="E239" s="350"/>
      <c r="F239" s="350"/>
      <c r="G239" s="350"/>
      <c r="H239" s="350"/>
    </row>
    <row r="240" spans="1:9" x14ac:dyDescent="0.25">
      <c r="A240" s="350"/>
      <c r="B240" s="350"/>
      <c r="C240" s="350"/>
      <c r="D240" s="350"/>
      <c r="E240" s="350"/>
      <c r="F240" s="350"/>
      <c r="G240" s="350"/>
      <c r="H240" s="350"/>
    </row>
    <row r="241" spans="1:9" x14ac:dyDescent="0.25">
      <c r="A241" s="350"/>
      <c r="B241" s="350"/>
      <c r="C241" s="350"/>
      <c r="D241" s="350"/>
      <c r="E241" s="350"/>
      <c r="F241" s="350"/>
      <c r="G241" s="350"/>
      <c r="H241" s="350"/>
    </row>
    <row r="242" spans="1:9" x14ac:dyDescent="0.25">
      <c r="A242" s="350"/>
      <c r="B242" s="350"/>
      <c r="C242" s="350"/>
      <c r="D242" s="350"/>
      <c r="E242" s="350"/>
      <c r="F242" s="350"/>
      <c r="G242" s="350"/>
      <c r="H242" s="350"/>
    </row>
    <row r="243" spans="1:9" x14ac:dyDescent="0.25">
      <c r="A243" s="350"/>
      <c r="B243" s="350"/>
      <c r="C243" s="350"/>
      <c r="D243" s="350"/>
      <c r="E243" s="350"/>
      <c r="F243" s="350"/>
      <c r="G243" s="350"/>
      <c r="H243" s="350"/>
    </row>
    <row r="244" spans="1:9" x14ac:dyDescent="0.25">
      <c r="A244" s="350"/>
      <c r="B244" s="350"/>
      <c r="C244" s="350"/>
      <c r="D244" s="350"/>
      <c r="E244" s="350"/>
      <c r="F244" s="350"/>
      <c r="G244" s="350"/>
      <c r="H244" s="350"/>
    </row>
    <row r="245" spans="1:9" x14ac:dyDescent="0.25">
      <c r="A245" s="350"/>
      <c r="B245" s="350"/>
      <c r="C245" s="350"/>
      <c r="D245" s="350"/>
      <c r="E245" s="350"/>
      <c r="F245" s="350"/>
      <c r="G245" s="350"/>
      <c r="H245" s="350"/>
    </row>
    <row r="246" spans="1:9" x14ac:dyDescent="0.25">
      <c r="A246" s="350"/>
      <c r="B246" s="350"/>
      <c r="C246" s="350"/>
      <c r="D246" s="350"/>
      <c r="E246" s="350"/>
      <c r="F246" s="350"/>
      <c r="G246" s="350"/>
      <c r="H246" s="350"/>
    </row>
    <row r="247" spans="1:9" x14ac:dyDescent="0.25">
      <c r="A247" s="350"/>
      <c r="B247" s="350"/>
      <c r="C247" s="350"/>
      <c r="D247" s="350"/>
      <c r="E247" s="350"/>
      <c r="F247" s="350"/>
      <c r="G247" s="350"/>
      <c r="H247" s="350"/>
    </row>
    <row r="248" spans="1:9" x14ac:dyDescent="0.25">
      <c r="A248" s="350"/>
      <c r="B248" s="350"/>
      <c r="C248" s="350"/>
      <c r="D248" s="350"/>
      <c r="E248" s="350"/>
      <c r="F248" s="350"/>
      <c r="G248" s="350"/>
      <c r="H248" s="350"/>
      <c r="I248" s="293"/>
    </row>
    <row r="249" spans="1:9" x14ac:dyDescent="0.25">
      <c r="A249" s="350"/>
      <c r="B249" s="350"/>
      <c r="C249" s="350"/>
      <c r="D249" s="350"/>
      <c r="E249" s="350"/>
      <c r="F249" s="350"/>
      <c r="G249" s="350"/>
      <c r="H249" s="350"/>
      <c r="I249" s="293"/>
    </row>
    <row r="250" spans="1:9" x14ac:dyDescent="0.25">
      <c r="A250" s="350"/>
      <c r="B250" s="350"/>
      <c r="C250" s="350"/>
      <c r="D250" s="350"/>
      <c r="E250" s="350"/>
      <c r="F250" s="350"/>
      <c r="G250" s="350"/>
      <c r="H250" s="350"/>
      <c r="I250" s="293"/>
    </row>
    <row r="251" spans="1:9" x14ac:dyDescent="0.25">
      <c r="A251" s="350"/>
      <c r="B251" s="350"/>
      <c r="C251" s="350"/>
      <c r="D251" s="350"/>
      <c r="E251" s="350"/>
      <c r="F251" s="350"/>
      <c r="G251" s="350"/>
      <c r="H251" s="350"/>
      <c r="I251" s="293"/>
    </row>
    <row r="252" spans="1:9" x14ac:dyDescent="0.25">
      <c r="A252" s="350"/>
      <c r="B252" s="350"/>
      <c r="C252" s="350"/>
      <c r="D252" s="350"/>
      <c r="E252" s="350"/>
      <c r="F252" s="350"/>
      <c r="G252" s="350"/>
      <c r="H252" s="350"/>
      <c r="I252" s="293"/>
    </row>
    <row r="253" spans="1:9" x14ac:dyDescent="0.25">
      <c r="A253" s="350"/>
      <c r="B253" s="350"/>
      <c r="C253" s="350"/>
      <c r="D253" s="350"/>
      <c r="E253" s="350"/>
      <c r="F253" s="350"/>
      <c r="G253" s="350"/>
      <c r="H253" s="350"/>
      <c r="I253" s="293"/>
    </row>
    <row r="254" spans="1:9" x14ac:dyDescent="0.25">
      <c r="A254" s="350"/>
      <c r="B254" s="350"/>
      <c r="C254" s="350"/>
      <c r="D254" s="350"/>
      <c r="E254" s="350"/>
      <c r="F254" s="350"/>
      <c r="G254" s="350"/>
      <c r="H254" s="350"/>
      <c r="I254" s="293"/>
    </row>
    <row r="255" spans="1:9" x14ac:dyDescent="0.25">
      <c r="A255" s="350"/>
      <c r="B255" s="350"/>
      <c r="C255" s="350"/>
      <c r="D255" s="350"/>
      <c r="E255" s="350"/>
      <c r="F255" s="350"/>
      <c r="G255" s="350"/>
      <c r="H255" s="350"/>
      <c r="I255" s="293"/>
    </row>
    <row r="256" spans="1:9" x14ac:dyDescent="0.25">
      <c r="A256" s="350"/>
      <c r="B256" s="350"/>
      <c r="C256" s="350"/>
      <c r="D256" s="350"/>
      <c r="E256" s="350"/>
      <c r="F256" s="350"/>
      <c r="G256" s="350"/>
      <c r="H256" s="350"/>
      <c r="I256" s="293"/>
    </row>
    <row r="257" spans="1:9" x14ac:dyDescent="0.25">
      <c r="A257" s="350"/>
      <c r="B257" s="350"/>
      <c r="C257" s="350"/>
      <c r="D257" s="350"/>
      <c r="E257" s="350"/>
      <c r="F257" s="350"/>
      <c r="G257" s="350"/>
      <c r="H257" s="350"/>
      <c r="I257" s="293"/>
    </row>
    <row r="258" spans="1:9" x14ac:dyDescent="0.25">
      <c r="A258" s="350"/>
      <c r="B258" s="350"/>
      <c r="C258" s="350"/>
      <c r="D258" s="350"/>
      <c r="E258" s="350"/>
      <c r="F258" s="350"/>
      <c r="G258" s="350"/>
      <c r="H258" s="350"/>
      <c r="I258" s="293"/>
    </row>
    <row r="259" spans="1:9" x14ac:dyDescent="0.25">
      <c r="A259" s="350"/>
      <c r="B259" s="350"/>
      <c r="C259" s="350"/>
      <c r="D259" s="350"/>
      <c r="E259" s="350"/>
      <c r="F259" s="350"/>
      <c r="G259" s="350"/>
      <c r="H259" s="350"/>
      <c r="I259" s="293"/>
    </row>
    <row r="260" spans="1:9" x14ac:dyDescent="0.25">
      <c r="A260" s="350"/>
      <c r="B260" s="350"/>
      <c r="C260" s="350"/>
      <c r="D260" s="350"/>
      <c r="E260" s="350"/>
      <c r="F260" s="350"/>
      <c r="G260" s="350"/>
      <c r="H260" s="350"/>
      <c r="I260" s="293"/>
    </row>
    <row r="261" spans="1:9" x14ac:dyDescent="0.25">
      <c r="A261" s="350"/>
      <c r="B261" s="350"/>
      <c r="C261" s="350"/>
      <c r="D261" s="350"/>
      <c r="E261" s="350"/>
      <c r="F261" s="350"/>
      <c r="G261" s="350"/>
      <c r="H261" s="350"/>
      <c r="I261" s="293"/>
    </row>
    <row r="262" spans="1:9" x14ac:dyDescent="0.25">
      <c r="A262" s="350"/>
      <c r="B262" s="350"/>
      <c r="C262" s="350"/>
      <c r="D262" s="350"/>
      <c r="E262" s="350"/>
      <c r="F262" s="350"/>
      <c r="G262" s="350"/>
      <c r="H262" s="350"/>
      <c r="I262" s="293"/>
    </row>
    <row r="263" spans="1:9" x14ac:dyDescent="0.25">
      <c r="A263" s="350"/>
      <c r="B263" s="350"/>
      <c r="C263" s="350"/>
      <c r="D263" s="350"/>
      <c r="E263" s="350"/>
      <c r="F263" s="350"/>
      <c r="G263" s="350"/>
      <c r="H263" s="350"/>
      <c r="I263" s="293"/>
    </row>
    <row r="264" spans="1:9" x14ac:dyDescent="0.25">
      <c r="A264" s="350"/>
      <c r="B264" s="350"/>
      <c r="C264" s="350"/>
      <c r="D264" s="350"/>
      <c r="E264" s="350"/>
      <c r="F264" s="350"/>
      <c r="G264" s="350"/>
      <c r="H264" s="350"/>
      <c r="I264" s="293"/>
    </row>
    <row r="265" spans="1:9" x14ac:dyDescent="0.25">
      <c r="A265" s="350"/>
      <c r="B265" s="350"/>
      <c r="C265" s="350"/>
      <c r="D265" s="350"/>
      <c r="E265" s="350"/>
      <c r="F265" s="350"/>
      <c r="G265" s="350"/>
      <c r="H265" s="350"/>
      <c r="I265" s="293"/>
    </row>
    <row r="266" spans="1:9" x14ac:dyDescent="0.25">
      <c r="A266" s="350"/>
      <c r="B266" s="350"/>
      <c r="C266" s="350"/>
      <c r="D266" s="350"/>
      <c r="E266" s="350"/>
      <c r="F266" s="350"/>
      <c r="G266" s="350"/>
      <c r="H266" s="350"/>
    </row>
    <row r="267" spans="1:9" x14ac:dyDescent="0.25">
      <c r="A267" s="350"/>
      <c r="B267" s="350"/>
      <c r="C267" s="350"/>
      <c r="D267" s="350"/>
      <c r="E267" s="350"/>
      <c r="F267" s="350"/>
      <c r="G267" s="350"/>
      <c r="H267" s="350"/>
    </row>
    <row r="268" spans="1:9" x14ac:dyDescent="0.25">
      <c r="A268" s="350"/>
      <c r="B268" s="350"/>
      <c r="C268" s="350"/>
      <c r="D268" s="350"/>
      <c r="E268" s="350"/>
      <c r="F268" s="350"/>
      <c r="G268" s="350"/>
      <c r="H268" s="350"/>
    </row>
    <row r="269" spans="1:9" x14ac:dyDescent="0.25">
      <c r="A269" s="350"/>
      <c r="B269" s="350"/>
      <c r="C269" s="350"/>
      <c r="D269" s="350"/>
      <c r="E269" s="350"/>
      <c r="F269" s="350"/>
      <c r="G269" s="350"/>
      <c r="H269" s="350"/>
    </row>
    <row r="270" spans="1:9" x14ac:dyDescent="0.25">
      <c r="A270" s="350"/>
      <c r="B270" s="350"/>
      <c r="C270" s="350"/>
      <c r="D270" s="350"/>
      <c r="E270" s="350"/>
      <c r="F270" s="350"/>
      <c r="G270" s="350"/>
      <c r="H270" s="350"/>
    </row>
  </sheetData>
  <mergeCells count="12">
    <mergeCell ref="G97:H97"/>
    <mergeCell ref="G96:H96"/>
    <mergeCell ref="G95:H95"/>
    <mergeCell ref="G93:H93"/>
    <mergeCell ref="C97:C99"/>
    <mergeCell ref="G87:H87"/>
    <mergeCell ref="G86:H86"/>
    <mergeCell ref="G92:H92"/>
    <mergeCell ref="G84:H84"/>
    <mergeCell ref="G91:H91"/>
    <mergeCell ref="G89:H89"/>
    <mergeCell ref="G88:H88"/>
  </mergeCells>
  <pageMargins left="0.7" right="0" top="0.5" bottom="0.5" header="0.3" footer="0.3"/>
  <pageSetup scale="47" orientation="portrait" verticalDpi="300" r:id="rId1"/>
  <rowBreaks count="1" manualBreakCount="1">
    <brk id="8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67"/>
  <sheetViews>
    <sheetView workbookViewId="0">
      <selection activeCell="B6" sqref="B6"/>
    </sheetView>
  </sheetViews>
  <sheetFormatPr defaultColWidth="8.85546875" defaultRowHeight="15" x14ac:dyDescent="0.25"/>
  <cols>
    <col min="1" max="1" width="16.7109375" style="24" bestFit="1" customWidth="1"/>
    <col min="2" max="2" width="16.42578125" bestFit="1" customWidth="1"/>
    <col min="3" max="3" width="29.85546875" bestFit="1" customWidth="1"/>
    <col min="4" max="4" width="29" bestFit="1" customWidth="1"/>
    <col min="5" max="5" width="29" customWidth="1"/>
    <col min="6" max="6" width="23.85546875" bestFit="1" customWidth="1"/>
    <col min="7" max="7" width="18.140625" bestFit="1" customWidth="1"/>
    <col min="8" max="8" width="17.42578125" bestFit="1" customWidth="1"/>
    <col min="257" max="257" width="16.7109375" bestFit="1" customWidth="1"/>
    <col min="258" max="258" width="16.42578125" bestFit="1" customWidth="1"/>
    <col min="259" max="259" width="29.85546875" bestFit="1" customWidth="1"/>
    <col min="260" max="260" width="29" bestFit="1" customWidth="1"/>
    <col min="261" max="261" width="29" customWidth="1"/>
    <col min="262" max="262" width="23.85546875" bestFit="1" customWidth="1"/>
    <col min="263" max="263" width="18.140625" bestFit="1" customWidth="1"/>
    <col min="264" max="264" width="17.42578125" bestFit="1" customWidth="1"/>
    <col min="513" max="513" width="16.7109375" bestFit="1" customWidth="1"/>
    <col min="514" max="514" width="16.42578125" bestFit="1" customWidth="1"/>
    <col min="515" max="515" width="29.85546875" bestFit="1" customWidth="1"/>
    <col min="516" max="516" width="29" bestFit="1" customWidth="1"/>
    <col min="517" max="517" width="29" customWidth="1"/>
    <col min="518" max="518" width="23.85546875" bestFit="1" customWidth="1"/>
    <col min="519" max="519" width="18.140625" bestFit="1" customWidth="1"/>
    <col min="520" max="520" width="17.42578125" bestFit="1" customWidth="1"/>
    <col min="769" max="769" width="16.7109375" bestFit="1" customWidth="1"/>
    <col min="770" max="770" width="16.42578125" bestFit="1" customWidth="1"/>
    <col min="771" max="771" width="29.85546875" bestFit="1" customWidth="1"/>
    <col min="772" max="772" width="29" bestFit="1" customWidth="1"/>
    <col min="773" max="773" width="29" customWidth="1"/>
    <col min="774" max="774" width="23.85546875" bestFit="1" customWidth="1"/>
    <col min="775" max="775" width="18.140625" bestFit="1" customWidth="1"/>
    <col min="776" max="776" width="17.42578125" bestFit="1" customWidth="1"/>
    <col min="1025" max="1025" width="16.7109375" bestFit="1" customWidth="1"/>
    <col min="1026" max="1026" width="16.42578125" bestFit="1" customWidth="1"/>
    <col min="1027" max="1027" width="29.85546875" bestFit="1" customWidth="1"/>
    <col min="1028" max="1028" width="29" bestFit="1" customWidth="1"/>
    <col min="1029" max="1029" width="29" customWidth="1"/>
    <col min="1030" max="1030" width="23.85546875" bestFit="1" customWidth="1"/>
    <col min="1031" max="1031" width="18.140625" bestFit="1" customWidth="1"/>
    <col min="1032" max="1032" width="17.42578125" bestFit="1" customWidth="1"/>
    <col min="1281" max="1281" width="16.7109375" bestFit="1" customWidth="1"/>
    <col min="1282" max="1282" width="16.42578125" bestFit="1" customWidth="1"/>
    <col min="1283" max="1283" width="29.85546875" bestFit="1" customWidth="1"/>
    <col min="1284" max="1284" width="29" bestFit="1" customWidth="1"/>
    <col min="1285" max="1285" width="29" customWidth="1"/>
    <col min="1286" max="1286" width="23.85546875" bestFit="1" customWidth="1"/>
    <col min="1287" max="1287" width="18.140625" bestFit="1" customWidth="1"/>
    <col min="1288" max="1288" width="17.42578125" bestFit="1" customWidth="1"/>
    <col min="1537" max="1537" width="16.7109375" bestFit="1" customWidth="1"/>
    <col min="1538" max="1538" width="16.42578125" bestFit="1" customWidth="1"/>
    <col min="1539" max="1539" width="29.85546875" bestFit="1" customWidth="1"/>
    <col min="1540" max="1540" width="29" bestFit="1" customWidth="1"/>
    <col min="1541" max="1541" width="29" customWidth="1"/>
    <col min="1542" max="1542" width="23.85546875" bestFit="1" customWidth="1"/>
    <col min="1543" max="1543" width="18.140625" bestFit="1" customWidth="1"/>
    <col min="1544" max="1544" width="17.42578125" bestFit="1" customWidth="1"/>
    <col min="1793" max="1793" width="16.7109375" bestFit="1" customWidth="1"/>
    <col min="1794" max="1794" width="16.42578125" bestFit="1" customWidth="1"/>
    <col min="1795" max="1795" width="29.85546875" bestFit="1" customWidth="1"/>
    <col min="1796" max="1796" width="29" bestFit="1" customWidth="1"/>
    <col min="1797" max="1797" width="29" customWidth="1"/>
    <col min="1798" max="1798" width="23.85546875" bestFit="1" customWidth="1"/>
    <col min="1799" max="1799" width="18.140625" bestFit="1" customWidth="1"/>
    <col min="1800" max="1800" width="17.42578125" bestFit="1" customWidth="1"/>
    <col min="2049" max="2049" width="16.7109375" bestFit="1" customWidth="1"/>
    <col min="2050" max="2050" width="16.42578125" bestFit="1" customWidth="1"/>
    <col min="2051" max="2051" width="29.85546875" bestFit="1" customWidth="1"/>
    <col min="2052" max="2052" width="29" bestFit="1" customWidth="1"/>
    <col min="2053" max="2053" width="29" customWidth="1"/>
    <col min="2054" max="2054" width="23.85546875" bestFit="1" customWidth="1"/>
    <col min="2055" max="2055" width="18.140625" bestFit="1" customWidth="1"/>
    <col min="2056" max="2056" width="17.42578125" bestFit="1" customWidth="1"/>
    <col min="2305" max="2305" width="16.7109375" bestFit="1" customWidth="1"/>
    <col min="2306" max="2306" width="16.42578125" bestFit="1" customWidth="1"/>
    <col min="2307" max="2307" width="29.85546875" bestFit="1" customWidth="1"/>
    <col min="2308" max="2308" width="29" bestFit="1" customWidth="1"/>
    <col min="2309" max="2309" width="29" customWidth="1"/>
    <col min="2310" max="2310" width="23.85546875" bestFit="1" customWidth="1"/>
    <col min="2311" max="2311" width="18.140625" bestFit="1" customWidth="1"/>
    <col min="2312" max="2312" width="17.42578125" bestFit="1" customWidth="1"/>
    <col min="2561" max="2561" width="16.7109375" bestFit="1" customWidth="1"/>
    <col min="2562" max="2562" width="16.42578125" bestFit="1" customWidth="1"/>
    <col min="2563" max="2563" width="29.85546875" bestFit="1" customWidth="1"/>
    <col min="2564" max="2564" width="29" bestFit="1" customWidth="1"/>
    <col min="2565" max="2565" width="29" customWidth="1"/>
    <col min="2566" max="2566" width="23.85546875" bestFit="1" customWidth="1"/>
    <col min="2567" max="2567" width="18.140625" bestFit="1" customWidth="1"/>
    <col min="2568" max="2568" width="17.42578125" bestFit="1" customWidth="1"/>
    <col min="2817" max="2817" width="16.7109375" bestFit="1" customWidth="1"/>
    <col min="2818" max="2818" width="16.42578125" bestFit="1" customWidth="1"/>
    <col min="2819" max="2819" width="29.85546875" bestFit="1" customWidth="1"/>
    <col min="2820" max="2820" width="29" bestFit="1" customWidth="1"/>
    <col min="2821" max="2821" width="29" customWidth="1"/>
    <col min="2822" max="2822" width="23.85546875" bestFit="1" customWidth="1"/>
    <col min="2823" max="2823" width="18.140625" bestFit="1" customWidth="1"/>
    <col min="2824" max="2824" width="17.42578125" bestFit="1" customWidth="1"/>
    <col min="3073" max="3073" width="16.7109375" bestFit="1" customWidth="1"/>
    <col min="3074" max="3074" width="16.42578125" bestFit="1" customWidth="1"/>
    <col min="3075" max="3075" width="29.85546875" bestFit="1" customWidth="1"/>
    <col min="3076" max="3076" width="29" bestFit="1" customWidth="1"/>
    <col min="3077" max="3077" width="29" customWidth="1"/>
    <col min="3078" max="3078" width="23.85546875" bestFit="1" customWidth="1"/>
    <col min="3079" max="3079" width="18.140625" bestFit="1" customWidth="1"/>
    <col min="3080" max="3080" width="17.42578125" bestFit="1" customWidth="1"/>
    <col min="3329" max="3329" width="16.7109375" bestFit="1" customWidth="1"/>
    <col min="3330" max="3330" width="16.42578125" bestFit="1" customWidth="1"/>
    <col min="3331" max="3331" width="29.85546875" bestFit="1" customWidth="1"/>
    <col min="3332" max="3332" width="29" bestFit="1" customWidth="1"/>
    <col min="3333" max="3333" width="29" customWidth="1"/>
    <col min="3334" max="3334" width="23.85546875" bestFit="1" customWidth="1"/>
    <col min="3335" max="3335" width="18.140625" bestFit="1" customWidth="1"/>
    <col min="3336" max="3336" width="17.42578125" bestFit="1" customWidth="1"/>
    <col min="3585" max="3585" width="16.7109375" bestFit="1" customWidth="1"/>
    <col min="3586" max="3586" width="16.42578125" bestFit="1" customWidth="1"/>
    <col min="3587" max="3587" width="29.85546875" bestFit="1" customWidth="1"/>
    <col min="3588" max="3588" width="29" bestFit="1" customWidth="1"/>
    <col min="3589" max="3589" width="29" customWidth="1"/>
    <col min="3590" max="3590" width="23.85546875" bestFit="1" customWidth="1"/>
    <col min="3591" max="3591" width="18.140625" bestFit="1" customWidth="1"/>
    <col min="3592" max="3592" width="17.42578125" bestFit="1" customWidth="1"/>
    <col min="3841" max="3841" width="16.7109375" bestFit="1" customWidth="1"/>
    <col min="3842" max="3842" width="16.42578125" bestFit="1" customWidth="1"/>
    <col min="3843" max="3843" width="29.85546875" bestFit="1" customWidth="1"/>
    <col min="3844" max="3844" width="29" bestFit="1" customWidth="1"/>
    <col min="3845" max="3845" width="29" customWidth="1"/>
    <col min="3846" max="3846" width="23.85546875" bestFit="1" customWidth="1"/>
    <col min="3847" max="3847" width="18.140625" bestFit="1" customWidth="1"/>
    <col min="3848" max="3848" width="17.42578125" bestFit="1" customWidth="1"/>
    <col min="4097" max="4097" width="16.7109375" bestFit="1" customWidth="1"/>
    <col min="4098" max="4098" width="16.42578125" bestFit="1" customWidth="1"/>
    <col min="4099" max="4099" width="29.85546875" bestFit="1" customWidth="1"/>
    <col min="4100" max="4100" width="29" bestFit="1" customWidth="1"/>
    <col min="4101" max="4101" width="29" customWidth="1"/>
    <col min="4102" max="4102" width="23.85546875" bestFit="1" customWidth="1"/>
    <col min="4103" max="4103" width="18.140625" bestFit="1" customWidth="1"/>
    <col min="4104" max="4104" width="17.42578125" bestFit="1" customWidth="1"/>
    <col min="4353" max="4353" width="16.7109375" bestFit="1" customWidth="1"/>
    <col min="4354" max="4354" width="16.42578125" bestFit="1" customWidth="1"/>
    <col min="4355" max="4355" width="29.85546875" bestFit="1" customWidth="1"/>
    <col min="4356" max="4356" width="29" bestFit="1" customWidth="1"/>
    <col min="4357" max="4357" width="29" customWidth="1"/>
    <col min="4358" max="4358" width="23.85546875" bestFit="1" customWidth="1"/>
    <col min="4359" max="4359" width="18.140625" bestFit="1" customWidth="1"/>
    <col min="4360" max="4360" width="17.42578125" bestFit="1" customWidth="1"/>
    <col min="4609" max="4609" width="16.7109375" bestFit="1" customWidth="1"/>
    <col min="4610" max="4610" width="16.42578125" bestFit="1" customWidth="1"/>
    <col min="4611" max="4611" width="29.85546875" bestFit="1" customWidth="1"/>
    <col min="4612" max="4612" width="29" bestFit="1" customWidth="1"/>
    <col min="4613" max="4613" width="29" customWidth="1"/>
    <col min="4614" max="4614" width="23.85546875" bestFit="1" customWidth="1"/>
    <col min="4615" max="4615" width="18.140625" bestFit="1" customWidth="1"/>
    <col min="4616" max="4616" width="17.42578125" bestFit="1" customWidth="1"/>
    <col min="4865" max="4865" width="16.7109375" bestFit="1" customWidth="1"/>
    <col min="4866" max="4866" width="16.42578125" bestFit="1" customWidth="1"/>
    <col min="4867" max="4867" width="29.85546875" bestFit="1" customWidth="1"/>
    <col min="4868" max="4868" width="29" bestFit="1" customWidth="1"/>
    <col min="4869" max="4869" width="29" customWidth="1"/>
    <col min="4870" max="4870" width="23.85546875" bestFit="1" customWidth="1"/>
    <col min="4871" max="4871" width="18.140625" bestFit="1" customWidth="1"/>
    <col min="4872" max="4872" width="17.42578125" bestFit="1" customWidth="1"/>
    <col min="5121" max="5121" width="16.7109375" bestFit="1" customWidth="1"/>
    <col min="5122" max="5122" width="16.42578125" bestFit="1" customWidth="1"/>
    <col min="5123" max="5123" width="29.85546875" bestFit="1" customWidth="1"/>
    <col min="5124" max="5124" width="29" bestFit="1" customWidth="1"/>
    <col min="5125" max="5125" width="29" customWidth="1"/>
    <col min="5126" max="5126" width="23.85546875" bestFit="1" customWidth="1"/>
    <col min="5127" max="5127" width="18.140625" bestFit="1" customWidth="1"/>
    <col min="5128" max="5128" width="17.42578125" bestFit="1" customWidth="1"/>
    <col min="5377" max="5377" width="16.7109375" bestFit="1" customWidth="1"/>
    <col min="5378" max="5378" width="16.42578125" bestFit="1" customWidth="1"/>
    <col min="5379" max="5379" width="29.85546875" bestFit="1" customWidth="1"/>
    <col min="5380" max="5380" width="29" bestFit="1" customWidth="1"/>
    <col min="5381" max="5381" width="29" customWidth="1"/>
    <col min="5382" max="5382" width="23.85546875" bestFit="1" customWidth="1"/>
    <col min="5383" max="5383" width="18.140625" bestFit="1" customWidth="1"/>
    <col min="5384" max="5384" width="17.42578125" bestFit="1" customWidth="1"/>
    <col min="5633" max="5633" width="16.7109375" bestFit="1" customWidth="1"/>
    <col min="5634" max="5634" width="16.42578125" bestFit="1" customWidth="1"/>
    <col min="5635" max="5635" width="29.85546875" bestFit="1" customWidth="1"/>
    <col min="5636" max="5636" width="29" bestFit="1" customWidth="1"/>
    <col min="5637" max="5637" width="29" customWidth="1"/>
    <col min="5638" max="5638" width="23.85546875" bestFit="1" customWidth="1"/>
    <col min="5639" max="5639" width="18.140625" bestFit="1" customWidth="1"/>
    <col min="5640" max="5640" width="17.42578125" bestFit="1" customWidth="1"/>
    <col min="5889" max="5889" width="16.7109375" bestFit="1" customWidth="1"/>
    <col min="5890" max="5890" width="16.42578125" bestFit="1" customWidth="1"/>
    <col min="5891" max="5891" width="29.85546875" bestFit="1" customWidth="1"/>
    <col min="5892" max="5892" width="29" bestFit="1" customWidth="1"/>
    <col min="5893" max="5893" width="29" customWidth="1"/>
    <col min="5894" max="5894" width="23.85546875" bestFit="1" customWidth="1"/>
    <col min="5895" max="5895" width="18.140625" bestFit="1" customWidth="1"/>
    <col min="5896" max="5896" width="17.42578125" bestFit="1" customWidth="1"/>
    <col min="6145" max="6145" width="16.7109375" bestFit="1" customWidth="1"/>
    <col min="6146" max="6146" width="16.42578125" bestFit="1" customWidth="1"/>
    <col min="6147" max="6147" width="29.85546875" bestFit="1" customWidth="1"/>
    <col min="6148" max="6148" width="29" bestFit="1" customWidth="1"/>
    <col min="6149" max="6149" width="29" customWidth="1"/>
    <col min="6150" max="6150" width="23.85546875" bestFit="1" customWidth="1"/>
    <col min="6151" max="6151" width="18.140625" bestFit="1" customWidth="1"/>
    <col min="6152" max="6152" width="17.42578125" bestFit="1" customWidth="1"/>
    <col min="6401" max="6401" width="16.7109375" bestFit="1" customWidth="1"/>
    <col min="6402" max="6402" width="16.42578125" bestFit="1" customWidth="1"/>
    <col min="6403" max="6403" width="29.85546875" bestFit="1" customWidth="1"/>
    <col min="6404" max="6404" width="29" bestFit="1" customWidth="1"/>
    <col min="6405" max="6405" width="29" customWidth="1"/>
    <col min="6406" max="6406" width="23.85546875" bestFit="1" customWidth="1"/>
    <col min="6407" max="6407" width="18.140625" bestFit="1" customWidth="1"/>
    <col min="6408" max="6408" width="17.42578125" bestFit="1" customWidth="1"/>
    <col min="6657" max="6657" width="16.7109375" bestFit="1" customWidth="1"/>
    <col min="6658" max="6658" width="16.42578125" bestFit="1" customWidth="1"/>
    <col min="6659" max="6659" width="29.85546875" bestFit="1" customWidth="1"/>
    <col min="6660" max="6660" width="29" bestFit="1" customWidth="1"/>
    <col min="6661" max="6661" width="29" customWidth="1"/>
    <col min="6662" max="6662" width="23.85546875" bestFit="1" customWidth="1"/>
    <col min="6663" max="6663" width="18.140625" bestFit="1" customWidth="1"/>
    <col min="6664" max="6664" width="17.42578125" bestFit="1" customWidth="1"/>
    <col min="6913" max="6913" width="16.7109375" bestFit="1" customWidth="1"/>
    <col min="6914" max="6914" width="16.42578125" bestFit="1" customWidth="1"/>
    <col min="6915" max="6915" width="29.85546875" bestFit="1" customWidth="1"/>
    <col min="6916" max="6916" width="29" bestFit="1" customWidth="1"/>
    <col min="6917" max="6917" width="29" customWidth="1"/>
    <col min="6918" max="6918" width="23.85546875" bestFit="1" customWidth="1"/>
    <col min="6919" max="6919" width="18.140625" bestFit="1" customWidth="1"/>
    <col min="6920" max="6920" width="17.42578125" bestFit="1" customWidth="1"/>
    <col min="7169" max="7169" width="16.7109375" bestFit="1" customWidth="1"/>
    <col min="7170" max="7170" width="16.42578125" bestFit="1" customWidth="1"/>
    <col min="7171" max="7171" width="29.85546875" bestFit="1" customWidth="1"/>
    <col min="7172" max="7172" width="29" bestFit="1" customWidth="1"/>
    <col min="7173" max="7173" width="29" customWidth="1"/>
    <col min="7174" max="7174" width="23.85546875" bestFit="1" customWidth="1"/>
    <col min="7175" max="7175" width="18.140625" bestFit="1" customWidth="1"/>
    <col min="7176" max="7176" width="17.42578125" bestFit="1" customWidth="1"/>
    <col min="7425" max="7425" width="16.7109375" bestFit="1" customWidth="1"/>
    <col min="7426" max="7426" width="16.42578125" bestFit="1" customWidth="1"/>
    <col min="7427" max="7427" width="29.85546875" bestFit="1" customWidth="1"/>
    <col min="7428" max="7428" width="29" bestFit="1" customWidth="1"/>
    <col min="7429" max="7429" width="29" customWidth="1"/>
    <col min="7430" max="7430" width="23.85546875" bestFit="1" customWidth="1"/>
    <col min="7431" max="7431" width="18.140625" bestFit="1" customWidth="1"/>
    <col min="7432" max="7432" width="17.42578125" bestFit="1" customWidth="1"/>
    <col min="7681" max="7681" width="16.7109375" bestFit="1" customWidth="1"/>
    <col min="7682" max="7682" width="16.42578125" bestFit="1" customWidth="1"/>
    <col min="7683" max="7683" width="29.85546875" bestFit="1" customWidth="1"/>
    <col min="7684" max="7684" width="29" bestFit="1" customWidth="1"/>
    <col min="7685" max="7685" width="29" customWidth="1"/>
    <col min="7686" max="7686" width="23.85546875" bestFit="1" customWidth="1"/>
    <col min="7687" max="7687" width="18.140625" bestFit="1" customWidth="1"/>
    <col min="7688" max="7688" width="17.42578125" bestFit="1" customWidth="1"/>
    <col min="7937" max="7937" width="16.7109375" bestFit="1" customWidth="1"/>
    <col min="7938" max="7938" width="16.42578125" bestFit="1" customWidth="1"/>
    <col min="7939" max="7939" width="29.85546875" bestFit="1" customWidth="1"/>
    <col min="7940" max="7940" width="29" bestFit="1" customWidth="1"/>
    <col min="7941" max="7941" width="29" customWidth="1"/>
    <col min="7942" max="7942" width="23.85546875" bestFit="1" customWidth="1"/>
    <col min="7943" max="7943" width="18.140625" bestFit="1" customWidth="1"/>
    <col min="7944" max="7944" width="17.42578125" bestFit="1" customWidth="1"/>
    <col min="8193" max="8193" width="16.7109375" bestFit="1" customWidth="1"/>
    <col min="8194" max="8194" width="16.42578125" bestFit="1" customWidth="1"/>
    <col min="8195" max="8195" width="29.85546875" bestFit="1" customWidth="1"/>
    <col min="8196" max="8196" width="29" bestFit="1" customWidth="1"/>
    <col min="8197" max="8197" width="29" customWidth="1"/>
    <col min="8198" max="8198" width="23.85546875" bestFit="1" customWidth="1"/>
    <col min="8199" max="8199" width="18.140625" bestFit="1" customWidth="1"/>
    <col min="8200" max="8200" width="17.42578125" bestFit="1" customWidth="1"/>
    <col min="8449" max="8449" width="16.7109375" bestFit="1" customWidth="1"/>
    <col min="8450" max="8450" width="16.42578125" bestFit="1" customWidth="1"/>
    <col min="8451" max="8451" width="29.85546875" bestFit="1" customWidth="1"/>
    <col min="8452" max="8452" width="29" bestFit="1" customWidth="1"/>
    <col min="8453" max="8453" width="29" customWidth="1"/>
    <col min="8454" max="8454" width="23.85546875" bestFit="1" customWidth="1"/>
    <col min="8455" max="8455" width="18.140625" bestFit="1" customWidth="1"/>
    <col min="8456" max="8456" width="17.42578125" bestFit="1" customWidth="1"/>
    <col min="8705" max="8705" width="16.7109375" bestFit="1" customWidth="1"/>
    <col min="8706" max="8706" width="16.42578125" bestFit="1" customWidth="1"/>
    <col min="8707" max="8707" width="29.85546875" bestFit="1" customWidth="1"/>
    <col min="8708" max="8708" width="29" bestFit="1" customWidth="1"/>
    <col min="8709" max="8709" width="29" customWidth="1"/>
    <col min="8710" max="8710" width="23.85546875" bestFit="1" customWidth="1"/>
    <col min="8711" max="8711" width="18.140625" bestFit="1" customWidth="1"/>
    <col min="8712" max="8712" width="17.42578125" bestFit="1" customWidth="1"/>
    <col min="8961" max="8961" width="16.7109375" bestFit="1" customWidth="1"/>
    <col min="8962" max="8962" width="16.42578125" bestFit="1" customWidth="1"/>
    <col min="8963" max="8963" width="29.85546875" bestFit="1" customWidth="1"/>
    <col min="8964" max="8964" width="29" bestFit="1" customWidth="1"/>
    <col min="8965" max="8965" width="29" customWidth="1"/>
    <col min="8966" max="8966" width="23.85546875" bestFit="1" customWidth="1"/>
    <col min="8967" max="8967" width="18.140625" bestFit="1" customWidth="1"/>
    <col min="8968" max="8968" width="17.42578125" bestFit="1" customWidth="1"/>
    <col min="9217" max="9217" width="16.7109375" bestFit="1" customWidth="1"/>
    <col min="9218" max="9218" width="16.42578125" bestFit="1" customWidth="1"/>
    <col min="9219" max="9219" width="29.85546875" bestFit="1" customWidth="1"/>
    <col min="9220" max="9220" width="29" bestFit="1" customWidth="1"/>
    <col min="9221" max="9221" width="29" customWidth="1"/>
    <col min="9222" max="9222" width="23.85546875" bestFit="1" customWidth="1"/>
    <col min="9223" max="9223" width="18.140625" bestFit="1" customWidth="1"/>
    <col min="9224" max="9224" width="17.42578125" bestFit="1" customWidth="1"/>
    <col min="9473" max="9473" width="16.7109375" bestFit="1" customWidth="1"/>
    <col min="9474" max="9474" width="16.42578125" bestFit="1" customWidth="1"/>
    <col min="9475" max="9475" width="29.85546875" bestFit="1" customWidth="1"/>
    <col min="9476" max="9476" width="29" bestFit="1" customWidth="1"/>
    <col min="9477" max="9477" width="29" customWidth="1"/>
    <col min="9478" max="9478" width="23.85546875" bestFit="1" customWidth="1"/>
    <col min="9479" max="9479" width="18.140625" bestFit="1" customWidth="1"/>
    <col min="9480" max="9480" width="17.42578125" bestFit="1" customWidth="1"/>
    <col min="9729" max="9729" width="16.7109375" bestFit="1" customWidth="1"/>
    <col min="9730" max="9730" width="16.42578125" bestFit="1" customWidth="1"/>
    <col min="9731" max="9731" width="29.85546875" bestFit="1" customWidth="1"/>
    <col min="9732" max="9732" width="29" bestFit="1" customWidth="1"/>
    <col min="9733" max="9733" width="29" customWidth="1"/>
    <col min="9734" max="9734" width="23.85546875" bestFit="1" customWidth="1"/>
    <col min="9735" max="9735" width="18.140625" bestFit="1" customWidth="1"/>
    <col min="9736" max="9736" width="17.42578125" bestFit="1" customWidth="1"/>
    <col min="9985" max="9985" width="16.7109375" bestFit="1" customWidth="1"/>
    <col min="9986" max="9986" width="16.42578125" bestFit="1" customWidth="1"/>
    <col min="9987" max="9987" width="29.85546875" bestFit="1" customWidth="1"/>
    <col min="9988" max="9988" width="29" bestFit="1" customWidth="1"/>
    <col min="9989" max="9989" width="29" customWidth="1"/>
    <col min="9990" max="9990" width="23.85546875" bestFit="1" customWidth="1"/>
    <col min="9991" max="9991" width="18.140625" bestFit="1" customWidth="1"/>
    <col min="9992" max="9992" width="17.42578125" bestFit="1" customWidth="1"/>
    <col min="10241" max="10241" width="16.7109375" bestFit="1" customWidth="1"/>
    <col min="10242" max="10242" width="16.42578125" bestFit="1" customWidth="1"/>
    <col min="10243" max="10243" width="29.85546875" bestFit="1" customWidth="1"/>
    <col min="10244" max="10244" width="29" bestFit="1" customWidth="1"/>
    <col min="10245" max="10245" width="29" customWidth="1"/>
    <col min="10246" max="10246" width="23.85546875" bestFit="1" customWidth="1"/>
    <col min="10247" max="10247" width="18.140625" bestFit="1" customWidth="1"/>
    <col min="10248" max="10248" width="17.42578125" bestFit="1" customWidth="1"/>
    <col min="10497" max="10497" width="16.7109375" bestFit="1" customWidth="1"/>
    <col min="10498" max="10498" width="16.42578125" bestFit="1" customWidth="1"/>
    <col min="10499" max="10499" width="29.85546875" bestFit="1" customWidth="1"/>
    <col min="10500" max="10500" width="29" bestFit="1" customWidth="1"/>
    <col min="10501" max="10501" width="29" customWidth="1"/>
    <col min="10502" max="10502" width="23.85546875" bestFit="1" customWidth="1"/>
    <col min="10503" max="10503" width="18.140625" bestFit="1" customWidth="1"/>
    <col min="10504" max="10504" width="17.42578125" bestFit="1" customWidth="1"/>
    <col min="10753" max="10753" width="16.7109375" bestFit="1" customWidth="1"/>
    <col min="10754" max="10754" width="16.42578125" bestFit="1" customWidth="1"/>
    <col min="10755" max="10755" width="29.85546875" bestFit="1" customWidth="1"/>
    <col min="10756" max="10756" width="29" bestFit="1" customWidth="1"/>
    <col min="10757" max="10757" width="29" customWidth="1"/>
    <col min="10758" max="10758" width="23.85546875" bestFit="1" customWidth="1"/>
    <col min="10759" max="10759" width="18.140625" bestFit="1" customWidth="1"/>
    <col min="10760" max="10760" width="17.42578125" bestFit="1" customWidth="1"/>
    <col min="11009" max="11009" width="16.7109375" bestFit="1" customWidth="1"/>
    <col min="11010" max="11010" width="16.42578125" bestFit="1" customWidth="1"/>
    <col min="11011" max="11011" width="29.85546875" bestFit="1" customWidth="1"/>
    <col min="11012" max="11012" width="29" bestFit="1" customWidth="1"/>
    <col min="11013" max="11013" width="29" customWidth="1"/>
    <col min="11014" max="11014" width="23.85546875" bestFit="1" customWidth="1"/>
    <col min="11015" max="11015" width="18.140625" bestFit="1" customWidth="1"/>
    <col min="11016" max="11016" width="17.42578125" bestFit="1" customWidth="1"/>
    <col min="11265" max="11265" width="16.7109375" bestFit="1" customWidth="1"/>
    <col min="11266" max="11266" width="16.42578125" bestFit="1" customWidth="1"/>
    <col min="11267" max="11267" width="29.85546875" bestFit="1" customWidth="1"/>
    <col min="11268" max="11268" width="29" bestFit="1" customWidth="1"/>
    <col min="11269" max="11269" width="29" customWidth="1"/>
    <col min="11270" max="11270" width="23.85546875" bestFit="1" customWidth="1"/>
    <col min="11271" max="11271" width="18.140625" bestFit="1" customWidth="1"/>
    <col min="11272" max="11272" width="17.42578125" bestFit="1" customWidth="1"/>
    <col min="11521" max="11521" width="16.7109375" bestFit="1" customWidth="1"/>
    <col min="11522" max="11522" width="16.42578125" bestFit="1" customWidth="1"/>
    <col min="11523" max="11523" width="29.85546875" bestFit="1" customWidth="1"/>
    <col min="11524" max="11524" width="29" bestFit="1" customWidth="1"/>
    <col min="11525" max="11525" width="29" customWidth="1"/>
    <col min="11526" max="11526" width="23.85546875" bestFit="1" customWidth="1"/>
    <col min="11527" max="11527" width="18.140625" bestFit="1" customWidth="1"/>
    <col min="11528" max="11528" width="17.42578125" bestFit="1" customWidth="1"/>
    <col min="11777" max="11777" width="16.7109375" bestFit="1" customWidth="1"/>
    <col min="11778" max="11778" width="16.42578125" bestFit="1" customWidth="1"/>
    <col min="11779" max="11779" width="29.85546875" bestFit="1" customWidth="1"/>
    <col min="11780" max="11780" width="29" bestFit="1" customWidth="1"/>
    <col min="11781" max="11781" width="29" customWidth="1"/>
    <col min="11782" max="11782" width="23.85546875" bestFit="1" customWidth="1"/>
    <col min="11783" max="11783" width="18.140625" bestFit="1" customWidth="1"/>
    <col min="11784" max="11784" width="17.42578125" bestFit="1" customWidth="1"/>
    <col min="12033" max="12033" width="16.7109375" bestFit="1" customWidth="1"/>
    <col min="12034" max="12034" width="16.42578125" bestFit="1" customWidth="1"/>
    <col min="12035" max="12035" width="29.85546875" bestFit="1" customWidth="1"/>
    <col min="12036" max="12036" width="29" bestFit="1" customWidth="1"/>
    <col min="12037" max="12037" width="29" customWidth="1"/>
    <col min="12038" max="12038" width="23.85546875" bestFit="1" customWidth="1"/>
    <col min="12039" max="12039" width="18.140625" bestFit="1" customWidth="1"/>
    <col min="12040" max="12040" width="17.42578125" bestFit="1" customWidth="1"/>
    <col min="12289" max="12289" width="16.7109375" bestFit="1" customWidth="1"/>
    <col min="12290" max="12290" width="16.42578125" bestFit="1" customWidth="1"/>
    <col min="12291" max="12291" width="29.85546875" bestFit="1" customWidth="1"/>
    <col min="12292" max="12292" width="29" bestFit="1" customWidth="1"/>
    <col min="12293" max="12293" width="29" customWidth="1"/>
    <col min="12294" max="12294" width="23.85546875" bestFit="1" customWidth="1"/>
    <col min="12295" max="12295" width="18.140625" bestFit="1" customWidth="1"/>
    <col min="12296" max="12296" width="17.42578125" bestFit="1" customWidth="1"/>
    <col min="12545" max="12545" width="16.7109375" bestFit="1" customWidth="1"/>
    <col min="12546" max="12546" width="16.42578125" bestFit="1" customWidth="1"/>
    <col min="12547" max="12547" width="29.85546875" bestFit="1" customWidth="1"/>
    <col min="12548" max="12548" width="29" bestFit="1" customWidth="1"/>
    <col min="12549" max="12549" width="29" customWidth="1"/>
    <col min="12550" max="12550" width="23.85546875" bestFit="1" customWidth="1"/>
    <col min="12551" max="12551" width="18.140625" bestFit="1" customWidth="1"/>
    <col min="12552" max="12552" width="17.42578125" bestFit="1" customWidth="1"/>
    <col min="12801" max="12801" width="16.7109375" bestFit="1" customWidth="1"/>
    <col min="12802" max="12802" width="16.42578125" bestFit="1" customWidth="1"/>
    <col min="12803" max="12803" width="29.85546875" bestFit="1" customWidth="1"/>
    <col min="12804" max="12804" width="29" bestFit="1" customWidth="1"/>
    <col min="12805" max="12805" width="29" customWidth="1"/>
    <col min="12806" max="12806" width="23.85546875" bestFit="1" customWidth="1"/>
    <col min="12807" max="12807" width="18.140625" bestFit="1" customWidth="1"/>
    <col min="12808" max="12808" width="17.42578125" bestFit="1" customWidth="1"/>
    <col min="13057" max="13057" width="16.7109375" bestFit="1" customWidth="1"/>
    <col min="13058" max="13058" width="16.42578125" bestFit="1" customWidth="1"/>
    <col min="13059" max="13059" width="29.85546875" bestFit="1" customWidth="1"/>
    <col min="13060" max="13060" width="29" bestFit="1" customWidth="1"/>
    <col min="13061" max="13061" width="29" customWidth="1"/>
    <col min="13062" max="13062" width="23.85546875" bestFit="1" customWidth="1"/>
    <col min="13063" max="13063" width="18.140625" bestFit="1" customWidth="1"/>
    <col min="13064" max="13064" width="17.42578125" bestFit="1" customWidth="1"/>
    <col min="13313" max="13313" width="16.7109375" bestFit="1" customWidth="1"/>
    <col min="13314" max="13314" width="16.42578125" bestFit="1" customWidth="1"/>
    <col min="13315" max="13315" width="29.85546875" bestFit="1" customWidth="1"/>
    <col min="13316" max="13316" width="29" bestFit="1" customWidth="1"/>
    <col min="13317" max="13317" width="29" customWidth="1"/>
    <col min="13318" max="13318" width="23.85546875" bestFit="1" customWidth="1"/>
    <col min="13319" max="13319" width="18.140625" bestFit="1" customWidth="1"/>
    <col min="13320" max="13320" width="17.42578125" bestFit="1" customWidth="1"/>
    <col min="13569" max="13569" width="16.7109375" bestFit="1" customWidth="1"/>
    <col min="13570" max="13570" width="16.42578125" bestFit="1" customWidth="1"/>
    <col min="13571" max="13571" width="29.85546875" bestFit="1" customWidth="1"/>
    <col min="13572" max="13572" width="29" bestFit="1" customWidth="1"/>
    <col min="13573" max="13573" width="29" customWidth="1"/>
    <col min="13574" max="13574" width="23.85546875" bestFit="1" customWidth="1"/>
    <col min="13575" max="13575" width="18.140625" bestFit="1" customWidth="1"/>
    <col min="13576" max="13576" width="17.42578125" bestFit="1" customWidth="1"/>
    <col min="13825" max="13825" width="16.7109375" bestFit="1" customWidth="1"/>
    <col min="13826" max="13826" width="16.42578125" bestFit="1" customWidth="1"/>
    <col min="13827" max="13827" width="29.85546875" bestFit="1" customWidth="1"/>
    <col min="13828" max="13828" width="29" bestFit="1" customWidth="1"/>
    <col min="13829" max="13829" width="29" customWidth="1"/>
    <col min="13830" max="13830" width="23.85546875" bestFit="1" customWidth="1"/>
    <col min="13831" max="13831" width="18.140625" bestFit="1" customWidth="1"/>
    <col min="13832" max="13832" width="17.42578125" bestFit="1" customWidth="1"/>
    <col min="14081" max="14081" width="16.7109375" bestFit="1" customWidth="1"/>
    <col min="14082" max="14082" width="16.42578125" bestFit="1" customWidth="1"/>
    <col min="14083" max="14083" width="29.85546875" bestFit="1" customWidth="1"/>
    <col min="14084" max="14084" width="29" bestFit="1" customWidth="1"/>
    <col min="14085" max="14085" width="29" customWidth="1"/>
    <col min="14086" max="14086" width="23.85546875" bestFit="1" customWidth="1"/>
    <col min="14087" max="14087" width="18.140625" bestFit="1" customWidth="1"/>
    <col min="14088" max="14088" width="17.42578125" bestFit="1" customWidth="1"/>
    <col min="14337" max="14337" width="16.7109375" bestFit="1" customWidth="1"/>
    <col min="14338" max="14338" width="16.42578125" bestFit="1" customWidth="1"/>
    <col min="14339" max="14339" width="29.85546875" bestFit="1" customWidth="1"/>
    <col min="14340" max="14340" width="29" bestFit="1" customWidth="1"/>
    <col min="14341" max="14341" width="29" customWidth="1"/>
    <col min="14342" max="14342" width="23.85546875" bestFit="1" customWidth="1"/>
    <col min="14343" max="14343" width="18.140625" bestFit="1" customWidth="1"/>
    <col min="14344" max="14344" width="17.42578125" bestFit="1" customWidth="1"/>
    <col min="14593" max="14593" width="16.7109375" bestFit="1" customWidth="1"/>
    <col min="14594" max="14594" width="16.42578125" bestFit="1" customWidth="1"/>
    <col min="14595" max="14595" width="29.85546875" bestFit="1" customWidth="1"/>
    <col min="14596" max="14596" width="29" bestFit="1" customWidth="1"/>
    <col min="14597" max="14597" width="29" customWidth="1"/>
    <col min="14598" max="14598" width="23.85546875" bestFit="1" customWidth="1"/>
    <col min="14599" max="14599" width="18.140625" bestFit="1" customWidth="1"/>
    <col min="14600" max="14600" width="17.42578125" bestFit="1" customWidth="1"/>
    <col min="14849" max="14849" width="16.7109375" bestFit="1" customWidth="1"/>
    <col min="14850" max="14850" width="16.42578125" bestFit="1" customWidth="1"/>
    <col min="14851" max="14851" width="29.85546875" bestFit="1" customWidth="1"/>
    <col min="14852" max="14852" width="29" bestFit="1" customWidth="1"/>
    <col min="14853" max="14853" width="29" customWidth="1"/>
    <col min="14854" max="14854" width="23.85546875" bestFit="1" customWidth="1"/>
    <col min="14855" max="14855" width="18.140625" bestFit="1" customWidth="1"/>
    <col min="14856" max="14856" width="17.42578125" bestFit="1" customWidth="1"/>
    <col min="15105" max="15105" width="16.7109375" bestFit="1" customWidth="1"/>
    <col min="15106" max="15106" width="16.42578125" bestFit="1" customWidth="1"/>
    <col min="15107" max="15107" width="29.85546875" bestFit="1" customWidth="1"/>
    <col min="15108" max="15108" width="29" bestFit="1" customWidth="1"/>
    <col min="15109" max="15109" width="29" customWidth="1"/>
    <col min="15110" max="15110" width="23.85546875" bestFit="1" customWidth="1"/>
    <col min="15111" max="15111" width="18.140625" bestFit="1" customWidth="1"/>
    <col min="15112" max="15112" width="17.42578125" bestFit="1" customWidth="1"/>
    <col min="15361" max="15361" width="16.7109375" bestFit="1" customWidth="1"/>
    <col min="15362" max="15362" width="16.42578125" bestFit="1" customWidth="1"/>
    <col min="15363" max="15363" width="29.85546875" bestFit="1" customWidth="1"/>
    <col min="15364" max="15364" width="29" bestFit="1" customWidth="1"/>
    <col min="15365" max="15365" width="29" customWidth="1"/>
    <col min="15366" max="15366" width="23.85546875" bestFit="1" customWidth="1"/>
    <col min="15367" max="15367" width="18.140625" bestFit="1" customWidth="1"/>
    <col min="15368" max="15368" width="17.42578125" bestFit="1" customWidth="1"/>
    <col min="15617" max="15617" width="16.7109375" bestFit="1" customWidth="1"/>
    <col min="15618" max="15618" width="16.42578125" bestFit="1" customWidth="1"/>
    <col min="15619" max="15619" width="29.85546875" bestFit="1" customWidth="1"/>
    <col min="15620" max="15620" width="29" bestFit="1" customWidth="1"/>
    <col min="15621" max="15621" width="29" customWidth="1"/>
    <col min="15622" max="15622" width="23.85546875" bestFit="1" customWidth="1"/>
    <col min="15623" max="15623" width="18.140625" bestFit="1" customWidth="1"/>
    <col min="15624" max="15624" width="17.42578125" bestFit="1" customWidth="1"/>
    <col min="15873" max="15873" width="16.7109375" bestFit="1" customWidth="1"/>
    <col min="15874" max="15874" width="16.42578125" bestFit="1" customWidth="1"/>
    <col min="15875" max="15875" width="29.85546875" bestFit="1" customWidth="1"/>
    <col min="15876" max="15876" width="29" bestFit="1" customWidth="1"/>
    <col min="15877" max="15877" width="29" customWidth="1"/>
    <col min="15878" max="15878" width="23.85546875" bestFit="1" customWidth="1"/>
    <col min="15879" max="15879" width="18.140625" bestFit="1" customWidth="1"/>
    <col min="15880" max="15880" width="17.42578125" bestFit="1" customWidth="1"/>
    <col min="16129" max="16129" width="16.7109375" bestFit="1" customWidth="1"/>
    <col min="16130" max="16130" width="16.42578125" bestFit="1" customWidth="1"/>
    <col min="16131" max="16131" width="29.85546875" bestFit="1" customWidth="1"/>
    <col min="16132" max="16132" width="29" bestFit="1" customWidth="1"/>
    <col min="16133" max="16133" width="29" customWidth="1"/>
    <col min="16134" max="16134" width="23.85546875" bestFit="1" customWidth="1"/>
    <col min="16135" max="16135" width="18.140625" bestFit="1" customWidth="1"/>
    <col min="16136" max="16136" width="17.42578125" bestFit="1" customWidth="1"/>
  </cols>
  <sheetData>
    <row r="1" spans="1:8" ht="18.95" thickBot="1" x14ac:dyDescent="0.5">
      <c r="C1" s="626" t="s">
        <v>61</v>
      </c>
      <c r="D1" s="627"/>
      <c r="E1" s="25"/>
    </row>
    <row r="2" spans="1:8" thickBot="1" x14ac:dyDescent="0.4">
      <c r="C2" t="s">
        <v>62</v>
      </c>
    </row>
    <row r="3" spans="1:8" ht="14.45" x14ac:dyDescent="0.35">
      <c r="A3" s="26" t="s">
        <v>63</v>
      </c>
      <c r="B3" s="27">
        <f>'Forecast (Good)'!C29</f>
        <v>400000</v>
      </c>
      <c r="E3" s="28"/>
    </row>
    <row r="4" spans="1:8" ht="14.45" x14ac:dyDescent="0.35">
      <c r="A4" s="29" t="s">
        <v>64</v>
      </c>
      <c r="B4" s="30">
        <f>'Forecast (Good)'!C31</f>
        <v>7.0000000000000007E-2</v>
      </c>
    </row>
    <row r="5" spans="1:8" thickBot="1" x14ac:dyDescent="0.4">
      <c r="A5" s="31" t="s">
        <v>65</v>
      </c>
      <c r="B5" s="32">
        <f>'Forecast (Good)'!C30</f>
        <v>30</v>
      </c>
    </row>
    <row r="6" spans="1:8" thickBot="1" x14ac:dyDescent="0.4"/>
    <row r="7" spans="1:8" thickBot="1" x14ac:dyDescent="0.4">
      <c r="A7" s="33" t="s">
        <v>66</v>
      </c>
      <c r="B7" s="34" t="s">
        <v>67</v>
      </c>
      <c r="C7" s="33" t="s">
        <v>68</v>
      </c>
      <c r="D7" s="33" t="s">
        <v>69</v>
      </c>
      <c r="E7" s="33" t="s">
        <v>70</v>
      </c>
      <c r="F7" s="33" t="s">
        <v>71</v>
      </c>
      <c r="G7" s="33" t="s">
        <v>72</v>
      </c>
      <c r="H7" s="33" t="s">
        <v>73</v>
      </c>
    </row>
    <row r="8" spans="1:8" ht="14.45" x14ac:dyDescent="0.35">
      <c r="A8" s="35">
        <v>1</v>
      </c>
      <c r="B8" s="36">
        <f>-PMT($B$4/12,$B$5*12,$B$3,0,0)</f>
        <v>2661.2099807167328</v>
      </c>
      <c r="C8" s="36">
        <f>-PPMT($B$4/12,A8,$B$5*12,$B$3,)</f>
        <v>327.87664738339924</v>
      </c>
      <c r="D8" s="36">
        <f>-IPMT($B$4/12,A8,$B$5*12,$B$3,)</f>
        <v>2333.3333333333335</v>
      </c>
      <c r="E8" s="36"/>
      <c r="F8" s="36">
        <f>B3-C8-E8</f>
        <v>399672.12335261662</v>
      </c>
      <c r="G8" s="36">
        <f>C8+E8</f>
        <v>327.87664738339924</v>
      </c>
      <c r="H8" s="36">
        <f>D8</f>
        <v>2333.3333333333335</v>
      </c>
    </row>
    <row r="9" spans="1:8" ht="14.45" x14ac:dyDescent="0.35">
      <c r="A9" s="35">
        <f>IF(OR(F8&lt;0.01,F8=""),"",A8+1)</f>
        <v>2</v>
      </c>
      <c r="B9" s="36">
        <f>IF(A9="","",(IF(F8+(F8*$B$4/12)&lt;-PMT($B$4/12,$B$5*12,$B$3,0,0),F8+(F8*$B$4/12),-PMT($B$4/12,$B$5*12,$B$3,0,0))))</f>
        <v>2661.2099807167328</v>
      </c>
      <c r="C9" s="36">
        <f t="shared" ref="C9:C72" si="0">IF(A9="","",B9-D9)</f>
        <v>329.78926115980221</v>
      </c>
      <c r="D9" s="36">
        <f>IF(A9="","",F8*$B$4/12)</f>
        <v>2331.4207195569306</v>
      </c>
      <c r="E9" s="36"/>
      <c r="F9" s="36">
        <f>IF(A9="","",F8-C9-E9)</f>
        <v>399342.33409145684</v>
      </c>
      <c r="G9" s="36">
        <f>IF(A9="","",C9+G8+E9)</f>
        <v>657.66590854320145</v>
      </c>
      <c r="H9" s="36">
        <f>IF(A9="","",IF(A9="","",D9+H8))</f>
        <v>4664.7540528902646</v>
      </c>
    </row>
    <row r="10" spans="1:8" ht="14.45" x14ac:dyDescent="0.35">
      <c r="A10" s="35">
        <f t="shared" ref="A10:A73" si="1">IF(OR(F9&lt;0.01,F9=""),"",A9+1)</f>
        <v>3</v>
      </c>
      <c r="B10" s="36">
        <f>IF(A10="","",(IF(F9+(F9*$B$4/12)&lt;-PMT($B$4/12,$B$5*12,$B$3,0,0),F9+(F9*$B$4/12),-PMT($B$4/12,$B$5*12,$B$3,0,0))))</f>
        <v>2661.2099807167328</v>
      </c>
      <c r="C10" s="36">
        <f t="shared" si="0"/>
        <v>331.7130318499012</v>
      </c>
      <c r="D10" s="36">
        <f t="shared" ref="D10:D73" si="2">IF(A10="","",F9*$B$4/12)</f>
        <v>2329.4969488668316</v>
      </c>
      <c r="E10" s="36"/>
      <c r="F10" s="36">
        <f>IF(A10="","",F9-C10-E10)</f>
        <v>399010.62105960696</v>
      </c>
      <c r="G10" s="36">
        <f>IF(A10="","",C10+G9+E10)</f>
        <v>989.37894039310265</v>
      </c>
      <c r="H10" s="36">
        <f>IF(A10="","",IF(A10="","",D10+H9))</f>
        <v>6994.2510017570967</v>
      </c>
    </row>
    <row r="11" spans="1:8" ht="14.45" x14ac:dyDescent="0.35">
      <c r="A11" s="35">
        <f t="shared" si="1"/>
        <v>4</v>
      </c>
      <c r="B11" s="36">
        <f>IF(A11="","",(IF(F10+(F10*$B$4/12)&lt;-PMT($B$4/12,$B$5*12,$B$3,0,0),F10+(F10*$B$4/12),-PMT($B$4/12,$B$5*12,$B$3,0,0))))</f>
        <v>2661.2099807167328</v>
      </c>
      <c r="C11" s="36">
        <f t="shared" si="0"/>
        <v>333.648024535692</v>
      </c>
      <c r="D11" s="36">
        <f t="shared" si="2"/>
        <v>2327.5619561810408</v>
      </c>
      <c r="E11" s="36"/>
      <c r="F11" s="36">
        <f>IF(A11="","",F10-C11-E11)</f>
        <v>398676.97303507128</v>
      </c>
      <c r="G11" s="36">
        <f>IF(A11="","",C11+G10+E11)</f>
        <v>1323.0269649287948</v>
      </c>
      <c r="H11" s="36">
        <f>IF(A11="","",IF(A11="","",D11+H10))</f>
        <v>9321.8129579381384</v>
      </c>
    </row>
    <row r="12" spans="1:8" ht="14.45" x14ac:dyDescent="0.35">
      <c r="A12" s="35">
        <f>IF(OR(F11&lt;0.01,F11=""),"",A11+1)</f>
        <v>5</v>
      </c>
      <c r="B12" s="36">
        <f t="shared" ref="B12:B18" si="3">IF(A12="","",(IF(F11+(F11*$B$4/12)&lt;-PMT($B$4/12,$B$5*12,$B$3,0,0),F11+(F11*$B$4/12),-PMT($B$4/12,$B$5*12,$B$3,0,0))))</f>
        <v>2661.2099807167328</v>
      </c>
      <c r="C12" s="36">
        <f t="shared" si="0"/>
        <v>335.59430467881702</v>
      </c>
      <c r="D12" s="36">
        <f t="shared" si="2"/>
        <v>2325.6156760379158</v>
      </c>
      <c r="E12" s="36"/>
      <c r="F12" s="36">
        <f>IF(A12="","",F11-C12-E12)</f>
        <v>398341.37873039243</v>
      </c>
      <c r="G12" s="36">
        <f>IF(A12="","",C12+G11+E12)</f>
        <v>1658.6212696076118</v>
      </c>
      <c r="H12" s="36">
        <f>IF(A12="","",IF(A12="","",D12+H11))</f>
        <v>11647.428633976055</v>
      </c>
    </row>
    <row r="13" spans="1:8" ht="14.45" x14ac:dyDescent="0.35">
      <c r="A13" s="35">
        <f t="shared" si="1"/>
        <v>6</v>
      </c>
      <c r="B13" s="36">
        <f>IF(A13="","",(IF(F12+(F12*$B$4/12)&lt;-PMT($B$4/12,$B$5*12,$B$3,0,0),F12+(F12*$B$4/12),-PMT($B$4/12,$B$5*12,$B$3,0,0))))</f>
        <v>2661.2099807167328</v>
      </c>
      <c r="C13" s="36">
        <f t="shared" si="0"/>
        <v>337.55193812277685</v>
      </c>
      <c r="D13" s="36">
        <f t="shared" si="2"/>
        <v>2323.658042593956</v>
      </c>
      <c r="E13" s="36"/>
      <c r="F13" s="36">
        <f>IF(A13="","",IF(A13="","",F12-C13-E13))</f>
        <v>398003.82679226965</v>
      </c>
      <c r="G13" s="36">
        <f>IF(A13="","",C13+G12+E13)</f>
        <v>1996.1732077303886</v>
      </c>
      <c r="H13" s="36">
        <f>IF(A13="","",IF(A13="","",D13+H12))</f>
        <v>13971.08667657001</v>
      </c>
    </row>
    <row r="14" spans="1:8" ht="14.45" x14ac:dyDescent="0.35">
      <c r="A14" s="35">
        <f t="shared" si="1"/>
        <v>7</v>
      </c>
      <c r="B14" s="36">
        <f t="shared" si="3"/>
        <v>2661.2099807167328</v>
      </c>
      <c r="C14" s="36">
        <f t="shared" si="0"/>
        <v>339.52099109515984</v>
      </c>
      <c r="D14" s="36">
        <f t="shared" si="2"/>
        <v>2321.688989621573</v>
      </c>
      <c r="E14" s="36"/>
      <c r="F14" s="36">
        <f t="shared" ref="F14:F77" si="4">IF(A14="","",IF(A14="","",F13-C14-E14))</f>
        <v>397664.30580117449</v>
      </c>
      <c r="G14" s="36">
        <f t="shared" ref="G14:G77" si="5">IF(A14="","",C14+G13+E14)</f>
        <v>2335.6941988255485</v>
      </c>
      <c r="H14" s="36">
        <f t="shared" ref="H14:H77" si="6">IF(A14="","",IF(A14="","",D14+H13))</f>
        <v>16292.775666191583</v>
      </c>
    </row>
    <row r="15" spans="1:8" ht="14.45" x14ac:dyDescent="0.35">
      <c r="A15" s="35">
        <f t="shared" si="1"/>
        <v>8</v>
      </c>
      <c r="B15" s="36">
        <f t="shared" si="3"/>
        <v>2661.2099807167328</v>
      </c>
      <c r="C15" s="36">
        <f t="shared" si="0"/>
        <v>341.50153020988137</v>
      </c>
      <c r="D15" s="36">
        <f t="shared" si="2"/>
        <v>2319.7084505068515</v>
      </c>
      <c r="E15" s="36"/>
      <c r="F15" s="36">
        <f t="shared" si="4"/>
        <v>397322.80427096458</v>
      </c>
      <c r="G15" s="36">
        <f t="shared" si="5"/>
        <v>2677.1957290354298</v>
      </c>
      <c r="H15" s="36">
        <f t="shared" si="6"/>
        <v>18612.484116698433</v>
      </c>
    </row>
    <row r="16" spans="1:8" ht="14.45" x14ac:dyDescent="0.35">
      <c r="A16" s="35">
        <f t="shared" si="1"/>
        <v>9</v>
      </c>
      <c r="B16" s="36">
        <f t="shared" si="3"/>
        <v>2661.2099807167328</v>
      </c>
      <c r="C16" s="36">
        <f t="shared" si="0"/>
        <v>343.49362246943929</v>
      </c>
      <c r="D16" s="36">
        <f t="shared" si="2"/>
        <v>2317.7163582472936</v>
      </c>
      <c r="E16" s="36"/>
      <c r="F16" s="36">
        <f t="shared" si="4"/>
        <v>396979.31064849516</v>
      </c>
      <c r="G16" s="36">
        <f t="shared" si="5"/>
        <v>3020.6893515048691</v>
      </c>
      <c r="H16" s="36">
        <f t="shared" si="6"/>
        <v>20930.200474945726</v>
      </c>
    </row>
    <row r="17" spans="1:8" ht="14.45" x14ac:dyDescent="0.35">
      <c r="A17" s="35">
        <f t="shared" si="1"/>
        <v>10</v>
      </c>
      <c r="B17" s="36">
        <f t="shared" si="3"/>
        <v>2661.2099807167328</v>
      </c>
      <c r="C17" s="36">
        <f t="shared" si="0"/>
        <v>345.49733526717773</v>
      </c>
      <c r="D17" s="36">
        <f t="shared" si="2"/>
        <v>2315.7126454495551</v>
      </c>
      <c r="E17" s="36"/>
      <c r="F17" s="36">
        <f t="shared" si="4"/>
        <v>396633.81331322796</v>
      </c>
      <c r="G17" s="36">
        <f t="shared" si="5"/>
        <v>3366.1866867720469</v>
      </c>
      <c r="H17" s="36">
        <f t="shared" si="6"/>
        <v>23245.913120395282</v>
      </c>
    </row>
    <row r="18" spans="1:8" ht="14.45" x14ac:dyDescent="0.35">
      <c r="A18" s="35">
        <f t="shared" si="1"/>
        <v>11</v>
      </c>
      <c r="B18" s="36">
        <f t="shared" si="3"/>
        <v>2661.2099807167328</v>
      </c>
      <c r="C18" s="36">
        <f t="shared" si="0"/>
        <v>347.51273638956945</v>
      </c>
      <c r="D18" s="36">
        <f t="shared" si="2"/>
        <v>2313.6972443271634</v>
      </c>
      <c r="E18" s="36"/>
      <c r="F18" s="36">
        <f t="shared" si="4"/>
        <v>396286.30057683837</v>
      </c>
      <c r="G18" s="36">
        <f t="shared" si="5"/>
        <v>3713.6994231616163</v>
      </c>
      <c r="H18" s="36">
        <f t="shared" si="6"/>
        <v>25559.610364722445</v>
      </c>
    </row>
    <row r="19" spans="1:8" ht="14.45" x14ac:dyDescent="0.35">
      <c r="A19" s="35">
        <f>IF(OR(F18&lt;0.01,F18=""),"",A18+1)</f>
        <v>12</v>
      </c>
      <c r="B19" s="36">
        <f>IF(A19="","",(IF(F18+(F18*$B$4/12)&lt;-PMT($B$4/12,$B$5*12,$B$3,0,0),F18+(F18*$B$4/12),-PMT($B$4/12,$B$5*12,$B$3,0,0))))</f>
        <v>2661.2099807167328</v>
      </c>
      <c r="C19" s="36">
        <f t="shared" si="0"/>
        <v>349.53989401850868</v>
      </c>
      <c r="D19" s="36">
        <f t="shared" si="2"/>
        <v>2311.6700866982242</v>
      </c>
      <c r="E19" s="36"/>
      <c r="F19" s="36">
        <f t="shared" si="4"/>
        <v>395936.76068281988</v>
      </c>
      <c r="G19" s="36">
        <f t="shared" si="5"/>
        <v>4063.239317180125</v>
      </c>
      <c r="H19" s="36">
        <f t="shared" si="6"/>
        <v>27871.280451420669</v>
      </c>
    </row>
    <row r="20" spans="1:8" ht="14.45" x14ac:dyDescent="0.35">
      <c r="A20" s="37">
        <f t="shared" si="1"/>
        <v>13</v>
      </c>
      <c r="B20" s="38">
        <f t="shared" ref="B20:B83" si="7">IF(A20="","",(IF(F19+(F19*$B$4/12)&lt;-PMT($B$4/12,$B$5*12,$B$3,0,0),F19+(F19*$B$4/12),-PMT($B$4/12,$B$5*12,$B$3,0,0))))</f>
        <v>2661.2099807167328</v>
      </c>
      <c r="C20" s="38">
        <f t="shared" si="0"/>
        <v>351.57887673361665</v>
      </c>
      <c r="D20" s="38">
        <f t="shared" si="2"/>
        <v>2309.6311039831162</v>
      </c>
      <c r="E20" s="38"/>
      <c r="F20" s="38">
        <f t="shared" si="4"/>
        <v>395585.18180608627</v>
      </c>
      <c r="G20" s="38">
        <f t="shared" si="5"/>
        <v>4414.8181939137412</v>
      </c>
      <c r="H20" s="38">
        <f t="shared" si="6"/>
        <v>30180.911555403785</v>
      </c>
    </row>
    <row r="21" spans="1:8" x14ac:dyDescent="0.25">
      <c r="A21" s="37">
        <f t="shared" si="1"/>
        <v>14</v>
      </c>
      <c r="B21" s="38">
        <f t="shared" si="7"/>
        <v>2661.2099807167328</v>
      </c>
      <c r="C21" s="38">
        <f t="shared" si="0"/>
        <v>353.62975351456271</v>
      </c>
      <c r="D21" s="38">
        <f t="shared" si="2"/>
        <v>2307.5802272021701</v>
      </c>
      <c r="E21" s="38"/>
      <c r="F21" s="38">
        <f t="shared" si="4"/>
        <v>395231.55205257173</v>
      </c>
      <c r="G21" s="38">
        <f t="shared" si="5"/>
        <v>4768.4479474283035</v>
      </c>
      <c r="H21" s="38">
        <f t="shared" si="6"/>
        <v>32488.491782605954</v>
      </c>
    </row>
    <row r="22" spans="1:8" x14ac:dyDescent="0.25">
      <c r="A22" s="37">
        <f t="shared" si="1"/>
        <v>15</v>
      </c>
      <c r="B22" s="38">
        <f t="shared" si="7"/>
        <v>2661.2099807167328</v>
      </c>
      <c r="C22" s="38">
        <f t="shared" si="0"/>
        <v>355.69259374339754</v>
      </c>
      <c r="D22" s="38">
        <f t="shared" si="2"/>
        <v>2305.5173869733353</v>
      </c>
      <c r="E22" s="38"/>
      <c r="F22" s="38">
        <f t="shared" si="4"/>
        <v>394875.85945882834</v>
      </c>
      <c r="G22" s="38">
        <f t="shared" si="5"/>
        <v>5124.1405411717005</v>
      </c>
      <c r="H22" s="38">
        <f t="shared" si="6"/>
        <v>34794.009169579287</v>
      </c>
    </row>
    <row r="23" spans="1:8" x14ac:dyDescent="0.25">
      <c r="A23" s="37">
        <f t="shared" si="1"/>
        <v>16</v>
      </c>
      <c r="B23" s="38">
        <f t="shared" si="7"/>
        <v>2661.2099807167328</v>
      </c>
      <c r="C23" s="38">
        <f t="shared" si="0"/>
        <v>357.76746720690062</v>
      </c>
      <c r="D23" s="38">
        <f t="shared" si="2"/>
        <v>2303.4425135098322</v>
      </c>
      <c r="E23" s="38"/>
      <c r="F23" s="38">
        <f t="shared" si="4"/>
        <v>394518.09199162142</v>
      </c>
      <c r="G23" s="38">
        <f t="shared" si="5"/>
        <v>5481.9080083786012</v>
      </c>
      <c r="H23" s="38">
        <f t="shared" si="6"/>
        <v>37097.451683089123</v>
      </c>
    </row>
    <row r="24" spans="1:8" x14ac:dyDescent="0.25">
      <c r="A24" s="37">
        <f t="shared" si="1"/>
        <v>17</v>
      </c>
      <c r="B24" s="38">
        <f t="shared" si="7"/>
        <v>2661.2099807167328</v>
      </c>
      <c r="C24" s="38">
        <f t="shared" si="0"/>
        <v>359.8544440989408</v>
      </c>
      <c r="D24" s="38">
        <f t="shared" si="2"/>
        <v>2301.355536617792</v>
      </c>
      <c r="E24" s="38"/>
      <c r="F24" s="38">
        <f t="shared" si="4"/>
        <v>394158.23754752247</v>
      </c>
      <c r="G24" s="38">
        <f t="shared" si="5"/>
        <v>5841.762452477542</v>
      </c>
      <c r="H24" s="38">
        <f t="shared" si="6"/>
        <v>39398.807219706912</v>
      </c>
    </row>
    <row r="25" spans="1:8" x14ac:dyDescent="0.25">
      <c r="A25" s="37">
        <f t="shared" si="1"/>
        <v>18</v>
      </c>
      <c r="B25" s="38">
        <f t="shared" si="7"/>
        <v>2661.2099807167328</v>
      </c>
      <c r="C25" s="38">
        <f t="shared" si="0"/>
        <v>361.95359502285146</v>
      </c>
      <c r="D25" s="38">
        <f t="shared" si="2"/>
        <v>2299.2563856938814</v>
      </c>
      <c r="E25" s="38"/>
      <c r="F25" s="38">
        <f t="shared" si="4"/>
        <v>393796.28395249962</v>
      </c>
      <c r="G25" s="38">
        <f t="shared" si="5"/>
        <v>6203.716047500393</v>
      </c>
      <c r="H25" s="38">
        <f t="shared" si="6"/>
        <v>41698.063605400792</v>
      </c>
    </row>
    <row r="26" spans="1:8" x14ac:dyDescent="0.25">
      <c r="A26" s="37">
        <f t="shared" si="1"/>
        <v>19</v>
      </c>
      <c r="B26" s="38">
        <f t="shared" si="7"/>
        <v>2661.2099807167328</v>
      </c>
      <c r="C26" s="38">
        <f t="shared" si="0"/>
        <v>364.06499099381836</v>
      </c>
      <c r="D26" s="38">
        <f t="shared" si="2"/>
        <v>2297.1449897229145</v>
      </c>
      <c r="E26" s="38"/>
      <c r="F26" s="38">
        <f t="shared" si="4"/>
        <v>393432.2189615058</v>
      </c>
      <c r="G26" s="38">
        <f t="shared" si="5"/>
        <v>6567.7810384942113</v>
      </c>
      <c r="H26" s="38">
        <f t="shared" si="6"/>
        <v>43995.20859512371</v>
      </c>
    </row>
    <row r="27" spans="1:8" x14ac:dyDescent="0.25">
      <c r="A27" s="37">
        <f t="shared" si="1"/>
        <v>20</v>
      </c>
      <c r="B27" s="38">
        <f t="shared" si="7"/>
        <v>2661.2099807167328</v>
      </c>
      <c r="C27" s="38">
        <f t="shared" si="0"/>
        <v>366.18870344128209</v>
      </c>
      <c r="D27" s="38">
        <f t="shared" si="2"/>
        <v>2295.0212772754508</v>
      </c>
      <c r="E27" s="38"/>
      <c r="F27" s="38">
        <f t="shared" si="4"/>
        <v>393066.03025806451</v>
      </c>
      <c r="G27" s="38">
        <f t="shared" si="5"/>
        <v>6933.9697419354934</v>
      </c>
      <c r="H27" s="38">
        <f t="shared" si="6"/>
        <v>46290.229872399163</v>
      </c>
    </row>
    <row r="28" spans="1:8" x14ac:dyDescent="0.25">
      <c r="A28" s="37">
        <f t="shared" si="1"/>
        <v>21</v>
      </c>
      <c r="B28" s="38">
        <f t="shared" si="7"/>
        <v>2661.2099807167328</v>
      </c>
      <c r="C28" s="38">
        <f t="shared" si="0"/>
        <v>368.32480421135642</v>
      </c>
      <c r="D28" s="38">
        <f t="shared" si="2"/>
        <v>2292.8851765053764</v>
      </c>
      <c r="E28" s="38"/>
      <c r="F28" s="38">
        <f t="shared" si="4"/>
        <v>392697.70545385312</v>
      </c>
      <c r="G28" s="38">
        <f t="shared" si="5"/>
        <v>7302.2945461468498</v>
      </c>
      <c r="H28" s="38">
        <f t="shared" si="6"/>
        <v>48583.115048904539</v>
      </c>
    </row>
    <row r="29" spans="1:8" x14ac:dyDescent="0.25">
      <c r="A29" s="37">
        <f t="shared" si="1"/>
        <v>22</v>
      </c>
      <c r="B29" s="38">
        <f t="shared" si="7"/>
        <v>2661.2099807167328</v>
      </c>
      <c r="C29" s="38">
        <f t="shared" si="0"/>
        <v>370.4733655692562</v>
      </c>
      <c r="D29" s="38">
        <f t="shared" si="2"/>
        <v>2290.7366151474766</v>
      </c>
      <c r="E29" s="38"/>
      <c r="F29" s="38">
        <f t="shared" si="4"/>
        <v>392327.23208828387</v>
      </c>
      <c r="G29" s="38">
        <f t="shared" si="5"/>
        <v>7672.767911716106</v>
      </c>
      <c r="H29" s="38">
        <f t="shared" si="6"/>
        <v>50873.851664052017</v>
      </c>
    </row>
    <row r="30" spans="1:8" x14ac:dyDescent="0.25">
      <c r="A30" s="37">
        <f t="shared" si="1"/>
        <v>23</v>
      </c>
      <c r="B30" s="38">
        <f t="shared" si="7"/>
        <v>2661.2099807167328</v>
      </c>
      <c r="C30" s="38">
        <f t="shared" si="0"/>
        <v>372.63446020174342</v>
      </c>
      <c r="D30" s="38">
        <f t="shared" si="2"/>
        <v>2288.5755205149894</v>
      </c>
      <c r="E30" s="38"/>
      <c r="F30" s="38">
        <f t="shared" si="4"/>
        <v>391954.59762808215</v>
      </c>
      <c r="G30" s="38">
        <f t="shared" si="5"/>
        <v>8045.4023719178495</v>
      </c>
      <c r="H30" s="38">
        <f t="shared" si="6"/>
        <v>53162.427184567008</v>
      </c>
    </row>
    <row r="31" spans="1:8" x14ac:dyDescent="0.25">
      <c r="A31" s="37">
        <f t="shared" si="1"/>
        <v>24</v>
      </c>
      <c r="B31" s="38">
        <f t="shared" si="7"/>
        <v>2661.2099807167328</v>
      </c>
      <c r="C31" s="38">
        <f t="shared" si="0"/>
        <v>374.80816121958651</v>
      </c>
      <c r="D31" s="38">
        <f t="shared" si="2"/>
        <v>2286.4018194971463</v>
      </c>
      <c r="E31" s="38"/>
      <c r="F31" s="38">
        <f t="shared" si="4"/>
        <v>391579.78946686257</v>
      </c>
      <c r="G31" s="38">
        <f t="shared" si="5"/>
        <v>8420.2105331374369</v>
      </c>
      <c r="H31" s="38">
        <f t="shared" si="6"/>
        <v>55448.829004064151</v>
      </c>
    </row>
    <row r="32" spans="1:8" x14ac:dyDescent="0.25">
      <c r="A32" s="39">
        <f t="shared" si="1"/>
        <v>25</v>
      </c>
      <c r="B32" s="40">
        <f t="shared" si="7"/>
        <v>2661.2099807167328</v>
      </c>
      <c r="C32" s="40">
        <f t="shared" si="0"/>
        <v>376.99454216003414</v>
      </c>
      <c r="D32" s="40">
        <f t="shared" si="2"/>
        <v>2284.2154385566987</v>
      </c>
      <c r="E32" s="40"/>
      <c r="F32" s="40">
        <f t="shared" si="4"/>
        <v>391202.79492470255</v>
      </c>
      <c r="G32" s="40">
        <f t="shared" si="5"/>
        <v>8797.2050752974719</v>
      </c>
      <c r="H32" s="40">
        <f t="shared" si="6"/>
        <v>57733.044442620849</v>
      </c>
    </row>
    <row r="33" spans="1:8" x14ac:dyDescent="0.25">
      <c r="A33" s="39">
        <f t="shared" si="1"/>
        <v>26</v>
      </c>
      <c r="B33" s="40">
        <f t="shared" si="7"/>
        <v>2661.2099807167328</v>
      </c>
      <c r="C33" s="40">
        <f t="shared" si="0"/>
        <v>379.19367698930091</v>
      </c>
      <c r="D33" s="40">
        <f t="shared" si="2"/>
        <v>2282.0163037274319</v>
      </c>
      <c r="E33" s="40"/>
      <c r="F33" s="40">
        <f t="shared" si="4"/>
        <v>390823.60124771326</v>
      </c>
      <c r="G33" s="40">
        <f t="shared" si="5"/>
        <v>9176.3987522867719</v>
      </c>
      <c r="H33" s="40">
        <f t="shared" si="6"/>
        <v>60015.060746348281</v>
      </c>
    </row>
    <row r="34" spans="1:8" x14ac:dyDescent="0.25">
      <c r="A34" s="39">
        <f t="shared" si="1"/>
        <v>27</v>
      </c>
      <c r="B34" s="40">
        <f t="shared" si="7"/>
        <v>2661.2099807167328</v>
      </c>
      <c r="C34" s="40">
        <f t="shared" si="0"/>
        <v>381.40564010507205</v>
      </c>
      <c r="D34" s="40">
        <f t="shared" si="2"/>
        <v>2279.8043406116608</v>
      </c>
      <c r="E34" s="40"/>
      <c r="F34" s="40">
        <f t="shared" si="4"/>
        <v>390442.19560760818</v>
      </c>
      <c r="G34" s="40">
        <f t="shared" si="5"/>
        <v>9557.8043923918449</v>
      </c>
      <c r="H34" s="40">
        <f t="shared" si="6"/>
        <v>62294.865086959944</v>
      </c>
    </row>
    <row r="35" spans="1:8" x14ac:dyDescent="0.25">
      <c r="A35" s="39">
        <f t="shared" si="1"/>
        <v>28</v>
      </c>
      <c r="B35" s="40">
        <f t="shared" si="7"/>
        <v>2661.2099807167328</v>
      </c>
      <c r="C35" s="40">
        <f t="shared" si="0"/>
        <v>383.63050633901821</v>
      </c>
      <c r="D35" s="40">
        <f t="shared" si="2"/>
        <v>2277.5794743777146</v>
      </c>
      <c r="E35" s="40"/>
      <c r="F35" s="40">
        <f t="shared" si="4"/>
        <v>390058.56510126917</v>
      </c>
      <c r="G35" s="40">
        <f t="shared" si="5"/>
        <v>9941.4348987308622</v>
      </c>
      <c r="H35" s="40">
        <f t="shared" si="6"/>
        <v>64572.444561337659</v>
      </c>
    </row>
    <row r="36" spans="1:8" x14ac:dyDescent="0.25">
      <c r="A36" s="39">
        <f t="shared" si="1"/>
        <v>29</v>
      </c>
      <c r="B36" s="40">
        <f t="shared" si="7"/>
        <v>2661.2099807167328</v>
      </c>
      <c r="C36" s="40">
        <f t="shared" si="0"/>
        <v>385.86835095932929</v>
      </c>
      <c r="D36" s="40">
        <f t="shared" si="2"/>
        <v>2275.3416297574036</v>
      </c>
      <c r="E36" s="40"/>
      <c r="F36" s="40">
        <f t="shared" si="4"/>
        <v>389672.69675030984</v>
      </c>
      <c r="G36" s="40">
        <f t="shared" si="5"/>
        <v>10327.303249690191</v>
      </c>
      <c r="H36" s="40">
        <f t="shared" si="6"/>
        <v>66847.78619109506</v>
      </c>
    </row>
    <row r="37" spans="1:8" x14ac:dyDescent="0.25">
      <c r="A37" s="39">
        <f t="shared" si="1"/>
        <v>30</v>
      </c>
      <c r="B37" s="40">
        <f t="shared" si="7"/>
        <v>2661.2099807167328</v>
      </c>
      <c r="C37" s="40">
        <f t="shared" si="0"/>
        <v>388.11924967325831</v>
      </c>
      <c r="D37" s="40">
        <f t="shared" si="2"/>
        <v>2273.0907310434745</v>
      </c>
      <c r="E37" s="40"/>
      <c r="F37" s="40">
        <f t="shared" si="4"/>
        <v>389284.57750063657</v>
      </c>
      <c r="G37" s="40">
        <f t="shared" si="5"/>
        <v>10715.422499363449</v>
      </c>
      <c r="H37" s="40">
        <f t="shared" si="6"/>
        <v>69120.87692213853</v>
      </c>
    </row>
    <row r="38" spans="1:8" x14ac:dyDescent="0.25">
      <c r="A38" s="39">
        <f t="shared" si="1"/>
        <v>31</v>
      </c>
      <c r="B38" s="40">
        <f t="shared" si="7"/>
        <v>2661.2099807167328</v>
      </c>
      <c r="C38" s="40">
        <f t="shared" si="0"/>
        <v>390.38327862968617</v>
      </c>
      <c r="D38" s="40">
        <f t="shared" si="2"/>
        <v>2270.8267020870467</v>
      </c>
      <c r="E38" s="40"/>
      <c r="F38" s="40">
        <f t="shared" si="4"/>
        <v>388894.19422200689</v>
      </c>
      <c r="G38" s="40">
        <f t="shared" si="5"/>
        <v>11105.805777993135</v>
      </c>
      <c r="H38" s="40">
        <f t="shared" si="6"/>
        <v>71391.703624225571</v>
      </c>
    </row>
    <row r="39" spans="1:8" x14ac:dyDescent="0.25">
      <c r="A39" s="39">
        <f t="shared" si="1"/>
        <v>32</v>
      </c>
      <c r="B39" s="40">
        <f t="shared" si="7"/>
        <v>2661.2099807167328</v>
      </c>
      <c r="C39" s="40">
        <f t="shared" si="0"/>
        <v>392.66051442169237</v>
      </c>
      <c r="D39" s="40">
        <f t="shared" si="2"/>
        <v>2268.5494662950405</v>
      </c>
      <c r="E39" s="40"/>
      <c r="F39" s="40">
        <f t="shared" si="4"/>
        <v>388501.53370758519</v>
      </c>
      <c r="G39" s="40">
        <f t="shared" si="5"/>
        <v>11498.466292414827</v>
      </c>
      <c r="H39" s="40">
        <f t="shared" si="6"/>
        <v>73660.253090520608</v>
      </c>
    </row>
    <row r="40" spans="1:8" x14ac:dyDescent="0.25">
      <c r="A40" s="39">
        <f t="shared" si="1"/>
        <v>33</v>
      </c>
      <c r="B40" s="40">
        <f t="shared" si="7"/>
        <v>2661.2099807167328</v>
      </c>
      <c r="C40" s="40">
        <f t="shared" si="0"/>
        <v>394.95103408915247</v>
      </c>
      <c r="D40" s="40">
        <f t="shared" si="2"/>
        <v>2266.2589466275804</v>
      </c>
      <c r="E40" s="40"/>
      <c r="F40" s="40">
        <f t="shared" si="4"/>
        <v>388106.58267349604</v>
      </c>
      <c r="G40" s="40">
        <f t="shared" si="5"/>
        <v>11893.417326503979</v>
      </c>
      <c r="H40" s="40">
        <f t="shared" si="6"/>
        <v>75926.51203714819</v>
      </c>
    </row>
    <row r="41" spans="1:8" x14ac:dyDescent="0.25">
      <c r="A41" s="39">
        <f t="shared" si="1"/>
        <v>34</v>
      </c>
      <c r="B41" s="40">
        <f t="shared" si="7"/>
        <v>2661.2099807167328</v>
      </c>
      <c r="C41" s="40">
        <f t="shared" si="0"/>
        <v>397.25491512133885</v>
      </c>
      <c r="D41" s="40">
        <f t="shared" si="2"/>
        <v>2263.955065595394</v>
      </c>
      <c r="E41" s="40"/>
      <c r="F41" s="40">
        <f t="shared" si="4"/>
        <v>387709.32775837468</v>
      </c>
      <c r="G41" s="40">
        <f t="shared" si="5"/>
        <v>12290.672241625318</v>
      </c>
      <c r="H41" s="40">
        <f t="shared" si="6"/>
        <v>78190.467102743583</v>
      </c>
    </row>
    <row r="42" spans="1:8" x14ac:dyDescent="0.25">
      <c r="A42" s="39">
        <f t="shared" si="1"/>
        <v>35</v>
      </c>
      <c r="B42" s="40">
        <f t="shared" si="7"/>
        <v>2661.2099807167328</v>
      </c>
      <c r="C42" s="40">
        <f t="shared" si="0"/>
        <v>399.57223545954685</v>
      </c>
      <c r="D42" s="40">
        <f t="shared" si="2"/>
        <v>2261.637745257186</v>
      </c>
      <c r="E42" s="40"/>
      <c r="F42" s="40">
        <f t="shared" si="4"/>
        <v>387309.75552291516</v>
      </c>
      <c r="G42" s="40">
        <f t="shared" si="5"/>
        <v>12690.244477084865</v>
      </c>
      <c r="H42" s="40">
        <f t="shared" si="6"/>
        <v>80452.104848000774</v>
      </c>
    </row>
    <row r="43" spans="1:8" x14ac:dyDescent="0.25">
      <c r="A43" s="39">
        <f t="shared" si="1"/>
        <v>36</v>
      </c>
      <c r="B43" s="40">
        <f t="shared" si="7"/>
        <v>2661.2099807167328</v>
      </c>
      <c r="C43" s="40">
        <f t="shared" si="0"/>
        <v>401.90307349972772</v>
      </c>
      <c r="D43" s="40">
        <f t="shared" si="2"/>
        <v>2259.3069072170051</v>
      </c>
      <c r="E43" s="40"/>
      <c r="F43" s="40">
        <f t="shared" si="4"/>
        <v>386907.85244941543</v>
      </c>
      <c r="G43" s="40">
        <f t="shared" si="5"/>
        <v>13092.147550584592</v>
      </c>
      <c r="H43" s="40">
        <f t="shared" si="6"/>
        <v>82711.411755217778</v>
      </c>
    </row>
    <row r="44" spans="1:8" x14ac:dyDescent="0.25">
      <c r="A44" s="41">
        <f t="shared" si="1"/>
        <v>37</v>
      </c>
      <c r="B44" s="42">
        <f t="shared" si="7"/>
        <v>2661.2099807167328</v>
      </c>
      <c r="C44" s="42">
        <f t="shared" si="0"/>
        <v>404.24750809514262</v>
      </c>
      <c r="D44" s="42">
        <f t="shared" si="2"/>
        <v>2256.9624726215902</v>
      </c>
      <c r="E44" s="42"/>
      <c r="F44" s="42">
        <f t="shared" si="4"/>
        <v>386503.60494132026</v>
      </c>
      <c r="G44" s="42">
        <f t="shared" si="5"/>
        <v>13496.395058679735</v>
      </c>
      <c r="H44" s="42">
        <f t="shared" si="6"/>
        <v>84968.374227839362</v>
      </c>
    </row>
    <row r="45" spans="1:8" x14ac:dyDescent="0.25">
      <c r="A45" s="41">
        <f t="shared" si="1"/>
        <v>38</v>
      </c>
      <c r="B45" s="42">
        <f t="shared" si="7"/>
        <v>2661.2099807167328</v>
      </c>
      <c r="C45" s="42">
        <f t="shared" si="0"/>
        <v>406.60561855903143</v>
      </c>
      <c r="D45" s="42">
        <f t="shared" si="2"/>
        <v>2254.6043621577014</v>
      </c>
      <c r="E45" s="42"/>
      <c r="F45" s="42">
        <f t="shared" si="4"/>
        <v>386096.9993227612</v>
      </c>
      <c r="G45" s="42">
        <f t="shared" si="5"/>
        <v>13903.000677238766</v>
      </c>
      <c r="H45" s="42">
        <f t="shared" si="6"/>
        <v>87222.978589997059</v>
      </c>
    </row>
    <row r="46" spans="1:8" x14ac:dyDescent="0.25">
      <c r="A46" s="41">
        <f t="shared" si="1"/>
        <v>39</v>
      </c>
      <c r="B46" s="42">
        <f t="shared" si="7"/>
        <v>2661.2099807167328</v>
      </c>
      <c r="C46" s="42">
        <f t="shared" si="0"/>
        <v>408.97748466729217</v>
      </c>
      <c r="D46" s="42">
        <f t="shared" si="2"/>
        <v>2252.2324960494407</v>
      </c>
      <c r="E46" s="42"/>
      <c r="F46" s="42">
        <f t="shared" si="4"/>
        <v>385688.02183809393</v>
      </c>
      <c r="G46" s="42">
        <f t="shared" si="5"/>
        <v>14311.978161906058</v>
      </c>
      <c r="H46" s="42">
        <f t="shared" si="6"/>
        <v>89475.211086046504</v>
      </c>
    </row>
    <row r="47" spans="1:8" x14ac:dyDescent="0.25">
      <c r="A47" s="41">
        <f t="shared" si="1"/>
        <v>40</v>
      </c>
      <c r="B47" s="42">
        <f t="shared" si="7"/>
        <v>2661.2099807167328</v>
      </c>
      <c r="C47" s="42">
        <f t="shared" si="0"/>
        <v>411.36318666118495</v>
      </c>
      <c r="D47" s="42">
        <f t="shared" si="2"/>
        <v>2249.8467940555479</v>
      </c>
      <c r="E47" s="42"/>
      <c r="F47" s="42">
        <f t="shared" si="4"/>
        <v>385276.65865143272</v>
      </c>
      <c r="G47" s="42">
        <f t="shared" si="5"/>
        <v>14723.341348567243</v>
      </c>
      <c r="H47" s="42">
        <f t="shared" si="6"/>
        <v>91725.057880102046</v>
      </c>
    </row>
    <row r="48" spans="1:8" x14ac:dyDescent="0.25">
      <c r="A48" s="41">
        <f t="shared" si="1"/>
        <v>41</v>
      </c>
      <c r="B48" s="42">
        <f t="shared" si="7"/>
        <v>2661.2099807167328</v>
      </c>
      <c r="C48" s="42">
        <f t="shared" si="0"/>
        <v>413.76280525004177</v>
      </c>
      <c r="D48" s="42">
        <f t="shared" si="2"/>
        <v>2247.4471754666911</v>
      </c>
      <c r="E48" s="42"/>
      <c r="F48" s="42">
        <f t="shared" si="4"/>
        <v>384862.89584618266</v>
      </c>
      <c r="G48" s="42">
        <f t="shared" si="5"/>
        <v>15137.104153817285</v>
      </c>
      <c r="H48" s="42">
        <f t="shared" si="6"/>
        <v>93972.505055568734</v>
      </c>
    </row>
    <row r="49" spans="1:8" x14ac:dyDescent="0.25">
      <c r="A49" s="41">
        <f t="shared" si="1"/>
        <v>42</v>
      </c>
      <c r="B49" s="42">
        <f t="shared" si="7"/>
        <v>2661.2099807167328</v>
      </c>
      <c r="C49" s="42">
        <f t="shared" si="0"/>
        <v>416.17642161400045</v>
      </c>
      <c r="D49" s="42">
        <f t="shared" si="2"/>
        <v>2245.0335591027324</v>
      </c>
      <c r="E49" s="42"/>
      <c r="F49" s="42">
        <f t="shared" si="4"/>
        <v>384446.71942456864</v>
      </c>
      <c r="G49" s="42">
        <f t="shared" si="5"/>
        <v>15553.280575431285</v>
      </c>
      <c r="H49" s="42">
        <f t="shared" si="6"/>
        <v>96217.538614671474</v>
      </c>
    </row>
    <row r="50" spans="1:8" x14ac:dyDescent="0.25">
      <c r="A50" s="41">
        <f t="shared" si="1"/>
        <v>43</v>
      </c>
      <c r="B50" s="42">
        <f t="shared" si="7"/>
        <v>2661.2099807167328</v>
      </c>
      <c r="C50" s="42">
        <f t="shared" si="0"/>
        <v>418.60411740674863</v>
      </c>
      <c r="D50" s="42">
        <f t="shared" si="2"/>
        <v>2242.6058633099842</v>
      </c>
      <c r="E50" s="42"/>
      <c r="F50" s="42">
        <f t="shared" si="4"/>
        <v>384028.11530716188</v>
      </c>
      <c r="G50" s="42">
        <f t="shared" si="5"/>
        <v>15971.884692838034</v>
      </c>
      <c r="H50" s="42">
        <f t="shared" si="6"/>
        <v>98460.144477981463</v>
      </c>
    </row>
    <row r="51" spans="1:8" x14ac:dyDescent="0.25">
      <c r="A51" s="41">
        <f t="shared" si="1"/>
        <v>44</v>
      </c>
      <c r="B51" s="42">
        <f t="shared" si="7"/>
        <v>2661.2099807167328</v>
      </c>
      <c r="C51" s="42">
        <f t="shared" si="0"/>
        <v>421.04597475828814</v>
      </c>
      <c r="D51" s="42">
        <f t="shared" si="2"/>
        <v>2240.1640059584447</v>
      </c>
      <c r="E51" s="42"/>
      <c r="F51" s="42">
        <f t="shared" si="4"/>
        <v>383607.0693324036</v>
      </c>
      <c r="G51" s="42">
        <f t="shared" si="5"/>
        <v>16392.930667596323</v>
      </c>
      <c r="H51" s="42">
        <f t="shared" si="6"/>
        <v>100700.30848393991</v>
      </c>
    </row>
    <row r="52" spans="1:8" x14ac:dyDescent="0.25">
      <c r="A52" s="41">
        <f t="shared" si="1"/>
        <v>45</v>
      </c>
      <c r="B52" s="42">
        <f t="shared" si="7"/>
        <v>2661.2099807167328</v>
      </c>
      <c r="C52" s="42">
        <f t="shared" si="0"/>
        <v>423.50207627771169</v>
      </c>
      <c r="D52" s="42">
        <f t="shared" si="2"/>
        <v>2237.7079044390211</v>
      </c>
      <c r="E52" s="42"/>
      <c r="F52" s="42">
        <f t="shared" si="4"/>
        <v>383183.56725612591</v>
      </c>
      <c r="G52" s="42">
        <f t="shared" si="5"/>
        <v>16816.432743874037</v>
      </c>
      <c r="H52" s="42">
        <f t="shared" si="6"/>
        <v>102938.01638837894</v>
      </c>
    </row>
    <row r="53" spans="1:8" x14ac:dyDescent="0.25">
      <c r="A53" s="41">
        <f t="shared" si="1"/>
        <v>46</v>
      </c>
      <c r="B53" s="42">
        <f t="shared" si="7"/>
        <v>2661.2099807167328</v>
      </c>
      <c r="C53" s="42">
        <f t="shared" si="0"/>
        <v>425.97250505599823</v>
      </c>
      <c r="D53" s="42">
        <f t="shared" si="2"/>
        <v>2235.2374756607346</v>
      </c>
      <c r="E53" s="42"/>
      <c r="F53" s="42">
        <f t="shared" si="4"/>
        <v>382757.5947510699</v>
      </c>
      <c r="G53" s="42">
        <f t="shared" si="5"/>
        <v>17242.405248930034</v>
      </c>
      <c r="H53" s="42">
        <f t="shared" si="6"/>
        <v>105173.25386403967</v>
      </c>
    </row>
    <row r="54" spans="1:8" x14ac:dyDescent="0.25">
      <c r="A54" s="41">
        <f t="shared" si="1"/>
        <v>47</v>
      </c>
      <c r="B54" s="42">
        <f t="shared" si="7"/>
        <v>2661.2099807167328</v>
      </c>
      <c r="C54" s="42">
        <f t="shared" si="0"/>
        <v>428.45734466882459</v>
      </c>
      <c r="D54" s="42">
        <f t="shared" si="2"/>
        <v>2232.7526360479083</v>
      </c>
      <c r="E54" s="42"/>
      <c r="F54" s="42">
        <f t="shared" si="4"/>
        <v>382329.1374064011</v>
      </c>
      <c r="G54" s="42">
        <f t="shared" si="5"/>
        <v>17670.86259359886</v>
      </c>
      <c r="H54" s="42">
        <f t="shared" si="6"/>
        <v>107406.00650008758</v>
      </c>
    </row>
    <row r="55" spans="1:8" x14ac:dyDescent="0.25">
      <c r="A55" s="41">
        <f t="shared" si="1"/>
        <v>48</v>
      </c>
      <c r="B55" s="42">
        <f t="shared" si="7"/>
        <v>2661.2099807167328</v>
      </c>
      <c r="C55" s="42">
        <f t="shared" si="0"/>
        <v>430.95667917939272</v>
      </c>
      <c r="D55" s="42">
        <f t="shared" si="2"/>
        <v>2230.2533015373401</v>
      </c>
      <c r="E55" s="42"/>
      <c r="F55" s="42">
        <f t="shared" si="4"/>
        <v>381898.18072722171</v>
      </c>
      <c r="G55" s="42">
        <f t="shared" si="5"/>
        <v>18101.819272778252</v>
      </c>
      <c r="H55" s="42">
        <f t="shared" si="6"/>
        <v>109636.25980162491</v>
      </c>
    </row>
    <row r="56" spans="1:8" x14ac:dyDescent="0.25">
      <c r="A56" s="53">
        <f t="shared" si="1"/>
        <v>49</v>
      </c>
      <c r="B56" s="54">
        <f t="shared" si="7"/>
        <v>2661.2099807167328</v>
      </c>
      <c r="C56" s="54">
        <f t="shared" si="0"/>
        <v>433.47059314127273</v>
      </c>
      <c r="D56" s="54">
        <f t="shared" si="2"/>
        <v>2227.7393875754601</v>
      </c>
      <c r="E56" s="54"/>
      <c r="F56" s="54">
        <f t="shared" si="4"/>
        <v>381464.71013408044</v>
      </c>
      <c r="G56" s="54">
        <f t="shared" si="5"/>
        <v>18535.289865919523</v>
      </c>
      <c r="H56" s="54">
        <f t="shared" si="6"/>
        <v>111863.99918920037</v>
      </c>
    </row>
    <row r="57" spans="1:8" x14ac:dyDescent="0.25">
      <c r="A57" s="53">
        <f t="shared" si="1"/>
        <v>50</v>
      </c>
      <c r="B57" s="54">
        <f t="shared" si="7"/>
        <v>2661.2099807167328</v>
      </c>
      <c r="C57" s="54">
        <f t="shared" si="0"/>
        <v>435.9991716012637</v>
      </c>
      <c r="D57" s="54">
        <f t="shared" si="2"/>
        <v>2225.2108091154691</v>
      </c>
      <c r="E57" s="54"/>
      <c r="F57" s="54">
        <f t="shared" si="4"/>
        <v>381028.71096247918</v>
      </c>
      <c r="G57" s="54">
        <f t="shared" si="5"/>
        <v>18971.289037520786</v>
      </c>
      <c r="H57" s="54">
        <f t="shared" si="6"/>
        <v>114089.20999831584</v>
      </c>
    </row>
    <row r="58" spans="1:8" x14ac:dyDescent="0.25">
      <c r="A58" s="53">
        <f t="shared" si="1"/>
        <v>51</v>
      </c>
      <c r="B58" s="54">
        <f t="shared" si="7"/>
        <v>2661.2099807167328</v>
      </c>
      <c r="C58" s="54">
        <f t="shared" si="0"/>
        <v>438.54250010227088</v>
      </c>
      <c r="D58" s="54">
        <f t="shared" si="2"/>
        <v>2222.667480614462</v>
      </c>
      <c r="E58" s="54"/>
      <c r="F58" s="54">
        <f t="shared" si="4"/>
        <v>380590.16846237693</v>
      </c>
      <c r="G58" s="54">
        <f t="shared" si="5"/>
        <v>19409.831537623057</v>
      </c>
      <c r="H58" s="54">
        <f t="shared" si="6"/>
        <v>116311.8774789303</v>
      </c>
    </row>
    <row r="59" spans="1:8" x14ac:dyDescent="0.25">
      <c r="A59" s="53">
        <f t="shared" si="1"/>
        <v>52</v>
      </c>
      <c r="B59" s="54">
        <f t="shared" si="7"/>
        <v>2661.2099807167328</v>
      </c>
      <c r="C59" s="54">
        <f t="shared" si="0"/>
        <v>441.10066468620062</v>
      </c>
      <c r="D59" s="54">
        <f t="shared" si="2"/>
        <v>2220.1093160305322</v>
      </c>
      <c r="E59" s="54"/>
      <c r="F59" s="54">
        <f t="shared" si="4"/>
        <v>380149.06779769075</v>
      </c>
      <c r="G59" s="54">
        <f t="shared" si="5"/>
        <v>19850.932202309257</v>
      </c>
      <c r="H59" s="54">
        <f t="shared" si="6"/>
        <v>118531.98679496083</v>
      </c>
    </row>
    <row r="60" spans="1:8" x14ac:dyDescent="0.25">
      <c r="A60" s="53">
        <f t="shared" si="1"/>
        <v>53</v>
      </c>
      <c r="B60" s="54">
        <f t="shared" si="7"/>
        <v>2661.2099807167328</v>
      </c>
      <c r="C60" s="54">
        <f t="shared" si="0"/>
        <v>443.67375189686982</v>
      </c>
      <c r="D60" s="54">
        <f t="shared" si="2"/>
        <v>2217.536228819863</v>
      </c>
      <c r="E60" s="54"/>
      <c r="F60" s="54">
        <f t="shared" si="4"/>
        <v>379705.39404579386</v>
      </c>
      <c r="G60" s="54">
        <f t="shared" si="5"/>
        <v>20294.605954206127</v>
      </c>
      <c r="H60" s="54">
        <f t="shared" si="6"/>
        <v>120749.5230237807</v>
      </c>
    </row>
    <row r="61" spans="1:8" x14ac:dyDescent="0.25">
      <c r="A61" s="53">
        <f t="shared" si="1"/>
        <v>54</v>
      </c>
      <c r="B61" s="54">
        <f t="shared" si="7"/>
        <v>2661.2099807167328</v>
      </c>
      <c r="C61" s="54">
        <f t="shared" si="0"/>
        <v>446.26184878293498</v>
      </c>
      <c r="D61" s="54">
        <f t="shared" si="2"/>
        <v>2214.9481319337979</v>
      </c>
      <c r="E61" s="54"/>
      <c r="F61" s="54">
        <f t="shared" si="4"/>
        <v>379259.13219701091</v>
      </c>
      <c r="G61" s="54">
        <f t="shared" si="5"/>
        <v>20740.867802989062</v>
      </c>
      <c r="H61" s="54">
        <f t="shared" si="6"/>
        <v>122964.47115571449</v>
      </c>
    </row>
    <row r="62" spans="1:8" x14ac:dyDescent="0.25">
      <c r="A62" s="53">
        <f t="shared" si="1"/>
        <v>55</v>
      </c>
      <c r="B62" s="54">
        <f t="shared" si="7"/>
        <v>2661.2099807167328</v>
      </c>
      <c r="C62" s="54">
        <f t="shared" si="0"/>
        <v>448.86504290083576</v>
      </c>
      <c r="D62" s="54">
        <f t="shared" si="2"/>
        <v>2212.3449378158971</v>
      </c>
      <c r="E62" s="54"/>
      <c r="F62" s="54">
        <f t="shared" si="4"/>
        <v>378810.26715411007</v>
      </c>
      <c r="G62" s="54">
        <f t="shared" si="5"/>
        <v>21189.732845889899</v>
      </c>
      <c r="H62" s="54">
        <f t="shared" si="6"/>
        <v>125176.81609353039</v>
      </c>
    </row>
    <row r="63" spans="1:8" x14ac:dyDescent="0.25">
      <c r="A63" s="53">
        <f t="shared" si="1"/>
        <v>56</v>
      </c>
      <c r="B63" s="54">
        <f t="shared" si="7"/>
        <v>2661.2099807167328</v>
      </c>
      <c r="C63" s="54">
        <f t="shared" si="0"/>
        <v>451.48342231775723</v>
      </c>
      <c r="D63" s="54">
        <f t="shared" si="2"/>
        <v>2209.7265583989756</v>
      </c>
      <c r="E63" s="54"/>
      <c r="F63" s="54">
        <f t="shared" si="4"/>
        <v>378358.7837317923</v>
      </c>
      <c r="G63" s="54">
        <f t="shared" si="5"/>
        <v>21641.216268207656</v>
      </c>
      <c r="H63" s="54">
        <f t="shared" si="6"/>
        <v>127386.54265192937</v>
      </c>
    </row>
    <row r="64" spans="1:8" x14ac:dyDescent="0.25">
      <c r="A64" s="53">
        <f t="shared" si="1"/>
        <v>57</v>
      </c>
      <c r="B64" s="54">
        <f t="shared" si="7"/>
        <v>2661.2099807167328</v>
      </c>
      <c r="C64" s="54">
        <f t="shared" si="0"/>
        <v>454.11707561461117</v>
      </c>
      <c r="D64" s="54">
        <f t="shared" si="2"/>
        <v>2207.0929051021217</v>
      </c>
      <c r="E64" s="54"/>
      <c r="F64" s="54">
        <f t="shared" si="4"/>
        <v>377904.66665617767</v>
      </c>
      <c r="G64" s="54">
        <f t="shared" si="5"/>
        <v>22095.333343822269</v>
      </c>
      <c r="H64" s="54">
        <f t="shared" si="6"/>
        <v>129593.63555703149</v>
      </c>
    </row>
    <row r="65" spans="1:8" x14ac:dyDescent="0.25">
      <c r="A65" s="53">
        <f t="shared" si="1"/>
        <v>58</v>
      </c>
      <c r="B65" s="54">
        <f t="shared" si="7"/>
        <v>2661.2099807167328</v>
      </c>
      <c r="C65" s="54">
        <f t="shared" si="0"/>
        <v>456.76609188902967</v>
      </c>
      <c r="D65" s="54">
        <f t="shared" si="2"/>
        <v>2204.4438888277032</v>
      </c>
      <c r="E65" s="54"/>
      <c r="F65" s="54">
        <f t="shared" si="4"/>
        <v>377447.90056428866</v>
      </c>
      <c r="G65" s="54">
        <f t="shared" si="5"/>
        <v>22552.099435711298</v>
      </c>
      <c r="H65" s="54">
        <f t="shared" si="6"/>
        <v>131798.07944585918</v>
      </c>
    </row>
    <row r="66" spans="1:8" x14ac:dyDescent="0.25">
      <c r="A66" s="53">
        <f t="shared" si="1"/>
        <v>59</v>
      </c>
      <c r="B66" s="54">
        <f t="shared" si="7"/>
        <v>2661.2099807167328</v>
      </c>
      <c r="C66" s="54">
        <f t="shared" si="0"/>
        <v>459.43056075838194</v>
      </c>
      <c r="D66" s="54">
        <f t="shared" si="2"/>
        <v>2201.7794199583509</v>
      </c>
      <c r="E66" s="54"/>
      <c r="F66" s="54">
        <f t="shared" si="4"/>
        <v>376988.47000353027</v>
      </c>
      <c r="G66" s="54">
        <f t="shared" si="5"/>
        <v>23011.529996469679</v>
      </c>
      <c r="H66" s="54">
        <f t="shared" si="6"/>
        <v>133999.85886581754</v>
      </c>
    </row>
    <row r="67" spans="1:8" x14ac:dyDescent="0.25">
      <c r="A67" s="53">
        <f t="shared" si="1"/>
        <v>60</v>
      </c>
      <c r="B67" s="54">
        <f t="shared" si="7"/>
        <v>2661.2099807167328</v>
      </c>
      <c r="C67" s="54">
        <f t="shared" si="0"/>
        <v>462.11057236280612</v>
      </c>
      <c r="D67" s="54">
        <f t="shared" si="2"/>
        <v>2199.0994083539267</v>
      </c>
      <c r="E67" s="54"/>
      <c r="F67" s="54">
        <f t="shared" si="4"/>
        <v>376526.35943116748</v>
      </c>
      <c r="G67" s="54">
        <f t="shared" si="5"/>
        <v>23473.640568832485</v>
      </c>
      <c r="H67" s="54">
        <f t="shared" si="6"/>
        <v>136198.95827417148</v>
      </c>
    </row>
    <row r="68" spans="1:8" x14ac:dyDescent="0.25">
      <c r="A68" s="35">
        <f t="shared" si="1"/>
        <v>61</v>
      </c>
      <c r="B68" s="36">
        <f t="shared" si="7"/>
        <v>2661.2099807167328</v>
      </c>
      <c r="C68" s="36">
        <f t="shared" si="0"/>
        <v>464.8062173682556</v>
      </c>
      <c r="D68" s="36">
        <f t="shared" si="2"/>
        <v>2196.4037633484772</v>
      </c>
      <c r="E68" s="36"/>
      <c r="F68" s="36">
        <f t="shared" si="4"/>
        <v>376061.55321379926</v>
      </c>
      <c r="G68" s="36">
        <f t="shared" si="5"/>
        <v>23938.44678620074</v>
      </c>
      <c r="H68" s="36">
        <f t="shared" si="6"/>
        <v>138395.36203751995</v>
      </c>
    </row>
    <row r="69" spans="1:8" x14ac:dyDescent="0.25">
      <c r="A69" s="35">
        <f t="shared" si="1"/>
        <v>62</v>
      </c>
      <c r="B69" s="36">
        <f t="shared" si="7"/>
        <v>2661.2099807167328</v>
      </c>
      <c r="C69" s="36">
        <f t="shared" si="0"/>
        <v>467.5175869695704</v>
      </c>
      <c r="D69" s="36">
        <f t="shared" si="2"/>
        <v>2193.6923937471624</v>
      </c>
      <c r="E69" s="36"/>
      <c r="F69" s="36">
        <f t="shared" si="4"/>
        <v>375594.03562682966</v>
      </c>
      <c r="G69" s="36">
        <f t="shared" si="5"/>
        <v>24405.964373170311</v>
      </c>
      <c r="H69" s="36">
        <f t="shared" si="6"/>
        <v>140589.05443126711</v>
      </c>
    </row>
    <row r="70" spans="1:8" x14ac:dyDescent="0.25">
      <c r="A70" s="35">
        <f t="shared" si="1"/>
        <v>63</v>
      </c>
      <c r="B70" s="36">
        <f t="shared" si="7"/>
        <v>2661.2099807167328</v>
      </c>
      <c r="C70" s="36">
        <f t="shared" si="0"/>
        <v>470.24477289355946</v>
      </c>
      <c r="D70" s="36">
        <f t="shared" si="2"/>
        <v>2190.9652078231734</v>
      </c>
      <c r="E70" s="36"/>
      <c r="F70" s="36">
        <f t="shared" si="4"/>
        <v>375123.79085393611</v>
      </c>
      <c r="G70" s="36">
        <f t="shared" si="5"/>
        <v>24876.209146063869</v>
      </c>
      <c r="H70" s="36">
        <f t="shared" si="6"/>
        <v>142780.01963909029</v>
      </c>
    </row>
    <row r="71" spans="1:8" x14ac:dyDescent="0.25">
      <c r="A71" s="35">
        <f t="shared" si="1"/>
        <v>64</v>
      </c>
      <c r="B71" s="36">
        <f t="shared" si="7"/>
        <v>2661.2099807167328</v>
      </c>
      <c r="C71" s="36">
        <f t="shared" si="0"/>
        <v>472.98786740210562</v>
      </c>
      <c r="D71" s="36">
        <f t="shared" si="2"/>
        <v>2188.2221133146272</v>
      </c>
      <c r="E71" s="36"/>
      <c r="F71" s="36">
        <f t="shared" si="4"/>
        <v>374650.80298653402</v>
      </c>
      <c r="G71" s="36">
        <f t="shared" si="5"/>
        <v>25349.197013465975</v>
      </c>
      <c r="H71" s="36">
        <f t="shared" si="6"/>
        <v>144968.24175240492</v>
      </c>
    </row>
    <row r="72" spans="1:8" x14ac:dyDescent="0.25">
      <c r="A72" s="35">
        <f t="shared" si="1"/>
        <v>65</v>
      </c>
      <c r="B72" s="36">
        <f t="shared" si="7"/>
        <v>2661.2099807167328</v>
      </c>
      <c r="C72" s="36">
        <f t="shared" si="0"/>
        <v>475.74696329528433</v>
      </c>
      <c r="D72" s="36">
        <f t="shared" si="2"/>
        <v>2185.4630174214485</v>
      </c>
      <c r="E72" s="36"/>
      <c r="F72" s="36">
        <f t="shared" si="4"/>
        <v>374175.05602323875</v>
      </c>
      <c r="G72" s="36">
        <f t="shared" si="5"/>
        <v>25824.94397676126</v>
      </c>
      <c r="H72" s="36">
        <f t="shared" si="6"/>
        <v>147153.70476982638</v>
      </c>
    </row>
    <row r="73" spans="1:8" x14ac:dyDescent="0.25">
      <c r="A73" s="35">
        <f t="shared" si="1"/>
        <v>66</v>
      </c>
      <c r="B73" s="36">
        <f t="shared" si="7"/>
        <v>2661.2099807167328</v>
      </c>
      <c r="C73" s="36">
        <f t="shared" ref="C73:C136" si="8">IF(A73="","",B73-D73)</f>
        <v>478.52215391450682</v>
      </c>
      <c r="D73" s="36">
        <f t="shared" si="2"/>
        <v>2182.687826802226</v>
      </c>
      <c r="E73" s="36"/>
      <c r="F73" s="36">
        <f t="shared" si="4"/>
        <v>373696.53386932425</v>
      </c>
      <c r="G73" s="36">
        <f t="shared" si="5"/>
        <v>26303.466130675766</v>
      </c>
      <c r="H73" s="36">
        <f t="shared" si="6"/>
        <v>149336.3925966286</v>
      </c>
    </row>
    <row r="74" spans="1:8" x14ac:dyDescent="0.25">
      <c r="A74" s="35">
        <f t="shared" ref="A74:A137" si="9">IF(OR(F73&lt;0.01,F73=""),"",A73+1)</f>
        <v>67</v>
      </c>
      <c r="B74" s="36">
        <f t="shared" si="7"/>
        <v>2661.2099807167328</v>
      </c>
      <c r="C74" s="36">
        <f t="shared" si="8"/>
        <v>481.31353314567423</v>
      </c>
      <c r="D74" s="36">
        <f t="shared" ref="D74:D137" si="10">IF(A74="","",F73*$B$4/12)</f>
        <v>2179.8964475710586</v>
      </c>
      <c r="E74" s="36"/>
      <c r="F74" s="36">
        <f t="shared" si="4"/>
        <v>373215.22033617855</v>
      </c>
      <c r="G74" s="36">
        <f t="shared" si="5"/>
        <v>26784.779663821442</v>
      </c>
      <c r="H74" s="36">
        <f t="shared" si="6"/>
        <v>151516.28904419966</v>
      </c>
    </row>
    <row r="75" spans="1:8" x14ac:dyDescent="0.25">
      <c r="A75" s="35">
        <f t="shared" si="9"/>
        <v>68</v>
      </c>
      <c r="B75" s="36">
        <f t="shared" si="7"/>
        <v>2661.2099807167328</v>
      </c>
      <c r="C75" s="36">
        <f t="shared" si="8"/>
        <v>484.12119542235769</v>
      </c>
      <c r="D75" s="36">
        <f t="shared" si="10"/>
        <v>2177.0887852943752</v>
      </c>
      <c r="E75" s="36"/>
      <c r="F75" s="36">
        <f t="shared" si="4"/>
        <v>372731.09914075618</v>
      </c>
      <c r="G75" s="36">
        <f t="shared" si="5"/>
        <v>27268.9008592438</v>
      </c>
      <c r="H75" s="36">
        <f t="shared" si="6"/>
        <v>153693.37782949404</v>
      </c>
    </row>
    <row r="76" spans="1:8" x14ac:dyDescent="0.25">
      <c r="A76" s="35">
        <f t="shared" si="9"/>
        <v>69</v>
      </c>
      <c r="B76" s="36">
        <f t="shared" si="7"/>
        <v>2661.2099807167328</v>
      </c>
      <c r="C76" s="36">
        <f t="shared" si="8"/>
        <v>486.94523572898834</v>
      </c>
      <c r="D76" s="36">
        <f t="shared" si="10"/>
        <v>2174.2647449877445</v>
      </c>
      <c r="E76" s="36"/>
      <c r="F76" s="36">
        <f t="shared" si="4"/>
        <v>372244.1539050272</v>
      </c>
      <c r="G76" s="36">
        <f t="shared" si="5"/>
        <v>27755.846094972789</v>
      </c>
      <c r="H76" s="36">
        <f t="shared" si="6"/>
        <v>155867.64257448178</v>
      </c>
    </row>
    <row r="77" spans="1:8" x14ac:dyDescent="0.25">
      <c r="A77" s="35">
        <f t="shared" si="9"/>
        <v>70</v>
      </c>
      <c r="B77" s="36">
        <f t="shared" si="7"/>
        <v>2661.2099807167328</v>
      </c>
      <c r="C77" s="36">
        <f t="shared" si="8"/>
        <v>489.78574960407423</v>
      </c>
      <c r="D77" s="36">
        <f t="shared" si="10"/>
        <v>2171.4242311126586</v>
      </c>
      <c r="E77" s="36"/>
      <c r="F77" s="36">
        <f t="shared" si="4"/>
        <v>371754.36815542314</v>
      </c>
      <c r="G77" s="36">
        <f t="shared" si="5"/>
        <v>28245.631844576863</v>
      </c>
      <c r="H77" s="36">
        <f t="shared" si="6"/>
        <v>158039.06680559446</v>
      </c>
    </row>
    <row r="78" spans="1:8" x14ac:dyDescent="0.25">
      <c r="A78" s="35">
        <f t="shared" si="9"/>
        <v>71</v>
      </c>
      <c r="B78" s="36">
        <f t="shared" si="7"/>
        <v>2661.2099807167328</v>
      </c>
      <c r="C78" s="36">
        <f t="shared" si="8"/>
        <v>492.64283314343083</v>
      </c>
      <c r="D78" s="36">
        <f t="shared" si="10"/>
        <v>2168.567147573302</v>
      </c>
      <c r="E78" s="36"/>
      <c r="F78" s="36">
        <f t="shared" ref="F78:F141" si="11">IF(A78="","",IF(A78="","",F77-C78-E78))</f>
        <v>371261.72532227973</v>
      </c>
      <c r="G78" s="36">
        <f t="shared" ref="G78:G141" si="12">IF(A78="","",C78+G77+E78)</f>
        <v>28738.274677720292</v>
      </c>
      <c r="H78" s="36">
        <f t="shared" ref="H78:H141" si="13">IF(A78="","",IF(A78="","",D78+H77))</f>
        <v>160207.63395316777</v>
      </c>
    </row>
    <row r="79" spans="1:8" x14ac:dyDescent="0.25">
      <c r="A79" s="35">
        <f t="shared" si="9"/>
        <v>72</v>
      </c>
      <c r="B79" s="36">
        <f t="shared" si="7"/>
        <v>2661.2099807167328</v>
      </c>
      <c r="C79" s="36">
        <f t="shared" si="8"/>
        <v>495.51658300343433</v>
      </c>
      <c r="D79" s="36">
        <f t="shared" si="10"/>
        <v>2165.6933977132985</v>
      </c>
      <c r="E79" s="36"/>
      <c r="F79" s="36">
        <f t="shared" si="11"/>
        <v>370766.20873927628</v>
      </c>
      <c r="G79" s="36">
        <f t="shared" si="12"/>
        <v>29233.791260723727</v>
      </c>
      <c r="H79" s="36">
        <f t="shared" si="13"/>
        <v>162373.32735088107</v>
      </c>
    </row>
    <row r="80" spans="1:8" x14ac:dyDescent="0.25">
      <c r="A80" s="55">
        <f t="shared" si="9"/>
        <v>73</v>
      </c>
      <c r="B80" s="56">
        <f t="shared" si="7"/>
        <v>2661.2099807167328</v>
      </c>
      <c r="C80" s="56">
        <f t="shared" si="8"/>
        <v>498.40709640428759</v>
      </c>
      <c r="D80" s="56">
        <f t="shared" si="10"/>
        <v>2162.8028843124453</v>
      </c>
      <c r="E80" s="56"/>
      <c r="F80" s="56">
        <f t="shared" si="11"/>
        <v>370267.80164287199</v>
      </c>
      <c r="G80" s="56">
        <f t="shared" si="12"/>
        <v>29732.198357128014</v>
      </c>
      <c r="H80" s="56">
        <f t="shared" si="13"/>
        <v>164536.1302351935</v>
      </c>
    </row>
    <row r="81" spans="1:8" x14ac:dyDescent="0.25">
      <c r="A81" s="55">
        <f t="shared" si="9"/>
        <v>74</v>
      </c>
      <c r="B81" s="56">
        <f t="shared" si="7"/>
        <v>2661.2099807167328</v>
      </c>
      <c r="C81" s="56">
        <f t="shared" si="8"/>
        <v>501.31447113331251</v>
      </c>
      <c r="D81" s="56">
        <f t="shared" si="10"/>
        <v>2159.8955095834203</v>
      </c>
      <c r="E81" s="56"/>
      <c r="F81" s="56">
        <f t="shared" si="11"/>
        <v>369766.4871717387</v>
      </c>
      <c r="G81" s="56">
        <f t="shared" si="12"/>
        <v>30233.512828261326</v>
      </c>
      <c r="H81" s="56">
        <f t="shared" si="13"/>
        <v>166696.02574477691</v>
      </c>
    </row>
    <row r="82" spans="1:8" x14ac:dyDescent="0.25">
      <c r="A82" s="55">
        <f t="shared" si="9"/>
        <v>75</v>
      </c>
      <c r="B82" s="56">
        <f t="shared" si="7"/>
        <v>2661.2099807167328</v>
      </c>
      <c r="C82" s="56">
        <f t="shared" si="8"/>
        <v>504.23880554825701</v>
      </c>
      <c r="D82" s="56">
        <f t="shared" si="10"/>
        <v>2156.9711751684758</v>
      </c>
      <c r="E82" s="56"/>
      <c r="F82" s="56">
        <f t="shared" si="11"/>
        <v>369262.24836619047</v>
      </c>
      <c r="G82" s="56">
        <f t="shared" si="12"/>
        <v>30737.751633809581</v>
      </c>
      <c r="H82" s="56">
        <f t="shared" si="13"/>
        <v>168852.99691994538</v>
      </c>
    </row>
    <row r="83" spans="1:8" x14ac:dyDescent="0.25">
      <c r="A83" s="55">
        <f t="shared" si="9"/>
        <v>76</v>
      </c>
      <c r="B83" s="56">
        <f t="shared" si="7"/>
        <v>2661.2099807167328</v>
      </c>
      <c r="C83" s="56">
        <f t="shared" si="8"/>
        <v>507.18019858062144</v>
      </c>
      <c r="D83" s="56">
        <f t="shared" si="10"/>
        <v>2154.0297821361114</v>
      </c>
      <c r="E83" s="56"/>
      <c r="F83" s="56">
        <f t="shared" si="11"/>
        <v>368755.06816760986</v>
      </c>
      <c r="G83" s="56">
        <f t="shared" si="12"/>
        <v>31244.931832390204</v>
      </c>
      <c r="H83" s="56">
        <f t="shared" si="13"/>
        <v>171007.02670208149</v>
      </c>
    </row>
    <row r="84" spans="1:8" x14ac:dyDescent="0.25">
      <c r="A84" s="55">
        <f t="shared" si="9"/>
        <v>77</v>
      </c>
      <c r="B84" s="56">
        <f t="shared" ref="B84:B147" si="14">IF(A84="","",(IF(F83+(F83*$B$4/12)&lt;-PMT($B$4/12,$B$5*12,$B$3,0,0),F83+(F83*$B$4/12),-PMT($B$4/12,$B$5*12,$B$3,0,0))))</f>
        <v>2661.2099807167328</v>
      </c>
      <c r="C84" s="56">
        <f t="shared" si="8"/>
        <v>510.13874973900874</v>
      </c>
      <c r="D84" s="56">
        <f t="shared" si="10"/>
        <v>2151.0712309777241</v>
      </c>
      <c r="E84" s="56"/>
      <c r="F84" s="56">
        <f t="shared" si="11"/>
        <v>368244.92941787088</v>
      </c>
      <c r="G84" s="56">
        <f t="shared" si="12"/>
        <v>31755.070582129214</v>
      </c>
      <c r="H84" s="56">
        <f t="shared" si="13"/>
        <v>173158.09793305921</v>
      </c>
    </row>
    <row r="85" spans="1:8" x14ac:dyDescent="0.25">
      <c r="A85" s="55">
        <f t="shared" si="9"/>
        <v>78</v>
      </c>
      <c r="B85" s="56">
        <f t="shared" si="14"/>
        <v>2661.2099807167328</v>
      </c>
      <c r="C85" s="56">
        <f t="shared" si="8"/>
        <v>513.11455911248595</v>
      </c>
      <c r="D85" s="56">
        <f t="shared" si="10"/>
        <v>2148.0954216042469</v>
      </c>
      <c r="E85" s="56"/>
      <c r="F85" s="56">
        <f t="shared" si="11"/>
        <v>367731.81485875841</v>
      </c>
      <c r="G85" s="56">
        <f t="shared" si="12"/>
        <v>32268.185141241702</v>
      </c>
      <c r="H85" s="56">
        <f t="shared" si="13"/>
        <v>175306.19335466347</v>
      </c>
    </row>
    <row r="86" spans="1:8" x14ac:dyDescent="0.25">
      <c r="A86" s="55">
        <f t="shared" si="9"/>
        <v>79</v>
      </c>
      <c r="B86" s="56">
        <f t="shared" si="14"/>
        <v>2661.2099807167328</v>
      </c>
      <c r="C86" s="56">
        <f t="shared" si="8"/>
        <v>516.10772737397519</v>
      </c>
      <c r="D86" s="56">
        <f t="shared" si="10"/>
        <v>2145.1022533427576</v>
      </c>
      <c r="E86" s="56"/>
      <c r="F86" s="56">
        <f t="shared" si="11"/>
        <v>367215.70713138446</v>
      </c>
      <c r="G86" s="56">
        <f t="shared" si="12"/>
        <v>32784.292868615674</v>
      </c>
      <c r="H86" s="56">
        <f t="shared" si="13"/>
        <v>177451.29560800621</v>
      </c>
    </row>
    <row r="87" spans="1:8" x14ac:dyDescent="0.25">
      <c r="A87" s="55">
        <f t="shared" si="9"/>
        <v>80</v>
      </c>
      <c r="B87" s="56">
        <f t="shared" si="14"/>
        <v>2661.2099807167328</v>
      </c>
      <c r="C87" s="56">
        <f t="shared" si="8"/>
        <v>519.11835578365663</v>
      </c>
      <c r="D87" s="56">
        <f t="shared" si="10"/>
        <v>2142.0916249330762</v>
      </c>
      <c r="E87" s="56"/>
      <c r="F87" s="56">
        <f t="shared" si="11"/>
        <v>366696.58877560083</v>
      </c>
      <c r="G87" s="56">
        <f t="shared" si="12"/>
        <v>33303.41122439933</v>
      </c>
      <c r="H87" s="56">
        <f t="shared" si="13"/>
        <v>179593.38723293928</v>
      </c>
    </row>
    <row r="88" spans="1:8" x14ac:dyDescent="0.25">
      <c r="A88" s="55">
        <f t="shared" si="9"/>
        <v>81</v>
      </c>
      <c r="B88" s="56">
        <f t="shared" si="14"/>
        <v>2661.2099807167328</v>
      </c>
      <c r="C88" s="56">
        <f t="shared" si="8"/>
        <v>522.14654619239445</v>
      </c>
      <c r="D88" s="56">
        <f t="shared" si="10"/>
        <v>2139.0634345243384</v>
      </c>
      <c r="E88" s="56"/>
      <c r="F88" s="56">
        <f t="shared" si="11"/>
        <v>366174.44222940842</v>
      </c>
      <c r="G88" s="56">
        <f t="shared" si="12"/>
        <v>33825.557770591724</v>
      </c>
      <c r="H88" s="56">
        <f t="shared" si="13"/>
        <v>181732.45066746362</v>
      </c>
    </row>
    <row r="89" spans="1:8" x14ac:dyDescent="0.25">
      <c r="A89" s="55">
        <f t="shared" si="9"/>
        <v>82</v>
      </c>
      <c r="B89" s="56">
        <f t="shared" si="14"/>
        <v>2661.2099807167328</v>
      </c>
      <c r="C89" s="56">
        <f t="shared" si="8"/>
        <v>525.19240104518349</v>
      </c>
      <c r="D89" s="56">
        <f t="shared" si="10"/>
        <v>2136.0175796715494</v>
      </c>
      <c r="E89" s="56"/>
      <c r="F89" s="56">
        <f t="shared" si="11"/>
        <v>365649.24982836324</v>
      </c>
      <c r="G89" s="56">
        <f t="shared" si="12"/>
        <v>34350.750171636908</v>
      </c>
      <c r="H89" s="56">
        <f t="shared" si="13"/>
        <v>183868.46824713517</v>
      </c>
    </row>
    <row r="90" spans="1:8" x14ac:dyDescent="0.25">
      <c r="A90" s="55">
        <f t="shared" si="9"/>
        <v>83</v>
      </c>
      <c r="B90" s="56">
        <f t="shared" si="14"/>
        <v>2661.2099807167328</v>
      </c>
      <c r="C90" s="56">
        <f t="shared" si="8"/>
        <v>528.25602338461385</v>
      </c>
      <c r="D90" s="56">
        <f t="shared" si="10"/>
        <v>2132.953957332119</v>
      </c>
      <c r="E90" s="56"/>
      <c r="F90" s="56">
        <f t="shared" si="11"/>
        <v>365120.99380497861</v>
      </c>
      <c r="G90" s="56">
        <f t="shared" si="12"/>
        <v>34879.006195021524</v>
      </c>
      <c r="H90" s="56">
        <f t="shared" si="13"/>
        <v>186001.42220446729</v>
      </c>
    </row>
    <row r="91" spans="1:8" x14ac:dyDescent="0.25">
      <c r="A91" s="55">
        <f t="shared" si="9"/>
        <v>84</v>
      </c>
      <c r="B91" s="56">
        <f t="shared" si="14"/>
        <v>2661.2099807167328</v>
      </c>
      <c r="C91" s="56">
        <f t="shared" si="8"/>
        <v>531.33751685435709</v>
      </c>
      <c r="D91" s="56">
        <f t="shared" si="10"/>
        <v>2129.8724638623758</v>
      </c>
      <c r="E91" s="56"/>
      <c r="F91" s="56">
        <f t="shared" si="11"/>
        <v>364589.65628812427</v>
      </c>
      <c r="G91" s="56">
        <f t="shared" si="12"/>
        <v>35410.343711875881</v>
      </c>
      <c r="H91" s="56">
        <f t="shared" si="13"/>
        <v>188131.29466832968</v>
      </c>
    </row>
    <row r="92" spans="1:8" x14ac:dyDescent="0.25">
      <c r="A92" s="57">
        <f t="shared" si="9"/>
        <v>85</v>
      </c>
      <c r="B92" s="58">
        <f t="shared" si="14"/>
        <v>2661.2099807167328</v>
      </c>
      <c r="C92" s="58">
        <f t="shared" si="8"/>
        <v>534.43698570267452</v>
      </c>
      <c r="D92" s="58">
        <f t="shared" si="10"/>
        <v>2126.7729950140583</v>
      </c>
      <c r="E92" s="58"/>
      <c r="F92" s="58">
        <f t="shared" si="11"/>
        <v>364055.21930242161</v>
      </c>
      <c r="G92" s="58">
        <f t="shared" si="12"/>
        <v>35944.780697578557</v>
      </c>
      <c r="H92" s="58">
        <f t="shared" si="13"/>
        <v>190258.06766334374</v>
      </c>
    </row>
    <row r="93" spans="1:8" x14ac:dyDescent="0.25">
      <c r="A93" s="57">
        <f t="shared" si="9"/>
        <v>86</v>
      </c>
      <c r="B93" s="58">
        <f t="shared" si="14"/>
        <v>2661.2099807167328</v>
      </c>
      <c r="C93" s="58">
        <f t="shared" si="8"/>
        <v>537.55453478593972</v>
      </c>
      <c r="D93" s="58">
        <f t="shared" si="10"/>
        <v>2123.6554459307931</v>
      </c>
      <c r="E93" s="58"/>
      <c r="F93" s="58">
        <f t="shared" si="11"/>
        <v>363517.6647676357</v>
      </c>
      <c r="G93" s="58">
        <f t="shared" si="12"/>
        <v>36482.335232364494</v>
      </c>
      <c r="H93" s="58">
        <f t="shared" si="13"/>
        <v>192381.72310927452</v>
      </c>
    </row>
    <row r="94" spans="1:8" x14ac:dyDescent="0.25">
      <c r="A94" s="57">
        <f t="shared" si="9"/>
        <v>87</v>
      </c>
      <c r="B94" s="58">
        <f t="shared" si="14"/>
        <v>2661.2099807167328</v>
      </c>
      <c r="C94" s="58">
        <f t="shared" si="8"/>
        <v>540.69026957219103</v>
      </c>
      <c r="D94" s="58">
        <f t="shared" si="10"/>
        <v>2120.5197111445418</v>
      </c>
      <c r="E94" s="58"/>
      <c r="F94" s="58">
        <f t="shared" si="11"/>
        <v>362976.9744980635</v>
      </c>
      <c r="G94" s="58">
        <f t="shared" si="12"/>
        <v>37023.025501936689</v>
      </c>
      <c r="H94" s="58">
        <f t="shared" si="13"/>
        <v>194502.24282041905</v>
      </c>
    </row>
    <row r="95" spans="1:8" x14ac:dyDescent="0.25">
      <c r="A95" s="57">
        <f t="shared" si="9"/>
        <v>88</v>
      </c>
      <c r="B95" s="58">
        <f t="shared" si="14"/>
        <v>2661.2099807167328</v>
      </c>
      <c r="C95" s="58">
        <f t="shared" si="8"/>
        <v>543.84429614469536</v>
      </c>
      <c r="D95" s="58">
        <f t="shared" si="10"/>
        <v>2117.3656845720375</v>
      </c>
      <c r="E95" s="58"/>
      <c r="F95" s="58">
        <f t="shared" si="11"/>
        <v>362433.13020191883</v>
      </c>
      <c r="G95" s="58">
        <f t="shared" si="12"/>
        <v>37566.869798081381</v>
      </c>
      <c r="H95" s="58">
        <f t="shared" si="13"/>
        <v>196619.60850499108</v>
      </c>
    </row>
    <row r="96" spans="1:8" x14ac:dyDescent="0.25">
      <c r="A96" s="57">
        <f t="shared" si="9"/>
        <v>89</v>
      </c>
      <c r="B96" s="58">
        <f t="shared" si="14"/>
        <v>2661.2099807167328</v>
      </c>
      <c r="C96" s="58">
        <f t="shared" si="8"/>
        <v>547.0167212055394</v>
      </c>
      <c r="D96" s="58">
        <f t="shared" si="10"/>
        <v>2114.1932595111934</v>
      </c>
      <c r="E96" s="58"/>
      <c r="F96" s="58">
        <f t="shared" si="11"/>
        <v>361886.11348071328</v>
      </c>
      <c r="G96" s="58">
        <f t="shared" si="12"/>
        <v>38113.88651928692</v>
      </c>
      <c r="H96" s="58">
        <f t="shared" si="13"/>
        <v>198733.80176450228</v>
      </c>
    </row>
    <row r="97" spans="1:8" x14ac:dyDescent="0.25">
      <c r="A97" s="57">
        <f t="shared" si="9"/>
        <v>90</v>
      </c>
      <c r="B97" s="58">
        <f t="shared" si="14"/>
        <v>2661.2099807167328</v>
      </c>
      <c r="C97" s="58">
        <f t="shared" si="8"/>
        <v>550.20765207923841</v>
      </c>
      <c r="D97" s="58">
        <f t="shared" si="10"/>
        <v>2111.0023286374944</v>
      </c>
      <c r="E97" s="58"/>
      <c r="F97" s="58">
        <f t="shared" si="11"/>
        <v>361335.90582863404</v>
      </c>
      <c r="G97" s="58">
        <f t="shared" si="12"/>
        <v>38664.09417136616</v>
      </c>
      <c r="H97" s="58">
        <f t="shared" si="13"/>
        <v>200844.80409313977</v>
      </c>
    </row>
    <row r="98" spans="1:8" x14ac:dyDescent="0.25">
      <c r="A98" s="57">
        <f t="shared" si="9"/>
        <v>91</v>
      </c>
      <c r="B98" s="58">
        <f t="shared" si="14"/>
        <v>2661.2099807167328</v>
      </c>
      <c r="C98" s="58">
        <f t="shared" si="8"/>
        <v>553.41719671636747</v>
      </c>
      <c r="D98" s="58">
        <f t="shared" si="10"/>
        <v>2107.7927840003654</v>
      </c>
      <c r="E98" s="58"/>
      <c r="F98" s="58">
        <f t="shared" si="11"/>
        <v>360782.48863191769</v>
      </c>
      <c r="G98" s="58">
        <f t="shared" si="12"/>
        <v>39217.511368082531</v>
      </c>
      <c r="H98" s="58">
        <f t="shared" si="13"/>
        <v>202952.59687714014</v>
      </c>
    </row>
    <row r="99" spans="1:8" x14ac:dyDescent="0.25">
      <c r="A99" s="57">
        <f t="shared" si="9"/>
        <v>92</v>
      </c>
      <c r="B99" s="58">
        <f t="shared" si="14"/>
        <v>2661.2099807167328</v>
      </c>
      <c r="C99" s="58">
        <f t="shared" si="8"/>
        <v>556.64546369721302</v>
      </c>
      <c r="D99" s="58">
        <f t="shared" si="10"/>
        <v>2104.5645170195198</v>
      </c>
      <c r="E99" s="58"/>
      <c r="F99" s="58">
        <f t="shared" si="11"/>
        <v>360225.84316822048</v>
      </c>
      <c r="G99" s="58">
        <f t="shared" si="12"/>
        <v>39774.156831779743</v>
      </c>
      <c r="H99" s="58">
        <f t="shared" si="13"/>
        <v>205057.16139415966</v>
      </c>
    </row>
    <row r="100" spans="1:8" x14ac:dyDescent="0.25">
      <c r="A100" s="57">
        <f t="shared" si="9"/>
        <v>93</v>
      </c>
      <c r="B100" s="58">
        <f t="shared" si="14"/>
        <v>2661.2099807167328</v>
      </c>
      <c r="C100" s="58">
        <f t="shared" si="8"/>
        <v>559.89256223544635</v>
      </c>
      <c r="D100" s="58">
        <f t="shared" si="10"/>
        <v>2101.3174184812865</v>
      </c>
      <c r="E100" s="58"/>
      <c r="F100" s="58">
        <f t="shared" si="11"/>
        <v>359665.95060598501</v>
      </c>
      <c r="G100" s="58">
        <f t="shared" si="12"/>
        <v>40334.049394015186</v>
      </c>
      <c r="H100" s="58">
        <f t="shared" si="13"/>
        <v>207158.47881264094</v>
      </c>
    </row>
    <row r="101" spans="1:8" x14ac:dyDescent="0.25">
      <c r="A101" s="57">
        <f t="shared" si="9"/>
        <v>94</v>
      </c>
      <c r="B101" s="58">
        <f t="shared" si="14"/>
        <v>2661.2099807167328</v>
      </c>
      <c r="C101" s="58">
        <f t="shared" si="8"/>
        <v>563.15860218182024</v>
      </c>
      <c r="D101" s="58">
        <f t="shared" si="10"/>
        <v>2098.0513785349126</v>
      </c>
      <c r="E101" s="58"/>
      <c r="F101" s="58">
        <f t="shared" si="11"/>
        <v>359102.79200380319</v>
      </c>
      <c r="G101" s="58">
        <f t="shared" si="12"/>
        <v>40897.207996197008</v>
      </c>
      <c r="H101" s="58">
        <f t="shared" si="13"/>
        <v>209256.53019117584</v>
      </c>
    </row>
    <row r="102" spans="1:8" x14ac:dyDescent="0.25">
      <c r="A102" s="57">
        <f t="shared" si="9"/>
        <v>95</v>
      </c>
      <c r="B102" s="58">
        <f t="shared" si="14"/>
        <v>2661.2099807167328</v>
      </c>
      <c r="C102" s="58">
        <f t="shared" si="8"/>
        <v>566.44369402788061</v>
      </c>
      <c r="D102" s="58">
        <f t="shared" si="10"/>
        <v>2094.7662866888522</v>
      </c>
      <c r="E102" s="58"/>
      <c r="F102" s="58">
        <f t="shared" si="11"/>
        <v>358536.34830977529</v>
      </c>
      <c r="G102" s="58">
        <f t="shared" si="12"/>
        <v>41463.651690224891</v>
      </c>
      <c r="H102" s="58">
        <f t="shared" si="13"/>
        <v>211351.2964778647</v>
      </c>
    </row>
    <row r="103" spans="1:8" x14ac:dyDescent="0.25">
      <c r="A103" s="57">
        <f t="shared" si="9"/>
        <v>96</v>
      </c>
      <c r="B103" s="58">
        <f t="shared" si="14"/>
        <v>2661.2099807167328</v>
      </c>
      <c r="C103" s="58">
        <f t="shared" si="8"/>
        <v>569.74794890970998</v>
      </c>
      <c r="D103" s="58">
        <f t="shared" si="10"/>
        <v>2091.4620318070229</v>
      </c>
      <c r="E103" s="58"/>
      <c r="F103" s="58">
        <f t="shared" si="11"/>
        <v>357966.60036086559</v>
      </c>
      <c r="G103" s="58">
        <f t="shared" si="12"/>
        <v>42033.399639134601</v>
      </c>
      <c r="H103" s="58">
        <f t="shared" si="13"/>
        <v>213442.75850967172</v>
      </c>
    </row>
    <row r="104" spans="1:8" x14ac:dyDescent="0.25">
      <c r="A104" s="59">
        <f t="shared" si="9"/>
        <v>97</v>
      </c>
      <c r="B104" s="60">
        <f t="shared" si="14"/>
        <v>2661.2099807167328</v>
      </c>
      <c r="C104" s="60">
        <f t="shared" si="8"/>
        <v>573.07147861168323</v>
      </c>
      <c r="D104" s="60">
        <f t="shared" si="10"/>
        <v>2088.1385021050496</v>
      </c>
      <c r="E104" s="60"/>
      <c r="F104" s="60">
        <f t="shared" si="11"/>
        <v>357393.52888225392</v>
      </c>
      <c r="G104" s="60">
        <f t="shared" si="12"/>
        <v>42606.471117746281</v>
      </c>
      <c r="H104" s="60">
        <f t="shared" si="13"/>
        <v>215530.89701177677</v>
      </c>
    </row>
    <row r="105" spans="1:8" x14ac:dyDescent="0.25">
      <c r="A105" s="59">
        <f t="shared" si="9"/>
        <v>98</v>
      </c>
      <c r="B105" s="60">
        <f t="shared" si="14"/>
        <v>2661.2099807167328</v>
      </c>
      <c r="C105" s="60">
        <f t="shared" si="8"/>
        <v>576.4143955702516</v>
      </c>
      <c r="D105" s="60">
        <f t="shared" si="10"/>
        <v>2084.7955851464812</v>
      </c>
      <c r="E105" s="60"/>
      <c r="F105" s="60">
        <f t="shared" si="11"/>
        <v>356817.11448668368</v>
      </c>
      <c r="G105" s="60">
        <f t="shared" si="12"/>
        <v>43182.885513316534</v>
      </c>
      <c r="H105" s="60">
        <f t="shared" si="13"/>
        <v>217615.69259692327</v>
      </c>
    </row>
    <row r="106" spans="1:8" x14ac:dyDescent="0.25">
      <c r="A106" s="59">
        <f t="shared" si="9"/>
        <v>99</v>
      </c>
      <c r="B106" s="60">
        <f t="shared" si="14"/>
        <v>2661.2099807167328</v>
      </c>
      <c r="C106" s="60">
        <f t="shared" si="8"/>
        <v>579.77681287774431</v>
      </c>
      <c r="D106" s="60">
        <f t="shared" si="10"/>
        <v>2081.4331678389885</v>
      </c>
      <c r="E106" s="60"/>
      <c r="F106" s="60">
        <f t="shared" si="11"/>
        <v>356237.33767380595</v>
      </c>
      <c r="G106" s="60">
        <f t="shared" si="12"/>
        <v>43762.66232619428</v>
      </c>
      <c r="H106" s="60">
        <f t="shared" si="13"/>
        <v>219697.12576476226</v>
      </c>
    </row>
    <row r="107" spans="1:8" x14ac:dyDescent="0.25">
      <c r="A107" s="59">
        <f t="shared" si="9"/>
        <v>100</v>
      </c>
      <c r="B107" s="60">
        <f t="shared" si="14"/>
        <v>2661.2099807167328</v>
      </c>
      <c r="C107" s="60">
        <f t="shared" si="8"/>
        <v>583.15884428619802</v>
      </c>
      <c r="D107" s="60">
        <f t="shared" si="10"/>
        <v>2078.0511364305348</v>
      </c>
      <c r="E107" s="60"/>
      <c r="F107" s="60">
        <f t="shared" si="11"/>
        <v>355654.17882951972</v>
      </c>
      <c r="G107" s="60">
        <f t="shared" si="12"/>
        <v>44345.821170480478</v>
      </c>
      <c r="H107" s="60">
        <f t="shared" si="13"/>
        <v>221775.17690119278</v>
      </c>
    </row>
    <row r="108" spans="1:8" x14ac:dyDescent="0.25">
      <c r="A108" s="59">
        <f t="shared" si="9"/>
        <v>101</v>
      </c>
      <c r="B108" s="60">
        <f t="shared" si="14"/>
        <v>2661.2099807167328</v>
      </c>
      <c r="C108" s="60">
        <f t="shared" si="8"/>
        <v>586.56060421120083</v>
      </c>
      <c r="D108" s="60">
        <f t="shared" si="10"/>
        <v>2074.649376505532</v>
      </c>
      <c r="E108" s="60"/>
      <c r="F108" s="60">
        <f t="shared" si="11"/>
        <v>355067.61822530854</v>
      </c>
      <c r="G108" s="60">
        <f t="shared" si="12"/>
        <v>44932.381774691676</v>
      </c>
      <c r="H108" s="60">
        <f t="shared" si="13"/>
        <v>223849.8262776983</v>
      </c>
    </row>
    <row r="109" spans="1:8" x14ac:dyDescent="0.25">
      <c r="A109" s="59">
        <f t="shared" si="9"/>
        <v>102</v>
      </c>
      <c r="B109" s="60">
        <f t="shared" si="14"/>
        <v>2661.2099807167328</v>
      </c>
      <c r="C109" s="60">
        <f t="shared" si="8"/>
        <v>589.98220773576622</v>
      </c>
      <c r="D109" s="60">
        <f t="shared" si="10"/>
        <v>2071.2277729809666</v>
      </c>
      <c r="E109" s="60"/>
      <c r="F109" s="60">
        <f t="shared" si="11"/>
        <v>354477.63601757278</v>
      </c>
      <c r="G109" s="60">
        <f t="shared" si="12"/>
        <v>45522.363982427443</v>
      </c>
      <c r="H109" s="60">
        <f t="shared" si="13"/>
        <v>225921.05405067926</v>
      </c>
    </row>
    <row r="110" spans="1:8" x14ac:dyDescent="0.25">
      <c r="A110" s="59">
        <f t="shared" si="9"/>
        <v>103</v>
      </c>
      <c r="B110" s="60">
        <f t="shared" si="14"/>
        <v>2661.2099807167328</v>
      </c>
      <c r="C110" s="60">
        <f t="shared" si="8"/>
        <v>593.42377061422485</v>
      </c>
      <c r="D110" s="60">
        <f t="shared" si="10"/>
        <v>2067.786210102508</v>
      </c>
      <c r="E110" s="60"/>
      <c r="F110" s="60">
        <f t="shared" si="11"/>
        <v>353884.21224695857</v>
      </c>
      <c r="G110" s="60">
        <f t="shared" si="12"/>
        <v>46115.787753041666</v>
      </c>
      <c r="H110" s="60">
        <f t="shared" si="13"/>
        <v>227988.84026078176</v>
      </c>
    </row>
    <row r="111" spans="1:8" x14ac:dyDescent="0.25">
      <c r="A111" s="59">
        <f t="shared" si="9"/>
        <v>104</v>
      </c>
      <c r="B111" s="60">
        <f t="shared" si="14"/>
        <v>2661.2099807167328</v>
      </c>
      <c r="C111" s="60">
        <f t="shared" si="8"/>
        <v>596.88540927614122</v>
      </c>
      <c r="D111" s="60">
        <f t="shared" si="10"/>
        <v>2064.3245714405916</v>
      </c>
      <c r="E111" s="60"/>
      <c r="F111" s="60">
        <f t="shared" si="11"/>
        <v>353287.32683768246</v>
      </c>
      <c r="G111" s="60">
        <f t="shared" si="12"/>
        <v>46712.673162317806</v>
      </c>
      <c r="H111" s="60">
        <f t="shared" si="13"/>
        <v>230053.16483222233</v>
      </c>
    </row>
    <row r="112" spans="1:8" x14ac:dyDescent="0.25">
      <c r="A112" s="59">
        <f t="shared" si="9"/>
        <v>105</v>
      </c>
      <c r="B112" s="60">
        <f t="shared" si="14"/>
        <v>2661.2099807167328</v>
      </c>
      <c r="C112" s="60">
        <f t="shared" si="8"/>
        <v>600.36724083025183</v>
      </c>
      <c r="D112" s="60">
        <f t="shared" si="10"/>
        <v>2060.842739886481</v>
      </c>
      <c r="E112" s="60"/>
      <c r="F112" s="60">
        <f t="shared" si="11"/>
        <v>352686.95959685219</v>
      </c>
      <c r="G112" s="60">
        <f t="shared" si="12"/>
        <v>47313.040403148058</v>
      </c>
      <c r="H112" s="60">
        <f t="shared" si="13"/>
        <v>232114.00757210882</v>
      </c>
    </row>
    <row r="113" spans="1:8" x14ac:dyDescent="0.25">
      <c r="A113" s="59">
        <f t="shared" si="9"/>
        <v>106</v>
      </c>
      <c r="B113" s="60">
        <f t="shared" si="14"/>
        <v>2661.2099807167328</v>
      </c>
      <c r="C113" s="60">
        <f t="shared" si="8"/>
        <v>603.86938306842831</v>
      </c>
      <c r="D113" s="60">
        <f t="shared" si="10"/>
        <v>2057.3405976483045</v>
      </c>
      <c r="E113" s="60"/>
      <c r="F113" s="60">
        <f t="shared" si="11"/>
        <v>352083.09021378378</v>
      </c>
      <c r="G113" s="60">
        <f t="shared" si="12"/>
        <v>47916.909786216485</v>
      </c>
      <c r="H113" s="60">
        <f t="shared" si="13"/>
        <v>234171.34816975711</v>
      </c>
    </row>
    <row r="114" spans="1:8" x14ac:dyDescent="0.25">
      <c r="A114" s="59">
        <f t="shared" si="9"/>
        <v>107</v>
      </c>
      <c r="B114" s="60">
        <f t="shared" si="14"/>
        <v>2661.2099807167328</v>
      </c>
      <c r="C114" s="60">
        <f t="shared" si="8"/>
        <v>607.3919544696605</v>
      </c>
      <c r="D114" s="60">
        <f t="shared" si="10"/>
        <v>2053.8180262470723</v>
      </c>
      <c r="E114" s="60"/>
      <c r="F114" s="60">
        <f t="shared" si="11"/>
        <v>351475.69825931411</v>
      </c>
      <c r="G114" s="60">
        <f t="shared" si="12"/>
        <v>48524.301740686147</v>
      </c>
      <c r="H114" s="60">
        <f t="shared" si="13"/>
        <v>236225.1661960042</v>
      </c>
    </row>
    <row r="115" spans="1:8" x14ac:dyDescent="0.25">
      <c r="A115" s="59">
        <f t="shared" si="9"/>
        <v>108</v>
      </c>
      <c r="B115" s="60">
        <f t="shared" si="14"/>
        <v>2661.2099807167328</v>
      </c>
      <c r="C115" s="60">
        <f t="shared" si="8"/>
        <v>610.93507420406695</v>
      </c>
      <c r="D115" s="60">
        <f t="shared" si="10"/>
        <v>2050.2749065126659</v>
      </c>
      <c r="E115" s="60"/>
      <c r="F115" s="60">
        <f t="shared" si="11"/>
        <v>350864.76318511006</v>
      </c>
      <c r="G115" s="60">
        <f t="shared" si="12"/>
        <v>49135.236814890217</v>
      </c>
      <c r="H115" s="60">
        <f t="shared" si="13"/>
        <v>238275.44110251687</v>
      </c>
    </row>
    <row r="116" spans="1:8" x14ac:dyDescent="0.25">
      <c r="A116" s="37">
        <f t="shared" si="9"/>
        <v>109</v>
      </c>
      <c r="B116" s="38">
        <f t="shared" si="14"/>
        <v>2661.2099807167328</v>
      </c>
      <c r="C116" s="38">
        <f t="shared" si="8"/>
        <v>614.49886213692412</v>
      </c>
      <c r="D116" s="38">
        <f t="shared" si="10"/>
        <v>2046.7111185798087</v>
      </c>
      <c r="E116" s="38"/>
      <c r="F116" s="38">
        <f t="shared" si="11"/>
        <v>350250.26432297315</v>
      </c>
      <c r="G116" s="38">
        <f t="shared" si="12"/>
        <v>49749.735677027144</v>
      </c>
      <c r="H116" s="38">
        <f t="shared" si="13"/>
        <v>240322.15222109668</v>
      </c>
    </row>
    <row r="117" spans="1:8" x14ac:dyDescent="0.25">
      <c r="A117" s="37">
        <f t="shared" si="9"/>
        <v>110</v>
      </c>
      <c r="B117" s="38">
        <f t="shared" si="14"/>
        <v>2661.2099807167328</v>
      </c>
      <c r="C117" s="38">
        <f t="shared" si="8"/>
        <v>618.08343883272255</v>
      </c>
      <c r="D117" s="38">
        <f t="shared" si="10"/>
        <v>2043.1265418840103</v>
      </c>
      <c r="E117" s="38"/>
      <c r="F117" s="38">
        <f t="shared" si="11"/>
        <v>349632.18088414043</v>
      </c>
      <c r="G117" s="38">
        <f t="shared" si="12"/>
        <v>50367.819115859864</v>
      </c>
      <c r="H117" s="38">
        <f t="shared" si="13"/>
        <v>242365.27876298068</v>
      </c>
    </row>
    <row r="118" spans="1:8" x14ac:dyDescent="0.25">
      <c r="A118" s="37">
        <f t="shared" si="9"/>
        <v>111</v>
      </c>
      <c r="B118" s="38">
        <f t="shared" si="14"/>
        <v>2661.2099807167328</v>
      </c>
      <c r="C118" s="38">
        <f t="shared" si="8"/>
        <v>621.68892555924663</v>
      </c>
      <c r="D118" s="38">
        <f t="shared" si="10"/>
        <v>2039.5210551574862</v>
      </c>
      <c r="E118" s="38"/>
      <c r="F118" s="38">
        <f t="shared" si="11"/>
        <v>349010.4919585812</v>
      </c>
      <c r="G118" s="38">
        <f t="shared" si="12"/>
        <v>50989.508041419111</v>
      </c>
      <c r="H118" s="38">
        <f t="shared" si="13"/>
        <v>244404.79981813818</v>
      </c>
    </row>
    <row r="119" spans="1:8" x14ac:dyDescent="0.25">
      <c r="A119" s="37">
        <f t="shared" si="9"/>
        <v>112</v>
      </c>
      <c r="B119" s="38">
        <f t="shared" si="14"/>
        <v>2661.2099807167328</v>
      </c>
      <c r="C119" s="38">
        <f t="shared" si="8"/>
        <v>625.31544429167548</v>
      </c>
      <c r="D119" s="38">
        <f t="shared" si="10"/>
        <v>2035.8945364250574</v>
      </c>
      <c r="E119" s="38"/>
      <c r="F119" s="38">
        <f t="shared" si="11"/>
        <v>348385.17651428952</v>
      </c>
      <c r="G119" s="38">
        <f t="shared" si="12"/>
        <v>51614.823485710789</v>
      </c>
      <c r="H119" s="38">
        <f t="shared" si="13"/>
        <v>246440.69435456325</v>
      </c>
    </row>
    <row r="120" spans="1:8" x14ac:dyDescent="0.25">
      <c r="A120" s="37">
        <f t="shared" si="9"/>
        <v>113</v>
      </c>
      <c r="B120" s="38">
        <f t="shared" si="14"/>
        <v>2661.2099807167328</v>
      </c>
      <c r="C120" s="38">
        <f t="shared" si="8"/>
        <v>628.96311771671049</v>
      </c>
      <c r="D120" s="38">
        <f t="shared" si="10"/>
        <v>2032.2468630000224</v>
      </c>
      <c r="E120" s="38"/>
      <c r="F120" s="38">
        <f t="shared" si="11"/>
        <v>347756.2133965728</v>
      </c>
      <c r="G120" s="38">
        <f t="shared" si="12"/>
        <v>52243.786603427499</v>
      </c>
      <c r="H120" s="38">
        <f t="shared" si="13"/>
        <v>248472.94121756329</v>
      </c>
    </row>
    <row r="121" spans="1:8" x14ac:dyDescent="0.25">
      <c r="A121" s="37">
        <f t="shared" si="9"/>
        <v>114</v>
      </c>
      <c r="B121" s="38">
        <f t="shared" si="14"/>
        <v>2661.2099807167328</v>
      </c>
      <c r="C121" s="38">
        <f t="shared" si="8"/>
        <v>632.63206923672465</v>
      </c>
      <c r="D121" s="38">
        <f t="shared" si="10"/>
        <v>2028.5779114800082</v>
      </c>
      <c r="E121" s="38"/>
      <c r="F121" s="38">
        <f t="shared" si="11"/>
        <v>347123.58132733608</v>
      </c>
      <c r="G121" s="38">
        <f t="shared" si="12"/>
        <v>52876.418672664222</v>
      </c>
      <c r="H121" s="38">
        <f t="shared" si="13"/>
        <v>250501.5191290433</v>
      </c>
    </row>
    <row r="122" spans="1:8" x14ac:dyDescent="0.25">
      <c r="A122" s="37">
        <f t="shared" si="9"/>
        <v>115</v>
      </c>
      <c r="B122" s="38">
        <f t="shared" si="14"/>
        <v>2661.2099807167328</v>
      </c>
      <c r="C122" s="38">
        <f t="shared" si="8"/>
        <v>636.32242297393873</v>
      </c>
      <c r="D122" s="38">
        <f t="shared" si="10"/>
        <v>2024.8875577427941</v>
      </c>
      <c r="E122" s="38"/>
      <c r="F122" s="38">
        <f t="shared" si="11"/>
        <v>346487.25890436216</v>
      </c>
      <c r="G122" s="38">
        <f t="shared" si="12"/>
        <v>53512.741095638157</v>
      </c>
      <c r="H122" s="38">
        <f t="shared" si="13"/>
        <v>252526.4066867861</v>
      </c>
    </row>
    <row r="123" spans="1:8" x14ac:dyDescent="0.25">
      <c r="A123" s="37">
        <f t="shared" si="9"/>
        <v>116</v>
      </c>
      <c r="B123" s="38">
        <f t="shared" si="14"/>
        <v>2661.2099807167328</v>
      </c>
      <c r="C123" s="38">
        <f t="shared" si="8"/>
        <v>640.03430377462018</v>
      </c>
      <c r="D123" s="38">
        <f t="shared" si="10"/>
        <v>2021.1756769421127</v>
      </c>
      <c r="E123" s="38"/>
      <c r="F123" s="38">
        <f t="shared" si="11"/>
        <v>345847.22460058756</v>
      </c>
      <c r="G123" s="38">
        <f t="shared" si="12"/>
        <v>54152.775399412778</v>
      </c>
      <c r="H123" s="38">
        <f t="shared" si="13"/>
        <v>254547.5823637282</v>
      </c>
    </row>
    <row r="124" spans="1:8" x14ac:dyDescent="0.25">
      <c r="A124" s="37">
        <f t="shared" si="9"/>
        <v>117</v>
      </c>
      <c r="B124" s="38">
        <f t="shared" si="14"/>
        <v>2661.2099807167328</v>
      </c>
      <c r="C124" s="38">
        <f t="shared" si="8"/>
        <v>643.76783721330526</v>
      </c>
      <c r="D124" s="38">
        <f t="shared" si="10"/>
        <v>2017.4421435034276</v>
      </c>
      <c r="E124" s="38"/>
      <c r="F124" s="38">
        <f t="shared" si="11"/>
        <v>345203.45676337427</v>
      </c>
      <c r="G124" s="38">
        <f t="shared" si="12"/>
        <v>54796.543236626087</v>
      </c>
      <c r="H124" s="38">
        <f t="shared" si="13"/>
        <v>256565.02450723163</v>
      </c>
    </row>
    <row r="125" spans="1:8" x14ac:dyDescent="0.25">
      <c r="A125" s="37">
        <f t="shared" si="9"/>
        <v>118</v>
      </c>
      <c r="B125" s="38">
        <f t="shared" si="14"/>
        <v>2661.2099807167328</v>
      </c>
      <c r="C125" s="38">
        <f t="shared" si="8"/>
        <v>647.5231495970495</v>
      </c>
      <c r="D125" s="38">
        <f t="shared" si="10"/>
        <v>2013.6868311196833</v>
      </c>
      <c r="E125" s="38"/>
      <c r="F125" s="38">
        <f t="shared" si="11"/>
        <v>344555.93361377722</v>
      </c>
      <c r="G125" s="38">
        <f t="shared" si="12"/>
        <v>55444.066386223138</v>
      </c>
      <c r="H125" s="38">
        <f t="shared" si="13"/>
        <v>258578.71133835131</v>
      </c>
    </row>
    <row r="126" spans="1:8" x14ac:dyDescent="0.25">
      <c r="A126" s="37">
        <f t="shared" si="9"/>
        <v>119</v>
      </c>
      <c r="B126" s="38">
        <f t="shared" si="14"/>
        <v>2661.2099807167328</v>
      </c>
      <c r="C126" s="38">
        <f t="shared" si="8"/>
        <v>651.30036796969898</v>
      </c>
      <c r="D126" s="38">
        <f t="shared" si="10"/>
        <v>2009.9096127470339</v>
      </c>
      <c r="E126" s="38"/>
      <c r="F126" s="38">
        <f t="shared" si="11"/>
        <v>343904.63324580755</v>
      </c>
      <c r="G126" s="38">
        <f t="shared" si="12"/>
        <v>56095.366754192837</v>
      </c>
      <c r="H126" s="38">
        <f t="shared" si="13"/>
        <v>260588.62095109833</v>
      </c>
    </row>
    <row r="127" spans="1:8" x14ac:dyDescent="0.25">
      <c r="A127" s="37">
        <f t="shared" si="9"/>
        <v>120</v>
      </c>
      <c r="B127" s="38">
        <f t="shared" si="14"/>
        <v>2661.2099807167328</v>
      </c>
      <c r="C127" s="38">
        <f t="shared" si="8"/>
        <v>655.09962011618859</v>
      </c>
      <c r="D127" s="38">
        <f t="shared" si="10"/>
        <v>2006.1103606005443</v>
      </c>
      <c r="E127" s="38"/>
      <c r="F127" s="38">
        <f t="shared" si="11"/>
        <v>343249.53362569137</v>
      </c>
      <c r="G127" s="38">
        <f t="shared" si="12"/>
        <v>56750.466374309028</v>
      </c>
      <c r="H127" s="38">
        <f t="shared" si="13"/>
        <v>262594.73131169885</v>
      </c>
    </row>
    <row r="128" spans="1:8" x14ac:dyDescent="0.25">
      <c r="A128" s="39">
        <f t="shared" si="9"/>
        <v>121</v>
      </c>
      <c r="B128" s="40">
        <f t="shared" si="14"/>
        <v>2661.2099807167328</v>
      </c>
      <c r="C128" s="40">
        <f t="shared" si="8"/>
        <v>658.92103456686641</v>
      </c>
      <c r="D128" s="40">
        <f t="shared" si="10"/>
        <v>2002.2889461498664</v>
      </c>
      <c r="E128" s="40"/>
      <c r="F128" s="40">
        <f t="shared" si="11"/>
        <v>342590.61259112449</v>
      </c>
      <c r="G128" s="40">
        <f t="shared" si="12"/>
        <v>57409.387408875897</v>
      </c>
      <c r="H128" s="40">
        <f t="shared" si="13"/>
        <v>264597.02025784872</v>
      </c>
    </row>
    <row r="129" spans="1:8" x14ac:dyDescent="0.25">
      <c r="A129" s="39">
        <f t="shared" si="9"/>
        <v>122</v>
      </c>
      <c r="B129" s="40">
        <f t="shared" si="14"/>
        <v>2661.2099807167328</v>
      </c>
      <c r="C129" s="40">
        <f t="shared" si="8"/>
        <v>662.76474060183978</v>
      </c>
      <c r="D129" s="40">
        <f t="shared" si="10"/>
        <v>1998.4452401148931</v>
      </c>
      <c r="E129" s="40"/>
      <c r="F129" s="40">
        <f t="shared" si="11"/>
        <v>341927.84785052267</v>
      </c>
      <c r="G129" s="40">
        <f t="shared" si="12"/>
        <v>58072.152149477733</v>
      </c>
      <c r="H129" s="40">
        <f t="shared" si="13"/>
        <v>266595.4654979636</v>
      </c>
    </row>
    <row r="130" spans="1:8" x14ac:dyDescent="0.25">
      <c r="A130" s="39">
        <f t="shared" si="9"/>
        <v>123</v>
      </c>
      <c r="B130" s="40">
        <f t="shared" si="14"/>
        <v>2661.2099807167328</v>
      </c>
      <c r="C130" s="40">
        <f t="shared" si="8"/>
        <v>666.63086825535038</v>
      </c>
      <c r="D130" s="40">
        <f t="shared" si="10"/>
        <v>1994.5791124613825</v>
      </c>
      <c r="E130" s="40"/>
      <c r="F130" s="40">
        <f t="shared" si="11"/>
        <v>341261.21698226733</v>
      </c>
      <c r="G130" s="40">
        <f t="shared" si="12"/>
        <v>58738.783017733083</v>
      </c>
      <c r="H130" s="40">
        <f t="shared" si="13"/>
        <v>268590.04461042496</v>
      </c>
    </row>
    <row r="131" spans="1:8" x14ac:dyDescent="0.25">
      <c r="A131" s="39">
        <f t="shared" si="9"/>
        <v>124</v>
      </c>
      <c r="B131" s="40">
        <f t="shared" si="14"/>
        <v>2661.2099807167328</v>
      </c>
      <c r="C131" s="40">
        <f t="shared" si="8"/>
        <v>670.51954832017304</v>
      </c>
      <c r="D131" s="40">
        <f t="shared" si="10"/>
        <v>1990.6904323965598</v>
      </c>
      <c r="E131" s="40"/>
      <c r="F131" s="40">
        <f t="shared" si="11"/>
        <v>340590.69743394718</v>
      </c>
      <c r="G131" s="40">
        <f t="shared" si="12"/>
        <v>59409.302566053258</v>
      </c>
      <c r="H131" s="40">
        <f t="shared" si="13"/>
        <v>270580.7350428215</v>
      </c>
    </row>
    <row r="132" spans="1:8" x14ac:dyDescent="0.25">
      <c r="A132" s="39">
        <f t="shared" si="9"/>
        <v>125</v>
      </c>
      <c r="B132" s="40">
        <f t="shared" si="14"/>
        <v>2661.2099807167328</v>
      </c>
      <c r="C132" s="40">
        <f t="shared" si="8"/>
        <v>674.43091235204088</v>
      </c>
      <c r="D132" s="40">
        <f t="shared" si="10"/>
        <v>1986.779068364692</v>
      </c>
      <c r="E132" s="40"/>
      <c r="F132" s="40">
        <f t="shared" si="11"/>
        <v>339916.26652159513</v>
      </c>
      <c r="G132" s="40">
        <f t="shared" si="12"/>
        <v>60083.733478405302</v>
      </c>
      <c r="H132" s="40">
        <f t="shared" si="13"/>
        <v>272567.5141111862</v>
      </c>
    </row>
    <row r="133" spans="1:8" x14ac:dyDescent="0.25">
      <c r="A133" s="39">
        <f t="shared" si="9"/>
        <v>126</v>
      </c>
      <c r="B133" s="40">
        <f t="shared" si="14"/>
        <v>2661.2099807167328</v>
      </c>
      <c r="C133" s="40">
        <f t="shared" si="8"/>
        <v>678.36509267409429</v>
      </c>
      <c r="D133" s="40">
        <f t="shared" si="10"/>
        <v>1982.8448880426386</v>
      </c>
      <c r="E133" s="40"/>
      <c r="F133" s="40">
        <f t="shared" si="11"/>
        <v>339237.90142892103</v>
      </c>
      <c r="G133" s="40">
        <f t="shared" si="12"/>
        <v>60762.098571079398</v>
      </c>
      <c r="H133" s="40">
        <f t="shared" si="13"/>
        <v>274550.35899922886</v>
      </c>
    </row>
    <row r="134" spans="1:8" x14ac:dyDescent="0.25">
      <c r="A134" s="39">
        <f t="shared" si="9"/>
        <v>127</v>
      </c>
      <c r="B134" s="40">
        <f t="shared" si="14"/>
        <v>2661.2099807167328</v>
      </c>
      <c r="C134" s="40">
        <f t="shared" si="8"/>
        <v>682.32222238135978</v>
      </c>
      <c r="D134" s="40">
        <f t="shared" si="10"/>
        <v>1978.8877583353731</v>
      </c>
      <c r="E134" s="40"/>
      <c r="F134" s="40">
        <f t="shared" si="11"/>
        <v>338555.57920653967</v>
      </c>
      <c r="G134" s="40">
        <f t="shared" si="12"/>
        <v>61444.420793460755</v>
      </c>
      <c r="H134" s="40">
        <f t="shared" si="13"/>
        <v>276529.24675756425</v>
      </c>
    </row>
    <row r="135" spans="1:8" x14ac:dyDescent="0.25">
      <c r="A135" s="39">
        <f t="shared" si="9"/>
        <v>128</v>
      </c>
      <c r="B135" s="40">
        <f t="shared" si="14"/>
        <v>2661.2099807167328</v>
      </c>
      <c r="C135" s="40">
        <f t="shared" si="8"/>
        <v>686.3024353452513</v>
      </c>
      <c r="D135" s="40">
        <f t="shared" si="10"/>
        <v>1974.9075453714815</v>
      </c>
      <c r="E135" s="40"/>
      <c r="F135" s="40">
        <f t="shared" si="11"/>
        <v>337869.27677119442</v>
      </c>
      <c r="G135" s="40">
        <f t="shared" si="12"/>
        <v>62130.723228806004</v>
      </c>
      <c r="H135" s="40">
        <f t="shared" si="13"/>
        <v>278504.15430293576</v>
      </c>
    </row>
    <row r="136" spans="1:8" x14ac:dyDescent="0.25">
      <c r="A136" s="39">
        <f t="shared" si="9"/>
        <v>129</v>
      </c>
      <c r="B136" s="40">
        <f t="shared" si="14"/>
        <v>2661.2099807167328</v>
      </c>
      <c r="C136" s="40">
        <f t="shared" si="8"/>
        <v>690.30586621809857</v>
      </c>
      <c r="D136" s="40">
        <f t="shared" si="10"/>
        <v>1970.9041144986343</v>
      </c>
      <c r="E136" s="40"/>
      <c r="F136" s="40">
        <f t="shared" si="11"/>
        <v>337178.9709049763</v>
      </c>
      <c r="G136" s="40">
        <f t="shared" si="12"/>
        <v>62821.029095024103</v>
      </c>
      <c r="H136" s="40">
        <f t="shared" si="13"/>
        <v>280475.0584174344</v>
      </c>
    </row>
    <row r="137" spans="1:8" x14ac:dyDescent="0.25">
      <c r="A137" s="39">
        <f t="shared" si="9"/>
        <v>130</v>
      </c>
      <c r="B137" s="40">
        <f t="shared" si="14"/>
        <v>2661.2099807167328</v>
      </c>
      <c r="C137" s="40">
        <f t="shared" ref="C137:C200" si="15">IF(A137="","",B137-D137)</f>
        <v>694.33265043770416</v>
      </c>
      <c r="D137" s="40">
        <f t="shared" si="10"/>
        <v>1966.8773302790287</v>
      </c>
      <c r="E137" s="40"/>
      <c r="F137" s="40">
        <f t="shared" si="11"/>
        <v>336484.63825453859</v>
      </c>
      <c r="G137" s="40">
        <f t="shared" si="12"/>
        <v>63515.361745461807</v>
      </c>
      <c r="H137" s="40">
        <f t="shared" si="13"/>
        <v>282441.93574771343</v>
      </c>
    </row>
    <row r="138" spans="1:8" x14ac:dyDescent="0.25">
      <c r="A138" s="39">
        <f t="shared" ref="A138:A201" si="16">IF(OR(F137&lt;0.01,F137=""),"",A137+1)</f>
        <v>131</v>
      </c>
      <c r="B138" s="40">
        <f t="shared" si="14"/>
        <v>2661.2099807167328</v>
      </c>
      <c r="C138" s="40">
        <f t="shared" si="15"/>
        <v>698.38292423192411</v>
      </c>
      <c r="D138" s="40">
        <f t="shared" ref="D138:D201" si="17">IF(A138="","",F137*$B$4/12)</f>
        <v>1962.8270564848087</v>
      </c>
      <c r="E138" s="40"/>
      <c r="F138" s="40">
        <f t="shared" si="11"/>
        <v>335786.25533030665</v>
      </c>
      <c r="G138" s="40">
        <f t="shared" si="12"/>
        <v>64213.744669693733</v>
      </c>
      <c r="H138" s="40">
        <f t="shared" si="13"/>
        <v>284404.76280419825</v>
      </c>
    </row>
    <row r="139" spans="1:8" x14ac:dyDescent="0.25">
      <c r="A139" s="39">
        <f t="shared" si="16"/>
        <v>132</v>
      </c>
      <c r="B139" s="40">
        <f t="shared" si="14"/>
        <v>2661.2099807167328</v>
      </c>
      <c r="C139" s="40">
        <f t="shared" si="15"/>
        <v>702.45682462327704</v>
      </c>
      <c r="D139" s="40">
        <f t="shared" si="17"/>
        <v>1958.7531560934558</v>
      </c>
      <c r="E139" s="40"/>
      <c r="F139" s="40">
        <f t="shared" si="11"/>
        <v>335083.79850568337</v>
      </c>
      <c r="G139" s="40">
        <f t="shared" si="12"/>
        <v>64916.201494317007</v>
      </c>
      <c r="H139" s="40">
        <f t="shared" si="13"/>
        <v>286363.51596029173</v>
      </c>
    </row>
    <row r="140" spans="1:8" x14ac:dyDescent="0.25">
      <c r="A140" s="24">
        <f t="shared" si="16"/>
        <v>133</v>
      </c>
      <c r="B140" s="28">
        <f t="shared" si="14"/>
        <v>2661.2099807167328</v>
      </c>
      <c r="C140" s="28">
        <f t="shared" si="15"/>
        <v>706.55448943357965</v>
      </c>
      <c r="D140" s="28">
        <f t="shared" si="17"/>
        <v>1954.6554912831532</v>
      </c>
      <c r="E140" s="28"/>
      <c r="F140" s="28">
        <f t="shared" si="11"/>
        <v>334377.24401624978</v>
      </c>
      <c r="G140" s="28">
        <f t="shared" si="12"/>
        <v>65622.755983750583</v>
      </c>
      <c r="H140" s="28">
        <f t="shared" si="13"/>
        <v>288318.17145157489</v>
      </c>
    </row>
    <row r="141" spans="1:8" x14ac:dyDescent="0.25">
      <c r="A141" s="24">
        <f t="shared" si="16"/>
        <v>134</v>
      </c>
      <c r="B141" s="28">
        <f t="shared" si="14"/>
        <v>2661.2099807167328</v>
      </c>
      <c r="C141" s="28">
        <f t="shared" si="15"/>
        <v>710.67605728860894</v>
      </c>
      <c r="D141" s="28">
        <f t="shared" si="17"/>
        <v>1950.5339234281239</v>
      </c>
      <c r="E141" s="28"/>
      <c r="F141" s="28">
        <f t="shared" si="11"/>
        <v>333666.56795896118</v>
      </c>
      <c r="G141" s="28">
        <f t="shared" si="12"/>
        <v>66333.432041039196</v>
      </c>
      <c r="H141" s="28">
        <f t="shared" si="13"/>
        <v>290268.70537500299</v>
      </c>
    </row>
    <row r="142" spans="1:8" x14ac:dyDescent="0.25">
      <c r="A142" s="24">
        <f t="shared" si="16"/>
        <v>135</v>
      </c>
      <c r="B142" s="28">
        <f t="shared" si="14"/>
        <v>2661.2099807167328</v>
      </c>
      <c r="C142" s="28">
        <f t="shared" si="15"/>
        <v>714.82166762279257</v>
      </c>
      <c r="D142" s="28">
        <f t="shared" si="17"/>
        <v>1946.3883130939403</v>
      </c>
      <c r="E142" s="28"/>
      <c r="F142" s="28">
        <f t="shared" ref="F142:F205" si="18">IF(A142="","",IF(A142="","",F141-C142-E142))</f>
        <v>332951.74629133841</v>
      </c>
      <c r="G142" s="28">
        <f t="shared" ref="G142:G205" si="19">IF(A142="","",C142+G141+E142)</f>
        <v>67048.253708661985</v>
      </c>
      <c r="H142" s="28">
        <f t="shared" ref="H142:H205" si="20">IF(A142="","",IF(A142="","",D142+H141))</f>
        <v>292215.09368809691</v>
      </c>
    </row>
    <row r="143" spans="1:8" x14ac:dyDescent="0.25">
      <c r="A143" s="24">
        <f t="shared" si="16"/>
        <v>136</v>
      </c>
      <c r="B143" s="28">
        <f t="shared" si="14"/>
        <v>2661.2099807167328</v>
      </c>
      <c r="C143" s="28">
        <f t="shared" si="15"/>
        <v>718.9914606839252</v>
      </c>
      <c r="D143" s="28">
        <f t="shared" si="17"/>
        <v>1942.2185200328076</v>
      </c>
      <c r="E143" s="28"/>
      <c r="F143" s="28">
        <f t="shared" si="18"/>
        <v>332232.75483065448</v>
      </c>
      <c r="G143" s="28">
        <f t="shared" si="19"/>
        <v>67767.245169345915</v>
      </c>
      <c r="H143" s="28">
        <f t="shared" si="20"/>
        <v>294157.31220812973</v>
      </c>
    </row>
    <row r="144" spans="1:8" x14ac:dyDescent="0.25">
      <c r="A144" s="24">
        <f t="shared" si="16"/>
        <v>137</v>
      </c>
      <c r="B144" s="28">
        <f t="shared" si="14"/>
        <v>2661.2099807167328</v>
      </c>
      <c r="C144" s="28">
        <f t="shared" si="15"/>
        <v>723.18557753791492</v>
      </c>
      <c r="D144" s="28">
        <f t="shared" si="17"/>
        <v>1938.0244031788179</v>
      </c>
      <c r="E144" s="28"/>
      <c r="F144" s="28">
        <f t="shared" si="18"/>
        <v>331509.56925311656</v>
      </c>
      <c r="G144" s="28">
        <f t="shared" si="19"/>
        <v>68490.430746883823</v>
      </c>
      <c r="H144" s="28">
        <f t="shared" si="20"/>
        <v>296095.33661130856</v>
      </c>
    </row>
    <row r="145" spans="1:8" x14ac:dyDescent="0.25">
      <c r="A145" s="24">
        <f t="shared" si="16"/>
        <v>138</v>
      </c>
      <c r="B145" s="28">
        <f t="shared" si="14"/>
        <v>2661.2099807167328</v>
      </c>
      <c r="C145" s="28">
        <f t="shared" si="15"/>
        <v>727.40416007355293</v>
      </c>
      <c r="D145" s="28">
        <f t="shared" si="17"/>
        <v>1933.8058206431799</v>
      </c>
      <c r="E145" s="28"/>
      <c r="F145" s="28">
        <f t="shared" si="18"/>
        <v>330782.165093043</v>
      </c>
      <c r="G145" s="28">
        <f t="shared" si="19"/>
        <v>69217.834906957374</v>
      </c>
      <c r="H145" s="28">
        <f t="shared" si="20"/>
        <v>298029.14243195177</v>
      </c>
    </row>
    <row r="146" spans="1:8" x14ac:dyDescent="0.25">
      <c r="A146" s="24">
        <f t="shared" si="16"/>
        <v>139</v>
      </c>
      <c r="B146" s="28">
        <f t="shared" si="14"/>
        <v>2661.2099807167328</v>
      </c>
      <c r="C146" s="28">
        <f t="shared" si="15"/>
        <v>731.64735100731514</v>
      </c>
      <c r="D146" s="28">
        <f t="shared" si="17"/>
        <v>1929.5626297094177</v>
      </c>
      <c r="E146" s="28"/>
      <c r="F146" s="28">
        <f t="shared" si="18"/>
        <v>330050.51774203568</v>
      </c>
      <c r="G146" s="28">
        <f t="shared" si="19"/>
        <v>69949.482257964686</v>
      </c>
      <c r="H146" s="28">
        <f t="shared" si="20"/>
        <v>299958.7050616612</v>
      </c>
    </row>
    <row r="147" spans="1:8" x14ac:dyDescent="0.25">
      <c r="A147" s="24">
        <f t="shared" si="16"/>
        <v>140</v>
      </c>
      <c r="B147" s="28">
        <f t="shared" si="14"/>
        <v>2661.2099807167328</v>
      </c>
      <c r="C147" s="28">
        <f t="shared" si="15"/>
        <v>735.91529388819117</v>
      </c>
      <c r="D147" s="28">
        <f t="shared" si="17"/>
        <v>1925.2946868285417</v>
      </c>
      <c r="E147" s="28"/>
      <c r="F147" s="28">
        <f t="shared" si="18"/>
        <v>329314.60244814749</v>
      </c>
      <c r="G147" s="28">
        <f t="shared" si="19"/>
        <v>70685.397551852875</v>
      </c>
      <c r="H147" s="28">
        <f t="shared" si="20"/>
        <v>301883.99974848976</v>
      </c>
    </row>
    <row r="148" spans="1:8" x14ac:dyDescent="0.25">
      <c r="A148" s="24">
        <f t="shared" si="16"/>
        <v>141</v>
      </c>
      <c r="B148" s="28">
        <f t="shared" ref="B148:B211" si="21">IF(A148="","",(IF(F147+(F147*$B$4/12)&lt;-PMT($B$4/12,$B$5*12,$B$3,0,0),F147+(F147*$B$4/12),-PMT($B$4/12,$B$5*12,$B$3,0,0))))</f>
        <v>2661.2099807167328</v>
      </c>
      <c r="C148" s="28">
        <f t="shared" si="15"/>
        <v>740.20813310253902</v>
      </c>
      <c r="D148" s="28">
        <f t="shared" si="17"/>
        <v>1921.0018476141938</v>
      </c>
      <c r="E148" s="28"/>
      <c r="F148" s="28">
        <f t="shared" si="18"/>
        <v>328574.39431504498</v>
      </c>
      <c r="G148" s="28">
        <f t="shared" si="19"/>
        <v>71425.605684955415</v>
      </c>
      <c r="H148" s="28">
        <f t="shared" si="20"/>
        <v>303805.00159610395</v>
      </c>
    </row>
    <row r="149" spans="1:8" x14ac:dyDescent="0.25">
      <c r="A149" s="24">
        <f t="shared" si="16"/>
        <v>142</v>
      </c>
      <c r="B149" s="28">
        <f t="shared" si="21"/>
        <v>2661.2099807167328</v>
      </c>
      <c r="C149" s="28">
        <f t="shared" si="15"/>
        <v>744.52601387897039</v>
      </c>
      <c r="D149" s="28">
        <f t="shared" si="17"/>
        <v>1916.6839668377625</v>
      </c>
      <c r="E149" s="28"/>
      <c r="F149" s="28">
        <f t="shared" si="18"/>
        <v>327829.86830116599</v>
      </c>
      <c r="G149" s="28">
        <f t="shared" si="19"/>
        <v>72170.13169883439</v>
      </c>
      <c r="H149" s="28">
        <f t="shared" si="20"/>
        <v>305721.68556294171</v>
      </c>
    </row>
    <row r="150" spans="1:8" x14ac:dyDescent="0.25">
      <c r="A150" s="24">
        <f t="shared" si="16"/>
        <v>143</v>
      </c>
      <c r="B150" s="28">
        <f t="shared" si="21"/>
        <v>2661.2099807167328</v>
      </c>
      <c r="C150" s="28">
        <f t="shared" si="15"/>
        <v>748.86908229326446</v>
      </c>
      <c r="D150" s="28">
        <f t="shared" si="17"/>
        <v>1912.3408984234684</v>
      </c>
      <c r="E150" s="28"/>
      <c r="F150" s="28">
        <f t="shared" si="18"/>
        <v>327080.99921887275</v>
      </c>
      <c r="G150" s="28">
        <f t="shared" si="19"/>
        <v>72919.000781127659</v>
      </c>
      <c r="H150" s="28">
        <f t="shared" si="20"/>
        <v>307634.02646136517</v>
      </c>
    </row>
    <row r="151" spans="1:8" x14ac:dyDescent="0.25">
      <c r="A151" s="24">
        <f t="shared" si="16"/>
        <v>144</v>
      </c>
      <c r="B151" s="28">
        <f t="shared" si="21"/>
        <v>2661.2099807167328</v>
      </c>
      <c r="C151" s="28">
        <f t="shared" si="15"/>
        <v>753.23748527330849</v>
      </c>
      <c r="D151" s="28">
        <f t="shared" si="17"/>
        <v>1907.9724954434244</v>
      </c>
      <c r="E151" s="28"/>
      <c r="F151" s="28">
        <f t="shared" si="18"/>
        <v>326327.76173359941</v>
      </c>
      <c r="G151" s="28">
        <f t="shared" si="19"/>
        <v>73672.238266400964</v>
      </c>
      <c r="H151" s="28">
        <f t="shared" si="20"/>
        <v>309541.99895680859</v>
      </c>
    </row>
    <row r="152" spans="1:8" x14ac:dyDescent="0.25">
      <c r="A152" s="24">
        <f t="shared" si="16"/>
        <v>145</v>
      </c>
      <c r="B152" s="28">
        <f t="shared" si="21"/>
        <v>2661.2099807167328</v>
      </c>
      <c r="C152" s="28">
        <f t="shared" si="15"/>
        <v>757.63137060406939</v>
      </c>
      <c r="D152" s="28">
        <f t="shared" si="17"/>
        <v>1903.5786101126635</v>
      </c>
      <c r="E152" s="28"/>
      <c r="F152" s="28">
        <f t="shared" si="18"/>
        <v>325570.13036299532</v>
      </c>
      <c r="G152" s="28">
        <f t="shared" si="19"/>
        <v>74429.869637005031</v>
      </c>
      <c r="H152" s="28">
        <f t="shared" si="20"/>
        <v>311445.57756692125</v>
      </c>
    </row>
    <row r="153" spans="1:8" x14ac:dyDescent="0.25">
      <c r="A153" s="24">
        <f t="shared" si="16"/>
        <v>146</v>
      </c>
      <c r="B153" s="28">
        <f t="shared" si="21"/>
        <v>2661.2099807167328</v>
      </c>
      <c r="C153" s="28">
        <f t="shared" si="15"/>
        <v>762.05088693259336</v>
      </c>
      <c r="D153" s="28">
        <f t="shared" si="17"/>
        <v>1899.1590937841395</v>
      </c>
      <c r="E153" s="28"/>
      <c r="F153" s="28">
        <f t="shared" si="18"/>
        <v>324808.07947606273</v>
      </c>
      <c r="G153" s="28">
        <f t="shared" si="19"/>
        <v>75191.920523937632</v>
      </c>
      <c r="H153" s="28">
        <f t="shared" si="20"/>
        <v>313344.73666070541</v>
      </c>
    </row>
    <row r="154" spans="1:8" x14ac:dyDescent="0.25">
      <c r="A154" s="24">
        <f t="shared" si="16"/>
        <v>147</v>
      </c>
      <c r="B154" s="28">
        <f t="shared" si="21"/>
        <v>2661.2099807167328</v>
      </c>
      <c r="C154" s="28">
        <f t="shared" si="15"/>
        <v>766.49618377303318</v>
      </c>
      <c r="D154" s="28">
        <f t="shared" si="17"/>
        <v>1894.7137969436997</v>
      </c>
      <c r="E154" s="28"/>
      <c r="F154" s="28">
        <f t="shared" si="18"/>
        <v>324041.5832922897</v>
      </c>
      <c r="G154" s="28">
        <f t="shared" si="19"/>
        <v>75958.416707710669</v>
      </c>
      <c r="H154" s="28">
        <f t="shared" si="20"/>
        <v>315239.45045764913</v>
      </c>
    </row>
    <row r="155" spans="1:8" x14ac:dyDescent="0.25">
      <c r="A155" s="24">
        <f t="shared" si="16"/>
        <v>148</v>
      </c>
      <c r="B155" s="28">
        <f t="shared" si="21"/>
        <v>2661.2099807167328</v>
      </c>
      <c r="C155" s="28">
        <f t="shared" si="15"/>
        <v>770.96741151170932</v>
      </c>
      <c r="D155" s="28">
        <f t="shared" si="17"/>
        <v>1890.2425692050235</v>
      </c>
      <c r="E155" s="28"/>
      <c r="F155" s="28">
        <f t="shared" si="18"/>
        <v>323270.615880778</v>
      </c>
      <c r="G155" s="28">
        <f t="shared" si="19"/>
        <v>76729.384119222377</v>
      </c>
      <c r="H155" s="28">
        <f t="shared" si="20"/>
        <v>317129.69302685413</v>
      </c>
    </row>
    <row r="156" spans="1:8" x14ac:dyDescent="0.25">
      <c r="A156" s="24">
        <f t="shared" si="16"/>
        <v>149</v>
      </c>
      <c r="B156" s="28">
        <f t="shared" si="21"/>
        <v>2661.2099807167328</v>
      </c>
      <c r="C156" s="28">
        <f t="shared" si="15"/>
        <v>775.46472141219442</v>
      </c>
      <c r="D156" s="28">
        <f t="shared" si="17"/>
        <v>1885.7452593045384</v>
      </c>
      <c r="E156" s="28"/>
      <c r="F156" s="28">
        <f t="shared" si="18"/>
        <v>322495.15115936578</v>
      </c>
      <c r="G156" s="28">
        <f t="shared" si="19"/>
        <v>77504.848840634571</v>
      </c>
      <c r="H156" s="28">
        <f t="shared" si="20"/>
        <v>319015.43828615866</v>
      </c>
    </row>
    <row r="157" spans="1:8" x14ac:dyDescent="0.25">
      <c r="A157" s="24">
        <f t="shared" si="16"/>
        <v>150</v>
      </c>
      <c r="B157" s="28">
        <f t="shared" si="21"/>
        <v>2661.2099807167328</v>
      </c>
      <c r="C157" s="28">
        <f t="shared" si="15"/>
        <v>779.98826562043223</v>
      </c>
      <c r="D157" s="28">
        <f t="shared" si="17"/>
        <v>1881.2217150963006</v>
      </c>
      <c r="E157" s="28"/>
      <c r="F157" s="28">
        <f t="shared" si="18"/>
        <v>321715.16289374535</v>
      </c>
      <c r="G157" s="28">
        <f t="shared" si="19"/>
        <v>78284.837106255</v>
      </c>
      <c r="H157" s="28">
        <f t="shared" si="20"/>
        <v>320896.66000125499</v>
      </c>
    </row>
    <row r="158" spans="1:8" x14ac:dyDescent="0.25">
      <c r="A158" s="24">
        <f t="shared" si="16"/>
        <v>151</v>
      </c>
      <c r="B158" s="28">
        <f t="shared" si="21"/>
        <v>2661.2099807167328</v>
      </c>
      <c r="C158" s="28">
        <f t="shared" si="15"/>
        <v>784.53819716988482</v>
      </c>
      <c r="D158" s="28">
        <f t="shared" si="17"/>
        <v>1876.671783546848</v>
      </c>
      <c r="E158" s="28"/>
      <c r="F158" s="28">
        <f t="shared" si="18"/>
        <v>320930.62469657545</v>
      </c>
      <c r="G158" s="28">
        <f t="shared" si="19"/>
        <v>79069.37530342488</v>
      </c>
      <c r="H158" s="28">
        <f t="shared" si="20"/>
        <v>322773.33178480185</v>
      </c>
    </row>
    <row r="159" spans="1:8" x14ac:dyDescent="0.25">
      <c r="A159" s="24">
        <f t="shared" si="16"/>
        <v>152</v>
      </c>
      <c r="B159" s="28">
        <f t="shared" si="21"/>
        <v>2661.2099807167328</v>
      </c>
      <c r="C159" s="28">
        <f t="shared" si="15"/>
        <v>789.11466998670903</v>
      </c>
      <c r="D159" s="28">
        <f t="shared" si="17"/>
        <v>1872.0953107300238</v>
      </c>
      <c r="E159" s="28"/>
      <c r="F159" s="28">
        <f t="shared" si="18"/>
        <v>320141.51002658874</v>
      </c>
      <c r="G159" s="28">
        <f t="shared" si="19"/>
        <v>79858.48997341159</v>
      </c>
      <c r="H159" s="28">
        <f t="shared" si="20"/>
        <v>324645.42709553189</v>
      </c>
    </row>
    <row r="160" spans="1:8" x14ac:dyDescent="0.25">
      <c r="A160" s="24">
        <f t="shared" si="16"/>
        <v>153</v>
      </c>
      <c r="B160" s="28">
        <f t="shared" si="21"/>
        <v>2661.2099807167328</v>
      </c>
      <c r="C160" s="28">
        <f t="shared" si="15"/>
        <v>793.71783889496487</v>
      </c>
      <c r="D160" s="28">
        <f t="shared" si="17"/>
        <v>1867.492141821768</v>
      </c>
      <c r="E160" s="28"/>
      <c r="F160" s="28">
        <f t="shared" si="18"/>
        <v>319347.79218769376</v>
      </c>
      <c r="G160" s="28">
        <f t="shared" si="19"/>
        <v>80652.207812306558</v>
      </c>
      <c r="H160" s="28">
        <f t="shared" si="20"/>
        <v>326512.91923735366</v>
      </c>
    </row>
    <row r="161" spans="1:8" x14ac:dyDescent="0.25">
      <c r="A161" s="24">
        <f t="shared" si="16"/>
        <v>154</v>
      </c>
      <c r="B161" s="28">
        <f t="shared" si="21"/>
        <v>2661.2099807167328</v>
      </c>
      <c r="C161" s="28">
        <f t="shared" si="15"/>
        <v>798.34785962185242</v>
      </c>
      <c r="D161" s="28">
        <f t="shared" si="17"/>
        <v>1862.8621210948804</v>
      </c>
      <c r="E161" s="28"/>
      <c r="F161" s="28">
        <f t="shared" si="18"/>
        <v>318549.4443280719</v>
      </c>
      <c r="G161" s="28">
        <f t="shared" si="19"/>
        <v>81450.555671928407</v>
      </c>
      <c r="H161" s="28">
        <f t="shared" si="20"/>
        <v>328375.78135844856</v>
      </c>
    </row>
    <row r="162" spans="1:8" x14ac:dyDescent="0.25">
      <c r="A162" s="24">
        <f t="shared" si="16"/>
        <v>155</v>
      </c>
      <c r="B162" s="28">
        <f t="shared" si="21"/>
        <v>2661.2099807167328</v>
      </c>
      <c r="C162" s="28">
        <f t="shared" si="15"/>
        <v>803.00488880297985</v>
      </c>
      <c r="D162" s="28">
        <f t="shared" si="17"/>
        <v>1858.205091913753</v>
      </c>
      <c r="E162" s="28"/>
      <c r="F162" s="28">
        <f t="shared" si="18"/>
        <v>317746.4394392689</v>
      </c>
      <c r="G162" s="28">
        <f t="shared" si="19"/>
        <v>82253.560560731392</v>
      </c>
      <c r="H162" s="28">
        <f t="shared" si="20"/>
        <v>330233.98645036231</v>
      </c>
    </row>
    <row r="163" spans="1:8" x14ac:dyDescent="0.25">
      <c r="A163" s="24">
        <f t="shared" si="16"/>
        <v>156</v>
      </c>
      <c r="B163" s="28">
        <f t="shared" si="21"/>
        <v>2661.2099807167328</v>
      </c>
      <c r="C163" s="28">
        <f t="shared" si="15"/>
        <v>807.68908398766393</v>
      </c>
      <c r="D163" s="28">
        <f t="shared" si="17"/>
        <v>1853.5208967290689</v>
      </c>
      <c r="E163" s="28"/>
      <c r="F163" s="28">
        <f t="shared" si="18"/>
        <v>316938.75035528123</v>
      </c>
      <c r="G163" s="28">
        <f t="shared" si="19"/>
        <v>83061.24964471905</v>
      </c>
      <c r="H163" s="28">
        <f t="shared" si="20"/>
        <v>332087.50734709139</v>
      </c>
    </row>
    <row r="164" spans="1:8" x14ac:dyDescent="0.25">
      <c r="A164" s="24">
        <f t="shared" si="16"/>
        <v>157</v>
      </c>
      <c r="B164" s="28">
        <f t="shared" si="21"/>
        <v>2661.2099807167328</v>
      </c>
      <c r="C164" s="28">
        <f t="shared" si="15"/>
        <v>812.40060364425904</v>
      </c>
      <c r="D164" s="28">
        <f t="shared" si="17"/>
        <v>1848.8093770724738</v>
      </c>
      <c r="E164" s="28"/>
      <c r="F164" s="28">
        <f t="shared" si="18"/>
        <v>316126.34975163697</v>
      </c>
      <c r="G164" s="28">
        <f t="shared" si="19"/>
        <v>83873.650248363308</v>
      </c>
      <c r="H164" s="28">
        <f t="shared" si="20"/>
        <v>333936.31672416389</v>
      </c>
    </row>
    <row r="165" spans="1:8" x14ac:dyDescent="0.25">
      <c r="A165" s="24">
        <f t="shared" si="16"/>
        <v>158</v>
      </c>
      <c r="B165" s="28">
        <f t="shared" si="21"/>
        <v>2661.2099807167328</v>
      </c>
      <c r="C165" s="28">
        <f t="shared" si="15"/>
        <v>817.13960716551696</v>
      </c>
      <c r="D165" s="28">
        <f t="shared" si="17"/>
        <v>1844.0703735512159</v>
      </c>
      <c r="E165" s="28"/>
      <c r="F165" s="28">
        <f t="shared" si="18"/>
        <v>315309.21014447144</v>
      </c>
      <c r="G165" s="28">
        <f t="shared" si="19"/>
        <v>84690.789855528827</v>
      </c>
      <c r="H165" s="28">
        <f t="shared" si="20"/>
        <v>335780.38709771511</v>
      </c>
    </row>
    <row r="166" spans="1:8" x14ac:dyDescent="0.25">
      <c r="A166" s="24">
        <f t="shared" si="16"/>
        <v>159</v>
      </c>
      <c r="B166" s="28">
        <f t="shared" si="21"/>
        <v>2661.2099807167328</v>
      </c>
      <c r="C166" s="28">
        <f t="shared" si="15"/>
        <v>821.90625487398256</v>
      </c>
      <c r="D166" s="28">
        <f t="shared" si="17"/>
        <v>1839.3037258427503</v>
      </c>
      <c r="E166" s="28"/>
      <c r="F166" s="28">
        <f t="shared" si="18"/>
        <v>314487.30388959748</v>
      </c>
      <c r="G166" s="28">
        <f t="shared" si="19"/>
        <v>85512.696110402816</v>
      </c>
      <c r="H166" s="28">
        <f t="shared" si="20"/>
        <v>337619.69082355784</v>
      </c>
    </row>
    <row r="167" spans="1:8" x14ac:dyDescent="0.25">
      <c r="A167" s="24">
        <f t="shared" si="16"/>
        <v>160</v>
      </c>
      <c r="B167" s="28">
        <f t="shared" si="21"/>
        <v>2661.2099807167328</v>
      </c>
      <c r="C167" s="28">
        <f t="shared" si="15"/>
        <v>826.70070802741407</v>
      </c>
      <c r="D167" s="28">
        <f t="shared" si="17"/>
        <v>1834.5092726893188</v>
      </c>
      <c r="E167" s="28"/>
      <c r="F167" s="28">
        <f t="shared" si="18"/>
        <v>313660.60318157007</v>
      </c>
      <c r="G167" s="28">
        <f t="shared" si="19"/>
        <v>86339.396818430236</v>
      </c>
      <c r="H167" s="28">
        <f t="shared" si="20"/>
        <v>339454.20009624714</v>
      </c>
    </row>
    <row r="168" spans="1:8" x14ac:dyDescent="0.25">
      <c r="A168" s="24">
        <f t="shared" si="16"/>
        <v>161</v>
      </c>
      <c r="B168" s="28">
        <f t="shared" si="21"/>
        <v>2661.2099807167328</v>
      </c>
      <c r="C168" s="28">
        <f t="shared" si="15"/>
        <v>831.52312882424053</v>
      </c>
      <c r="D168" s="28">
        <f t="shared" si="17"/>
        <v>1829.6868518924923</v>
      </c>
      <c r="E168" s="28"/>
      <c r="F168" s="28">
        <f t="shared" si="18"/>
        <v>312829.08005274582</v>
      </c>
      <c r="G168" s="28">
        <f t="shared" si="19"/>
        <v>87170.919947254471</v>
      </c>
      <c r="H168" s="28">
        <f t="shared" si="20"/>
        <v>341283.88694813964</v>
      </c>
    </row>
    <row r="169" spans="1:8" x14ac:dyDescent="0.25">
      <c r="A169" s="24">
        <f t="shared" si="16"/>
        <v>162</v>
      </c>
      <c r="B169" s="28">
        <f t="shared" si="21"/>
        <v>2661.2099807167328</v>
      </c>
      <c r="C169" s="28">
        <f t="shared" si="15"/>
        <v>836.3736804090488</v>
      </c>
      <c r="D169" s="28">
        <f t="shared" si="17"/>
        <v>1824.836300307684</v>
      </c>
      <c r="E169" s="28"/>
      <c r="F169" s="28">
        <f t="shared" si="18"/>
        <v>311992.70637233678</v>
      </c>
      <c r="G169" s="28">
        <f t="shared" si="19"/>
        <v>88007.293627663516</v>
      </c>
      <c r="H169" s="28">
        <f t="shared" si="20"/>
        <v>343108.72324844735</v>
      </c>
    </row>
    <row r="170" spans="1:8" x14ac:dyDescent="0.25">
      <c r="A170" s="24">
        <f t="shared" si="16"/>
        <v>163</v>
      </c>
      <c r="B170" s="28">
        <f t="shared" si="21"/>
        <v>2661.2099807167328</v>
      </c>
      <c r="C170" s="28">
        <f t="shared" si="15"/>
        <v>841.25252687810143</v>
      </c>
      <c r="D170" s="28">
        <f t="shared" si="17"/>
        <v>1819.9574538386314</v>
      </c>
      <c r="E170" s="28"/>
      <c r="F170" s="28">
        <f t="shared" si="18"/>
        <v>311151.45384545869</v>
      </c>
      <c r="G170" s="28">
        <f t="shared" si="19"/>
        <v>88848.546154541618</v>
      </c>
      <c r="H170" s="28">
        <f t="shared" si="20"/>
        <v>344928.68070228596</v>
      </c>
    </row>
    <row r="171" spans="1:8" x14ac:dyDescent="0.25">
      <c r="A171" s="24">
        <f t="shared" si="16"/>
        <v>164</v>
      </c>
      <c r="B171" s="28">
        <f t="shared" si="21"/>
        <v>2661.2099807167328</v>
      </c>
      <c r="C171" s="28">
        <f t="shared" si="15"/>
        <v>846.15983328489028</v>
      </c>
      <c r="D171" s="28">
        <f t="shared" si="17"/>
        <v>1815.0501474318426</v>
      </c>
      <c r="E171" s="28"/>
      <c r="F171" s="28">
        <f t="shared" si="18"/>
        <v>310305.29401217378</v>
      </c>
      <c r="G171" s="28">
        <f t="shared" si="19"/>
        <v>89694.705987826514</v>
      </c>
      <c r="H171" s="28">
        <f t="shared" si="20"/>
        <v>346743.7308497178</v>
      </c>
    </row>
    <row r="172" spans="1:8" x14ac:dyDescent="0.25">
      <c r="A172" s="24">
        <f t="shared" si="16"/>
        <v>165</v>
      </c>
      <c r="B172" s="28">
        <f t="shared" si="21"/>
        <v>2661.2099807167328</v>
      </c>
      <c r="C172" s="28">
        <f t="shared" si="15"/>
        <v>851.09576564571898</v>
      </c>
      <c r="D172" s="28">
        <f t="shared" si="17"/>
        <v>1810.1142150710139</v>
      </c>
      <c r="E172" s="28"/>
      <c r="F172" s="28">
        <f t="shared" si="18"/>
        <v>309454.19824652805</v>
      </c>
      <c r="G172" s="28">
        <f t="shared" si="19"/>
        <v>90545.801753472231</v>
      </c>
      <c r="H172" s="28">
        <f t="shared" si="20"/>
        <v>348553.84506478882</v>
      </c>
    </row>
    <row r="173" spans="1:8" x14ac:dyDescent="0.25">
      <c r="A173" s="24">
        <f t="shared" si="16"/>
        <v>166</v>
      </c>
      <c r="B173" s="28">
        <f t="shared" si="21"/>
        <v>2661.2099807167328</v>
      </c>
      <c r="C173" s="28">
        <f t="shared" si="15"/>
        <v>856.06049094531909</v>
      </c>
      <c r="D173" s="28">
        <f t="shared" si="17"/>
        <v>1805.1494897714138</v>
      </c>
      <c r="E173" s="28"/>
      <c r="F173" s="28">
        <f t="shared" si="18"/>
        <v>308598.13775558275</v>
      </c>
      <c r="G173" s="28">
        <f t="shared" si="19"/>
        <v>91401.862244417556</v>
      </c>
      <c r="H173" s="28">
        <f t="shared" si="20"/>
        <v>350358.99455456022</v>
      </c>
    </row>
    <row r="174" spans="1:8" x14ac:dyDescent="0.25">
      <c r="A174" s="24">
        <f t="shared" si="16"/>
        <v>167</v>
      </c>
      <c r="B174" s="28">
        <f t="shared" si="21"/>
        <v>2661.2099807167328</v>
      </c>
      <c r="C174" s="28">
        <f t="shared" si="15"/>
        <v>861.05417714250007</v>
      </c>
      <c r="D174" s="28">
        <f t="shared" si="17"/>
        <v>1800.1558035742328</v>
      </c>
      <c r="E174" s="28"/>
      <c r="F174" s="28">
        <f t="shared" si="18"/>
        <v>307737.08357844024</v>
      </c>
      <c r="G174" s="28">
        <f t="shared" si="19"/>
        <v>92262.916421560061</v>
      </c>
      <c r="H174" s="28">
        <f t="shared" si="20"/>
        <v>352159.15035813447</v>
      </c>
    </row>
    <row r="175" spans="1:8" x14ac:dyDescent="0.25">
      <c r="A175" s="24">
        <f t="shared" si="16"/>
        <v>168</v>
      </c>
      <c r="B175" s="28">
        <f t="shared" si="21"/>
        <v>2661.2099807167328</v>
      </c>
      <c r="C175" s="28">
        <f t="shared" si="15"/>
        <v>866.07699317583115</v>
      </c>
      <c r="D175" s="28">
        <f t="shared" si="17"/>
        <v>1795.1329875409017</v>
      </c>
      <c r="E175" s="28"/>
      <c r="F175" s="28">
        <f t="shared" si="18"/>
        <v>306871.0065852644</v>
      </c>
      <c r="G175" s="28">
        <f t="shared" si="19"/>
        <v>93128.993414735887</v>
      </c>
      <c r="H175" s="28">
        <f t="shared" si="20"/>
        <v>353954.28334567539</v>
      </c>
    </row>
    <row r="176" spans="1:8" x14ac:dyDescent="0.25">
      <c r="A176" s="24">
        <f t="shared" si="16"/>
        <v>169</v>
      </c>
      <c r="B176" s="28">
        <f t="shared" si="21"/>
        <v>2661.2099807167328</v>
      </c>
      <c r="C176" s="28">
        <f t="shared" si="15"/>
        <v>871.12910896935705</v>
      </c>
      <c r="D176" s="28">
        <f t="shared" si="17"/>
        <v>1790.0808717473758</v>
      </c>
      <c r="E176" s="28"/>
      <c r="F176" s="28">
        <f t="shared" si="18"/>
        <v>305999.87747629505</v>
      </c>
      <c r="G176" s="28">
        <f t="shared" si="19"/>
        <v>94000.122523705242</v>
      </c>
      <c r="H176" s="28">
        <f t="shared" si="20"/>
        <v>355744.36421742279</v>
      </c>
    </row>
    <row r="177" spans="1:8" x14ac:dyDescent="0.25">
      <c r="A177" s="24">
        <f t="shared" si="16"/>
        <v>170</v>
      </c>
      <c r="B177" s="28">
        <f t="shared" si="21"/>
        <v>2661.2099807167328</v>
      </c>
      <c r="C177" s="28">
        <f t="shared" si="15"/>
        <v>876.21069543834483</v>
      </c>
      <c r="D177" s="28">
        <f t="shared" si="17"/>
        <v>1784.999285278388</v>
      </c>
      <c r="E177" s="28"/>
      <c r="F177" s="28">
        <f t="shared" si="18"/>
        <v>305123.66678085673</v>
      </c>
      <c r="G177" s="28">
        <f t="shared" si="19"/>
        <v>94876.333219143591</v>
      </c>
      <c r="H177" s="28">
        <f t="shared" si="20"/>
        <v>357529.36350270116</v>
      </c>
    </row>
    <row r="178" spans="1:8" x14ac:dyDescent="0.25">
      <c r="A178" s="24">
        <f t="shared" si="16"/>
        <v>171</v>
      </c>
      <c r="B178" s="28">
        <f t="shared" si="21"/>
        <v>2661.2099807167328</v>
      </c>
      <c r="C178" s="28">
        <f t="shared" si="15"/>
        <v>881.32192449506829</v>
      </c>
      <c r="D178" s="28">
        <f t="shared" si="17"/>
        <v>1779.8880562216646</v>
      </c>
      <c r="E178" s="28"/>
      <c r="F178" s="28">
        <f t="shared" si="18"/>
        <v>304242.34485636168</v>
      </c>
      <c r="G178" s="28">
        <f t="shared" si="19"/>
        <v>95757.655143638665</v>
      </c>
      <c r="H178" s="28">
        <f t="shared" si="20"/>
        <v>359309.25155892281</v>
      </c>
    </row>
    <row r="179" spans="1:8" x14ac:dyDescent="0.25">
      <c r="A179" s="24">
        <f t="shared" si="16"/>
        <v>172</v>
      </c>
      <c r="B179" s="28">
        <f t="shared" si="21"/>
        <v>2661.2099807167328</v>
      </c>
      <c r="C179" s="28">
        <f t="shared" si="15"/>
        <v>886.46296905462282</v>
      </c>
      <c r="D179" s="28">
        <f t="shared" si="17"/>
        <v>1774.74701166211</v>
      </c>
      <c r="E179" s="28"/>
      <c r="F179" s="28">
        <f t="shared" si="18"/>
        <v>303355.88188730704</v>
      </c>
      <c r="G179" s="28">
        <f t="shared" si="19"/>
        <v>96644.118112693293</v>
      </c>
      <c r="H179" s="28">
        <f t="shared" si="20"/>
        <v>361083.99857058492</v>
      </c>
    </row>
    <row r="180" spans="1:8" x14ac:dyDescent="0.25">
      <c r="A180" s="24">
        <f t="shared" si="16"/>
        <v>173</v>
      </c>
      <c r="B180" s="28">
        <f t="shared" si="21"/>
        <v>2661.2099807167328</v>
      </c>
      <c r="C180" s="28">
        <f t="shared" si="15"/>
        <v>891.63400304077504</v>
      </c>
      <c r="D180" s="28">
        <f t="shared" si="17"/>
        <v>1769.5759776759578</v>
      </c>
      <c r="E180" s="28"/>
      <c r="F180" s="28">
        <f t="shared" si="18"/>
        <v>302464.24788426625</v>
      </c>
      <c r="G180" s="28">
        <f t="shared" si="19"/>
        <v>97535.752115734067</v>
      </c>
      <c r="H180" s="28">
        <f t="shared" si="20"/>
        <v>362853.57454826089</v>
      </c>
    </row>
    <row r="181" spans="1:8" x14ac:dyDescent="0.25">
      <c r="A181" s="24">
        <f t="shared" si="16"/>
        <v>174</v>
      </c>
      <c r="B181" s="28">
        <f t="shared" si="21"/>
        <v>2661.2099807167328</v>
      </c>
      <c r="C181" s="28">
        <f t="shared" si="15"/>
        <v>896.83520139184611</v>
      </c>
      <c r="D181" s="28">
        <f t="shared" si="17"/>
        <v>1764.3747793248867</v>
      </c>
      <c r="E181" s="28"/>
      <c r="F181" s="28">
        <f t="shared" si="18"/>
        <v>301567.41268287442</v>
      </c>
      <c r="G181" s="28">
        <f t="shared" si="19"/>
        <v>98432.587317125915</v>
      </c>
      <c r="H181" s="28">
        <f t="shared" si="20"/>
        <v>364617.94932758575</v>
      </c>
    </row>
    <row r="182" spans="1:8" x14ac:dyDescent="0.25">
      <c r="A182" s="24">
        <f t="shared" si="16"/>
        <v>175</v>
      </c>
      <c r="B182" s="28">
        <f t="shared" si="21"/>
        <v>2661.2099807167328</v>
      </c>
      <c r="C182" s="28">
        <f t="shared" si="15"/>
        <v>902.06674006663184</v>
      </c>
      <c r="D182" s="28">
        <f t="shared" si="17"/>
        <v>1759.143240650101</v>
      </c>
      <c r="E182" s="28"/>
      <c r="F182" s="28">
        <f t="shared" si="18"/>
        <v>300665.34594280779</v>
      </c>
      <c r="G182" s="28">
        <f t="shared" si="19"/>
        <v>99334.654057192543</v>
      </c>
      <c r="H182" s="28">
        <f t="shared" si="20"/>
        <v>366377.09256823588</v>
      </c>
    </row>
    <row r="183" spans="1:8" x14ac:dyDescent="0.25">
      <c r="A183" s="24">
        <f t="shared" si="16"/>
        <v>176</v>
      </c>
      <c r="B183" s="28">
        <f t="shared" si="21"/>
        <v>2661.2099807167328</v>
      </c>
      <c r="C183" s="28">
        <f t="shared" si="15"/>
        <v>907.32879605035373</v>
      </c>
      <c r="D183" s="28">
        <f t="shared" si="17"/>
        <v>1753.8811846663791</v>
      </c>
      <c r="E183" s="28"/>
      <c r="F183" s="28">
        <f t="shared" si="18"/>
        <v>299758.01714675745</v>
      </c>
      <c r="G183" s="28">
        <f t="shared" si="19"/>
        <v>100241.98285324289</v>
      </c>
      <c r="H183" s="28">
        <f t="shared" si="20"/>
        <v>368130.97375290224</v>
      </c>
    </row>
    <row r="184" spans="1:8" x14ac:dyDescent="0.25">
      <c r="A184" s="24">
        <f t="shared" si="16"/>
        <v>177</v>
      </c>
      <c r="B184" s="28">
        <f t="shared" si="21"/>
        <v>2661.2099807167328</v>
      </c>
      <c r="C184" s="28">
        <f t="shared" si="15"/>
        <v>912.62154736064758</v>
      </c>
      <c r="D184" s="28">
        <f t="shared" si="17"/>
        <v>1748.5884333560853</v>
      </c>
      <c r="E184" s="28"/>
      <c r="F184" s="28">
        <f t="shared" si="18"/>
        <v>298845.39559939678</v>
      </c>
      <c r="G184" s="28">
        <f t="shared" si="19"/>
        <v>101154.60440060354</v>
      </c>
      <c r="H184" s="28">
        <f t="shared" si="20"/>
        <v>369879.56218625832</v>
      </c>
    </row>
    <row r="185" spans="1:8" x14ac:dyDescent="0.25">
      <c r="A185" s="24">
        <f t="shared" si="16"/>
        <v>178</v>
      </c>
      <c r="B185" s="28">
        <f t="shared" si="21"/>
        <v>2661.2099807167328</v>
      </c>
      <c r="C185" s="28">
        <f t="shared" si="15"/>
        <v>917.94517305358499</v>
      </c>
      <c r="D185" s="28">
        <f t="shared" si="17"/>
        <v>1743.2648076631478</v>
      </c>
      <c r="E185" s="28"/>
      <c r="F185" s="28">
        <f t="shared" si="18"/>
        <v>297927.45042634319</v>
      </c>
      <c r="G185" s="28">
        <f t="shared" si="19"/>
        <v>102072.54957365712</v>
      </c>
      <c r="H185" s="28">
        <f t="shared" si="20"/>
        <v>371622.82699392148</v>
      </c>
    </row>
    <row r="186" spans="1:8" x14ac:dyDescent="0.25">
      <c r="A186" s="24">
        <f t="shared" si="16"/>
        <v>179</v>
      </c>
      <c r="B186" s="28">
        <f t="shared" si="21"/>
        <v>2661.2099807167328</v>
      </c>
      <c r="C186" s="28">
        <f t="shared" si="15"/>
        <v>923.29985322973084</v>
      </c>
      <c r="D186" s="28">
        <f t="shared" si="17"/>
        <v>1737.910127487002</v>
      </c>
      <c r="E186" s="28"/>
      <c r="F186" s="28">
        <f t="shared" si="18"/>
        <v>297004.15057311347</v>
      </c>
      <c r="G186" s="28">
        <f t="shared" si="19"/>
        <v>102995.84942688685</v>
      </c>
      <c r="H186" s="28">
        <f t="shared" si="20"/>
        <v>373360.73712140846</v>
      </c>
    </row>
    <row r="187" spans="1:8" x14ac:dyDescent="0.25">
      <c r="A187" s="24">
        <f t="shared" si="16"/>
        <v>180</v>
      </c>
      <c r="B187" s="28">
        <f t="shared" si="21"/>
        <v>2661.2099807167328</v>
      </c>
      <c r="C187" s="28">
        <f t="shared" si="15"/>
        <v>928.68576904023735</v>
      </c>
      <c r="D187" s="28">
        <f t="shared" si="17"/>
        <v>1732.5242116764955</v>
      </c>
      <c r="E187" s="28"/>
      <c r="F187" s="28">
        <f t="shared" si="18"/>
        <v>296075.46480407321</v>
      </c>
      <c r="G187" s="28">
        <f t="shared" si="19"/>
        <v>103924.53519592709</v>
      </c>
      <c r="H187" s="28">
        <f t="shared" si="20"/>
        <v>375093.26133308496</v>
      </c>
    </row>
    <row r="188" spans="1:8" x14ac:dyDescent="0.25">
      <c r="A188" s="24">
        <f t="shared" si="16"/>
        <v>181</v>
      </c>
      <c r="B188" s="28">
        <f t="shared" si="21"/>
        <v>2661.2099807167328</v>
      </c>
      <c r="C188" s="28">
        <f t="shared" si="15"/>
        <v>934.10310269297247</v>
      </c>
      <c r="D188" s="28">
        <f t="shared" si="17"/>
        <v>1727.1068780237604</v>
      </c>
      <c r="E188" s="28"/>
      <c r="F188" s="28">
        <f t="shared" si="18"/>
        <v>295141.36170138023</v>
      </c>
      <c r="G188" s="28">
        <f t="shared" si="19"/>
        <v>104858.63829862006</v>
      </c>
      <c r="H188" s="28">
        <f t="shared" si="20"/>
        <v>376820.36821110873</v>
      </c>
    </row>
    <row r="189" spans="1:8" x14ac:dyDescent="0.25">
      <c r="A189" s="24">
        <f t="shared" si="16"/>
        <v>182</v>
      </c>
      <c r="B189" s="28">
        <f t="shared" si="21"/>
        <v>2661.2099807167328</v>
      </c>
      <c r="C189" s="28">
        <f t="shared" si="15"/>
        <v>939.55203745868153</v>
      </c>
      <c r="D189" s="28">
        <f t="shared" si="17"/>
        <v>1721.6579432580513</v>
      </c>
      <c r="E189" s="28"/>
      <c r="F189" s="28">
        <f t="shared" si="18"/>
        <v>294201.80966392154</v>
      </c>
      <c r="G189" s="28">
        <f t="shared" si="19"/>
        <v>105798.19033607874</v>
      </c>
      <c r="H189" s="28">
        <f t="shared" si="20"/>
        <v>378542.02615436679</v>
      </c>
    </row>
    <row r="190" spans="1:8" x14ac:dyDescent="0.25">
      <c r="A190" s="24">
        <f t="shared" si="16"/>
        <v>183</v>
      </c>
      <c r="B190" s="28">
        <f t="shared" si="21"/>
        <v>2661.2099807167328</v>
      </c>
      <c r="C190" s="28">
        <f t="shared" si="15"/>
        <v>945.03275767719038</v>
      </c>
      <c r="D190" s="28">
        <f t="shared" si="17"/>
        <v>1716.1772230395425</v>
      </c>
      <c r="E190" s="28"/>
      <c r="F190" s="28">
        <f t="shared" si="18"/>
        <v>293256.77690624434</v>
      </c>
      <c r="G190" s="28">
        <f t="shared" si="19"/>
        <v>106743.22309375594</v>
      </c>
      <c r="H190" s="28">
        <f t="shared" si="20"/>
        <v>380258.20337740635</v>
      </c>
    </row>
    <row r="191" spans="1:8" x14ac:dyDescent="0.25">
      <c r="A191" s="24">
        <f t="shared" si="16"/>
        <v>184</v>
      </c>
      <c r="B191" s="28">
        <f t="shared" si="21"/>
        <v>2661.2099807167328</v>
      </c>
      <c r="C191" s="28">
        <f t="shared" si="15"/>
        <v>950.54544876364048</v>
      </c>
      <c r="D191" s="28">
        <f t="shared" si="17"/>
        <v>1710.6645319530924</v>
      </c>
      <c r="E191" s="28"/>
      <c r="F191" s="28">
        <f t="shared" si="18"/>
        <v>292306.2314574807</v>
      </c>
      <c r="G191" s="28">
        <f t="shared" si="19"/>
        <v>107693.76854251958</v>
      </c>
      <c r="H191" s="28">
        <f t="shared" si="20"/>
        <v>381968.86790935945</v>
      </c>
    </row>
    <row r="192" spans="1:8" x14ac:dyDescent="0.25">
      <c r="A192" s="24">
        <f t="shared" si="16"/>
        <v>185</v>
      </c>
      <c r="B192" s="28">
        <f t="shared" si="21"/>
        <v>2661.2099807167328</v>
      </c>
      <c r="C192" s="28">
        <f t="shared" si="15"/>
        <v>956.0902972147619</v>
      </c>
      <c r="D192" s="28">
        <f t="shared" si="17"/>
        <v>1705.1196835019709</v>
      </c>
      <c r="E192" s="28"/>
      <c r="F192" s="28">
        <f t="shared" si="18"/>
        <v>291350.14116026595</v>
      </c>
      <c r="G192" s="28">
        <f t="shared" si="19"/>
        <v>108649.85883973434</v>
      </c>
      <c r="H192" s="28">
        <f t="shared" si="20"/>
        <v>383673.98759286141</v>
      </c>
    </row>
    <row r="193" spans="1:8" x14ac:dyDescent="0.25">
      <c r="A193" s="24">
        <f t="shared" si="16"/>
        <v>186</v>
      </c>
      <c r="B193" s="28">
        <f t="shared" si="21"/>
        <v>2661.2099807167328</v>
      </c>
      <c r="C193" s="28">
        <f t="shared" si="15"/>
        <v>961.66749061518135</v>
      </c>
      <c r="D193" s="28">
        <f t="shared" si="17"/>
        <v>1699.5424901015515</v>
      </c>
      <c r="E193" s="28"/>
      <c r="F193" s="28">
        <f t="shared" si="18"/>
        <v>290388.47366965079</v>
      </c>
      <c r="G193" s="28">
        <f t="shared" si="19"/>
        <v>109611.52633034952</v>
      </c>
      <c r="H193" s="28">
        <f t="shared" si="20"/>
        <v>385373.53008296294</v>
      </c>
    </row>
    <row r="194" spans="1:8" x14ac:dyDescent="0.25">
      <c r="A194" s="24">
        <f t="shared" si="16"/>
        <v>187</v>
      </c>
      <c r="B194" s="28">
        <f t="shared" si="21"/>
        <v>2661.2099807167328</v>
      </c>
      <c r="C194" s="28">
        <f t="shared" si="15"/>
        <v>967.27721764376975</v>
      </c>
      <c r="D194" s="28">
        <f t="shared" si="17"/>
        <v>1693.9327630729631</v>
      </c>
      <c r="E194" s="28"/>
      <c r="F194" s="28">
        <f t="shared" si="18"/>
        <v>289421.19645200705</v>
      </c>
      <c r="G194" s="28">
        <f t="shared" si="19"/>
        <v>110578.80354799329</v>
      </c>
      <c r="H194" s="28">
        <f t="shared" si="20"/>
        <v>387067.46284603589</v>
      </c>
    </row>
    <row r="195" spans="1:8" x14ac:dyDescent="0.25">
      <c r="A195" s="24">
        <f t="shared" si="16"/>
        <v>188</v>
      </c>
      <c r="B195" s="28">
        <f t="shared" si="21"/>
        <v>2661.2099807167328</v>
      </c>
      <c r="C195" s="28">
        <f t="shared" si="15"/>
        <v>972.91966808002485</v>
      </c>
      <c r="D195" s="28">
        <f t="shared" si="17"/>
        <v>1688.290312636708</v>
      </c>
      <c r="E195" s="28"/>
      <c r="F195" s="28">
        <f t="shared" si="18"/>
        <v>288448.27678392699</v>
      </c>
      <c r="G195" s="28">
        <f t="shared" si="19"/>
        <v>111551.72321607331</v>
      </c>
      <c r="H195" s="28">
        <f t="shared" si="20"/>
        <v>388755.7531586726</v>
      </c>
    </row>
    <row r="196" spans="1:8" x14ac:dyDescent="0.25">
      <c r="A196" s="24">
        <f t="shared" si="16"/>
        <v>189</v>
      </c>
      <c r="B196" s="28">
        <f t="shared" si="21"/>
        <v>2661.2099807167328</v>
      </c>
      <c r="C196" s="28">
        <f t="shared" si="15"/>
        <v>978.59503281049206</v>
      </c>
      <c r="D196" s="28">
        <f t="shared" si="17"/>
        <v>1682.6149479062408</v>
      </c>
      <c r="E196" s="28"/>
      <c r="F196" s="28">
        <f t="shared" si="18"/>
        <v>287469.68175111653</v>
      </c>
      <c r="G196" s="28">
        <f t="shared" si="19"/>
        <v>112530.31824888381</v>
      </c>
      <c r="H196" s="28">
        <f t="shared" si="20"/>
        <v>390438.36810657883</v>
      </c>
    </row>
    <row r="197" spans="1:8" x14ac:dyDescent="0.25">
      <c r="A197" s="24">
        <f t="shared" si="16"/>
        <v>190</v>
      </c>
      <c r="B197" s="28">
        <f t="shared" si="21"/>
        <v>2661.2099807167328</v>
      </c>
      <c r="C197" s="28">
        <f t="shared" si="15"/>
        <v>984.30350383521954</v>
      </c>
      <c r="D197" s="28">
        <f t="shared" si="17"/>
        <v>1676.9064768815133</v>
      </c>
      <c r="E197" s="28"/>
      <c r="F197" s="28">
        <f t="shared" si="18"/>
        <v>286485.3782472813</v>
      </c>
      <c r="G197" s="28">
        <f t="shared" si="19"/>
        <v>113514.62175271903</v>
      </c>
      <c r="H197" s="28">
        <f t="shared" si="20"/>
        <v>392115.27458346036</v>
      </c>
    </row>
    <row r="198" spans="1:8" x14ac:dyDescent="0.25">
      <c r="A198" s="24">
        <f t="shared" si="16"/>
        <v>191</v>
      </c>
      <c r="B198" s="28">
        <f t="shared" si="21"/>
        <v>2661.2099807167328</v>
      </c>
      <c r="C198" s="28">
        <f t="shared" si="15"/>
        <v>990.04527427425842</v>
      </c>
      <c r="D198" s="28">
        <f t="shared" si="17"/>
        <v>1671.1647064424744</v>
      </c>
      <c r="E198" s="28"/>
      <c r="F198" s="28">
        <f t="shared" si="18"/>
        <v>285495.33297300705</v>
      </c>
      <c r="G198" s="28">
        <f t="shared" si="19"/>
        <v>114504.66702699329</v>
      </c>
      <c r="H198" s="28">
        <f t="shared" si="20"/>
        <v>393786.4392899028</v>
      </c>
    </row>
    <row r="199" spans="1:8" x14ac:dyDescent="0.25">
      <c r="A199" s="24">
        <f t="shared" si="16"/>
        <v>192</v>
      </c>
      <c r="B199" s="28">
        <f t="shared" si="21"/>
        <v>2661.2099807167328</v>
      </c>
      <c r="C199" s="28">
        <f t="shared" si="15"/>
        <v>995.82053837419176</v>
      </c>
      <c r="D199" s="28">
        <f t="shared" si="17"/>
        <v>1665.3894423425411</v>
      </c>
      <c r="E199" s="28"/>
      <c r="F199" s="28">
        <f t="shared" si="18"/>
        <v>284499.51243463287</v>
      </c>
      <c r="G199" s="28">
        <f t="shared" si="19"/>
        <v>115500.48756536748</v>
      </c>
      <c r="H199" s="28">
        <f t="shared" si="20"/>
        <v>395451.82873224537</v>
      </c>
    </row>
    <row r="200" spans="1:8" x14ac:dyDescent="0.25">
      <c r="A200" s="24">
        <f t="shared" si="16"/>
        <v>193</v>
      </c>
      <c r="B200" s="28">
        <f t="shared" si="21"/>
        <v>2661.2099807167328</v>
      </c>
      <c r="C200" s="28">
        <f t="shared" si="15"/>
        <v>1001.6294915147078</v>
      </c>
      <c r="D200" s="28">
        <f t="shared" si="17"/>
        <v>1659.5804892020251</v>
      </c>
      <c r="E200" s="28"/>
      <c r="F200" s="28">
        <f t="shared" si="18"/>
        <v>283497.88294311817</v>
      </c>
      <c r="G200" s="28">
        <f t="shared" si="19"/>
        <v>116502.11705688218</v>
      </c>
      <c r="H200" s="28">
        <f t="shared" si="20"/>
        <v>397111.40922144742</v>
      </c>
    </row>
    <row r="201" spans="1:8" x14ac:dyDescent="0.25">
      <c r="A201" s="24">
        <f t="shared" si="16"/>
        <v>194</v>
      </c>
      <c r="B201" s="28">
        <f t="shared" si="21"/>
        <v>2661.2099807167328</v>
      </c>
      <c r="C201" s="28">
        <f t="shared" ref="C201:C264" si="22">IF(A201="","",B201-D201)</f>
        <v>1007.4723302152101</v>
      </c>
      <c r="D201" s="28">
        <f t="shared" si="17"/>
        <v>1653.7376505015227</v>
      </c>
      <c r="E201" s="28"/>
      <c r="F201" s="28">
        <f t="shared" si="18"/>
        <v>282490.41061290295</v>
      </c>
      <c r="G201" s="28">
        <f t="shared" si="19"/>
        <v>117509.5893870974</v>
      </c>
      <c r="H201" s="28">
        <f t="shared" si="20"/>
        <v>398765.14687194896</v>
      </c>
    </row>
    <row r="202" spans="1:8" x14ac:dyDescent="0.25">
      <c r="A202" s="24">
        <f t="shared" ref="A202:A265" si="23">IF(OR(F201&lt;0.01,F201=""),"",A201+1)</f>
        <v>195</v>
      </c>
      <c r="B202" s="28">
        <f t="shared" si="21"/>
        <v>2661.2099807167328</v>
      </c>
      <c r="C202" s="28">
        <f t="shared" si="22"/>
        <v>1013.3492521414653</v>
      </c>
      <c r="D202" s="28">
        <f t="shared" ref="D202:D265" si="24">IF(A202="","",F201*$B$4/12)</f>
        <v>1647.8607285752676</v>
      </c>
      <c r="E202" s="28"/>
      <c r="F202" s="28">
        <f t="shared" si="18"/>
        <v>281477.06136076147</v>
      </c>
      <c r="G202" s="28">
        <f t="shared" si="19"/>
        <v>118522.93863923886</v>
      </c>
      <c r="H202" s="28">
        <f t="shared" si="20"/>
        <v>400413.00760052423</v>
      </c>
    </row>
    <row r="203" spans="1:8" x14ac:dyDescent="0.25">
      <c r="A203" s="24">
        <f t="shared" si="23"/>
        <v>196</v>
      </c>
      <c r="B203" s="28">
        <f t="shared" si="21"/>
        <v>2661.2099807167328</v>
      </c>
      <c r="C203" s="28">
        <f t="shared" si="22"/>
        <v>1019.260456112291</v>
      </c>
      <c r="D203" s="28">
        <f t="shared" si="24"/>
        <v>1641.9495246044419</v>
      </c>
      <c r="E203" s="28"/>
      <c r="F203" s="28">
        <f t="shared" si="18"/>
        <v>280457.80090464919</v>
      </c>
      <c r="G203" s="28">
        <f t="shared" si="19"/>
        <v>119542.19909535114</v>
      </c>
      <c r="H203" s="28">
        <f t="shared" si="20"/>
        <v>402054.95712512865</v>
      </c>
    </row>
    <row r="204" spans="1:8" x14ac:dyDescent="0.25">
      <c r="A204" s="24">
        <f t="shared" si="23"/>
        <v>197</v>
      </c>
      <c r="B204" s="28">
        <f t="shared" si="21"/>
        <v>2661.2099807167328</v>
      </c>
      <c r="C204" s="28">
        <f t="shared" si="22"/>
        <v>1025.2061421062792</v>
      </c>
      <c r="D204" s="28">
        <f t="shared" si="24"/>
        <v>1636.0038386104536</v>
      </c>
      <c r="E204" s="28"/>
      <c r="F204" s="28">
        <f t="shared" si="18"/>
        <v>279432.59476254293</v>
      </c>
      <c r="G204" s="28">
        <f t="shared" si="19"/>
        <v>120567.40523745742</v>
      </c>
      <c r="H204" s="28">
        <f t="shared" si="20"/>
        <v>403690.96096373908</v>
      </c>
    </row>
    <row r="205" spans="1:8" x14ac:dyDescent="0.25">
      <c r="A205" s="24">
        <f t="shared" si="23"/>
        <v>198</v>
      </c>
      <c r="B205" s="28">
        <f t="shared" si="21"/>
        <v>2661.2099807167328</v>
      </c>
      <c r="C205" s="28">
        <f t="shared" si="22"/>
        <v>1031.1865112685657</v>
      </c>
      <c r="D205" s="28">
        <f t="shared" si="24"/>
        <v>1630.0234694481671</v>
      </c>
      <c r="E205" s="28"/>
      <c r="F205" s="28">
        <f t="shared" si="18"/>
        <v>278401.40825127438</v>
      </c>
      <c r="G205" s="28">
        <f t="shared" si="19"/>
        <v>121598.59174872599</v>
      </c>
      <c r="H205" s="28">
        <f t="shared" si="20"/>
        <v>405320.98443318723</v>
      </c>
    </row>
    <row r="206" spans="1:8" x14ac:dyDescent="0.25">
      <c r="A206" s="24">
        <f t="shared" si="23"/>
        <v>199</v>
      </c>
      <c r="B206" s="28">
        <f t="shared" si="21"/>
        <v>2661.2099807167328</v>
      </c>
      <c r="C206" s="28">
        <f t="shared" si="22"/>
        <v>1037.2017659176322</v>
      </c>
      <c r="D206" s="28">
        <f t="shared" si="24"/>
        <v>1624.0082147991006</v>
      </c>
      <c r="E206" s="28"/>
      <c r="F206" s="28">
        <f t="shared" ref="F206:F269" si="25">IF(A206="","",IF(A206="","",F205-C206-E206))</f>
        <v>277364.20648535673</v>
      </c>
      <c r="G206" s="28">
        <f t="shared" ref="G206:G269" si="26">IF(A206="","",C206+G205+E206)</f>
        <v>122635.79351464362</v>
      </c>
      <c r="H206" s="28">
        <f t="shared" ref="H206:H269" si="27">IF(A206="","",IF(A206="","",D206+H205))</f>
        <v>406944.99264798634</v>
      </c>
    </row>
    <row r="207" spans="1:8" x14ac:dyDescent="0.25">
      <c r="A207" s="24">
        <f t="shared" si="23"/>
        <v>200</v>
      </c>
      <c r="B207" s="28">
        <f t="shared" si="21"/>
        <v>2661.2099807167328</v>
      </c>
      <c r="C207" s="28">
        <f t="shared" si="22"/>
        <v>1043.2521095521518</v>
      </c>
      <c r="D207" s="28">
        <f t="shared" si="24"/>
        <v>1617.9578711645811</v>
      </c>
      <c r="E207" s="28"/>
      <c r="F207" s="28">
        <f t="shared" si="25"/>
        <v>276320.95437580458</v>
      </c>
      <c r="G207" s="28">
        <f t="shared" si="26"/>
        <v>123679.04562419577</v>
      </c>
      <c r="H207" s="28">
        <f t="shared" si="27"/>
        <v>408562.95051915094</v>
      </c>
    </row>
    <row r="208" spans="1:8" x14ac:dyDescent="0.25">
      <c r="A208" s="24">
        <f t="shared" si="23"/>
        <v>201</v>
      </c>
      <c r="B208" s="28">
        <f t="shared" si="21"/>
        <v>2661.2099807167328</v>
      </c>
      <c r="C208" s="28">
        <f t="shared" si="22"/>
        <v>1049.3377468578726</v>
      </c>
      <c r="D208" s="28">
        <f t="shared" si="24"/>
        <v>1611.8722338588602</v>
      </c>
      <c r="E208" s="28"/>
      <c r="F208" s="28">
        <f t="shared" si="25"/>
        <v>275271.61662894668</v>
      </c>
      <c r="G208" s="28">
        <f t="shared" si="26"/>
        <v>124728.38337105364</v>
      </c>
      <c r="H208" s="28">
        <f t="shared" si="27"/>
        <v>410174.82275300979</v>
      </c>
    </row>
    <row r="209" spans="1:8" x14ac:dyDescent="0.25">
      <c r="A209" s="24">
        <f t="shared" si="23"/>
        <v>202</v>
      </c>
      <c r="B209" s="28">
        <f t="shared" si="21"/>
        <v>2661.2099807167328</v>
      </c>
      <c r="C209" s="28">
        <f t="shared" si="22"/>
        <v>1055.4588837145436</v>
      </c>
      <c r="D209" s="28">
        <f t="shared" si="24"/>
        <v>1605.7510970021892</v>
      </c>
      <c r="E209" s="28"/>
      <c r="F209" s="28">
        <f t="shared" si="25"/>
        <v>274216.15774523211</v>
      </c>
      <c r="G209" s="28">
        <f t="shared" si="26"/>
        <v>125783.84225476818</v>
      </c>
      <c r="H209" s="28">
        <f t="shared" si="27"/>
        <v>411780.57385001198</v>
      </c>
    </row>
    <row r="210" spans="1:8" x14ac:dyDescent="0.25">
      <c r="A210" s="24">
        <f t="shared" si="23"/>
        <v>203</v>
      </c>
      <c r="B210" s="28">
        <f t="shared" si="21"/>
        <v>2661.2099807167328</v>
      </c>
      <c r="C210" s="28">
        <f t="shared" si="22"/>
        <v>1061.6157272028788</v>
      </c>
      <c r="D210" s="28">
        <f t="shared" si="24"/>
        <v>1599.594253513854</v>
      </c>
      <c r="E210" s="28"/>
      <c r="F210" s="28">
        <f t="shared" si="25"/>
        <v>273154.54201802926</v>
      </c>
      <c r="G210" s="28">
        <f t="shared" si="26"/>
        <v>126845.45798197106</v>
      </c>
      <c r="H210" s="28">
        <f t="shared" si="27"/>
        <v>413380.16810352582</v>
      </c>
    </row>
    <row r="211" spans="1:8" x14ac:dyDescent="0.25">
      <c r="A211" s="24">
        <f t="shared" si="23"/>
        <v>204</v>
      </c>
      <c r="B211" s="28">
        <f t="shared" si="21"/>
        <v>2661.2099807167328</v>
      </c>
      <c r="C211" s="28">
        <f t="shared" si="22"/>
        <v>1067.8084856115622</v>
      </c>
      <c r="D211" s="28">
        <f t="shared" si="24"/>
        <v>1593.4014951051706</v>
      </c>
      <c r="E211" s="28"/>
      <c r="F211" s="28">
        <f t="shared" si="25"/>
        <v>272086.73353241768</v>
      </c>
      <c r="G211" s="28">
        <f t="shared" si="26"/>
        <v>127913.26646758262</v>
      </c>
      <c r="H211" s="28">
        <f t="shared" si="27"/>
        <v>414973.569598631</v>
      </c>
    </row>
    <row r="212" spans="1:8" x14ac:dyDescent="0.25">
      <c r="A212" s="24">
        <f t="shared" si="23"/>
        <v>205</v>
      </c>
      <c r="B212" s="28">
        <f t="shared" ref="B212:B275" si="28">IF(A212="","",(IF(F211+(F211*$B$4/12)&lt;-PMT($B$4/12,$B$5*12,$B$3,0,0),F211+(F211*$B$4/12),-PMT($B$4/12,$B$5*12,$B$3,0,0))))</f>
        <v>2661.2099807167328</v>
      </c>
      <c r="C212" s="28">
        <f t="shared" si="22"/>
        <v>1074.0373684442961</v>
      </c>
      <c r="D212" s="28">
        <f t="shared" si="24"/>
        <v>1587.1726122724367</v>
      </c>
      <c r="E212" s="28"/>
      <c r="F212" s="28">
        <f t="shared" si="25"/>
        <v>271012.69616397336</v>
      </c>
      <c r="G212" s="28">
        <f t="shared" si="26"/>
        <v>128987.30383602691</v>
      </c>
      <c r="H212" s="28">
        <f t="shared" si="27"/>
        <v>416560.74221090344</v>
      </c>
    </row>
    <row r="213" spans="1:8" x14ac:dyDescent="0.25">
      <c r="A213" s="24">
        <f t="shared" si="23"/>
        <v>206</v>
      </c>
      <c r="B213" s="28">
        <f t="shared" si="28"/>
        <v>2661.2099807167328</v>
      </c>
      <c r="C213" s="28">
        <f t="shared" si="22"/>
        <v>1080.302586426888</v>
      </c>
      <c r="D213" s="28">
        <f t="shared" si="24"/>
        <v>1580.9073942898449</v>
      </c>
      <c r="E213" s="28"/>
      <c r="F213" s="28">
        <f t="shared" si="25"/>
        <v>269932.39357754646</v>
      </c>
      <c r="G213" s="28">
        <f t="shared" si="26"/>
        <v>130067.6064224538</v>
      </c>
      <c r="H213" s="28">
        <f t="shared" si="27"/>
        <v>418141.64960519329</v>
      </c>
    </row>
    <row r="214" spans="1:8" x14ac:dyDescent="0.25">
      <c r="A214" s="24">
        <f t="shared" si="23"/>
        <v>207</v>
      </c>
      <c r="B214" s="28">
        <f t="shared" si="28"/>
        <v>2661.2099807167328</v>
      </c>
      <c r="C214" s="28">
        <f t="shared" si="22"/>
        <v>1086.6043515143785</v>
      </c>
      <c r="D214" s="28">
        <f t="shared" si="24"/>
        <v>1574.6056292023543</v>
      </c>
      <c r="E214" s="28"/>
      <c r="F214" s="28">
        <f t="shared" si="25"/>
        <v>268845.7892260321</v>
      </c>
      <c r="G214" s="28">
        <f t="shared" si="26"/>
        <v>131154.21077396817</v>
      </c>
      <c r="H214" s="28">
        <f t="shared" si="27"/>
        <v>419716.25523439562</v>
      </c>
    </row>
    <row r="215" spans="1:8" x14ac:dyDescent="0.25">
      <c r="A215" s="24">
        <f t="shared" si="23"/>
        <v>208</v>
      </c>
      <c r="B215" s="28">
        <f t="shared" si="28"/>
        <v>2661.2099807167328</v>
      </c>
      <c r="C215" s="28">
        <f t="shared" si="22"/>
        <v>1092.942876898212</v>
      </c>
      <c r="D215" s="28">
        <f t="shared" si="24"/>
        <v>1568.2671038185208</v>
      </c>
      <c r="E215" s="28"/>
      <c r="F215" s="28">
        <f t="shared" si="25"/>
        <v>267752.84634913388</v>
      </c>
      <c r="G215" s="28">
        <f t="shared" si="26"/>
        <v>132247.15365086638</v>
      </c>
      <c r="H215" s="28">
        <f t="shared" si="27"/>
        <v>421284.52233821416</v>
      </c>
    </row>
    <row r="216" spans="1:8" x14ac:dyDescent="0.25">
      <c r="A216" s="24">
        <f t="shared" si="23"/>
        <v>209</v>
      </c>
      <c r="B216" s="28">
        <f t="shared" si="28"/>
        <v>2661.2099807167328</v>
      </c>
      <c r="C216" s="28">
        <f t="shared" si="22"/>
        <v>1099.3183770134517</v>
      </c>
      <c r="D216" s="28">
        <f t="shared" si="24"/>
        <v>1561.8916037032811</v>
      </c>
      <c r="E216" s="28"/>
      <c r="F216" s="28">
        <f t="shared" si="25"/>
        <v>266653.52797212044</v>
      </c>
      <c r="G216" s="28">
        <f t="shared" si="26"/>
        <v>133346.47202787985</v>
      </c>
      <c r="H216" s="28">
        <f t="shared" si="27"/>
        <v>422846.41394191742</v>
      </c>
    </row>
    <row r="217" spans="1:8" x14ac:dyDescent="0.25">
      <c r="A217" s="24">
        <f t="shared" si="23"/>
        <v>210</v>
      </c>
      <c r="B217" s="28">
        <f t="shared" si="28"/>
        <v>2661.2099807167328</v>
      </c>
      <c r="C217" s="28">
        <f t="shared" si="22"/>
        <v>1105.7310675460301</v>
      </c>
      <c r="D217" s="28">
        <f t="shared" si="24"/>
        <v>1555.4789131707028</v>
      </c>
      <c r="E217" s="28"/>
      <c r="F217" s="28">
        <f t="shared" si="25"/>
        <v>265547.79690457444</v>
      </c>
      <c r="G217" s="28">
        <f t="shared" si="26"/>
        <v>134452.20309542588</v>
      </c>
      <c r="H217" s="28">
        <f t="shared" si="27"/>
        <v>424401.89285508811</v>
      </c>
    </row>
    <row r="218" spans="1:8" x14ac:dyDescent="0.25">
      <c r="A218" s="24">
        <f t="shared" si="23"/>
        <v>211</v>
      </c>
      <c r="B218" s="28">
        <f t="shared" si="28"/>
        <v>2661.2099807167328</v>
      </c>
      <c r="C218" s="28">
        <f t="shared" si="22"/>
        <v>1112.1811654400485</v>
      </c>
      <c r="D218" s="28">
        <f t="shared" si="24"/>
        <v>1549.0288152766843</v>
      </c>
      <c r="E218" s="28"/>
      <c r="F218" s="28">
        <f t="shared" si="25"/>
        <v>264435.61573913437</v>
      </c>
      <c r="G218" s="28">
        <f t="shared" si="26"/>
        <v>135564.38426086592</v>
      </c>
      <c r="H218" s="28">
        <f t="shared" si="27"/>
        <v>425950.9216703648</v>
      </c>
    </row>
    <row r="219" spans="1:8" x14ac:dyDescent="0.25">
      <c r="A219" s="24">
        <f t="shared" si="23"/>
        <v>212</v>
      </c>
      <c r="B219" s="28">
        <f t="shared" si="28"/>
        <v>2661.2099807167328</v>
      </c>
      <c r="C219" s="28">
        <f t="shared" si="22"/>
        <v>1118.6688889051154</v>
      </c>
      <c r="D219" s="28">
        <f t="shared" si="24"/>
        <v>1542.5410918116174</v>
      </c>
      <c r="E219" s="28"/>
      <c r="F219" s="28">
        <f t="shared" si="25"/>
        <v>263316.94685022923</v>
      </c>
      <c r="G219" s="28">
        <f t="shared" si="26"/>
        <v>136683.05314977103</v>
      </c>
      <c r="H219" s="28">
        <f t="shared" si="27"/>
        <v>427493.46276217641</v>
      </c>
    </row>
    <row r="220" spans="1:8" x14ac:dyDescent="0.25">
      <c r="A220" s="24">
        <f t="shared" si="23"/>
        <v>213</v>
      </c>
      <c r="B220" s="28">
        <f t="shared" si="28"/>
        <v>2661.2099807167328</v>
      </c>
      <c r="C220" s="28">
        <f t="shared" si="22"/>
        <v>1125.1944574237289</v>
      </c>
      <c r="D220" s="28">
        <f t="shared" si="24"/>
        <v>1536.015523293004</v>
      </c>
      <c r="E220" s="28"/>
      <c r="F220" s="28">
        <f t="shared" si="25"/>
        <v>262191.75239280547</v>
      </c>
      <c r="G220" s="28">
        <f t="shared" si="26"/>
        <v>137808.24760719476</v>
      </c>
      <c r="H220" s="28">
        <f t="shared" si="27"/>
        <v>429029.47828546941</v>
      </c>
    </row>
    <row r="221" spans="1:8" x14ac:dyDescent="0.25">
      <c r="A221" s="24">
        <f t="shared" si="23"/>
        <v>214</v>
      </c>
      <c r="B221" s="28">
        <f t="shared" si="28"/>
        <v>2661.2099807167328</v>
      </c>
      <c r="C221" s="28">
        <f t="shared" si="22"/>
        <v>1131.7580917587006</v>
      </c>
      <c r="D221" s="28">
        <f t="shared" si="24"/>
        <v>1529.4518889580322</v>
      </c>
      <c r="E221" s="28"/>
      <c r="F221" s="28">
        <f t="shared" si="25"/>
        <v>261059.99430104677</v>
      </c>
      <c r="G221" s="28">
        <f t="shared" si="26"/>
        <v>138940.00569895346</v>
      </c>
      <c r="H221" s="28">
        <f t="shared" si="27"/>
        <v>430558.93017442746</v>
      </c>
    </row>
    <row r="222" spans="1:8" x14ac:dyDescent="0.25">
      <c r="A222" s="24">
        <f t="shared" si="23"/>
        <v>215</v>
      </c>
      <c r="B222" s="28">
        <f t="shared" si="28"/>
        <v>2661.2099807167328</v>
      </c>
      <c r="C222" s="28">
        <f t="shared" si="22"/>
        <v>1138.3600139606265</v>
      </c>
      <c r="D222" s="28">
        <f t="shared" si="24"/>
        <v>1522.8499667561064</v>
      </c>
      <c r="E222" s="28"/>
      <c r="F222" s="28">
        <f t="shared" si="25"/>
        <v>259921.63428708614</v>
      </c>
      <c r="G222" s="28">
        <f t="shared" si="26"/>
        <v>140078.36571291409</v>
      </c>
      <c r="H222" s="28">
        <f t="shared" si="27"/>
        <v>432081.78014118358</v>
      </c>
    </row>
    <row r="223" spans="1:8" x14ac:dyDescent="0.25">
      <c r="A223" s="24">
        <f t="shared" si="23"/>
        <v>216</v>
      </c>
      <c r="B223" s="28">
        <f t="shared" si="28"/>
        <v>2661.2099807167328</v>
      </c>
      <c r="C223" s="28">
        <f t="shared" si="22"/>
        <v>1145.0004473753968</v>
      </c>
      <c r="D223" s="28">
        <f t="shared" si="24"/>
        <v>1516.2095333413361</v>
      </c>
      <c r="E223" s="28"/>
      <c r="F223" s="28">
        <f t="shared" si="25"/>
        <v>258776.63383971073</v>
      </c>
      <c r="G223" s="28">
        <f t="shared" si="26"/>
        <v>141223.3661602895</v>
      </c>
      <c r="H223" s="28">
        <f t="shared" si="27"/>
        <v>433597.98967452493</v>
      </c>
    </row>
    <row r="224" spans="1:8" x14ac:dyDescent="0.25">
      <c r="A224" s="24">
        <f t="shared" si="23"/>
        <v>217</v>
      </c>
      <c r="B224" s="28">
        <f t="shared" si="28"/>
        <v>2661.2099807167328</v>
      </c>
      <c r="C224" s="28">
        <f t="shared" si="22"/>
        <v>1151.6796166517536</v>
      </c>
      <c r="D224" s="28">
        <f t="shared" si="24"/>
        <v>1509.5303640649793</v>
      </c>
      <c r="E224" s="28"/>
      <c r="F224" s="28">
        <f t="shared" si="25"/>
        <v>257624.95422305897</v>
      </c>
      <c r="G224" s="28">
        <f t="shared" si="26"/>
        <v>142375.04577694126</v>
      </c>
      <c r="H224" s="28">
        <f t="shared" si="27"/>
        <v>435107.52003858989</v>
      </c>
    </row>
    <row r="225" spans="1:8" x14ac:dyDescent="0.25">
      <c r="A225" s="24">
        <f t="shared" si="23"/>
        <v>218</v>
      </c>
      <c r="B225" s="28">
        <f t="shared" si="28"/>
        <v>2661.2099807167328</v>
      </c>
      <c r="C225" s="28">
        <f t="shared" si="22"/>
        <v>1158.3977477488886</v>
      </c>
      <c r="D225" s="28">
        <f t="shared" si="24"/>
        <v>1502.8122329678442</v>
      </c>
      <c r="E225" s="28"/>
      <c r="F225" s="28">
        <f t="shared" si="25"/>
        <v>256466.55647531009</v>
      </c>
      <c r="G225" s="28">
        <f t="shared" si="26"/>
        <v>143533.44352469014</v>
      </c>
      <c r="H225" s="28">
        <f t="shared" si="27"/>
        <v>436610.33227155771</v>
      </c>
    </row>
    <row r="226" spans="1:8" x14ac:dyDescent="0.25">
      <c r="A226" s="24">
        <f t="shared" si="23"/>
        <v>219</v>
      </c>
      <c r="B226" s="28">
        <f t="shared" si="28"/>
        <v>2661.2099807167328</v>
      </c>
      <c r="C226" s="28">
        <f t="shared" si="22"/>
        <v>1165.1550679440904</v>
      </c>
      <c r="D226" s="28">
        <f t="shared" si="24"/>
        <v>1496.0549127726424</v>
      </c>
      <c r="E226" s="28"/>
      <c r="F226" s="28">
        <f t="shared" si="25"/>
        <v>255301.40140736601</v>
      </c>
      <c r="G226" s="28">
        <f t="shared" si="26"/>
        <v>144698.59859263423</v>
      </c>
      <c r="H226" s="28">
        <f t="shared" si="27"/>
        <v>438106.38718433038</v>
      </c>
    </row>
    <row r="227" spans="1:8" x14ac:dyDescent="0.25">
      <c r="A227" s="24">
        <f t="shared" si="23"/>
        <v>220</v>
      </c>
      <c r="B227" s="28">
        <f t="shared" si="28"/>
        <v>2661.2099807167328</v>
      </c>
      <c r="C227" s="28">
        <f t="shared" si="22"/>
        <v>1171.9518058404308</v>
      </c>
      <c r="D227" s="28">
        <f t="shared" si="24"/>
        <v>1489.2581748763021</v>
      </c>
      <c r="E227" s="28"/>
      <c r="F227" s="28">
        <f t="shared" si="25"/>
        <v>254129.44960152559</v>
      </c>
      <c r="G227" s="28">
        <f t="shared" si="26"/>
        <v>145870.55039847465</v>
      </c>
      <c r="H227" s="28">
        <f t="shared" si="27"/>
        <v>439595.64535920665</v>
      </c>
    </row>
    <row r="228" spans="1:8" x14ac:dyDescent="0.25">
      <c r="A228" s="24">
        <f t="shared" si="23"/>
        <v>221</v>
      </c>
      <c r="B228" s="28">
        <f t="shared" si="28"/>
        <v>2661.2099807167328</v>
      </c>
      <c r="C228" s="28">
        <f t="shared" si="22"/>
        <v>1178.7881913745</v>
      </c>
      <c r="D228" s="28">
        <f t="shared" si="24"/>
        <v>1482.4217893422328</v>
      </c>
      <c r="E228" s="28"/>
      <c r="F228" s="28">
        <f t="shared" si="25"/>
        <v>252950.66141015108</v>
      </c>
      <c r="G228" s="28">
        <f t="shared" si="26"/>
        <v>147049.33858984915</v>
      </c>
      <c r="H228" s="28">
        <f t="shared" si="27"/>
        <v>441078.0671485489</v>
      </c>
    </row>
    <row r="229" spans="1:8" x14ac:dyDescent="0.25">
      <c r="A229" s="24">
        <f t="shared" si="23"/>
        <v>222</v>
      </c>
      <c r="B229" s="28">
        <f t="shared" si="28"/>
        <v>2661.2099807167328</v>
      </c>
      <c r="C229" s="28">
        <f t="shared" si="22"/>
        <v>1185.6644558241846</v>
      </c>
      <c r="D229" s="28">
        <f t="shared" si="24"/>
        <v>1475.5455248925482</v>
      </c>
      <c r="E229" s="28"/>
      <c r="F229" s="28">
        <f t="shared" si="25"/>
        <v>251764.9969543269</v>
      </c>
      <c r="G229" s="28">
        <f t="shared" si="26"/>
        <v>148235.00304567334</v>
      </c>
      <c r="H229" s="28">
        <f t="shared" si="27"/>
        <v>442553.61267344147</v>
      </c>
    </row>
    <row r="230" spans="1:8" x14ac:dyDescent="0.25">
      <c r="A230" s="24">
        <f t="shared" si="23"/>
        <v>223</v>
      </c>
      <c r="B230" s="28">
        <f t="shared" si="28"/>
        <v>2661.2099807167328</v>
      </c>
      <c r="C230" s="28">
        <f t="shared" si="22"/>
        <v>1192.5808318164925</v>
      </c>
      <c r="D230" s="28">
        <f t="shared" si="24"/>
        <v>1468.6291489002404</v>
      </c>
      <c r="E230" s="28"/>
      <c r="F230" s="28">
        <f t="shared" si="25"/>
        <v>250572.41612251042</v>
      </c>
      <c r="G230" s="28">
        <f t="shared" si="26"/>
        <v>149427.58387748981</v>
      </c>
      <c r="H230" s="28">
        <f t="shared" si="27"/>
        <v>444022.24182234169</v>
      </c>
    </row>
    <row r="231" spans="1:8" x14ac:dyDescent="0.25">
      <c r="A231" s="24">
        <f t="shared" si="23"/>
        <v>224</v>
      </c>
      <c r="B231" s="28">
        <f t="shared" si="28"/>
        <v>2661.2099807167328</v>
      </c>
      <c r="C231" s="28">
        <f t="shared" si="22"/>
        <v>1199.537553335422</v>
      </c>
      <c r="D231" s="28">
        <f t="shared" si="24"/>
        <v>1461.6724273813109</v>
      </c>
      <c r="E231" s="28"/>
      <c r="F231" s="28">
        <f t="shared" si="25"/>
        <v>249372.87856917499</v>
      </c>
      <c r="G231" s="28">
        <f t="shared" si="26"/>
        <v>150627.12143082524</v>
      </c>
      <c r="H231" s="28">
        <f t="shared" si="27"/>
        <v>445483.91424972302</v>
      </c>
    </row>
    <row r="232" spans="1:8" x14ac:dyDescent="0.25">
      <c r="A232" s="24">
        <f t="shared" si="23"/>
        <v>225</v>
      </c>
      <c r="B232" s="28">
        <f t="shared" si="28"/>
        <v>2661.2099807167328</v>
      </c>
      <c r="C232" s="28">
        <f t="shared" si="22"/>
        <v>1206.5348557298787</v>
      </c>
      <c r="D232" s="28">
        <f t="shared" si="24"/>
        <v>1454.6751249868541</v>
      </c>
      <c r="E232" s="28"/>
      <c r="F232" s="28">
        <f t="shared" si="25"/>
        <v>248166.34371344512</v>
      </c>
      <c r="G232" s="28">
        <f t="shared" si="26"/>
        <v>151833.65628655511</v>
      </c>
      <c r="H232" s="28">
        <f t="shared" si="27"/>
        <v>446938.58937470987</v>
      </c>
    </row>
    <row r="233" spans="1:8" x14ac:dyDescent="0.25">
      <c r="A233" s="24">
        <f t="shared" si="23"/>
        <v>226</v>
      </c>
      <c r="B233" s="28">
        <f t="shared" si="28"/>
        <v>2661.2099807167328</v>
      </c>
      <c r="C233" s="28">
        <f t="shared" si="22"/>
        <v>1213.5729757216361</v>
      </c>
      <c r="D233" s="28">
        <f t="shared" si="24"/>
        <v>1447.6370049950967</v>
      </c>
      <c r="E233" s="28"/>
      <c r="F233" s="28">
        <f t="shared" si="25"/>
        <v>246952.77073772348</v>
      </c>
      <c r="G233" s="28">
        <f t="shared" si="26"/>
        <v>153047.22926227676</v>
      </c>
      <c r="H233" s="28">
        <f t="shared" si="27"/>
        <v>448386.22637970495</v>
      </c>
    </row>
    <row r="234" spans="1:8" x14ac:dyDescent="0.25">
      <c r="A234" s="24">
        <f t="shared" si="23"/>
        <v>227</v>
      </c>
      <c r="B234" s="28">
        <f t="shared" si="28"/>
        <v>2661.2099807167328</v>
      </c>
      <c r="C234" s="28">
        <f t="shared" si="22"/>
        <v>1220.6521514133458</v>
      </c>
      <c r="D234" s="28">
        <f t="shared" si="24"/>
        <v>1440.5578293033871</v>
      </c>
      <c r="E234" s="28"/>
      <c r="F234" s="28">
        <f t="shared" si="25"/>
        <v>245732.11858631013</v>
      </c>
      <c r="G234" s="28">
        <f t="shared" si="26"/>
        <v>154267.88141369011</v>
      </c>
      <c r="H234" s="28">
        <f t="shared" si="27"/>
        <v>449826.78420900833</v>
      </c>
    </row>
    <row r="235" spans="1:8" x14ac:dyDescent="0.25">
      <c r="A235" s="24">
        <f t="shared" si="23"/>
        <v>228</v>
      </c>
      <c r="B235" s="28">
        <f t="shared" si="28"/>
        <v>2661.2099807167328</v>
      </c>
      <c r="C235" s="28">
        <f t="shared" si="22"/>
        <v>1227.7726222965905</v>
      </c>
      <c r="D235" s="28">
        <f t="shared" si="24"/>
        <v>1433.4373584201423</v>
      </c>
      <c r="E235" s="28"/>
      <c r="F235" s="28">
        <f t="shared" si="25"/>
        <v>244504.34596401354</v>
      </c>
      <c r="G235" s="28">
        <f t="shared" si="26"/>
        <v>155495.65403598669</v>
      </c>
      <c r="H235" s="28">
        <f t="shared" si="27"/>
        <v>451260.2215674285</v>
      </c>
    </row>
    <row r="236" spans="1:8" x14ac:dyDescent="0.25">
      <c r="A236" s="24">
        <f t="shared" si="23"/>
        <v>229</v>
      </c>
      <c r="B236" s="28">
        <f t="shared" si="28"/>
        <v>2661.2099807167328</v>
      </c>
      <c r="C236" s="28">
        <f t="shared" si="22"/>
        <v>1234.9346292599871</v>
      </c>
      <c r="D236" s="28">
        <f t="shared" si="24"/>
        <v>1426.2753514567457</v>
      </c>
      <c r="E236" s="28"/>
      <c r="F236" s="28">
        <f t="shared" si="25"/>
        <v>243269.41133475356</v>
      </c>
      <c r="G236" s="28">
        <f t="shared" si="26"/>
        <v>156730.58866524667</v>
      </c>
      <c r="H236" s="28">
        <f t="shared" si="27"/>
        <v>452686.49691888527</v>
      </c>
    </row>
    <row r="237" spans="1:8" x14ac:dyDescent="0.25">
      <c r="A237" s="24">
        <f t="shared" si="23"/>
        <v>230</v>
      </c>
      <c r="B237" s="28">
        <f t="shared" si="28"/>
        <v>2661.2099807167328</v>
      </c>
      <c r="C237" s="28">
        <f t="shared" si="22"/>
        <v>1242.1384145973368</v>
      </c>
      <c r="D237" s="28">
        <f t="shared" si="24"/>
        <v>1419.071566119396</v>
      </c>
      <c r="E237" s="28"/>
      <c r="F237" s="28">
        <f t="shared" si="25"/>
        <v>242027.27292015622</v>
      </c>
      <c r="G237" s="28">
        <f t="shared" si="26"/>
        <v>157972.72707984401</v>
      </c>
      <c r="H237" s="28">
        <f t="shared" si="27"/>
        <v>454105.56848500465</v>
      </c>
    </row>
    <row r="238" spans="1:8" x14ac:dyDescent="0.25">
      <c r="A238" s="24">
        <f t="shared" si="23"/>
        <v>231</v>
      </c>
      <c r="B238" s="28">
        <f t="shared" si="28"/>
        <v>2661.2099807167328</v>
      </c>
      <c r="C238" s="28">
        <f t="shared" si="22"/>
        <v>1249.3842220158215</v>
      </c>
      <c r="D238" s="28">
        <f t="shared" si="24"/>
        <v>1411.8257587009114</v>
      </c>
      <c r="E238" s="28"/>
      <c r="F238" s="28">
        <f t="shared" si="25"/>
        <v>240777.88869814039</v>
      </c>
      <c r="G238" s="28">
        <f t="shared" si="26"/>
        <v>159222.11130185984</v>
      </c>
      <c r="H238" s="28">
        <f t="shared" si="27"/>
        <v>455517.39424370555</v>
      </c>
    </row>
    <row r="239" spans="1:8" x14ac:dyDescent="0.25">
      <c r="A239" s="24">
        <f t="shared" si="23"/>
        <v>232</v>
      </c>
      <c r="B239" s="28">
        <f t="shared" si="28"/>
        <v>2661.2099807167328</v>
      </c>
      <c r="C239" s="28">
        <f t="shared" si="22"/>
        <v>1256.6722966442471</v>
      </c>
      <c r="D239" s="28">
        <f t="shared" si="24"/>
        <v>1404.5376840724857</v>
      </c>
      <c r="E239" s="28"/>
      <c r="F239" s="28">
        <f t="shared" si="25"/>
        <v>239521.21640149615</v>
      </c>
      <c r="G239" s="28">
        <f t="shared" si="26"/>
        <v>160478.78359850409</v>
      </c>
      <c r="H239" s="28">
        <f t="shared" si="27"/>
        <v>456921.93192777806</v>
      </c>
    </row>
    <row r="240" spans="1:8" x14ac:dyDescent="0.25">
      <c r="A240" s="24">
        <f t="shared" si="23"/>
        <v>233</v>
      </c>
      <c r="B240" s="28">
        <f t="shared" si="28"/>
        <v>2661.2099807167328</v>
      </c>
      <c r="C240" s="28">
        <f t="shared" si="22"/>
        <v>1264.0028850413385</v>
      </c>
      <c r="D240" s="28">
        <f t="shared" si="24"/>
        <v>1397.2070956753944</v>
      </c>
      <c r="E240" s="28"/>
      <c r="F240" s="28">
        <f t="shared" si="25"/>
        <v>238257.21351645479</v>
      </c>
      <c r="G240" s="28">
        <f t="shared" si="26"/>
        <v>161742.78648354544</v>
      </c>
      <c r="H240" s="28">
        <f t="shared" si="27"/>
        <v>458319.13902345346</v>
      </c>
    </row>
    <row r="241" spans="1:8" x14ac:dyDescent="0.25">
      <c r="A241" s="24">
        <f t="shared" si="23"/>
        <v>234</v>
      </c>
      <c r="B241" s="28">
        <f t="shared" si="28"/>
        <v>2661.2099807167328</v>
      </c>
      <c r="C241" s="28">
        <f t="shared" si="22"/>
        <v>1271.3762352040799</v>
      </c>
      <c r="D241" s="28">
        <f t="shared" si="24"/>
        <v>1389.833745512653</v>
      </c>
      <c r="E241" s="28"/>
      <c r="F241" s="28">
        <f t="shared" si="25"/>
        <v>236985.83728125072</v>
      </c>
      <c r="G241" s="28">
        <f t="shared" si="26"/>
        <v>163014.16271874952</v>
      </c>
      <c r="H241" s="28">
        <f t="shared" si="27"/>
        <v>459708.97276896611</v>
      </c>
    </row>
    <row r="242" spans="1:8" x14ac:dyDescent="0.25">
      <c r="A242" s="24">
        <f t="shared" si="23"/>
        <v>235</v>
      </c>
      <c r="B242" s="28">
        <f t="shared" si="28"/>
        <v>2661.2099807167328</v>
      </c>
      <c r="C242" s="28">
        <f t="shared" si="22"/>
        <v>1278.7925965761035</v>
      </c>
      <c r="D242" s="28">
        <f t="shared" si="24"/>
        <v>1382.4173841406293</v>
      </c>
      <c r="E242" s="28"/>
      <c r="F242" s="28">
        <f t="shared" si="25"/>
        <v>235707.04468467462</v>
      </c>
      <c r="G242" s="28">
        <f t="shared" si="26"/>
        <v>164292.95531532561</v>
      </c>
      <c r="H242" s="28">
        <f t="shared" si="27"/>
        <v>461091.39015310671</v>
      </c>
    </row>
    <row r="243" spans="1:8" x14ac:dyDescent="0.25">
      <c r="A243" s="24">
        <f t="shared" si="23"/>
        <v>236</v>
      </c>
      <c r="B243" s="28">
        <f t="shared" si="28"/>
        <v>2661.2099807167328</v>
      </c>
      <c r="C243" s="28">
        <f t="shared" si="22"/>
        <v>1286.2522200561309</v>
      </c>
      <c r="D243" s="28">
        <f t="shared" si="24"/>
        <v>1374.9577606606019</v>
      </c>
      <c r="E243" s="28"/>
      <c r="F243" s="28">
        <f t="shared" si="25"/>
        <v>234420.79246461848</v>
      </c>
      <c r="G243" s="28">
        <f t="shared" si="26"/>
        <v>165579.20753538175</v>
      </c>
      <c r="H243" s="28">
        <f t="shared" si="27"/>
        <v>462466.34791376733</v>
      </c>
    </row>
    <row r="244" spans="1:8" x14ac:dyDescent="0.25">
      <c r="A244" s="24">
        <f t="shared" si="23"/>
        <v>237</v>
      </c>
      <c r="B244" s="28">
        <f t="shared" si="28"/>
        <v>2661.2099807167328</v>
      </c>
      <c r="C244" s="28">
        <f t="shared" si="22"/>
        <v>1293.7553580064582</v>
      </c>
      <c r="D244" s="28">
        <f t="shared" si="24"/>
        <v>1367.4546227102746</v>
      </c>
      <c r="E244" s="28"/>
      <c r="F244" s="28">
        <f t="shared" si="25"/>
        <v>233127.03710661203</v>
      </c>
      <c r="G244" s="28">
        <f t="shared" si="26"/>
        <v>166872.9628933882</v>
      </c>
      <c r="H244" s="28">
        <f t="shared" si="27"/>
        <v>463833.80253647763</v>
      </c>
    </row>
    <row r="245" spans="1:8" x14ac:dyDescent="0.25">
      <c r="A245" s="24">
        <f t="shared" si="23"/>
        <v>238</v>
      </c>
      <c r="B245" s="28">
        <f t="shared" si="28"/>
        <v>2661.2099807167328</v>
      </c>
      <c r="C245" s="28">
        <f t="shared" si="22"/>
        <v>1301.3022642614958</v>
      </c>
      <c r="D245" s="28">
        <f t="shared" si="24"/>
        <v>1359.9077164552371</v>
      </c>
      <c r="E245" s="28"/>
      <c r="F245" s="28">
        <f t="shared" si="25"/>
        <v>231825.73484235053</v>
      </c>
      <c r="G245" s="28">
        <f t="shared" si="26"/>
        <v>168174.2651576497</v>
      </c>
      <c r="H245" s="28">
        <f t="shared" si="27"/>
        <v>465193.71025293285</v>
      </c>
    </row>
    <row r="246" spans="1:8" x14ac:dyDescent="0.25">
      <c r="A246" s="24">
        <f t="shared" si="23"/>
        <v>239</v>
      </c>
      <c r="B246" s="28">
        <f t="shared" si="28"/>
        <v>2661.2099807167328</v>
      </c>
      <c r="C246" s="28">
        <f t="shared" si="22"/>
        <v>1308.8931941363546</v>
      </c>
      <c r="D246" s="28">
        <f t="shared" si="24"/>
        <v>1352.3167865803782</v>
      </c>
      <c r="E246" s="28"/>
      <c r="F246" s="28">
        <f t="shared" si="25"/>
        <v>230516.84164821418</v>
      </c>
      <c r="G246" s="28">
        <f t="shared" si="26"/>
        <v>169483.15835178606</v>
      </c>
      <c r="H246" s="28">
        <f t="shared" si="27"/>
        <v>466546.02703951322</v>
      </c>
    </row>
    <row r="247" spans="1:8" x14ac:dyDescent="0.25">
      <c r="A247" s="24">
        <f t="shared" si="23"/>
        <v>240</v>
      </c>
      <c r="B247" s="28">
        <f t="shared" si="28"/>
        <v>2661.2099807167328</v>
      </c>
      <c r="C247" s="28">
        <f t="shared" si="22"/>
        <v>1316.5284044354833</v>
      </c>
      <c r="D247" s="28">
        <f t="shared" si="24"/>
        <v>1344.6815762812496</v>
      </c>
      <c r="E247" s="28"/>
      <c r="F247" s="28">
        <f t="shared" si="25"/>
        <v>229200.31324377868</v>
      </c>
      <c r="G247" s="28">
        <f t="shared" si="26"/>
        <v>170799.68675622155</v>
      </c>
      <c r="H247" s="28">
        <f t="shared" si="27"/>
        <v>467890.70861579449</v>
      </c>
    </row>
    <row r="248" spans="1:8" x14ac:dyDescent="0.25">
      <c r="A248" s="24">
        <f t="shared" si="23"/>
        <v>241</v>
      </c>
      <c r="B248" s="28">
        <f t="shared" si="28"/>
        <v>2661.2099807167328</v>
      </c>
      <c r="C248" s="28">
        <f t="shared" si="22"/>
        <v>1324.2081534613569</v>
      </c>
      <c r="D248" s="28">
        <f t="shared" si="24"/>
        <v>1337.0018272553759</v>
      </c>
      <c r="E248" s="28"/>
      <c r="F248" s="28">
        <f t="shared" si="25"/>
        <v>227876.10509031732</v>
      </c>
      <c r="G248" s="28">
        <f t="shared" si="26"/>
        <v>172123.89490968292</v>
      </c>
      <c r="H248" s="28">
        <f t="shared" si="27"/>
        <v>469227.71044304984</v>
      </c>
    </row>
    <row r="249" spans="1:8" x14ac:dyDescent="0.25">
      <c r="A249" s="24">
        <f t="shared" si="23"/>
        <v>242</v>
      </c>
      <c r="B249" s="28">
        <f t="shared" si="28"/>
        <v>2661.2099807167328</v>
      </c>
      <c r="C249" s="28">
        <f t="shared" si="22"/>
        <v>1331.932701023215</v>
      </c>
      <c r="D249" s="28">
        <f t="shared" si="24"/>
        <v>1329.2772796935178</v>
      </c>
      <c r="E249" s="28"/>
      <c r="F249" s="28">
        <f t="shared" si="25"/>
        <v>226544.17238929411</v>
      </c>
      <c r="G249" s="28">
        <f t="shared" si="26"/>
        <v>173455.82761070612</v>
      </c>
      <c r="H249" s="28">
        <f t="shared" si="27"/>
        <v>470556.98772274336</v>
      </c>
    </row>
    <row r="250" spans="1:8" x14ac:dyDescent="0.25">
      <c r="A250" s="24">
        <f t="shared" si="23"/>
        <v>243</v>
      </c>
      <c r="B250" s="28">
        <f t="shared" si="28"/>
        <v>2661.2099807167328</v>
      </c>
      <c r="C250" s="28">
        <f t="shared" si="22"/>
        <v>1339.7023084458503</v>
      </c>
      <c r="D250" s="28">
        <f t="shared" si="24"/>
        <v>1321.5076722708825</v>
      </c>
      <c r="E250" s="28"/>
      <c r="F250" s="28">
        <f t="shared" si="25"/>
        <v>225204.47008084826</v>
      </c>
      <c r="G250" s="28">
        <f t="shared" si="26"/>
        <v>174795.52991915197</v>
      </c>
      <c r="H250" s="28">
        <f t="shared" si="27"/>
        <v>471878.49539501424</v>
      </c>
    </row>
    <row r="251" spans="1:8" x14ac:dyDescent="0.25">
      <c r="A251" s="24">
        <f t="shared" si="23"/>
        <v>244</v>
      </c>
      <c r="B251" s="28">
        <f t="shared" si="28"/>
        <v>2661.2099807167328</v>
      </c>
      <c r="C251" s="28">
        <f t="shared" si="22"/>
        <v>1347.5172385784513</v>
      </c>
      <c r="D251" s="28">
        <f t="shared" si="24"/>
        <v>1313.6927421382816</v>
      </c>
      <c r="E251" s="28"/>
      <c r="F251" s="28">
        <f t="shared" si="25"/>
        <v>223856.95284226982</v>
      </c>
      <c r="G251" s="28">
        <f t="shared" si="26"/>
        <v>176143.04715773041</v>
      </c>
      <c r="H251" s="28">
        <f t="shared" si="27"/>
        <v>473192.18813715252</v>
      </c>
    </row>
    <row r="252" spans="1:8" x14ac:dyDescent="0.25">
      <c r="A252" s="24">
        <f t="shared" si="23"/>
        <v>245</v>
      </c>
      <c r="B252" s="28">
        <f t="shared" si="28"/>
        <v>2661.2099807167328</v>
      </c>
      <c r="C252" s="28">
        <f t="shared" si="22"/>
        <v>1355.3777558034922</v>
      </c>
      <c r="D252" s="28">
        <f t="shared" si="24"/>
        <v>1305.8322249132407</v>
      </c>
      <c r="E252" s="28"/>
      <c r="F252" s="28">
        <f t="shared" si="25"/>
        <v>222501.57508646633</v>
      </c>
      <c r="G252" s="28">
        <f t="shared" si="26"/>
        <v>177498.42491353391</v>
      </c>
      <c r="H252" s="28">
        <f t="shared" si="27"/>
        <v>474498.02036206576</v>
      </c>
    </row>
    <row r="253" spans="1:8" x14ac:dyDescent="0.25">
      <c r="A253" s="24">
        <f t="shared" si="23"/>
        <v>246</v>
      </c>
      <c r="B253" s="28">
        <f t="shared" si="28"/>
        <v>2661.2099807167328</v>
      </c>
      <c r="C253" s="28">
        <f t="shared" si="22"/>
        <v>1363.2841260456792</v>
      </c>
      <c r="D253" s="28">
        <f t="shared" si="24"/>
        <v>1297.9258546710537</v>
      </c>
      <c r="E253" s="28"/>
      <c r="F253" s="28">
        <f t="shared" si="25"/>
        <v>221138.29096042065</v>
      </c>
      <c r="G253" s="28">
        <f t="shared" si="26"/>
        <v>178861.70903957958</v>
      </c>
      <c r="H253" s="28">
        <f t="shared" si="27"/>
        <v>475795.9462167368</v>
      </c>
    </row>
    <row r="254" spans="1:8" x14ac:dyDescent="0.25">
      <c r="A254" s="24">
        <f t="shared" si="23"/>
        <v>247</v>
      </c>
      <c r="B254" s="28">
        <f t="shared" si="28"/>
        <v>2661.2099807167328</v>
      </c>
      <c r="C254" s="28">
        <f t="shared" si="22"/>
        <v>1371.2366167809457</v>
      </c>
      <c r="D254" s="28">
        <f t="shared" si="24"/>
        <v>1289.9733639357871</v>
      </c>
      <c r="E254" s="28"/>
      <c r="F254" s="28">
        <f t="shared" si="25"/>
        <v>219767.0543436397</v>
      </c>
      <c r="G254" s="28">
        <f t="shared" si="26"/>
        <v>180232.94565636053</v>
      </c>
      <c r="H254" s="28">
        <f t="shared" si="27"/>
        <v>477085.91958067258</v>
      </c>
    </row>
    <row r="255" spans="1:8" x14ac:dyDescent="0.25">
      <c r="A255" s="24">
        <f t="shared" si="23"/>
        <v>248</v>
      </c>
      <c r="B255" s="28">
        <f t="shared" si="28"/>
        <v>2661.2099807167328</v>
      </c>
      <c r="C255" s="28">
        <f t="shared" si="22"/>
        <v>1379.235497045501</v>
      </c>
      <c r="D255" s="28">
        <f t="shared" si="24"/>
        <v>1281.9744836712318</v>
      </c>
      <c r="E255" s="28"/>
      <c r="F255" s="28">
        <f t="shared" si="25"/>
        <v>218387.81884659419</v>
      </c>
      <c r="G255" s="28">
        <f t="shared" si="26"/>
        <v>181612.18115340604</v>
      </c>
      <c r="H255" s="28">
        <f t="shared" si="27"/>
        <v>478367.89406434383</v>
      </c>
    </row>
    <row r="256" spans="1:8" x14ac:dyDescent="0.25">
      <c r="A256" s="24">
        <f t="shared" si="23"/>
        <v>249</v>
      </c>
      <c r="B256" s="28">
        <f t="shared" si="28"/>
        <v>2661.2099807167328</v>
      </c>
      <c r="C256" s="28">
        <f t="shared" si="22"/>
        <v>1387.2810374449332</v>
      </c>
      <c r="D256" s="28">
        <f t="shared" si="24"/>
        <v>1273.9289432717997</v>
      </c>
      <c r="E256" s="28"/>
      <c r="F256" s="28">
        <f t="shared" si="25"/>
        <v>217000.53780914925</v>
      </c>
      <c r="G256" s="28">
        <f t="shared" si="26"/>
        <v>182999.46219085099</v>
      </c>
      <c r="H256" s="28">
        <f t="shared" si="27"/>
        <v>479641.82300761563</v>
      </c>
    </row>
    <row r="257" spans="1:8" x14ac:dyDescent="0.25">
      <c r="A257" s="24">
        <f t="shared" si="23"/>
        <v>250</v>
      </c>
      <c r="B257" s="28">
        <f t="shared" si="28"/>
        <v>2661.2099807167328</v>
      </c>
      <c r="C257" s="28">
        <f t="shared" si="22"/>
        <v>1395.3735101633622</v>
      </c>
      <c r="D257" s="28">
        <f t="shared" si="24"/>
        <v>1265.8364705533706</v>
      </c>
      <c r="E257" s="28"/>
      <c r="F257" s="28">
        <f t="shared" si="25"/>
        <v>215605.16429898588</v>
      </c>
      <c r="G257" s="28">
        <f t="shared" si="26"/>
        <v>184394.83570101435</v>
      </c>
      <c r="H257" s="28">
        <f t="shared" si="27"/>
        <v>480907.65947816899</v>
      </c>
    </row>
    <row r="258" spans="1:8" x14ac:dyDescent="0.25">
      <c r="A258" s="24">
        <f t="shared" si="23"/>
        <v>251</v>
      </c>
      <c r="B258" s="28">
        <f t="shared" si="28"/>
        <v>2661.2099807167328</v>
      </c>
      <c r="C258" s="28">
        <f t="shared" si="22"/>
        <v>1403.5131889726483</v>
      </c>
      <c r="D258" s="28">
        <f t="shared" si="24"/>
        <v>1257.6967917440845</v>
      </c>
      <c r="E258" s="28"/>
      <c r="F258" s="28">
        <f t="shared" si="25"/>
        <v>214201.65111001322</v>
      </c>
      <c r="G258" s="28">
        <f t="shared" si="26"/>
        <v>185798.34888998701</v>
      </c>
      <c r="H258" s="28">
        <f t="shared" si="27"/>
        <v>482165.35626991309</v>
      </c>
    </row>
    <row r="259" spans="1:8" x14ac:dyDescent="0.25">
      <c r="A259" s="24">
        <f t="shared" si="23"/>
        <v>252</v>
      </c>
      <c r="B259" s="28">
        <f t="shared" si="28"/>
        <v>2661.2099807167328</v>
      </c>
      <c r="C259" s="28">
        <f t="shared" si="22"/>
        <v>1411.7003492416557</v>
      </c>
      <c r="D259" s="28">
        <f t="shared" si="24"/>
        <v>1249.5096314750772</v>
      </c>
      <c r="E259" s="28"/>
      <c r="F259" s="28">
        <f t="shared" si="25"/>
        <v>212789.95076077155</v>
      </c>
      <c r="G259" s="28">
        <f t="shared" si="26"/>
        <v>187210.04923922868</v>
      </c>
      <c r="H259" s="28">
        <f t="shared" si="27"/>
        <v>483414.86590138817</v>
      </c>
    </row>
    <row r="260" spans="1:8" x14ac:dyDescent="0.25">
      <c r="A260" s="24">
        <f t="shared" si="23"/>
        <v>253</v>
      </c>
      <c r="B260" s="28">
        <f t="shared" si="28"/>
        <v>2661.2099807167328</v>
      </c>
      <c r="C260" s="28">
        <f t="shared" si="22"/>
        <v>1419.9352679455653</v>
      </c>
      <c r="D260" s="28">
        <f t="shared" si="24"/>
        <v>1241.2747127711675</v>
      </c>
      <c r="E260" s="28"/>
      <c r="F260" s="28">
        <f t="shared" si="25"/>
        <v>211370.01549282597</v>
      </c>
      <c r="G260" s="28">
        <f t="shared" si="26"/>
        <v>188629.98450717426</v>
      </c>
      <c r="H260" s="28">
        <f t="shared" si="27"/>
        <v>484656.14061415935</v>
      </c>
    </row>
    <row r="261" spans="1:8" x14ac:dyDescent="0.25">
      <c r="A261" s="24">
        <f t="shared" si="23"/>
        <v>254</v>
      </c>
      <c r="B261" s="28">
        <f t="shared" si="28"/>
        <v>2661.2099807167328</v>
      </c>
      <c r="C261" s="28">
        <f t="shared" si="22"/>
        <v>1428.2182236752478</v>
      </c>
      <c r="D261" s="28">
        <f t="shared" si="24"/>
        <v>1232.991757041485</v>
      </c>
      <c r="E261" s="28"/>
      <c r="F261" s="28">
        <f t="shared" si="25"/>
        <v>209941.79726915073</v>
      </c>
      <c r="G261" s="28">
        <f t="shared" si="26"/>
        <v>190058.2027308495</v>
      </c>
      <c r="H261" s="28">
        <f t="shared" si="27"/>
        <v>485889.13237120083</v>
      </c>
    </row>
    <row r="262" spans="1:8" x14ac:dyDescent="0.25">
      <c r="A262" s="24">
        <f t="shared" si="23"/>
        <v>255</v>
      </c>
      <c r="B262" s="28">
        <f t="shared" si="28"/>
        <v>2661.2099807167328</v>
      </c>
      <c r="C262" s="28">
        <f t="shared" si="22"/>
        <v>1436.5494966466867</v>
      </c>
      <c r="D262" s="28">
        <f t="shared" si="24"/>
        <v>1224.6604840700461</v>
      </c>
      <c r="E262" s="28"/>
      <c r="F262" s="28">
        <f t="shared" si="25"/>
        <v>208505.24777250405</v>
      </c>
      <c r="G262" s="28">
        <f t="shared" si="26"/>
        <v>191494.75222749618</v>
      </c>
      <c r="H262" s="28">
        <f t="shared" si="27"/>
        <v>487113.79285527091</v>
      </c>
    </row>
    <row r="263" spans="1:8" x14ac:dyDescent="0.25">
      <c r="A263" s="24">
        <f t="shared" si="23"/>
        <v>256</v>
      </c>
      <c r="B263" s="28">
        <f t="shared" si="28"/>
        <v>2661.2099807167328</v>
      </c>
      <c r="C263" s="28">
        <f t="shared" si="22"/>
        <v>1444.9293687104591</v>
      </c>
      <c r="D263" s="28">
        <f t="shared" si="24"/>
        <v>1216.2806120062737</v>
      </c>
      <c r="E263" s="28"/>
      <c r="F263" s="28">
        <f t="shared" si="25"/>
        <v>207060.31840379359</v>
      </c>
      <c r="G263" s="28">
        <f t="shared" si="26"/>
        <v>192939.68159620665</v>
      </c>
      <c r="H263" s="28">
        <f t="shared" si="27"/>
        <v>488330.07346727717</v>
      </c>
    </row>
    <row r="264" spans="1:8" x14ac:dyDescent="0.25">
      <c r="A264" s="24">
        <f t="shared" si="23"/>
        <v>257</v>
      </c>
      <c r="B264" s="28">
        <f t="shared" si="28"/>
        <v>2661.2099807167328</v>
      </c>
      <c r="C264" s="28">
        <f t="shared" si="22"/>
        <v>1453.3581233612701</v>
      </c>
      <c r="D264" s="28">
        <f t="shared" si="24"/>
        <v>1207.8518573554627</v>
      </c>
      <c r="E264" s="28"/>
      <c r="F264" s="28">
        <f t="shared" si="25"/>
        <v>205606.96028043231</v>
      </c>
      <c r="G264" s="28">
        <f t="shared" si="26"/>
        <v>194393.03971956793</v>
      </c>
      <c r="H264" s="28">
        <f t="shared" si="27"/>
        <v>489537.92532463261</v>
      </c>
    </row>
    <row r="265" spans="1:8" x14ac:dyDescent="0.25">
      <c r="A265" s="24">
        <f t="shared" si="23"/>
        <v>258</v>
      </c>
      <c r="B265" s="28">
        <f t="shared" si="28"/>
        <v>2661.2099807167328</v>
      </c>
      <c r="C265" s="28">
        <f t="shared" ref="C265:C328" si="29">IF(A265="","",B265-D265)</f>
        <v>1461.8360457475444</v>
      </c>
      <c r="D265" s="28">
        <f t="shared" si="24"/>
        <v>1199.3739349691884</v>
      </c>
      <c r="E265" s="28"/>
      <c r="F265" s="28">
        <f t="shared" si="25"/>
        <v>204145.12423468477</v>
      </c>
      <c r="G265" s="28">
        <f t="shared" si="26"/>
        <v>195854.87576531546</v>
      </c>
      <c r="H265" s="28">
        <f t="shared" si="27"/>
        <v>490737.2992596018</v>
      </c>
    </row>
    <row r="266" spans="1:8" x14ac:dyDescent="0.25">
      <c r="A266" s="24">
        <f t="shared" ref="A266:A329" si="30">IF(OR(F265&lt;0.01,F265=""),"",A265+1)</f>
        <v>259</v>
      </c>
      <c r="B266" s="28">
        <f t="shared" si="28"/>
        <v>2661.2099807167328</v>
      </c>
      <c r="C266" s="28">
        <f t="shared" si="29"/>
        <v>1470.3634226810716</v>
      </c>
      <c r="D266" s="28">
        <f t="shared" ref="D266:D329" si="31">IF(A266="","",F265*$B$4/12)</f>
        <v>1190.8465580356612</v>
      </c>
      <c r="E266" s="28"/>
      <c r="F266" s="28">
        <f t="shared" si="25"/>
        <v>202674.76081200369</v>
      </c>
      <c r="G266" s="28">
        <f t="shared" si="26"/>
        <v>197325.23918799654</v>
      </c>
      <c r="H266" s="28">
        <f t="shared" si="27"/>
        <v>491928.14581763744</v>
      </c>
    </row>
    <row r="267" spans="1:8" x14ac:dyDescent="0.25">
      <c r="A267" s="24">
        <f t="shared" si="30"/>
        <v>260</v>
      </c>
      <c r="B267" s="28">
        <f t="shared" si="28"/>
        <v>2661.2099807167328</v>
      </c>
      <c r="C267" s="28">
        <f t="shared" si="29"/>
        <v>1478.9405426467113</v>
      </c>
      <c r="D267" s="28">
        <f t="shared" si="31"/>
        <v>1182.2694380700216</v>
      </c>
      <c r="E267" s="28"/>
      <c r="F267" s="28">
        <f t="shared" si="25"/>
        <v>201195.82026935698</v>
      </c>
      <c r="G267" s="28">
        <f t="shared" si="26"/>
        <v>198804.17973064326</v>
      </c>
      <c r="H267" s="28">
        <f t="shared" si="27"/>
        <v>493110.41525570746</v>
      </c>
    </row>
    <row r="268" spans="1:8" x14ac:dyDescent="0.25">
      <c r="A268" s="24">
        <f t="shared" si="30"/>
        <v>261</v>
      </c>
      <c r="B268" s="28">
        <f t="shared" si="28"/>
        <v>2661.2099807167328</v>
      </c>
      <c r="C268" s="28">
        <f t="shared" si="29"/>
        <v>1487.5676958121503</v>
      </c>
      <c r="D268" s="28">
        <f t="shared" si="31"/>
        <v>1173.6422849045825</v>
      </c>
      <c r="E268" s="28"/>
      <c r="F268" s="28">
        <f t="shared" si="25"/>
        <v>199708.25257354483</v>
      </c>
      <c r="G268" s="28">
        <f t="shared" si="26"/>
        <v>200291.7474264554</v>
      </c>
      <c r="H268" s="28">
        <f t="shared" si="27"/>
        <v>494284.05754061206</v>
      </c>
    </row>
    <row r="269" spans="1:8" x14ac:dyDescent="0.25">
      <c r="A269" s="24">
        <f t="shared" si="30"/>
        <v>262</v>
      </c>
      <c r="B269" s="28">
        <f t="shared" si="28"/>
        <v>2661.2099807167328</v>
      </c>
      <c r="C269" s="28">
        <f t="shared" si="29"/>
        <v>1496.2451740377212</v>
      </c>
      <c r="D269" s="28">
        <f t="shared" si="31"/>
        <v>1164.9648066790116</v>
      </c>
      <c r="E269" s="28"/>
      <c r="F269" s="28">
        <f t="shared" si="25"/>
        <v>198212.0073995071</v>
      </c>
      <c r="G269" s="28">
        <f t="shared" si="26"/>
        <v>201787.99260049313</v>
      </c>
      <c r="H269" s="28">
        <f t="shared" si="27"/>
        <v>495449.02234729106</v>
      </c>
    </row>
    <row r="270" spans="1:8" x14ac:dyDescent="0.25">
      <c r="A270" s="24">
        <f t="shared" si="30"/>
        <v>263</v>
      </c>
      <c r="B270" s="28">
        <f t="shared" si="28"/>
        <v>2661.2099807167328</v>
      </c>
      <c r="C270" s="28">
        <f t="shared" si="29"/>
        <v>1504.9732708862746</v>
      </c>
      <c r="D270" s="28">
        <f t="shared" si="31"/>
        <v>1156.2367098304583</v>
      </c>
      <c r="E270" s="28"/>
      <c r="F270" s="28">
        <f t="shared" ref="F270:F333" si="32">IF(A270="","",IF(A270="","",F269-C270-E270))</f>
        <v>196707.03412862081</v>
      </c>
      <c r="G270" s="28">
        <f t="shared" ref="G270:G333" si="33">IF(A270="","",C270+G269+E270)</f>
        <v>203292.96587137942</v>
      </c>
      <c r="H270" s="28">
        <f t="shared" ref="H270:H333" si="34">IF(A270="","",IF(A270="","",D270+H269))</f>
        <v>496605.25905712153</v>
      </c>
    </row>
    <row r="271" spans="1:8" x14ac:dyDescent="0.25">
      <c r="A271" s="24">
        <f t="shared" si="30"/>
        <v>264</v>
      </c>
      <c r="B271" s="28">
        <f t="shared" si="28"/>
        <v>2661.2099807167328</v>
      </c>
      <c r="C271" s="28">
        <f t="shared" si="29"/>
        <v>1513.7522816331114</v>
      </c>
      <c r="D271" s="28">
        <f t="shared" si="31"/>
        <v>1147.4576990836215</v>
      </c>
      <c r="E271" s="28"/>
      <c r="F271" s="28">
        <f t="shared" si="32"/>
        <v>195193.28184698769</v>
      </c>
      <c r="G271" s="28">
        <f t="shared" si="33"/>
        <v>204806.71815301254</v>
      </c>
      <c r="H271" s="28">
        <f t="shared" si="34"/>
        <v>497752.71675620513</v>
      </c>
    </row>
    <row r="272" spans="1:8" x14ac:dyDescent="0.25">
      <c r="A272" s="24">
        <f t="shared" si="30"/>
        <v>265</v>
      </c>
      <c r="B272" s="28">
        <f t="shared" si="28"/>
        <v>2661.2099807167328</v>
      </c>
      <c r="C272" s="28">
        <f t="shared" si="29"/>
        <v>1522.5825032759712</v>
      </c>
      <c r="D272" s="28">
        <f t="shared" si="31"/>
        <v>1138.6274774407616</v>
      </c>
      <c r="E272" s="28"/>
      <c r="F272" s="28">
        <f t="shared" si="32"/>
        <v>193670.69934371172</v>
      </c>
      <c r="G272" s="28">
        <f t="shared" si="33"/>
        <v>206329.30065628851</v>
      </c>
      <c r="H272" s="28">
        <f t="shared" si="34"/>
        <v>498891.34423364588</v>
      </c>
    </row>
    <row r="273" spans="1:8" x14ac:dyDescent="0.25">
      <c r="A273" s="24">
        <f t="shared" si="30"/>
        <v>266</v>
      </c>
      <c r="B273" s="28">
        <f t="shared" si="28"/>
        <v>2661.2099807167328</v>
      </c>
      <c r="C273" s="28">
        <f t="shared" si="29"/>
        <v>1531.4642345450809</v>
      </c>
      <c r="D273" s="28">
        <f t="shared" si="31"/>
        <v>1129.7457461716519</v>
      </c>
      <c r="E273" s="28"/>
      <c r="F273" s="28">
        <f t="shared" si="32"/>
        <v>192139.23510916665</v>
      </c>
      <c r="G273" s="28">
        <f t="shared" si="33"/>
        <v>207860.76489083358</v>
      </c>
      <c r="H273" s="28">
        <f t="shared" si="34"/>
        <v>500021.08997981751</v>
      </c>
    </row>
    <row r="274" spans="1:8" x14ac:dyDescent="0.25">
      <c r="A274" s="24">
        <f t="shared" si="30"/>
        <v>267</v>
      </c>
      <c r="B274" s="28">
        <f t="shared" si="28"/>
        <v>2661.2099807167328</v>
      </c>
      <c r="C274" s="28">
        <f t="shared" si="29"/>
        <v>1540.3977759132606</v>
      </c>
      <c r="D274" s="28">
        <f t="shared" si="31"/>
        <v>1120.8122048034722</v>
      </c>
      <c r="E274" s="28"/>
      <c r="F274" s="28">
        <f t="shared" si="32"/>
        <v>190598.83733325338</v>
      </c>
      <c r="G274" s="28">
        <f t="shared" si="33"/>
        <v>209401.16266674685</v>
      </c>
      <c r="H274" s="28">
        <f t="shared" si="34"/>
        <v>501141.90218462097</v>
      </c>
    </row>
    <row r="275" spans="1:8" x14ac:dyDescent="0.25">
      <c r="A275" s="24">
        <f t="shared" si="30"/>
        <v>268</v>
      </c>
      <c r="B275" s="28">
        <f t="shared" si="28"/>
        <v>2661.2099807167328</v>
      </c>
      <c r="C275" s="28">
        <f t="shared" si="29"/>
        <v>1549.3834296060879</v>
      </c>
      <c r="D275" s="28">
        <f t="shared" si="31"/>
        <v>1111.8265511106449</v>
      </c>
      <c r="E275" s="28"/>
      <c r="F275" s="28">
        <f t="shared" si="32"/>
        <v>189049.45390364729</v>
      </c>
      <c r="G275" s="28">
        <f t="shared" si="33"/>
        <v>210950.54609635295</v>
      </c>
      <c r="H275" s="28">
        <f t="shared" si="34"/>
        <v>502253.72873573162</v>
      </c>
    </row>
    <row r="276" spans="1:8" x14ac:dyDescent="0.25">
      <c r="A276" s="24">
        <f t="shared" si="30"/>
        <v>269</v>
      </c>
      <c r="B276" s="28">
        <f t="shared" ref="B276:B339" si="35">IF(A276="","",(IF(F275+(F275*$B$4/12)&lt;-PMT($B$4/12,$B$5*12,$B$3,0,0),F275+(F275*$B$4/12),-PMT($B$4/12,$B$5*12,$B$3,0,0))))</f>
        <v>2661.2099807167328</v>
      </c>
      <c r="C276" s="28">
        <f t="shared" si="29"/>
        <v>1558.4214996121236</v>
      </c>
      <c r="D276" s="28">
        <f t="shared" si="31"/>
        <v>1102.7884811046092</v>
      </c>
      <c r="E276" s="28"/>
      <c r="F276" s="28">
        <f t="shared" si="32"/>
        <v>187491.03240403516</v>
      </c>
      <c r="G276" s="28">
        <f t="shared" si="33"/>
        <v>212508.96759596508</v>
      </c>
      <c r="H276" s="28">
        <f t="shared" si="34"/>
        <v>503356.51721683622</v>
      </c>
    </row>
    <row r="277" spans="1:8" x14ac:dyDescent="0.25">
      <c r="A277" s="24">
        <f t="shared" si="30"/>
        <v>270</v>
      </c>
      <c r="B277" s="28">
        <f t="shared" si="35"/>
        <v>2661.2099807167328</v>
      </c>
      <c r="C277" s="28">
        <f t="shared" si="29"/>
        <v>1567.5122916931944</v>
      </c>
      <c r="D277" s="28">
        <f t="shared" si="31"/>
        <v>1093.6976890235385</v>
      </c>
      <c r="E277" s="28"/>
      <c r="F277" s="28">
        <f t="shared" si="32"/>
        <v>185923.52011234197</v>
      </c>
      <c r="G277" s="28">
        <f t="shared" si="33"/>
        <v>214076.47988765826</v>
      </c>
      <c r="H277" s="28">
        <f t="shared" si="34"/>
        <v>504450.21490585979</v>
      </c>
    </row>
    <row r="278" spans="1:8" x14ac:dyDescent="0.25">
      <c r="A278" s="24">
        <f t="shared" si="30"/>
        <v>271</v>
      </c>
      <c r="B278" s="28">
        <f t="shared" si="35"/>
        <v>2661.2099807167328</v>
      </c>
      <c r="C278" s="28">
        <f t="shared" si="29"/>
        <v>1576.656113394738</v>
      </c>
      <c r="D278" s="28">
        <f t="shared" si="31"/>
        <v>1084.5538673219949</v>
      </c>
      <c r="E278" s="28"/>
      <c r="F278" s="28">
        <f t="shared" si="32"/>
        <v>184346.86399894723</v>
      </c>
      <c r="G278" s="28">
        <f t="shared" si="33"/>
        <v>215653.136001053</v>
      </c>
      <c r="H278" s="28">
        <f t="shared" si="34"/>
        <v>505534.76877318177</v>
      </c>
    </row>
    <row r="279" spans="1:8" x14ac:dyDescent="0.25">
      <c r="A279" s="24">
        <f t="shared" si="30"/>
        <v>272</v>
      </c>
      <c r="B279" s="28">
        <f t="shared" si="35"/>
        <v>2661.2099807167328</v>
      </c>
      <c r="C279" s="28">
        <f t="shared" si="29"/>
        <v>1585.8532740562073</v>
      </c>
      <c r="D279" s="28">
        <f t="shared" si="31"/>
        <v>1075.3567066605256</v>
      </c>
      <c r="E279" s="28"/>
      <c r="F279" s="28">
        <f t="shared" si="32"/>
        <v>182761.01072489104</v>
      </c>
      <c r="G279" s="28">
        <f t="shared" si="33"/>
        <v>217238.9892751092</v>
      </c>
      <c r="H279" s="28">
        <f t="shared" si="34"/>
        <v>506610.1254798423</v>
      </c>
    </row>
    <row r="280" spans="1:8" x14ac:dyDescent="0.25">
      <c r="A280" s="24">
        <f t="shared" si="30"/>
        <v>273</v>
      </c>
      <c r="B280" s="28">
        <f t="shared" si="35"/>
        <v>2661.2099807167328</v>
      </c>
      <c r="C280" s="28">
        <f t="shared" si="29"/>
        <v>1595.104084821535</v>
      </c>
      <c r="D280" s="28">
        <f t="shared" si="31"/>
        <v>1066.1058958951978</v>
      </c>
      <c r="E280" s="28"/>
      <c r="F280" s="28">
        <f t="shared" si="32"/>
        <v>181165.9066400695</v>
      </c>
      <c r="G280" s="28">
        <f t="shared" si="33"/>
        <v>218834.09335993073</v>
      </c>
      <c r="H280" s="28">
        <f t="shared" si="34"/>
        <v>507676.23137573752</v>
      </c>
    </row>
    <row r="281" spans="1:8" x14ac:dyDescent="0.25">
      <c r="A281" s="24">
        <f t="shared" si="30"/>
        <v>274</v>
      </c>
      <c r="B281" s="28">
        <f t="shared" si="35"/>
        <v>2661.2099807167328</v>
      </c>
      <c r="C281" s="28">
        <f t="shared" si="29"/>
        <v>1604.4088586496607</v>
      </c>
      <c r="D281" s="28">
        <f t="shared" si="31"/>
        <v>1056.8011220670721</v>
      </c>
      <c r="E281" s="28"/>
      <c r="F281" s="28">
        <f t="shared" si="32"/>
        <v>179561.49778141984</v>
      </c>
      <c r="G281" s="28">
        <f t="shared" si="33"/>
        <v>220438.5022185804</v>
      </c>
      <c r="H281" s="28">
        <f t="shared" si="34"/>
        <v>508733.03249780461</v>
      </c>
    </row>
    <row r="282" spans="1:8" x14ac:dyDescent="0.25">
      <c r="A282" s="24">
        <f t="shared" si="30"/>
        <v>275</v>
      </c>
      <c r="B282" s="28">
        <f t="shared" si="35"/>
        <v>2661.2099807167328</v>
      </c>
      <c r="C282" s="28">
        <f t="shared" si="29"/>
        <v>1613.7679103251171</v>
      </c>
      <c r="D282" s="28">
        <f t="shared" si="31"/>
        <v>1047.4420703916157</v>
      </c>
      <c r="E282" s="28"/>
      <c r="F282" s="28">
        <f t="shared" si="32"/>
        <v>177947.72987109472</v>
      </c>
      <c r="G282" s="28">
        <f t="shared" si="33"/>
        <v>222052.27012890551</v>
      </c>
      <c r="H282" s="28">
        <f t="shared" si="34"/>
        <v>509780.47456819622</v>
      </c>
    </row>
    <row r="283" spans="1:8" x14ac:dyDescent="0.25">
      <c r="A283" s="24">
        <f t="shared" si="30"/>
        <v>276</v>
      </c>
      <c r="B283" s="28">
        <f t="shared" si="35"/>
        <v>2661.2099807167328</v>
      </c>
      <c r="C283" s="28">
        <f t="shared" si="29"/>
        <v>1623.1815564686801</v>
      </c>
      <c r="D283" s="28">
        <f t="shared" si="31"/>
        <v>1038.0284242480527</v>
      </c>
      <c r="E283" s="28"/>
      <c r="F283" s="28">
        <f t="shared" si="32"/>
        <v>176324.54831462604</v>
      </c>
      <c r="G283" s="28">
        <f t="shared" si="33"/>
        <v>223675.4516853742</v>
      </c>
      <c r="H283" s="28">
        <f t="shared" si="34"/>
        <v>510818.50299244426</v>
      </c>
    </row>
    <row r="284" spans="1:8" x14ac:dyDescent="0.25">
      <c r="A284" s="24">
        <f t="shared" si="30"/>
        <v>277</v>
      </c>
      <c r="B284" s="28">
        <f t="shared" si="35"/>
        <v>2661.2099807167328</v>
      </c>
      <c r="C284" s="28">
        <f t="shared" si="29"/>
        <v>1632.6501155480807</v>
      </c>
      <c r="D284" s="28">
        <f t="shared" si="31"/>
        <v>1028.5598651686521</v>
      </c>
      <c r="E284" s="28"/>
      <c r="F284" s="28">
        <f t="shared" si="32"/>
        <v>174691.89819907796</v>
      </c>
      <c r="G284" s="28">
        <f t="shared" si="33"/>
        <v>225308.10180092228</v>
      </c>
      <c r="H284" s="28">
        <f t="shared" si="34"/>
        <v>511847.06285761291</v>
      </c>
    </row>
    <row r="285" spans="1:8" x14ac:dyDescent="0.25">
      <c r="A285" s="24">
        <f t="shared" si="30"/>
        <v>278</v>
      </c>
      <c r="B285" s="28">
        <f t="shared" si="35"/>
        <v>2661.2099807167328</v>
      </c>
      <c r="C285" s="28">
        <f t="shared" si="29"/>
        <v>1642.1739078887781</v>
      </c>
      <c r="D285" s="28">
        <f t="shared" si="31"/>
        <v>1019.0360728279549</v>
      </c>
      <c r="E285" s="28"/>
      <c r="F285" s="28">
        <f t="shared" si="32"/>
        <v>173049.72429118917</v>
      </c>
      <c r="G285" s="28">
        <f t="shared" si="33"/>
        <v>226950.27570881107</v>
      </c>
      <c r="H285" s="28">
        <f t="shared" si="34"/>
        <v>512866.09893044084</v>
      </c>
    </row>
    <row r="286" spans="1:8" x14ac:dyDescent="0.25">
      <c r="A286" s="24">
        <f t="shared" si="30"/>
        <v>279</v>
      </c>
      <c r="B286" s="28">
        <f t="shared" si="35"/>
        <v>2661.2099807167328</v>
      </c>
      <c r="C286" s="28">
        <f t="shared" si="29"/>
        <v>1651.7532556847959</v>
      </c>
      <c r="D286" s="28">
        <f t="shared" si="31"/>
        <v>1009.4567250319369</v>
      </c>
      <c r="E286" s="28"/>
      <c r="F286" s="28">
        <f t="shared" si="32"/>
        <v>171397.97103550436</v>
      </c>
      <c r="G286" s="28">
        <f t="shared" si="33"/>
        <v>228602.02896449587</v>
      </c>
      <c r="H286" s="28">
        <f t="shared" si="34"/>
        <v>513875.5556554728</v>
      </c>
    </row>
    <row r="287" spans="1:8" x14ac:dyDescent="0.25">
      <c r="A287" s="24">
        <f t="shared" si="30"/>
        <v>280</v>
      </c>
      <c r="B287" s="28">
        <f t="shared" si="35"/>
        <v>2661.2099807167328</v>
      </c>
      <c r="C287" s="28">
        <f t="shared" si="29"/>
        <v>1661.388483009624</v>
      </c>
      <c r="D287" s="28">
        <f t="shared" si="31"/>
        <v>999.82149770710885</v>
      </c>
      <c r="E287" s="28"/>
      <c r="F287" s="28">
        <f t="shared" si="32"/>
        <v>169736.58255249474</v>
      </c>
      <c r="G287" s="28">
        <f t="shared" si="33"/>
        <v>230263.41744750549</v>
      </c>
      <c r="H287" s="28">
        <f t="shared" si="34"/>
        <v>514875.3771531799</v>
      </c>
    </row>
    <row r="288" spans="1:8" x14ac:dyDescent="0.25">
      <c r="A288" s="24">
        <f t="shared" si="30"/>
        <v>281</v>
      </c>
      <c r="B288" s="28">
        <f t="shared" si="35"/>
        <v>2661.2099807167328</v>
      </c>
      <c r="C288" s="28">
        <f t="shared" si="29"/>
        <v>1671.0799158271802</v>
      </c>
      <c r="D288" s="28">
        <f t="shared" si="31"/>
        <v>990.13006488955273</v>
      </c>
      <c r="E288" s="28"/>
      <c r="F288" s="28">
        <f t="shared" si="32"/>
        <v>168065.50263666757</v>
      </c>
      <c r="G288" s="28">
        <f t="shared" si="33"/>
        <v>231934.49736333266</v>
      </c>
      <c r="H288" s="28">
        <f t="shared" si="34"/>
        <v>515865.50721806946</v>
      </c>
    </row>
    <row r="289" spans="1:8" x14ac:dyDescent="0.25">
      <c r="A289" s="24">
        <f t="shared" si="30"/>
        <v>282</v>
      </c>
      <c r="B289" s="28">
        <f t="shared" si="35"/>
        <v>2661.2099807167328</v>
      </c>
      <c r="C289" s="28">
        <f t="shared" si="29"/>
        <v>1680.8278820028386</v>
      </c>
      <c r="D289" s="28">
        <f t="shared" si="31"/>
        <v>980.38209871389427</v>
      </c>
      <c r="E289" s="28"/>
      <c r="F289" s="28">
        <f t="shared" si="32"/>
        <v>166384.67475466474</v>
      </c>
      <c r="G289" s="28">
        <f t="shared" si="33"/>
        <v>233615.32524533549</v>
      </c>
      <c r="H289" s="28">
        <f t="shared" si="34"/>
        <v>516845.88931678334</v>
      </c>
    </row>
    <row r="290" spans="1:8" x14ac:dyDescent="0.25">
      <c r="A290" s="24">
        <f t="shared" si="30"/>
        <v>283</v>
      </c>
      <c r="B290" s="28">
        <f t="shared" si="35"/>
        <v>2661.2099807167328</v>
      </c>
      <c r="C290" s="28">
        <f t="shared" si="29"/>
        <v>1690.6327113145217</v>
      </c>
      <c r="D290" s="28">
        <f t="shared" si="31"/>
        <v>970.57726940221107</v>
      </c>
      <c r="E290" s="28"/>
      <c r="F290" s="28">
        <f t="shared" si="32"/>
        <v>164694.04204335023</v>
      </c>
      <c r="G290" s="28">
        <f t="shared" si="33"/>
        <v>235305.95795665</v>
      </c>
      <c r="H290" s="28">
        <f t="shared" si="34"/>
        <v>517816.46658618556</v>
      </c>
    </row>
    <row r="291" spans="1:8" x14ac:dyDescent="0.25">
      <c r="A291" s="24">
        <f t="shared" si="30"/>
        <v>284</v>
      </c>
      <c r="B291" s="28">
        <f t="shared" si="35"/>
        <v>2661.2099807167328</v>
      </c>
      <c r="C291" s="28">
        <f t="shared" si="29"/>
        <v>1700.4947354638566</v>
      </c>
      <c r="D291" s="28">
        <f t="shared" si="31"/>
        <v>960.71524525287634</v>
      </c>
      <c r="E291" s="28"/>
      <c r="F291" s="28">
        <f t="shared" si="32"/>
        <v>162993.54730788639</v>
      </c>
      <c r="G291" s="28">
        <f t="shared" si="33"/>
        <v>237006.45269211385</v>
      </c>
      <c r="H291" s="28">
        <f t="shared" si="34"/>
        <v>518777.18183143844</v>
      </c>
    </row>
    <row r="292" spans="1:8" x14ac:dyDescent="0.25">
      <c r="A292" s="24">
        <f t="shared" si="30"/>
        <v>285</v>
      </c>
      <c r="B292" s="28">
        <f t="shared" si="35"/>
        <v>2661.2099807167328</v>
      </c>
      <c r="C292" s="28">
        <f t="shared" si="29"/>
        <v>1710.4142880873956</v>
      </c>
      <c r="D292" s="28">
        <f t="shared" si="31"/>
        <v>950.79569262933728</v>
      </c>
      <c r="E292" s="28"/>
      <c r="F292" s="28">
        <f t="shared" si="32"/>
        <v>161283.13301979899</v>
      </c>
      <c r="G292" s="28">
        <f t="shared" si="33"/>
        <v>238716.86698020124</v>
      </c>
      <c r="H292" s="28">
        <f t="shared" si="34"/>
        <v>519727.9775240678</v>
      </c>
    </row>
    <row r="293" spans="1:8" x14ac:dyDescent="0.25">
      <c r="A293" s="24">
        <f t="shared" si="30"/>
        <v>286</v>
      </c>
      <c r="B293" s="28">
        <f t="shared" si="35"/>
        <v>2661.2099807167328</v>
      </c>
      <c r="C293" s="28">
        <f t="shared" si="29"/>
        <v>1720.3917047679051</v>
      </c>
      <c r="D293" s="28">
        <f t="shared" si="31"/>
        <v>940.81827594882759</v>
      </c>
      <c r="E293" s="28"/>
      <c r="F293" s="28">
        <f t="shared" si="32"/>
        <v>159562.74131503107</v>
      </c>
      <c r="G293" s="28">
        <f t="shared" si="33"/>
        <v>240437.25868496916</v>
      </c>
      <c r="H293" s="28">
        <f t="shared" si="34"/>
        <v>520668.79580001661</v>
      </c>
    </row>
    <row r="294" spans="1:8" x14ac:dyDescent="0.25">
      <c r="A294" s="24">
        <f t="shared" si="30"/>
        <v>287</v>
      </c>
      <c r="B294" s="28">
        <f t="shared" si="35"/>
        <v>2661.2099807167328</v>
      </c>
      <c r="C294" s="28">
        <f t="shared" si="29"/>
        <v>1730.4273230457184</v>
      </c>
      <c r="D294" s="28">
        <f t="shared" si="31"/>
        <v>930.78265767101459</v>
      </c>
      <c r="E294" s="28"/>
      <c r="F294" s="28">
        <f t="shared" si="32"/>
        <v>157832.31399198534</v>
      </c>
      <c r="G294" s="28">
        <f t="shared" si="33"/>
        <v>242167.68600801489</v>
      </c>
      <c r="H294" s="28">
        <f t="shared" si="34"/>
        <v>521599.57845768763</v>
      </c>
    </row>
    <row r="295" spans="1:8" x14ac:dyDescent="0.25">
      <c r="A295" s="24">
        <f t="shared" si="30"/>
        <v>288</v>
      </c>
      <c r="B295" s="28">
        <f t="shared" si="35"/>
        <v>2661.2099807167328</v>
      </c>
      <c r="C295" s="28">
        <f t="shared" si="29"/>
        <v>1740.5214824301515</v>
      </c>
      <c r="D295" s="28">
        <f t="shared" si="31"/>
        <v>920.68849828658131</v>
      </c>
      <c r="E295" s="28"/>
      <c r="F295" s="28">
        <f t="shared" si="32"/>
        <v>156091.79250955518</v>
      </c>
      <c r="G295" s="28">
        <f t="shared" si="33"/>
        <v>243908.20749044506</v>
      </c>
      <c r="H295" s="28">
        <f t="shared" si="34"/>
        <v>522520.26695597422</v>
      </c>
    </row>
    <row r="296" spans="1:8" x14ac:dyDescent="0.25">
      <c r="A296" s="24">
        <f t="shared" si="30"/>
        <v>289</v>
      </c>
      <c r="B296" s="28">
        <f t="shared" si="35"/>
        <v>2661.2099807167328</v>
      </c>
      <c r="C296" s="28">
        <f t="shared" si="29"/>
        <v>1750.6745244109943</v>
      </c>
      <c r="D296" s="28">
        <f t="shared" si="31"/>
        <v>910.53545630573865</v>
      </c>
      <c r="E296" s="28"/>
      <c r="F296" s="28">
        <f t="shared" si="32"/>
        <v>154341.11798514417</v>
      </c>
      <c r="G296" s="28">
        <f t="shared" si="33"/>
        <v>245658.88201485606</v>
      </c>
      <c r="H296" s="28">
        <f t="shared" si="34"/>
        <v>523430.80241227994</v>
      </c>
    </row>
    <row r="297" spans="1:8" x14ac:dyDescent="0.25">
      <c r="A297" s="24">
        <f t="shared" si="30"/>
        <v>290</v>
      </c>
      <c r="B297" s="28">
        <f t="shared" si="35"/>
        <v>2661.2099807167328</v>
      </c>
      <c r="C297" s="28">
        <f t="shared" si="29"/>
        <v>1760.8867924700585</v>
      </c>
      <c r="D297" s="28">
        <f t="shared" si="31"/>
        <v>900.32318824667436</v>
      </c>
      <c r="E297" s="28"/>
      <c r="F297" s="28">
        <f t="shared" si="32"/>
        <v>152580.23119267411</v>
      </c>
      <c r="G297" s="28">
        <f t="shared" si="33"/>
        <v>247419.76880732612</v>
      </c>
      <c r="H297" s="28">
        <f t="shared" si="34"/>
        <v>524331.12560052657</v>
      </c>
    </row>
    <row r="298" spans="1:8" x14ac:dyDescent="0.25">
      <c r="A298" s="24">
        <f t="shared" si="30"/>
        <v>291</v>
      </c>
      <c r="B298" s="28">
        <f t="shared" si="35"/>
        <v>2661.2099807167328</v>
      </c>
      <c r="C298" s="28">
        <f t="shared" si="29"/>
        <v>1771.1586320928004</v>
      </c>
      <c r="D298" s="28">
        <f t="shared" si="31"/>
        <v>890.05134862393243</v>
      </c>
      <c r="E298" s="28"/>
      <c r="F298" s="28">
        <f t="shared" si="32"/>
        <v>150809.07256058132</v>
      </c>
      <c r="G298" s="28">
        <f t="shared" si="33"/>
        <v>249190.92743941891</v>
      </c>
      <c r="H298" s="28">
        <f t="shared" si="34"/>
        <v>525221.17694915051</v>
      </c>
    </row>
    <row r="299" spans="1:8" x14ac:dyDescent="0.25">
      <c r="A299" s="24">
        <f t="shared" si="30"/>
        <v>292</v>
      </c>
      <c r="B299" s="28">
        <f t="shared" si="35"/>
        <v>2661.2099807167328</v>
      </c>
      <c r="C299" s="28">
        <f t="shared" si="29"/>
        <v>1781.4903907800085</v>
      </c>
      <c r="D299" s="28">
        <f t="shared" si="31"/>
        <v>879.71958993672445</v>
      </c>
      <c r="E299" s="28"/>
      <c r="F299" s="28">
        <f t="shared" si="32"/>
        <v>149027.58216980132</v>
      </c>
      <c r="G299" s="28">
        <f t="shared" si="33"/>
        <v>250972.41783019892</v>
      </c>
      <c r="H299" s="28">
        <f t="shared" si="34"/>
        <v>526100.89653908729</v>
      </c>
    </row>
    <row r="300" spans="1:8" x14ac:dyDescent="0.25">
      <c r="A300" s="24">
        <f t="shared" si="30"/>
        <v>293</v>
      </c>
      <c r="B300" s="28">
        <f t="shared" si="35"/>
        <v>2661.2099807167328</v>
      </c>
      <c r="C300" s="28">
        <f t="shared" si="29"/>
        <v>1791.8824180595584</v>
      </c>
      <c r="D300" s="28">
        <f t="shared" si="31"/>
        <v>869.32756265717444</v>
      </c>
      <c r="E300" s="28"/>
      <c r="F300" s="28">
        <f t="shared" si="32"/>
        <v>147235.69975174175</v>
      </c>
      <c r="G300" s="28">
        <f t="shared" si="33"/>
        <v>252764.30024825849</v>
      </c>
      <c r="H300" s="28">
        <f t="shared" si="34"/>
        <v>526970.22410174448</v>
      </c>
    </row>
    <row r="301" spans="1:8" x14ac:dyDescent="0.25">
      <c r="A301" s="24">
        <f t="shared" si="30"/>
        <v>294</v>
      </c>
      <c r="B301" s="28">
        <f t="shared" si="35"/>
        <v>2661.2099807167328</v>
      </c>
      <c r="C301" s="28">
        <f t="shared" si="29"/>
        <v>1802.3350654982391</v>
      </c>
      <c r="D301" s="28">
        <f t="shared" si="31"/>
        <v>858.87491521849358</v>
      </c>
      <c r="E301" s="28"/>
      <c r="F301" s="28">
        <f t="shared" si="32"/>
        <v>145433.3646862435</v>
      </c>
      <c r="G301" s="28">
        <f t="shared" si="33"/>
        <v>254566.63531375673</v>
      </c>
      <c r="H301" s="28">
        <f t="shared" si="34"/>
        <v>527829.09901696292</v>
      </c>
    </row>
    <row r="302" spans="1:8" x14ac:dyDescent="0.25">
      <c r="A302" s="24">
        <f t="shared" si="30"/>
        <v>295</v>
      </c>
      <c r="B302" s="28">
        <f t="shared" si="35"/>
        <v>2661.2099807167328</v>
      </c>
      <c r="C302" s="28">
        <f t="shared" si="29"/>
        <v>1812.8486867136457</v>
      </c>
      <c r="D302" s="28">
        <f t="shared" si="31"/>
        <v>848.3612940030871</v>
      </c>
      <c r="E302" s="28"/>
      <c r="F302" s="28">
        <f t="shared" si="32"/>
        <v>143620.51599952986</v>
      </c>
      <c r="G302" s="28">
        <f t="shared" si="33"/>
        <v>256379.48400047037</v>
      </c>
      <c r="H302" s="28">
        <f t="shared" si="34"/>
        <v>528677.46031096601</v>
      </c>
    </row>
    <row r="303" spans="1:8" x14ac:dyDescent="0.25">
      <c r="A303" s="24">
        <f t="shared" si="30"/>
        <v>296</v>
      </c>
      <c r="B303" s="28">
        <f t="shared" si="35"/>
        <v>2661.2099807167328</v>
      </c>
      <c r="C303" s="28">
        <f t="shared" si="29"/>
        <v>1823.4236373861418</v>
      </c>
      <c r="D303" s="28">
        <f t="shared" si="31"/>
        <v>837.78634333059097</v>
      </c>
      <c r="E303" s="28"/>
      <c r="F303" s="28">
        <f t="shared" si="32"/>
        <v>141797.09236214371</v>
      </c>
      <c r="G303" s="28">
        <f t="shared" si="33"/>
        <v>258202.90763785652</v>
      </c>
      <c r="H303" s="28">
        <f t="shared" si="34"/>
        <v>529515.24665429664</v>
      </c>
    </row>
    <row r="304" spans="1:8" x14ac:dyDescent="0.25">
      <c r="A304" s="24">
        <f t="shared" si="30"/>
        <v>297</v>
      </c>
      <c r="B304" s="28">
        <f t="shared" si="35"/>
        <v>2661.2099807167328</v>
      </c>
      <c r="C304" s="28">
        <f t="shared" si="29"/>
        <v>1834.0602752708946</v>
      </c>
      <c r="D304" s="28">
        <f t="shared" si="31"/>
        <v>827.14970544583832</v>
      </c>
      <c r="E304" s="28"/>
      <c r="F304" s="28">
        <f t="shared" si="32"/>
        <v>139963.03208687282</v>
      </c>
      <c r="G304" s="28">
        <f t="shared" si="33"/>
        <v>260036.96791312742</v>
      </c>
      <c r="H304" s="28">
        <f t="shared" si="34"/>
        <v>530342.3963597425</v>
      </c>
    </row>
    <row r="305" spans="1:8" x14ac:dyDescent="0.25">
      <c r="A305" s="24">
        <f t="shared" si="30"/>
        <v>298</v>
      </c>
      <c r="B305" s="28">
        <f t="shared" si="35"/>
        <v>2661.2099807167328</v>
      </c>
      <c r="C305" s="28">
        <f t="shared" si="29"/>
        <v>1844.7589602099747</v>
      </c>
      <c r="D305" s="28">
        <f t="shared" si="31"/>
        <v>816.45102050675814</v>
      </c>
      <c r="E305" s="28"/>
      <c r="F305" s="28">
        <f t="shared" si="32"/>
        <v>138118.27312666285</v>
      </c>
      <c r="G305" s="28">
        <f t="shared" si="33"/>
        <v>261881.72687333738</v>
      </c>
      <c r="H305" s="28">
        <f t="shared" si="34"/>
        <v>531158.8473802493</v>
      </c>
    </row>
    <row r="306" spans="1:8" x14ac:dyDescent="0.25">
      <c r="A306" s="24">
        <f t="shared" si="30"/>
        <v>299</v>
      </c>
      <c r="B306" s="28">
        <f t="shared" si="35"/>
        <v>2661.2099807167328</v>
      </c>
      <c r="C306" s="28">
        <f t="shared" si="29"/>
        <v>1855.5200541445329</v>
      </c>
      <c r="D306" s="28">
        <f t="shared" si="31"/>
        <v>805.68992657220008</v>
      </c>
      <c r="E306" s="28"/>
      <c r="F306" s="28">
        <f t="shared" si="32"/>
        <v>136262.75307251833</v>
      </c>
      <c r="G306" s="28">
        <f t="shared" si="33"/>
        <v>263737.2469274819</v>
      </c>
      <c r="H306" s="28">
        <f t="shared" si="34"/>
        <v>531964.53730682144</v>
      </c>
    </row>
    <row r="307" spans="1:8" x14ac:dyDescent="0.25">
      <c r="A307" s="24">
        <f t="shared" si="30"/>
        <v>300</v>
      </c>
      <c r="B307" s="28">
        <f t="shared" si="35"/>
        <v>2661.2099807167328</v>
      </c>
      <c r="C307" s="28">
        <f t="shared" si="29"/>
        <v>1866.3439211270424</v>
      </c>
      <c r="D307" s="28">
        <f t="shared" si="31"/>
        <v>794.86605958969039</v>
      </c>
      <c r="E307" s="28"/>
      <c r="F307" s="28">
        <f t="shared" si="32"/>
        <v>134396.4091513913</v>
      </c>
      <c r="G307" s="28">
        <f t="shared" si="33"/>
        <v>265603.59084860893</v>
      </c>
      <c r="H307" s="28">
        <f t="shared" si="34"/>
        <v>532759.4033664111</v>
      </c>
    </row>
    <row r="308" spans="1:8" x14ac:dyDescent="0.25">
      <c r="A308" s="24">
        <f t="shared" si="30"/>
        <v>301</v>
      </c>
      <c r="B308" s="28">
        <f t="shared" si="35"/>
        <v>2661.2099807167328</v>
      </c>
      <c r="C308" s="28">
        <f t="shared" si="29"/>
        <v>1877.2309273336168</v>
      </c>
      <c r="D308" s="28">
        <f t="shared" si="31"/>
        <v>783.97905338311602</v>
      </c>
      <c r="E308" s="28"/>
      <c r="F308" s="28">
        <f t="shared" si="32"/>
        <v>132519.17822405769</v>
      </c>
      <c r="G308" s="28">
        <f t="shared" si="33"/>
        <v>267480.82177594258</v>
      </c>
      <c r="H308" s="28">
        <f t="shared" si="34"/>
        <v>533543.38241979422</v>
      </c>
    </row>
    <row r="309" spans="1:8" x14ac:dyDescent="0.25">
      <c r="A309" s="24">
        <f t="shared" si="30"/>
        <v>302</v>
      </c>
      <c r="B309" s="28">
        <f t="shared" si="35"/>
        <v>2661.2099807167328</v>
      </c>
      <c r="C309" s="28">
        <f t="shared" si="29"/>
        <v>1888.1814410763964</v>
      </c>
      <c r="D309" s="28">
        <f t="shared" si="31"/>
        <v>773.02853964033659</v>
      </c>
      <c r="E309" s="28"/>
      <c r="F309" s="28">
        <f t="shared" si="32"/>
        <v>130630.9967829813</v>
      </c>
      <c r="G309" s="28">
        <f t="shared" si="33"/>
        <v>269369.00321701897</v>
      </c>
      <c r="H309" s="28">
        <f t="shared" si="34"/>
        <v>534316.41095943458</v>
      </c>
    </row>
    <row r="310" spans="1:8" x14ac:dyDescent="0.25">
      <c r="A310" s="24">
        <f t="shared" si="30"/>
        <v>303</v>
      </c>
      <c r="B310" s="28">
        <f t="shared" si="35"/>
        <v>2661.2099807167328</v>
      </c>
      <c r="C310" s="28">
        <f t="shared" si="29"/>
        <v>1899.1958328160085</v>
      </c>
      <c r="D310" s="28">
        <f t="shared" si="31"/>
        <v>762.01414790072431</v>
      </c>
      <c r="E310" s="28"/>
      <c r="F310" s="28">
        <f t="shared" si="32"/>
        <v>128731.80095016529</v>
      </c>
      <c r="G310" s="28">
        <f t="shared" si="33"/>
        <v>271268.19904983498</v>
      </c>
      <c r="H310" s="28">
        <f t="shared" si="34"/>
        <v>535078.42510733532</v>
      </c>
    </row>
    <row r="311" spans="1:8" x14ac:dyDescent="0.25">
      <c r="A311" s="24">
        <f t="shared" si="30"/>
        <v>304</v>
      </c>
      <c r="B311" s="28">
        <f t="shared" si="35"/>
        <v>2661.2099807167328</v>
      </c>
      <c r="C311" s="28">
        <f t="shared" si="29"/>
        <v>1910.274475174102</v>
      </c>
      <c r="D311" s="28">
        <f t="shared" si="31"/>
        <v>750.93550554263084</v>
      </c>
      <c r="E311" s="28"/>
      <c r="F311" s="28">
        <f t="shared" si="32"/>
        <v>126821.52647499119</v>
      </c>
      <c r="G311" s="28">
        <f t="shared" si="33"/>
        <v>273178.47352500906</v>
      </c>
      <c r="H311" s="28">
        <f t="shared" si="34"/>
        <v>535829.36061287799</v>
      </c>
    </row>
    <row r="312" spans="1:8" x14ac:dyDescent="0.25">
      <c r="A312" s="24">
        <f t="shared" si="30"/>
        <v>305</v>
      </c>
      <c r="B312" s="28">
        <f t="shared" si="35"/>
        <v>2661.2099807167328</v>
      </c>
      <c r="C312" s="28">
        <f t="shared" si="29"/>
        <v>1921.417742945951</v>
      </c>
      <c r="D312" s="28">
        <f t="shared" si="31"/>
        <v>739.79223777078198</v>
      </c>
      <c r="E312" s="28"/>
      <c r="F312" s="28">
        <f t="shared" si="32"/>
        <v>124900.10873204524</v>
      </c>
      <c r="G312" s="28">
        <f t="shared" si="33"/>
        <v>275099.89126795501</v>
      </c>
      <c r="H312" s="28">
        <f t="shared" si="34"/>
        <v>536569.15285064874</v>
      </c>
    </row>
    <row r="313" spans="1:8" x14ac:dyDescent="0.25">
      <c r="A313" s="24">
        <f t="shared" si="30"/>
        <v>306</v>
      </c>
      <c r="B313" s="28">
        <f t="shared" si="35"/>
        <v>2661.2099807167328</v>
      </c>
      <c r="C313" s="28">
        <f t="shared" si="29"/>
        <v>1932.6260131131357</v>
      </c>
      <c r="D313" s="28">
        <f t="shared" si="31"/>
        <v>728.58396760359722</v>
      </c>
      <c r="E313" s="28"/>
      <c r="F313" s="28">
        <f t="shared" si="32"/>
        <v>122967.48271893209</v>
      </c>
      <c r="G313" s="28">
        <f t="shared" si="33"/>
        <v>277032.51728106814</v>
      </c>
      <c r="H313" s="28">
        <f t="shared" si="34"/>
        <v>537297.73681825236</v>
      </c>
    </row>
    <row r="314" spans="1:8" x14ac:dyDescent="0.25">
      <c r="A314" s="24">
        <f t="shared" si="30"/>
        <v>307</v>
      </c>
      <c r="B314" s="28">
        <f t="shared" si="35"/>
        <v>2661.2099807167328</v>
      </c>
      <c r="C314" s="28">
        <f t="shared" si="29"/>
        <v>1943.8996648562957</v>
      </c>
      <c r="D314" s="28">
        <f t="shared" si="31"/>
        <v>717.3103158604373</v>
      </c>
      <c r="E314" s="28"/>
      <c r="F314" s="28">
        <f t="shared" si="32"/>
        <v>121023.5830540758</v>
      </c>
      <c r="G314" s="28">
        <f t="shared" si="33"/>
        <v>278976.41694592446</v>
      </c>
      <c r="H314" s="28">
        <f t="shared" si="34"/>
        <v>538015.0471341128</v>
      </c>
    </row>
    <row r="315" spans="1:8" x14ac:dyDescent="0.25">
      <c r="A315" s="24">
        <f t="shared" si="30"/>
        <v>308</v>
      </c>
      <c r="B315" s="28">
        <f t="shared" si="35"/>
        <v>2661.2099807167328</v>
      </c>
      <c r="C315" s="28">
        <f t="shared" si="29"/>
        <v>1955.2390795679571</v>
      </c>
      <c r="D315" s="28">
        <f t="shared" si="31"/>
        <v>705.97090114877562</v>
      </c>
      <c r="E315" s="28"/>
      <c r="F315" s="28">
        <f t="shared" si="32"/>
        <v>119068.34397450785</v>
      </c>
      <c r="G315" s="28">
        <f t="shared" si="33"/>
        <v>280931.65602549241</v>
      </c>
      <c r="H315" s="28">
        <f t="shared" si="34"/>
        <v>538721.01803526154</v>
      </c>
    </row>
    <row r="316" spans="1:8" x14ac:dyDescent="0.25">
      <c r="A316" s="24">
        <f t="shared" si="30"/>
        <v>309</v>
      </c>
      <c r="B316" s="28">
        <f t="shared" si="35"/>
        <v>2661.2099807167328</v>
      </c>
      <c r="C316" s="28">
        <f t="shared" si="29"/>
        <v>1966.6446408654369</v>
      </c>
      <c r="D316" s="28">
        <f t="shared" si="31"/>
        <v>694.5653398512959</v>
      </c>
      <c r="E316" s="28"/>
      <c r="F316" s="28">
        <f t="shared" si="32"/>
        <v>117101.69933364242</v>
      </c>
      <c r="G316" s="28">
        <f t="shared" si="33"/>
        <v>282898.30066635786</v>
      </c>
      <c r="H316" s="28">
        <f t="shared" si="34"/>
        <v>539415.58337511285</v>
      </c>
    </row>
    <row r="317" spans="1:8" x14ac:dyDescent="0.25">
      <c r="A317" s="24">
        <f t="shared" si="30"/>
        <v>310</v>
      </c>
      <c r="B317" s="28">
        <f t="shared" si="35"/>
        <v>2661.2099807167328</v>
      </c>
      <c r="C317" s="28">
        <f t="shared" si="29"/>
        <v>1978.1167346038187</v>
      </c>
      <c r="D317" s="28">
        <f t="shared" si="31"/>
        <v>683.09324611291413</v>
      </c>
      <c r="E317" s="28"/>
      <c r="F317" s="28">
        <f t="shared" si="32"/>
        <v>115123.58259903861</v>
      </c>
      <c r="G317" s="28">
        <f t="shared" si="33"/>
        <v>284876.41740096168</v>
      </c>
      <c r="H317" s="28">
        <f t="shared" si="34"/>
        <v>540098.67662122578</v>
      </c>
    </row>
    <row r="318" spans="1:8" x14ac:dyDescent="0.25">
      <c r="A318" s="24">
        <f t="shared" si="30"/>
        <v>311</v>
      </c>
      <c r="B318" s="28">
        <f t="shared" si="35"/>
        <v>2661.2099807167328</v>
      </c>
      <c r="C318" s="28">
        <f t="shared" si="29"/>
        <v>1989.6557488890076</v>
      </c>
      <c r="D318" s="28">
        <f t="shared" si="31"/>
        <v>671.55423182772529</v>
      </c>
      <c r="E318" s="28"/>
      <c r="F318" s="28">
        <f t="shared" si="32"/>
        <v>113133.9268501496</v>
      </c>
      <c r="G318" s="28">
        <f t="shared" si="33"/>
        <v>286866.07314985071</v>
      </c>
      <c r="H318" s="28">
        <f t="shared" si="34"/>
        <v>540770.23085305351</v>
      </c>
    </row>
    <row r="319" spans="1:8" x14ac:dyDescent="0.25">
      <c r="A319" s="24">
        <f t="shared" si="30"/>
        <v>312</v>
      </c>
      <c r="B319" s="28">
        <f t="shared" si="35"/>
        <v>2661.2099807167328</v>
      </c>
      <c r="C319" s="28">
        <f t="shared" si="29"/>
        <v>2001.2620740908601</v>
      </c>
      <c r="D319" s="28">
        <f t="shared" si="31"/>
        <v>659.94790662587275</v>
      </c>
      <c r="E319" s="28"/>
      <c r="F319" s="28">
        <f t="shared" si="32"/>
        <v>111132.66477605874</v>
      </c>
      <c r="G319" s="28">
        <f t="shared" si="33"/>
        <v>288867.33522394154</v>
      </c>
      <c r="H319" s="28">
        <f t="shared" si="34"/>
        <v>541430.17875967943</v>
      </c>
    </row>
    <row r="320" spans="1:8" x14ac:dyDescent="0.25">
      <c r="A320" s="24">
        <f t="shared" si="30"/>
        <v>313</v>
      </c>
      <c r="B320" s="28">
        <f t="shared" si="35"/>
        <v>2661.2099807167328</v>
      </c>
      <c r="C320" s="28">
        <f t="shared" si="29"/>
        <v>2012.9361028563903</v>
      </c>
      <c r="D320" s="28">
        <f t="shared" si="31"/>
        <v>648.27387786034262</v>
      </c>
      <c r="E320" s="28"/>
      <c r="F320" s="28">
        <f t="shared" si="32"/>
        <v>109119.72867320235</v>
      </c>
      <c r="G320" s="28">
        <f t="shared" si="33"/>
        <v>290880.27132679796</v>
      </c>
      <c r="H320" s="28">
        <f t="shared" si="34"/>
        <v>542078.45263753983</v>
      </c>
    </row>
    <row r="321" spans="1:8" x14ac:dyDescent="0.25">
      <c r="A321" s="24">
        <f t="shared" si="30"/>
        <v>314</v>
      </c>
      <c r="B321" s="28">
        <f t="shared" si="35"/>
        <v>2661.2099807167328</v>
      </c>
      <c r="C321" s="28">
        <f t="shared" si="29"/>
        <v>2024.6782301230523</v>
      </c>
      <c r="D321" s="28">
        <f t="shared" si="31"/>
        <v>636.53175059368039</v>
      </c>
      <c r="E321" s="28"/>
      <c r="F321" s="28">
        <f t="shared" si="32"/>
        <v>107095.05044307929</v>
      </c>
      <c r="G321" s="28">
        <f t="shared" si="33"/>
        <v>292904.94955692103</v>
      </c>
      <c r="H321" s="28">
        <f t="shared" si="34"/>
        <v>542714.98438813351</v>
      </c>
    </row>
    <row r="322" spans="1:8" x14ac:dyDescent="0.25">
      <c r="A322" s="24">
        <f t="shared" si="30"/>
        <v>315</v>
      </c>
      <c r="B322" s="28">
        <f t="shared" si="35"/>
        <v>2661.2099807167328</v>
      </c>
      <c r="C322" s="28">
        <f t="shared" si="29"/>
        <v>2036.4888531321035</v>
      </c>
      <c r="D322" s="28">
        <f t="shared" si="31"/>
        <v>624.72112758462924</v>
      </c>
      <c r="E322" s="28"/>
      <c r="F322" s="28">
        <f t="shared" si="32"/>
        <v>105058.56158994719</v>
      </c>
      <c r="G322" s="28">
        <f t="shared" si="33"/>
        <v>294941.43841005315</v>
      </c>
      <c r="H322" s="28">
        <f t="shared" si="34"/>
        <v>543339.70551571809</v>
      </c>
    </row>
    <row r="323" spans="1:8" x14ac:dyDescent="0.25">
      <c r="A323" s="24">
        <f t="shared" si="30"/>
        <v>316</v>
      </c>
      <c r="B323" s="28">
        <f t="shared" si="35"/>
        <v>2661.2099807167328</v>
      </c>
      <c r="C323" s="28">
        <f t="shared" si="29"/>
        <v>2048.3683714420408</v>
      </c>
      <c r="D323" s="28">
        <f t="shared" si="31"/>
        <v>612.84160927469202</v>
      </c>
      <c r="E323" s="28"/>
      <c r="F323" s="28">
        <f t="shared" si="32"/>
        <v>103010.19321850514</v>
      </c>
      <c r="G323" s="28">
        <f t="shared" si="33"/>
        <v>296989.80678149516</v>
      </c>
      <c r="H323" s="28">
        <f t="shared" si="34"/>
        <v>543952.54712499282</v>
      </c>
    </row>
    <row r="324" spans="1:8" x14ac:dyDescent="0.25">
      <c r="A324" s="24">
        <f t="shared" si="30"/>
        <v>317</v>
      </c>
      <c r="B324" s="28">
        <f t="shared" si="35"/>
        <v>2661.2099807167328</v>
      </c>
      <c r="C324" s="28">
        <f t="shared" si="29"/>
        <v>2060.3171869421194</v>
      </c>
      <c r="D324" s="28">
        <f t="shared" si="31"/>
        <v>600.89279377461332</v>
      </c>
      <c r="E324" s="28"/>
      <c r="F324" s="28">
        <f t="shared" si="32"/>
        <v>100949.87603156302</v>
      </c>
      <c r="G324" s="28">
        <f t="shared" si="33"/>
        <v>299050.12396843726</v>
      </c>
      <c r="H324" s="28">
        <f t="shared" si="34"/>
        <v>544553.43991876743</v>
      </c>
    </row>
    <row r="325" spans="1:8" x14ac:dyDescent="0.25">
      <c r="A325" s="24">
        <f t="shared" si="30"/>
        <v>318</v>
      </c>
      <c r="B325" s="28">
        <f t="shared" si="35"/>
        <v>2661.2099807167328</v>
      </c>
      <c r="C325" s="28">
        <f t="shared" si="29"/>
        <v>2072.3357038659487</v>
      </c>
      <c r="D325" s="28">
        <f t="shared" si="31"/>
        <v>588.87427685078433</v>
      </c>
      <c r="E325" s="28"/>
      <c r="F325" s="28">
        <f t="shared" si="32"/>
        <v>98877.540327697076</v>
      </c>
      <c r="G325" s="28">
        <f t="shared" si="33"/>
        <v>301122.45967230323</v>
      </c>
      <c r="H325" s="28">
        <f t="shared" si="34"/>
        <v>545142.31419561827</v>
      </c>
    </row>
    <row r="326" spans="1:8" x14ac:dyDescent="0.25">
      <c r="A326" s="24">
        <f t="shared" si="30"/>
        <v>319</v>
      </c>
      <c r="B326" s="28">
        <f t="shared" si="35"/>
        <v>2661.2099807167328</v>
      </c>
      <c r="C326" s="28">
        <f t="shared" si="29"/>
        <v>2084.4243288051666</v>
      </c>
      <c r="D326" s="28">
        <f t="shared" si="31"/>
        <v>576.78565191156633</v>
      </c>
      <c r="E326" s="28"/>
      <c r="F326" s="28">
        <f t="shared" si="32"/>
        <v>96793.11599889191</v>
      </c>
      <c r="G326" s="28">
        <f t="shared" si="33"/>
        <v>303206.88400110841</v>
      </c>
      <c r="H326" s="28">
        <f t="shared" si="34"/>
        <v>545719.09984752978</v>
      </c>
    </row>
    <row r="327" spans="1:8" x14ac:dyDescent="0.25">
      <c r="A327" s="24">
        <f t="shared" si="30"/>
        <v>320</v>
      </c>
      <c r="B327" s="28">
        <f t="shared" si="35"/>
        <v>2661.2099807167328</v>
      </c>
      <c r="C327" s="28">
        <f t="shared" si="29"/>
        <v>2096.5834707231966</v>
      </c>
      <c r="D327" s="28">
        <f t="shared" si="31"/>
        <v>564.62650999353616</v>
      </c>
      <c r="E327" s="28"/>
      <c r="F327" s="28">
        <f t="shared" si="32"/>
        <v>94696.532528168711</v>
      </c>
      <c r="G327" s="28">
        <f t="shared" si="33"/>
        <v>305303.46747183159</v>
      </c>
      <c r="H327" s="28">
        <f t="shared" si="34"/>
        <v>546283.72635752335</v>
      </c>
    </row>
    <row r="328" spans="1:8" x14ac:dyDescent="0.25">
      <c r="A328" s="24">
        <f t="shared" si="30"/>
        <v>321</v>
      </c>
      <c r="B328" s="28">
        <f t="shared" si="35"/>
        <v>2661.2099807167328</v>
      </c>
      <c r="C328" s="28">
        <f t="shared" si="29"/>
        <v>2108.8135409690822</v>
      </c>
      <c r="D328" s="28">
        <f t="shared" si="31"/>
        <v>552.3964397476509</v>
      </c>
      <c r="E328" s="28"/>
      <c r="F328" s="28">
        <f t="shared" si="32"/>
        <v>92587.718987199623</v>
      </c>
      <c r="G328" s="28">
        <f t="shared" si="33"/>
        <v>307412.2810128007</v>
      </c>
      <c r="H328" s="28">
        <f t="shared" si="34"/>
        <v>546836.122797271</v>
      </c>
    </row>
    <row r="329" spans="1:8" x14ac:dyDescent="0.25">
      <c r="A329" s="24">
        <f t="shared" si="30"/>
        <v>322</v>
      </c>
      <c r="B329" s="28">
        <f t="shared" si="35"/>
        <v>2661.2099807167328</v>
      </c>
      <c r="C329" s="28">
        <f t="shared" ref="C329:C367" si="36">IF(A329="","",B329-D329)</f>
        <v>2121.1149532914014</v>
      </c>
      <c r="D329" s="28">
        <f t="shared" si="31"/>
        <v>540.09502742533118</v>
      </c>
      <c r="E329" s="28"/>
      <c r="F329" s="28">
        <f t="shared" si="32"/>
        <v>90466.604033908225</v>
      </c>
      <c r="G329" s="28">
        <f t="shared" si="33"/>
        <v>309533.39596609212</v>
      </c>
      <c r="H329" s="28">
        <f t="shared" si="34"/>
        <v>547376.21782469633</v>
      </c>
    </row>
    <row r="330" spans="1:8" x14ac:dyDescent="0.25">
      <c r="A330" s="24">
        <f t="shared" ref="A330:A367" si="37">IF(OR(F329&lt;0.01,F329=""),"",A329+1)</f>
        <v>323</v>
      </c>
      <c r="B330" s="28">
        <f t="shared" si="35"/>
        <v>2661.2099807167328</v>
      </c>
      <c r="C330" s="28">
        <f t="shared" si="36"/>
        <v>2133.488123852268</v>
      </c>
      <c r="D330" s="28">
        <f t="shared" ref="D330:D367" si="38">IF(A330="","",F329*$B$4/12)</f>
        <v>527.72185686446471</v>
      </c>
      <c r="E330" s="28"/>
      <c r="F330" s="28">
        <f t="shared" si="32"/>
        <v>88333.11591005596</v>
      </c>
      <c r="G330" s="28">
        <f t="shared" si="33"/>
        <v>311666.88408994442</v>
      </c>
      <c r="H330" s="28">
        <f t="shared" si="34"/>
        <v>547903.93968156085</v>
      </c>
    </row>
    <row r="331" spans="1:8" x14ac:dyDescent="0.25">
      <c r="A331" s="24">
        <f t="shared" si="37"/>
        <v>324</v>
      </c>
      <c r="B331" s="28">
        <f t="shared" si="35"/>
        <v>2661.2099807167328</v>
      </c>
      <c r="C331" s="28">
        <f t="shared" si="36"/>
        <v>2145.9334712414066</v>
      </c>
      <c r="D331" s="28">
        <f t="shared" si="38"/>
        <v>515.27650947532641</v>
      </c>
      <c r="E331" s="28"/>
      <c r="F331" s="28">
        <f t="shared" si="32"/>
        <v>86187.182438814547</v>
      </c>
      <c r="G331" s="28">
        <f t="shared" si="33"/>
        <v>313812.8175611858</v>
      </c>
      <c r="H331" s="28">
        <f t="shared" si="34"/>
        <v>548419.21619103616</v>
      </c>
    </row>
    <row r="332" spans="1:8" x14ac:dyDescent="0.25">
      <c r="A332" s="24">
        <f t="shared" si="37"/>
        <v>325</v>
      </c>
      <c r="B332" s="28">
        <f t="shared" si="35"/>
        <v>2661.2099807167328</v>
      </c>
      <c r="C332" s="28">
        <f t="shared" si="36"/>
        <v>2158.4514164903148</v>
      </c>
      <c r="D332" s="28">
        <f t="shared" si="38"/>
        <v>502.75856422641823</v>
      </c>
      <c r="E332" s="28"/>
      <c r="F332" s="28">
        <f t="shared" si="32"/>
        <v>84028.731022324238</v>
      </c>
      <c r="G332" s="28">
        <f t="shared" si="33"/>
        <v>315971.26897767611</v>
      </c>
      <c r="H332" s="28">
        <f t="shared" si="34"/>
        <v>548921.97475526261</v>
      </c>
    </row>
    <row r="333" spans="1:8" x14ac:dyDescent="0.25">
      <c r="A333" s="24">
        <f t="shared" si="37"/>
        <v>326</v>
      </c>
      <c r="B333" s="28">
        <f t="shared" si="35"/>
        <v>2661.2099807167328</v>
      </c>
      <c r="C333" s="28">
        <f t="shared" si="36"/>
        <v>2171.0423830865079</v>
      </c>
      <c r="D333" s="28">
        <f t="shared" si="38"/>
        <v>490.16759763022475</v>
      </c>
      <c r="E333" s="28"/>
      <c r="F333" s="28">
        <f t="shared" si="32"/>
        <v>81857.688639237735</v>
      </c>
      <c r="G333" s="28">
        <f t="shared" si="33"/>
        <v>318142.31136076263</v>
      </c>
      <c r="H333" s="28">
        <f t="shared" si="34"/>
        <v>549412.14235289278</v>
      </c>
    </row>
    <row r="334" spans="1:8" x14ac:dyDescent="0.25">
      <c r="A334" s="24">
        <f t="shared" si="37"/>
        <v>327</v>
      </c>
      <c r="B334" s="28">
        <f t="shared" si="35"/>
        <v>2661.2099807167328</v>
      </c>
      <c r="C334" s="28">
        <f t="shared" si="36"/>
        <v>2183.7067969878462</v>
      </c>
      <c r="D334" s="28">
        <f t="shared" si="38"/>
        <v>477.50318372888682</v>
      </c>
      <c r="E334" s="28"/>
      <c r="F334" s="28">
        <f t="shared" ref="F334:F367" si="39">IF(A334="","",IF(A334="","",F333-C334-E334))</f>
        <v>79673.981842249894</v>
      </c>
      <c r="G334" s="28">
        <f t="shared" ref="G334:G367" si="40">IF(A334="","",C334+G333+E334)</f>
        <v>320326.01815775048</v>
      </c>
      <c r="H334" s="28">
        <f t="shared" ref="H334:H367" si="41">IF(A334="","",IF(A334="","",D334+H333))</f>
        <v>549889.64553662168</v>
      </c>
    </row>
    <row r="335" spans="1:8" x14ac:dyDescent="0.25">
      <c r="A335" s="24">
        <f t="shared" si="37"/>
        <v>328</v>
      </c>
      <c r="B335" s="28">
        <f t="shared" si="35"/>
        <v>2661.2099807167328</v>
      </c>
      <c r="C335" s="28">
        <f t="shared" si="36"/>
        <v>2196.4450866369416</v>
      </c>
      <c r="D335" s="28">
        <f t="shared" si="38"/>
        <v>464.76489407979108</v>
      </c>
      <c r="E335" s="28"/>
      <c r="F335" s="28">
        <f t="shared" si="39"/>
        <v>77477.536755612949</v>
      </c>
      <c r="G335" s="28">
        <f t="shared" si="40"/>
        <v>322522.46324438741</v>
      </c>
      <c r="H335" s="28">
        <f t="shared" si="41"/>
        <v>550354.41043070145</v>
      </c>
    </row>
    <row r="336" spans="1:8" x14ac:dyDescent="0.25">
      <c r="A336" s="24">
        <f t="shared" si="37"/>
        <v>329</v>
      </c>
      <c r="B336" s="28">
        <f t="shared" si="35"/>
        <v>2661.2099807167328</v>
      </c>
      <c r="C336" s="28">
        <f t="shared" si="36"/>
        <v>2209.2576829756572</v>
      </c>
      <c r="D336" s="28">
        <f t="shared" si="38"/>
        <v>451.9522977410756</v>
      </c>
      <c r="E336" s="28"/>
      <c r="F336" s="28">
        <f t="shared" si="39"/>
        <v>75268.279072637291</v>
      </c>
      <c r="G336" s="28">
        <f t="shared" si="40"/>
        <v>324731.72092736309</v>
      </c>
      <c r="H336" s="28">
        <f t="shared" si="41"/>
        <v>550806.36272844253</v>
      </c>
    </row>
    <row r="337" spans="1:8" x14ac:dyDescent="0.25">
      <c r="A337" s="24">
        <f t="shared" si="37"/>
        <v>330</v>
      </c>
      <c r="B337" s="28">
        <f t="shared" si="35"/>
        <v>2661.2099807167328</v>
      </c>
      <c r="C337" s="28">
        <f t="shared" si="36"/>
        <v>2222.1450194596819</v>
      </c>
      <c r="D337" s="28">
        <f t="shared" si="38"/>
        <v>439.06496125705092</v>
      </c>
      <c r="E337" s="28"/>
      <c r="F337" s="28">
        <f t="shared" si="39"/>
        <v>73046.134053177608</v>
      </c>
      <c r="G337" s="28">
        <f t="shared" si="40"/>
        <v>326953.86594682274</v>
      </c>
      <c r="H337" s="28">
        <f t="shared" si="41"/>
        <v>551245.42768969957</v>
      </c>
    </row>
    <row r="338" spans="1:8" x14ac:dyDescent="0.25">
      <c r="A338" s="24">
        <f t="shared" si="37"/>
        <v>331</v>
      </c>
      <c r="B338" s="28">
        <f t="shared" si="35"/>
        <v>2661.2099807167328</v>
      </c>
      <c r="C338" s="28">
        <f t="shared" si="36"/>
        <v>2235.1075320731966</v>
      </c>
      <c r="D338" s="28">
        <f t="shared" si="38"/>
        <v>426.10244864353609</v>
      </c>
      <c r="E338" s="28"/>
      <c r="F338" s="28">
        <f t="shared" si="39"/>
        <v>70811.026521104417</v>
      </c>
      <c r="G338" s="28">
        <f t="shared" si="40"/>
        <v>329188.97347889596</v>
      </c>
      <c r="H338" s="28">
        <f t="shared" si="41"/>
        <v>551671.53013834311</v>
      </c>
    </row>
    <row r="339" spans="1:8" x14ac:dyDescent="0.25">
      <c r="A339" s="24">
        <f t="shared" si="37"/>
        <v>332</v>
      </c>
      <c r="B339" s="28">
        <f t="shared" si="35"/>
        <v>2661.2099807167328</v>
      </c>
      <c r="C339" s="28">
        <f t="shared" si="36"/>
        <v>2248.1456593436237</v>
      </c>
      <c r="D339" s="28">
        <f t="shared" si="38"/>
        <v>413.06432137310912</v>
      </c>
      <c r="E339" s="28"/>
      <c r="F339" s="28">
        <f t="shared" si="39"/>
        <v>68562.880861760787</v>
      </c>
      <c r="G339" s="28">
        <f t="shared" si="40"/>
        <v>331437.11913823959</v>
      </c>
      <c r="H339" s="28">
        <f t="shared" si="41"/>
        <v>552084.59445971623</v>
      </c>
    </row>
    <row r="340" spans="1:8" x14ac:dyDescent="0.25">
      <c r="A340" s="24">
        <f t="shared" si="37"/>
        <v>333</v>
      </c>
      <c r="B340" s="28">
        <f t="shared" ref="B340:B366" si="42">IF(A340="","",(IF(F339+(F339*$B$4/12)&lt;-PMT($B$4/12,$B$5*12,$B$3,0,0),F339+(F339*$B$4/12),-PMT($B$4/12,$B$5*12,$B$3,0,0))))</f>
        <v>2661.2099807167328</v>
      </c>
      <c r="C340" s="28">
        <f t="shared" si="36"/>
        <v>2261.2598423564614</v>
      </c>
      <c r="D340" s="28">
        <f t="shared" si="38"/>
        <v>399.9501383602713</v>
      </c>
      <c r="E340" s="28"/>
      <c r="F340" s="28">
        <f t="shared" si="39"/>
        <v>66301.621019404323</v>
      </c>
      <c r="G340" s="28">
        <f t="shared" si="40"/>
        <v>333698.37898059603</v>
      </c>
      <c r="H340" s="28">
        <f t="shared" si="41"/>
        <v>552484.54459807649</v>
      </c>
    </row>
    <row r="341" spans="1:8" x14ac:dyDescent="0.25">
      <c r="A341" s="24">
        <f t="shared" si="37"/>
        <v>334</v>
      </c>
      <c r="B341" s="28">
        <f t="shared" si="42"/>
        <v>2661.2099807167328</v>
      </c>
      <c r="C341" s="28">
        <f t="shared" si="36"/>
        <v>2274.4505247702077</v>
      </c>
      <c r="D341" s="28">
        <f t="shared" si="38"/>
        <v>386.75945594652529</v>
      </c>
      <c r="E341" s="28"/>
      <c r="F341" s="28">
        <f t="shared" si="39"/>
        <v>64027.170494634112</v>
      </c>
      <c r="G341" s="28">
        <f t="shared" si="40"/>
        <v>335972.82950536622</v>
      </c>
      <c r="H341" s="28">
        <f t="shared" si="41"/>
        <v>552871.304054023</v>
      </c>
    </row>
    <row r="342" spans="1:8" x14ac:dyDescent="0.25">
      <c r="A342" s="24">
        <f t="shared" si="37"/>
        <v>335</v>
      </c>
      <c r="B342" s="28">
        <f t="shared" si="42"/>
        <v>2661.2099807167328</v>
      </c>
      <c r="C342" s="28">
        <f t="shared" si="36"/>
        <v>2287.7181528313672</v>
      </c>
      <c r="D342" s="28">
        <f t="shared" si="38"/>
        <v>373.49182788536569</v>
      </c>
      <c r="E342" s="28"/>
      <c r="F342" s="28">
        <f t="shared" si="39"/>
        <v>61739.452341802746</v>
      </c>
      <c r="G342" s="28">
        <f t="shared" si="40"/>
        <v>338260.54765819758</v>
      </c>
      <c r="H342" s="28">
        <f t="shared" si="41"/>
        <v>553244.79588190839</v>
      </c>
    </row>
    <row r="343" spans="1:8" x14ac:dyDescent="0.25">
      <c r="A343" s="24">
        <f t="shared" si="37"/>
        <v>336</v>
      </c>
      <c r="B343" s="28">
        <f t="shared" si="42"/>
        <v>2661.2099807167328</v>
      </c>
      <c r="C343" s="28">
        <f t="shared" si="36"/>
        <v>2301.06317538955</v>
      </c>
      <c r="D343" s="28">
        <f t="shared" si="38"/>
        <v>360.14680532718268</v>
      </c>
      <c r="E343" s="28"/>
      <c r="F343" s="28">
        <f t="shared" si="39"/>
        <v>59438.389166413195</v>
      </c>
      <c r="G343" s="28">
        <f t="shared" si="40"/>
        <v>340561.61083358712</v>
      </c>
      <c r="H343" s="28">
        <f t="shared" si="41"/>
        <v>553604.94268723554</v>
      </c>
    </row>
    <row r="344" spans="1:8" x14ac:dyDescent="0.25">
      <c r="A344" s="24">
        <f t="shared" si="37"/>
        <v>337</v>
      </c>
      <c r="B344" s="28">
        <f t="shared" si="42"/>
        <v>2661.2099807167328</v>
      </c>
      <c r="C344" s="28">
        <f t="shared" si="36"/>
        <v>2314.486043912656</v>
      </c>
      <c r="D344" s="28">
        <f t="shared" si="38"/>
        <v>346.72393680407703</v>
      </c>
      <c r="E344" s="28"/>
      <c r="F344" s="28">
        <f t="shared" si="39"/>
        <v>57123.903122500538</v>
      </c>
      <c r="G344" s="28">
        <f t="shared" si="40"/>
        <v>342876.09687749977</v>
      </c>
      <c r="H344" s="28">
        <f t="shared" si="41"/>
        <v>553951.66662403964</v>
      </c>
    </row>
    <row r="345" spans="1:8" x14ac:dyDescent="0.25">
      <c r="A345" s="24">
        <f t="shared" si="37"/>
        <v>338</v>
      </c>
      <c r="B345" s="28">
        <f t="shared" si="42"/>
        <v>2661.2099807167328</v>
      </c>
      <c r="C345" s="28">
        <f t="shared" si="36"/>
        <v>2327.9872125021466</v>
      </c>
      <c r="D345" s="28">
        <f t="shared" si="38"/>
        <v>333.22276821458649</v>
      </c>
      <c r="E345" s="28"/>
      <c r="F345" s="28">
        <f t="shared" si="39"/>
        <v>54795.915909998395</v>
      </c>
      <c r="G345" s="28">
        <f t="shared" si="40"/>
        <v>345204.08409000194</v>
      </c>
      <c r="H345" s="28">
        <f t="shared" si="41"/>
        <v>554284.88939225418</v>
      </c>
    </row>
    <row r="346" spans="1:8" x14ac:dyDescent="0.25">
      <c r="A346" s="24">
        <f t="shared" si="37"/>
        <v>339</v>
      </c>
      <c r="B346" s="28">
        <f t="shared" si="42"/>
        <v>2661.2099807167328</v>
      </c>
      <c r="C346" s="28">
        <f t="shared" si="36"/>
        <v>2341.5671379084088</v>
      </c>
      <c r="D346" s="28">
        <f t="shared" si="38"/>
        <v>319.64284280832402</v>
      </c>
      <c r="E346" s="28"/>
      <c r="F346" s="28">
        <f t="shared" si="39"/>
        <v>52454.348772089987</v>
      </c>
      <c r="G346" s="28">
        <f t="shared" si="40"/>
        <v>347545.65122791036</v>
      </c>
      <c r="H346" s="28">
        <f t="shared" si="41"/>
        <v>554604.53223506245</v>
      </c>
    </row>
    <row r="347" spans="1:8" x14ac:dyDescent="0.25">
      <c r="A347" s="24">
        <f t="shared" si="37"/>
        <v>340</v>
      </c>
      <c r="B347" s="28">
        <f t="shared" si="42"/>
        <v>2661.2099807167328</v>
      </c>
      <c r="C347" s="28">
        <f t="shared" si="36"/>
        <v>2355.2262795462079</v>
      </c>
      <c r="D347" s="28">
        <f t="shared" si="38"/>
        <v>305.98370117052497</v>
      </c>
      <c r="E347" s="28"/>
      <c r="F347" s="28">
        <f t="shared" si="39"/>
        <v>50099.122492543778</v>
      </c>
      <c r="G347" s="28">
        <f t="shared" si="40"/>
        <v>349900.87750745658</v>
      </c>
      <c r="H347" s="28">
        <f t="shared" si="41"/>
        <v>554910.51593623299</v>
      </c>
    </row>
    <row r="348" spans="1:8" x14ac:dyDescent="0.25">
      <c r="A348" s="24">
        <f t="shared" si="37"/>
        <v>341</v>
      </c>
      <c r="B348" s="28">
        <f t="shared" si="42"/>
        <v>2661.2099807167328</v>
      </c>
      <c r="C348" s="28">
        <f t="shared" si="36"/>
        <v>2368.9650995102274</v>
      </c>
      <c r="D348" s="28">
        <f t="shared" si="38"/>
        <v>292.2448812065054</v>
      </c>
      <c r="E348" s="28"/>
      <c r="F348" s="28">
        <f t="shared" si="39"/>
        <v>47730.157393033551</v>
      </c>
      <c r="G348" s="28">
        <f t="shared" si="40"/>
        <v>352269.84260696679</v>
      </c>
      <c r="H348" s="28">
        <f t="shared" si="41"/>
        <v>555202.76081743953</v>
      </c>
    </row>
    <row r="349" spans="1:8" x14ac:dyDescent="0.25">
      <c r="A349" s="24">
        <f t="shared" si="37"/>
        <v>342</v>
      </c>
      <c r="B349" s="28">
        <f t="shared" si="42"/>
        <v>2661.2099807167328</v>
      </c>
      <c r="C349" s="28">
        <f t="shared" si="36"/>
        <v>2382.7840625907038</v>
      </c>
      <c r="D349" s="28">
        <f t="shared" si="38"/>
        <v>278.4259181260291</v>
      </c>
      <c r="E349" s="28"/>
      <c r="F349" s="28">
        <f t="shared" si="39"/>
        <v>45347.373330442846</v>
      </c>
      <c r="G349" s="28">
        <f t="shared" si="40"/>
        <v>354652.62666955747</v>
      </c>
      <c r="H349" s="28">
        <f t="shared" si="41"/>
        <v>555481.18673556554</v>
      </c>
    </row>
    <row r="350" spans="1:8" x14ac:dyDescent="0.25">
      <c r="A350" s="24">
        <f t="shared" si="37"/>
        <v>343</v>
      </c>
      <c r="B350" s="28">
        <f t="shared" si="42"/>
        <v>2661.2099807167328</v>
      </c>
      <c r="C350" s="28">
        <f t="shared" si="36"/>
        <v>2396.6836362891495</v>
      </c>
      <c r="D350" s="28">
        <f t="shared" si="38"/>
        <v>264.5263444275833</v>
      </c>
      <c r="E350" s="28"/>
      <c r="F350" s="28">
        <f t="shared" si="39"/>
        <v>42950.689694153698</v>
      </c>
      <c r="G350" s="28">
        <f t="shared" si="40"/>
        <v>357049.31030584662</v>
      </c>
      <c r="H350" s="28">
        <f t="shared" si="41"/>
        <v>555745.71307999315</v>
      </c>
    </row>
    <row r="351" spans="1:8" x14ac:dyDescent="0.25">
      <c r="A351" s="24">
        <f t="shared" si="37"/>
        <v>344</v>
      </c>
      <c r="B351" s="28">
        <f t="shared" si="42"/>
        <v>2661.2099807167328</v>
      </c>
      <c r="C351" s="28">
        <f t="shared" si="36"/>
        <v>2410.6642908341696</v>
      </c>
      <c r="D351" s="28">
        <f t="shared" si="38"/>
        <v>250.54568988256327</v>
      </c>
      <c r="E351" s="28"/>
      <c r="F351" s="28">
        <f t="shared" si="39"/>
        <v>40540.025403319531</v>
      </c>
      <c r="G351" s="28">
        <f t="shared" si="40"/>
        <v>359459.97459668078</v>
      </c>
      <c r="H351" s="28">
        <f t="shared" si="41"/>
        <v>555996.25876987574</v>
      </c>
    </row>
    <row r="352" spans="1:8" x14ac:dyDescent="0.25">
      <c r="A352" s="24">
        <f t="shared" si="37"/>
        <v>345</v>
      </c>
      <c r="B352" s="28">
        <f t="shared" si="42"/>
        <v>2661.2099807167328</v>
      </c>
      <c r="C352" s="28">
        <f t="shared" si="36"/>
        <v>2424.7264991973689</v>
      </c>
      <c r="D352" s="28">
        <f t="shared" si="38"/>
        <v>236.48348151936395</v>
      </c>
      <c r="E352" s="28"/>
      <c r="F352" s="28">
        <f t="shared" si="39"/>
        <v>38115.298904122159</v>
      </c>
      <c r="G352" s="28">
        <f t="shared" si="40"/>
        <v>361884.70109587815</v>
      </c>
      <c r="H352" s="28">
        <f t="shared" si="41"/>
        <v>556232.74225139513</v>
      </c>
    </row>
    <row r="353" spans="1:8" x14ac:dyDescent="0.25">
      <c r="A353" s="24">
        <f t="shared" si="37"/>
        <v>346</v>
      </c>
      <c r="B353" s="28">
        <f t="shared" si="42"/>
        <v>2661.2099807167328</v>
      </c>
      <c r="C353" s="28">
        <f t="shared" si="36"/>
        <v>2438.8707371093537</v>
      </c>
      <c r="D353" s="28">
        <f t="shared" si="38"/>
        <v>222.3392436073793</v>
      </c>
      <c r="E353" s="28"/>
      <c r="F353" s="28">
        <f t="shared" si="39"/>
        <v>35676.428167012804</v>
      </c>
      <c r="G353" s="28">
        <f t="shared" si="40"/>
        <v>364323.57183298748</v>
      </c>
      <c r="H353" s="28">
        <f t="shared" si="41"/>
        <v>556455.08149500249</v>
      </c>
    </row>
    <row r="354" spans="1:8" x14ac:dyDescent="0.25">
      <c r="A354" s="24">
        <f t="shared" si="37"/>
        <v>347</v>
      </c>
      <c r="B354" s="28">
        <f t="shared" si="42"/>
        <v>2661.2099807167328</v>
      </c>
      <c r="C354" s="28">
        <f t="shared" si="36"/>
        <v>2453.097483075825</v>
      </c>
      <c r="D354" s="28">
        <f t="shared" si="38"/>
        <v>208.11249764090803</v>
      </c>
      <c r="E354" s="28"/>
      <c r="F354" s="28">
        <f t="shared" si="39"/>
        <v>33223.330683936976</v>
      </c>
      <c r="G354" s="28">
        <f t="shared" si="40"/>
        <v>366776.66931606329</v>
      </c>
      <c r="H354" s="28">
        <f t="shared" si="41"/>
        <v>556663.19399264338</v>
      </c>
    </row>
    <row r="355" spans="1:8" x14ac:dyDescent="0.25">
      <c r="A355" s="24">
        <f t="shared" si="37"/>
        <v>348</v>
      </c>
      <c r="B355" s="28">
        <f t="shared" si="42"/>
        <v>2661.2099807167328</v>
      </c>
      <c r="C355" s="28">
        <f t="shared" si="36"/>
        <v>2467.4072183937669</v>
      </c>
      <c r="D355" s="28">
        <f t="shared" si="38"/>
        <v>193.80276232296572</v>
      </c>
      <c r="E355" s="28"/>
      <c r="F355" s="28">
        <f t="shared" si="39"/>
        <v>30755.923465543208</v>
      </c>
      <c r="G355" s="28">
        <f t="shared" si="40"/>
        <v>369244.07653445704</v>
      </c>
      <c r="H355" s="28">
        <f t="shared" si="41"/>
        <v>556856.99675496633</v>
      </c>
    </row>
    <row r="356" spans="1:8" x14ac:dyDescent="0.25">
      <c r="A356" s="24">
        <f t="shared" si="37"/>
        <v>349</v>
      </c>
      <c r="B356" s="28">
        <f t="shared" si="42"/>
        <v>2661.2099807167328</v>
      </c>
      <c r="C356" s="28">
        <f t="shared" si="36"/>
        <v>2481.800427167731</v>
      </c>
      <c r="D356" s="28">
        <f t="shared" si="38"/>
        <v>179.40955354900208</v>
      </c>
      <c r="E356" s="28"/>
      <c r="F356" s="28">
        <f t="shared" si="39"/>
        <v>28274.123038375477</v>
      </c>
      <c r="G356" s="28">
        <f t="shared" si="40"/>
        <v>371725.87696162477</v>
      </c>
      <c r="H356" s="28">
        <f t="shared" si="41"/>
        <v>557036.40630851535</v>
      </c>
    </row>
    <row r="357" spans="1:8" x14ac:dyDescent="0.25">
      <c r="A357" s="24">
        <f t="shared" si="37"/>
        <v>350</v>
      </c>
      <c r="B357" s="28">
        <f t="shared" si="42"/>
        <v>2661.2099807167328</v>
      </c>
      <c r="C357" s="28">
        <f t="shared" si="36"/>
        <v>2496.2775963262093</v>
      </c>
      <c r="D357" s="28">
        <f t="shared" si="38"/>
        <v>164.93238439052365</v>
      </c>
      <c r="E357" s="28"/>
      <c r="F357" s="28">
        <f t="shared" si="39"/>
        <v>25777.845442049267</v>
      </c>
      <c r="G357" s="28">
        <f t="shared" si="40"/>
        <v>374222.15455795097</v>
      </c>
      <c r="H357" s="28">
        <f t="shared" si="41"/>
        <v>557201.33869290585</v>
      </c>
    </row>
    <row r="358" spans="1:8" x14ac:dyDescent="0.25">
      <c r="A358" s="24">
        <f t="shared" si="37"/>
        <v>351</v>
      </c>
      <c r="B358" s="28">
        <f t="shared" si="42"/>
        <v>2661.2099807167328</v>
      </c>
      <c r="C358" s="28">
        <f t="shared" si="36"/>
        <v>2510.8392156381119</v>
      </c>
      <c r="D358" s="28">
        <f t="shared" si="38"/>
        <v>150.37076507862074</v>
      </c>
      <c r="E358" s="28"/>
      <c r="F358" s="28">
        <f t="shared" si="39"/>
        <v>23267.006226411155</v>
      </c>
      <c r="G358" s="28">
        <f t="shared" si="40"/>
        <v>376732.99377358909</v>
      </c>
      <c r="H358" s="28">
        <f t="shared" si="41"/>
        <v>557351.70945798443</v>
      </c>
    </row>
    <row r="359" spans="1:8" x14ac:dyDescent="0.25">
      <c r="A359" s="24">
        <f t="shared" si="37"/>
        <v>352</v>
      </c>
      <c r="B359" s="28">
        <f t="shared" si="42"/>
        <v>2661.2099807167328</v>
      </c>
      <c r="C359" s="28">
        <f t="shared" si="36"/>
        <v>2525.4857777293346</v>
      </c>
      <c r="D359" s="28">
        <f t="shared" si="38"/>
        <v>135.7242029873984</v>
      </c>
      <c r="E359" s="28"/>
      <c r="F359" s="28">
        <f t="shared" si="39"/>
        <v>20741.520448681818</v>
      </c>
      <c r="G359" s="28">
        <f t="shared" si="40"/>
        <v>379258.47955131839</v>
      </c>
      <c r="H359" s="28">
        <f t="shared" si="41"/>
        <v>557487.43366097182</v>
      </c>
    </row>
    <row r="360" spans="1:8" x14ac:dyDescent="0.25">
      <c r="A360" s="24">
        <f t="shared" si="37"/>
        <v>353</v>
      </c>
      <c r="B360" s="28">
        <f t="shared" si="42"/>
        <v>2661.2099807167328</v>
      </c>
      <c r="C360" s="28">
        <f t="shared" si="36"/>
        <v>2540.217778099422</v>
      </c>
      <c r="D360" s="28">
        <f t="shared" si="38"/>
        <v>120.99220261731062</v>
      </c>
      <c r="E360" s="28"/>
      <c r="F360" s="28">
        <f t="shared" si="39"/>
        <v>18201.302670582398</v>
      </c>
      <c r="G360" s="28">
        <f t="shared" si="40"/>
        <v>381798.6973294178</v>
      </c>
      <c r="H360" s="28">
        <f t="shared" si="41"/>
        <v>557608.42586358916</v>
      </c>
    </row>
    <row r="361" spans="1:8" x14ac:dyDescent="0.25">
      <c r="A361" s="24">
        <f t="shared" si="37"/>
        <v>354</v>
      </c>
      <c r="B361" s="28">
        <f t="shared" si="42"/>
        <v>2661.2099807167328</v>
      </c>
      <c r="C361" s="28">
        <f t="shared" si="36"/>
        <v>2555.0357151383355</v>
      </c>
      <c r="D361" s="28">
        <f t="shared" si="38"/>
        <v>106.17426557839734</v>
      </c>
      <c r="E361" s="28"/>
      <c r="F361" s="28">
        <f t="shared" si="39"/>
        <v>15646.266955444062</v>
      </c>
      <c r="G361" s="28">
        <f t="shared" si="40"/>
        <v>384353.73304455611</v>
      </c>
      <c r="H361" s="28">
        <f t="shared" si="41"/>
        <v>557714.60012916755</v>
      </c>
    </row>
    <row r="362" spans="1:8" x14ac:dyDescent="0.25">
      <c r="A362" s="24">
        <f t="shared" si="37"/>
        <v>355</v>
      </c>
      <c r="B362" s="28">
        <f t="shared" si="42"/>
        <v>2661.2099807167328</v>
      </c>
      <c r="C362" s="28">
        <f t="shared" si="36"/>
        <v>2569.9400901433091</v>
      </c>
      <c r="D362" s="28">
        <f t="shared" si="38"/>
        <v>91.269890573423709</v>
      </c>
      <c r="E362" s="28"/>
      <c r="F362" s="28">
        <f t="shared" si="39"/>
        <v>13076.326865300753</v>
      </c>
      <c r="G362" s="28">
        <f t="shared" si="40"/>
        <v>386923.67313469941</v>
      </c>
      <c r="H362" s="28">
        <f t="shared" si="41"/>
        <v>557805.87001974101</v>
      </c>
    </row>
    <row r="363" spans="1:8" x14ac:dyDescent="0.25">
      <c r="A363" s="24">
        <f t="shared" si="37"/>
        <v>356</v>
      </c>
      <c r="B363" s="28">
        <f>IF(A363="","",(IF(F362+(F362*$B$4/12)&lt;-PMT($B$4/12,$B$5*12,$B$3,0,0),F362+(F362*$B$4/12),-PMT($B$4/12,$B$5*12,$B$3,0,0))))</f>
        <v>2661.2099807167328</v>
      </c>
      <c r="C363" s="28">
        <f>IF(A363="","",B363-D363)</f>
        <v>2584.9314073358119</v>
      </c>
      <c r="D363" s="28">
        <f t="shared" si="38"/>
        <v>76.27857338092106</v>
      </c>
      <c r="E363" s="28"/>
      <c r="F363" s="28">
        <f t="shared" si="39"/>
        <v>10491.39545796494</v>
      </c>
      <c r="G363" s="28">
        <f t="shared" si="40"/>
        <v>389508.6045420352</v>
      </c>
      <c r="H363" s="28">
        <f t="shared" si="41"/>
        <v>557882.14859312191</v>
      </c>
    </row>
    <row r="364" spans="1:8" x14ac:dyDescent="0.25">
      <c r="A364" s="24">
        <f t="shared" si="37"/>
        <v>357</v>
      </c>
      <c r="B364" s="28">
        <f t="shared" si="42"/>
        <v>2661.2099807167328</v>
      </c>
      <c r="C364" s="28">
        <f t="shared" si="36"/>
        <v>2600.0101738786038</v>
      </c>
      <c r="D364" s="28">
        <f t="shared" si="38"/>
        <v>61.199806838128815</v>
      </c>
      <c r="E364" s="28"/>
      <c r="F364" s="28">
        <f t="shared" si="39"/>
        <v>7891.3852840863365</v>
      </c>
      <c r="G364" s="28">
        <f t="shared" si="40"/>
        <v>392108.61471591383</v>
      </c>
      <c r="H364" s="28">
        <f t="shared" si="41"/>
        <v>557943.34839996009</v>
      </c>
    </row>
    <row r="365" spans="1:8" x14ac:dyDescent="0.25">
      <c r="A365" s="24">
        <f t="shared" si="37"/>
        <v>358</v>
      </c>
      <c r="B365" s="28">
        <f t="shared" si="42"/>
        <v>2661.2099807167328</v>
      </c>
      <c r="C365" s="28">
        <f t="shared" si="36"/>
        <v>2615.176899892896</v>
      </c>
      <c r="D365" s="28">
        <f t="shared" si="38"/>
        <v>46.033080823836968</v>
      </c>
      <c r="E365" s="28"/>
      <c r="F365" s="28">
        <f t="shared" si="39"/>
        <v>5276.20838419344</v>
      </c>
      <c r="G365" s="28">
        <f t="shared" si="40"/>
        <v>394723.79161580675</v>
      </c>
      <c r="H365" s="28">
        <f t="shared" si="41"/>
        <v>557989.38148078392</v>
      </c>
    </row>
    <row r="366" spans="1:8" x14ac:dyDescent="0.25">
      <c r="A366" s="24">
        <f t="shared" si="37"/>
        <v>359</v>
      </c>
      <c r="B366" s="28">
        <f t="shared" si="42"/>
        <v>2661.2099807167328</v>
      </c>
      <c r="C366" s="28">
        <f t="shared" si="36"/>
        <v>2630.4320984756046</v>
      </c>
      <c r="D366" s="28">
        <f t="shared" si="38"/>
        <v>30.777882241128406</v>
      </c>
      <c r="E366" s="28"/>
      <c r="F366" s="28">
        <f t="shared" si="39"/>
        <v>2645.7762857178354</v>
      </c>
      <c r="G366" s="28">
        <f t="shared" si="40"/>
        <v>397354.22371428233</v>
      </c>
      <c r="H366" s="28">
        <f t="shared" si="41"/>
        <v>558020.1593630251</v>
      </c>
    </row>
    <row r="367" spans="1:8" x14ac:dyDescent="0.25">
      <c r="A367" s="24">
        <f t="shared" si="37"/>
        <v>360</v>
      </c>
      <c r="B367" s="28">
        <f>IF(A367="","",(IF(F366+(F366*$B$4/12)&lt;-PMT($B$4/12,$B$5*12,$B$3,0,0),F366+(F366*$B$4/12),-PMT($B$4/12,$B$5*12,$B$3,0,0))))</f>
        <v>2661.2099807167328</v>
      </c>
      <c r="C367" s="28">
        <f t="shared" si="36"/>
        <v>2645.7762857167122</v>
      </c>
      <c r="D367" s="28">
        <f t="shared" si="38"/>
        <v>15.433695000020707</v>
      </c>
      <c r="E367" s="28"/>
      <c r="F367" s="28">
        <f t="shared" si="39"/>
        <v>1.1232259566895664E-9</v>
      </c>
      <c r="G367" s="28">
        <f t="shared" si="40"/>
        <v>399999.99999999907</v>
      </c>
      <c r="H367" s="28">
        <f t="shared" si="41"/>
        <v>558035.59305802512</v>
      </c>
    </row>
  </sheetData>
  <mergeCells count="1">
    <mergeCell ref="C1:D1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Forecast (Good)</vt:lpstr>
      <vt:lpstr>Forecast (Optimistic)</vt:lpstr>
      <vt:lpstr>junk</vt:lpstr>
      <vt:lpstr>Forecast (Bankruptcy Payoff)</vt:lpstr>
      <vt:lpstr>Amort Table</vt:lpstr>
      <vt:lpstr>'Forecast (Good)'!Print_Area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2013-12-20T15:38:07Z</dcterms:created>
  <dcterms:modified xsi:type="dcterms:W3CDTF">2019-07-31T21:34:52Z</dcterms:modified>
</cp:coreProperties>
</file>