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0" yWindow="0" windowWidth="15600" windowHeight="7755" tabRatio="833"/>
  </bookViews>
  <sheets>
    <sheet name="GunShop with Expansion Option" sheetId="1" r:id="rId1"/>
    <sheet name="Mortgage" sheetId="2" r:id="rId2"/>
    <sheet name="Bankruptcy" sheetId="7" r:id="rId3"/>
  </sheets>
  <externalReferences>
    <externalReference r:id="rId4"/>
  </externalReferences>
  <definedNames>
    <definedName name="_xlnm.Print_Area" localSheetId="2">Bankruptcy!$A$1:$Q$97</definedName>
    <definedName name="_xlnm.Print_Area" localSheetId="0">'GunShop with Expansion Option'!$A$1:$S$149</definedName>
  </definedNames>
  <calcPr calcId="152511"/>
</workbook>
</file>

<file path=xl/calcChain.xml><?xml version="1.0" encoding="utf-8"?>
<calcChain xmlns="http://schemas.openxmlformats.org/spreadsheetml/2006/main">
  <c r="C92" i="1" l="1"/>
  <c r="F47" i="1"/>
  <c r="E47" i="1"/>
  <c r="D47" i="1"/>
  <c r="G47" i="1"/>
  <c r="H47" i="1"/>
  <c r="I47" i="1"/>
  <c r="J47" i="1"/>
  <c r="K47" i="1"/>
  <c r="L47" i="1"/>
  <c r="M47" i="1"/>
  <c r="E120" i="7" l="1"/>
  <c r="R71" i="1" l="1"/>
  <c r="Q72" i="1"/>
  <c r="R72" i="1" s="1"/>
  <c r="C96" i="7" l="1"/>
  <c r="I91" i="7"/>
  <c r="H91" i="7"/>
  <c r="G91" i="7"/>
  <c r="F91" i="7"/>
  <c r="E91" i="7"/>
  <c r="D91" i="7"/>
  <c r="C91" i="7"/>
  <c r="C94" i="7" s="1"/>
  <c r="C87" i="7"/>
  <c r="I74" i="7"/>
  <c r="H74" i="7"/>
  <c r="G74" i="7"/>
  <c r="F74" i="7"/>
  <c r="E74" i="7"/>
  <c r="D74" i="7"/>
  <c r="F111" i="7"/>
  <c r="C111" i="7"/>
  <c r="E136" i="7"/>
  <c r="F110" i="7"/>
  <c r="I71" i="7"/>
  <c r="I82" i="7" s="1"/>
  <c r="H71" i="7"/>
  <c r="G71" i="7"/>
  <c r="F71" i="7"/>
  <c r="E71" i="7"/>
  <c r="D71" i="7"/>
  <c r="C82" i="7" s="1"/>
  <c r="C85" i="7" s="1"/>
  <c r="D63" i="7"/>
  <c r="E63" i="7" s="1"/>
  <c r="F63" i="7" s="1"/>
  <c r="G63" i="7" s="1"/>
  <c r="H63" i="7" s="1"/>
  <c r="I62" i="7"/>
  <c r="D126" i="7" s="1"/>
  <c r="H62" i="7"/>
  <c r="G62" i="7"/>
  <c r="F62" i="7"/>
  <c r="E62" i="7"/>
  <c r="D62" i="7"/>
  <c r="H45" i="7" s="1"/>
  <c r="D125" i="7"/>
  <c r="D58" i="7"/>
  <c r="I55" i="7"/>
  <c r="E119" i="7" s="1"/>
  <c r="H55" i="7"/>
  <c r="G55" i="7"/>
  <c r="F55" i="7"/>
  <c r="E55" i="7"/>
  <c r="D55" i="7"/>
  <c r="I47" i="7"/>
  <c r="I93" i="7" s="1"/>
  <c r="H47" i="7"/>
  <c r="H93" i="7" s="1"/>
  <c r="G47" i="7"/>
  <c r="G93" i="7" s="1"/>
  <c r="F47" i="7"/>
  <c r="F93" i="7" s="1"/>
  <c r="E47" i="7"/>
  <c r="E93" i="7" s="1"/>
  <c r="D47" i="7"/>
  <c r="D93" i="7" s="1"/>
  <c r="I46" i="7"/>
  <c r="I84" i="7" s="1"/>
  <c r="H46" i="7"/>
  <c r="H84" i="7" s="1"/>
  <c r="G46" i="7"/>
  <c r="G84" i="7" s="1"/>
  <c r="F46" i="7"/>
  <c r="F84" i="7" s="1"/>
  <c r="E46" i="7"/>
  <c r="E84" i="7" s="1"/>
  <c r="D46" i="7"/>
  <c r="D84" i="7" s="1"/>
  <c r="D43" i="7"/>
  <c r="E43" i="7" s="1"/>
  <c r="F43" i="7" s="1"/>
  <c r="G43" i="7" s="1"/>
  <c r="H43" i="7" s="1"/>
  <c r="I43" i="7" s="1"/>
  <c r="B43" i="7"/>
  <c r="B42" i="7"/>
  <c r="D38" i="7"/>
  <c r="D35" i="7"/>
  <c r="D34" i="7"/>
  <c r="C24" i="7"/>
  <c r="C12" i="7"/>
  <c r="C10" i="7"/>
  <c r="D42" i="7" s="1"/>
  <c r="E42" i="7" s="1"/>
  <c r="F42" i="7" s="1"/>
  <c r="G42" i="7" s="1"/>
  <c r="H42" i="7" s="1"/>
  <c r="I42" i="7" s="1"/>
  <c r="D9" i="7"/>
  <c r="D39" i="7" s="1"/>
  <c r="E8" i="7"/>
  <c r="F8" i="7" s="1"/>
  <c r="E7" i="7"/>
  <c r="F7" i="7" s="1"/>
  <c r="E6" i="7"/>
  <c r="F6" i="7" s="1"/>
  <c r="G6" i="7" s="1"/>
  <c r="H6" i="7" s="1"/>
  <c r="I6" i="7" s="1"/>
  <c r="E5" i="7"/>
  <c r="E4" i="7"/>
  <c r="F4" i="7" s="1"/>
  <c r="G4" i="7" s="1"/>
  <c r="H4" i="7" s="1"/>
  <c r="I4" i="7" s="1"/>
  <c r="E3" i="7"/>
  <c r="F3" i="7" s="1"/>
  <c r="G3" i="7" s="1"/>
  <c r="E45" i="7" l="1"/>
  <c r="G94" i="7"/>
  <c r="G45" i="7"/>
  <c r="I45" i="7"/>
  <c r="E38" i="7"/>
  <c r="E82" i="7"/>
  <c r="G82" i="7"/>
  <c r="G85" i="7" s="1"/>
  <c r="E94" i="7"/>
  <c r="I94" i="7"/>
  <c r="E58" i="7"/>
  <c r="F5" i="7"/>
  <c r="G5" i="7" s="1"/>
  <c r="E35" i="7"/>
  <c r="D45" i="7"/>
  <c r="D49" i="7" s="1"/>
  <c r="F45" i="7"/>
  <c r="D94" i="7"/>
  <c r="F94" i="7"/>
  <c r="H94" i="7"/>
  <c r="E85" i="7"/>
  <c r="F9" i="7"/>
  <c r="F39" i="7" s="1"/>
  <c r="G8" i="7"/>
  <c r="G34" i="7"/>
  <c r="H3" i="7"/>
  <c r="F38" i="7"/>
  <c r="F68" i="7" s="1"/>
  <c r="F35" i="7"/>
  <c r="E9" i="7"/>
  <c r="E39" i="7" s="1"/>
  <c r="E68" i="7" s="1"/>
  <c r="H60" i="7"/>
  <c r="F60" i="7"/>
  <c r="D60" i="7"/>
  <c r="D57" i="7"/>
  <c r="F34" i="7"/>
  <c r="G60" i="7"/>
  <c r="D82" i="7"/>
  <c r="D85" i="7" s="1"/>
  <c r="H82" i="7"/>
  <c r="H85" i="7" s="1"/>
  <c r="G7" i="7"/>
  <c r="E12" i="7"/>
  <c r="D68" i="7"/>
  <c r="E34" i="7"/>
  <c r="E60" i="7"/>
  <c r="I60" i="7"/>
  <c r="D124" i="7" s="1"/>
  <c r="D133" i="7" s="1"/>
  <c r="D135" i="7" s="1"/>
  <c r="E135" i="7" s="1"/>
  <c r="I63" i="7"/>
  <c r="C113" i="7"/>
  <c r="F82" i="7"/>
  <c r="F85" i="7" s="1"/>
  <c r="C110" i="7"/>
  <c r="F58" i="7" l="1"/>
  <c r="C95" i="7"/>
  <c r="C97" i="7" s="1"/>
  <c r="D65" i="7"/>
  <c r="E137" i="7"/>
  <c r="F136" i="7" s="1"/>
  <c r="G38" i="7"/>
  <c r="H5" i="7"/>
  <c r="D50" i="7"/>
  <c r="D69" i="7" s="1"/>
  <c r="G57" i="7"/>
  <c r="H8" i="7"/>
  <c r="G9" i="7"/>
  <c r="G39" i="7" s="1"/>
  <c r="E57" i="7"/>
  <c r="E65" i="7" s="1"/>
  <c r="E49" i="7"/>
  <c r="C16" i="7"/>
  <c r="E13" i="7" s="1"/>
  <c r="G35" i="7"/>
  <c r="H7" i="7"/>
  <c r="F57" i="7"/>
  <c r="F49" i="7"/>
  <c r="H58" i="7"/>
  <c r="I3" i="7"/>
  <c r="H34" i="7"/>
  <c r="G58" i="7"/>
  <c r="F65" i="7" l="1"/>
  <c r="G49" i="7"/>
  <c r="G50" i="7" s="1"/>
  <c r="G69" i="7" s="1"/>
  <c r="G65" i="7"/>
  <c r="D51" i="7"/>
  <c r="D75" i="7" s="1"/>
  <c r="D77" i="7" s="1"/>
  <c r="D78" i="7" s="1"/>
  <c r="H57" i="7"/>
  <c r="H65" i="7" s="1"/>
  <c r="I34" i="7"/>
  <c r="F50" i="7"/>
  <c r="F69" i="7" s="1"/>
  <c r="H35" i="7"/>
  <c r="I7" i="7"/>
  <c r="I35" i="7" s="1"/>
  <c r="E50" i="7"/>
  <c r="E69" i="7" s="1"/>
  <c r="G68" i="7"/>
  <c r="F135" i="7"/>
  <c r="H9" i="7"/>
  <c r="H39" i="7" s="1"/>
  <c r="I8" i="7"/>
  <c r="I9" i="7" s="1"/>
  <c r="I39" i="7" s="1"/>
  <c r="H38" i="7"/>
  <c r="I5" i="7"/>
  <c r="I38" i="7" s="1"/>
  <c r="H68" i="7" l="1"/>
  <c r="H49" i="7"/>
  <c r="H50" i="7" s="1"/>
  <c r="H69" i="7" s="1"/>
  <c r="F51" i="7"/>
  <c r="G51" i="7"/>
  <c r="I68" i="7"/>
  <c r="E51" i="7"/>
  <c r="E75" i="7" s="1"/>
  <c r="E77" i="7" s="1"/>
  <c r="E78" i="7" s="1"/>
  <c r="I57" i="7"/>
  <c r="E121" i="7" s="1"/>
  <c r="I49" i="7"/>
  <c r="I58" i="7"/>
  <c r="E122" i="7" s="1"/>
  <c r="F75" i="7" l="1"/>
  <c r="G75" i="7" s="1"/>
  <c r="G77" i="7" s="1"/>
  <c r="G78" i="7" s="1"/>
  <c r="I50" i="7"/>
  <c r="I69" i="7" s="1"/>
  <c r="E131" i="7" s="1"/>
  <c r="I65" i="7"/>
  <c r="H51" i="7"/>
  <c r="F77" i="7" l="1"/>
  <c r="F78" i="7" s="1"/>
  <c r="H75" i="7"/>
  <c r="H77" i="7" s="1"/>
  <c r="H78" i="7" s="1"/>
  <c r="E133" i="7"/>
  <c r="I51" i="7"/>
  <c r="I75" i="7" s="1"/>
  <c r="I77" i="7" s="1"/>
  <c r="I78" i="7" s="1"/>
  <c r="C114" i="7" l="1"/>
  <c r="C116" i="7" s="1"/>
  <c r="G136" i="7"/>
  <c r="H136" i="7" s="1"/>
  <c r="G135" i="7"/>
  <c r="H135" i="7" s="1"/>
  <c r="I83" i="7" l="1"/>
  <c r="I85" i="7" s="1"/>
  <c r="C86" i="7" s="1"/>
  <c r="C88" i="7" s="1"/>
  <c r="I135" i="7"/>
  <c r="H137" i="7"/>
  <c r="D113" i="7"/>
  <c r="D111" i="7"/>
  <c r="G111" i="7" s="1"/>
  <c r="D110" i="7"/>
  <c r="E101" i="7" l="1"/>
  <c r="F105" i="7" s="1"/>
  <c r="E113" i="7" s="1"/>
  <c r="F113" i="7" s="1"/>
  <c r="G113" i="7" s="1"/>
  <c r="G110" i="7"/>
  <c r="G115" i="7" l="1"/>
  <c r="E17" i="7" s="1"/>
  <c r="D17" i="7" s="1"/>
  <c r="C22" i="7" l="1"/>
  <c r="C12" i="1" l="1"/>
  <c r="D60" i="1" s="1"/>
  <c r="C94" i="1" l="1"/>
  <c r="M95" i="1" s="1"/>
  <c r="D58" i="1"/>
  <c r="D62" i="1"/>
  <c r="H45" i="1" s="1"/>
  <c r="C25" i="1" l="1"/>
  <c r="J45" i="1"/>
  <c r="C91" i="1"/>
  <c r="I45" i="1"/>
  <c r="D45" i="1"/>
  <c r="K45" i="1"/>
  <c r="G45" i="1"/>
  <c r="E45" i="1"/>
  <c r="F45" i="1"/>
  <c r="M45" i="1"/>
  <c r="L45" i="1"/>
  <c r="C10" i="1" l="1"/>
  <c r="E5" i="1"/>
  <c r="F5" i="1" s="1"/>
  <c r="G5" i="1" s="1"/>
  <c r="H5" i="1" s="1"/>
  <c r="I5" i="1" s="1"/>
  <c r="J5" i="1" s="1"/>
  <c r="K5" i="1" s="1"/>
  <c r="L5" i="1" s="1"/>
  <c r="M5" i="1" s="1"/>
  <c r="E60" i="1" l="1"/>
  <c r="I60" i="1"/>
  <c r="M60" i="1"/>
  <c r="F60" i="1"/>
  <c r="J60" i="1"/>
  <c r="K60" i="1"/>
  <c r="H60" i="1"/>
  <c r="L60" i="1"/>
  <c r="G60" i="1"/>
  <c r="D9" i="1"/>
  <c r="E8" i="1"/>
  <c r="F8" i="1" s="1"/>
  <c r="G8" i="1" s="1"/>
  <c r="H8" i="1" s="1"/>
  <c r="I8" i="1" s="1"/>
  <c r="J8" i="1" s="1"/>
  <c r="E7" i="1"/>
  <c r="K8" i="1" l="1"/>
  <c r="L8" i="1" s="1"/>
  <c r="M8" i="1" s="1"/>
  <c r="M9" i="1" s="1"/>
  <c r="M39" i="1" s="1"/>
  <c r="G9" i="1"/>
  <c r="G39" i="1" s="1"/>
  <c r="H9" i="1"/>
  <c r="I9" i="1"/>
  <c r="J9" i="1"/>
  <c r="J39" i="1" s="1"/>
  <c r="F7" i="1"/>
  <c r="G7" i="1" s="1"/>
  <c r="H7" i="1" s="1"/>
  <c r="I7" i="1" s="1"/>
  <c r="J7" i="1" s="1"/>
  <c r="K7" i="1" s="1"/>
  <c r="L7" i="1" s="1"/>
  <c r="M7" i="1" s="1"/>
  <c r="E3" i="1"/>
  <c r="G55" i="1"/>
  <c r="H55" i="1"/>
  <c r="I55" i="1"/>
  <c r="J55" i="1"/>
  <c r="K55" i="1"/>
  <c r="L55" i="1"/>
  <c r="M55" i="1"/>
  <c r="G62" i="1"/>
  <c r="H62" i="1"/>
  <c r="I62" i="1"/>
  <c r="J62" i="1"/>
  <c r="K62" i="1"/>
  <c r="L62" i="1"/>
  <c r="M62" i="1"/>
  <c r="G74" i="1"/>
  <c r="H74" i="1"/>
  <c r="I74" i="1"/>
  <c r="J74" i="1"/>
  <c r="K74" i="1"/>
  <c r="L74" i="1"/>
  <c r="M74" i="1"/>
  <c r="G83" i="1"/>
  <c r="G87" i="1" s="1"/>
  <c r="H83" i="1"/>
  <c r="H87" i="1" s="1"/>
  <c r="I83" i="1"/>
  <c r="I87" i="1" s="1"/>
  <c r="J83" i="1"/>
  <c r="J87" i="1" s="1"/>
  <c r="K83" i="1"/>
  <c r="K87" i="1" s="1"/>
  <c r="L83" i="1"/>
  <c r="L87" i="1" s="1"/>
  <c r="M83" i="1"/>
  <c r="M87" i="1" s="1"/>
  <c r="C24" i="1"/>
  <c r="D100" i="1"/>
  <c r="D83" i="1"/>
  <c r="D43" i="1"/>
  <c r="E43" i="1" s="1"/>
  <c r="F43" i="1" s="1"/>
  <c r="G43" i="1" s="1"/>
  <c r="H43" i="1" s="1"/>
  <c r="I43" i="1" s="1"/>
  <c r="J43" i="1" s="1"/>
  <c r="K43" i="1" s="1"/>
  <c r="L43" i="1" s="1"/>
  <c r="M43" i="1" s="1"/>
  <c r="B43" i="1"/>
  <c r="B42" i="1"/>
  <c r="D38" i="1"/>
  <c r="D35" i="1"/>
  <c r="D34" i="1"/>
  <c r="D39" i="1"/>
  <c r="E9" i="1"/>
  <c r="E39" i="1" s="1"/>
  <c r="E6" i="1"/>
  <c r="F6" i="1" s="1"/>
  <c r="G6" i="1" s="1"/>
  <c r="E4" i="1"/>
  <c r="F4" i="1" s="1"/>
  <c r="G4" i="1" s="1"/>
  <c r="D42" i="1"/>
  <c r="E42" i="1" s="1"/>
  <c r="F42" i="1" s="1"/>
  <c r="G42" i="1" s="1"/>
  <c r="H42" i="1" s="1"/>
  <c r="I42" i="1" s="1"/>
  <c r="J42" i="1" s="1"/>
  <c r="K42" i="1" s="1"/>
  <c r="L42" i="1" s="1"/>
  <c r="M42" i="1" s="1"/>
  <c r="D57" i="1" l="1"/>
  <c r="D99" i="1" s="1"/>
  <c r="D82" i="1"/>
  <c r="D68" i="1"/>
  <c r="D101" i="1" s="1"/>
  <c r="B138" i="2"/>
  <c r="B134" i="2"/>
  <c r="B130" i="2"/>
  <c r="B124" i="2"/>
  <c r="B120" i="2"/>
  <c r="B116" i="2"/>
  <c r="B110" i="2"/>
  <c r="B106" i="2"/>
  <c r="B102" i="2"/>
  <c r="B96" i="2"/>
  <c r="B92" i="2"/>
  <c r="B88" i="2"/>
  <c r="B82" i="2"/>
  <c r="B78" i="2"/>
  <c r="B74" i="2"/>
  <c r="B68" i="2"/>
  <c r="B64" i="2"/>
  <c r="B60" i="2"/>
  <c r="B2" i="2"/>
  <c r="B137" i="2"/>
  <c r="B133" i="2"/>
  <c r="B129" i="2"/>
  <c r="B123" i="2"/>
  <c r="B115" i="2"/>
  <c r="B105" i="2"/>
  <c r="B95" i="2"/>
  <c r="B87" i="2"/>
  <c r="B77" i="2"/>
  <c r="B67" i="2"/>
  <c r="B59" i="2"/>
  <c r="D2" i="2"/>
  <c r="B136" i="2"/>
  <c r="B128" i="2"/>
  <c r="B118" i="2"/>
  <c r="B108" i="2"/>
  <c r="B100" i="2"/>
  <c r="B90" i="2"/>
  <c r="B80" i="2"/>
  <c r="B72" i="2"/>
  <c r="B62" i="2"/>
  <c r="B139" i="2"/>
  <c r="B135" i="2"/>
  <c r="B131" i="2"/>
  <c r="B125" i="2"/>
  <c r="B121" i="2"/>
  <c r="B117" i="2"/>
  <c r="B111" i="2"/>
  <c r="B107" i="2"/>
  <c r="B103" i="2"/>
  <c r="B97" i="2"/>
  <c r="B93" i="2"/>
  <c r="B89" i="2"/>
  <c r="B83" i="2"/>
  <c r="B79" i="2"/>
  <c r="B75" i="2"/>
  <c r="B69" i="2"/>
  <c r="B65" i="2"/>
  <c r="B61" i="2"/>
  <c r="B58" i="2"/>
  <c r="B119" i="2"/>
  <c r="B109" i="2"/>
  <c r="B101" i="2"/>
  <c r="B91" i="2"/>
  <c r="B81" i="2"/>
  <c r="B73" i="2"/>
  <c r="B63" i="2"/>
  <c r="B132" i="2"/>
  <c r="B122" i="2"/>
  <c r="B114" i="2"/>
  <c r="B104" i="2"/>
  <c r="B94" i="2"/>
  <c r="B86" i="2"/>
  <c r="B76" i="2"/>
  <c r="B66" i="2"/>
  <c r="D58" i="2"/>
  <c r="K9" i="1"/>
  <c r="E12" i="1"/>
  <c r="C110" i="1"/>
  <c r="L9" i="1"/>
  <c r="L39" i="1" s="1"/>
  <c r="H6" i="1"/>
  <c r="I6" i="1" s="1"/>
  <c r="J6" i="1" s="1"/>
  <c r="G35" i="1"/>
  <c r="H4" i="1"/>
  <c r="I4" i="1" s="1"/>
  <c r="J4" i="1" s="1"/>
  <c r="K39" i="1"/>
  <c r="I39" i="1"/>
  <c r="H39" i="1"/>
  <c r="I35" i="1"/>
  <c r="E34" i="1"/>
  <c r="E35" i="1"/>
  <c r="F9" i="1"/>
  <c r="C126" i="1" l="1"/>
  <c r="B70" i="2"/>
  <c r="C58" i="2"/>
  <c r="B84" i="2"/>
  <c r="C2" i="2"/>
  <c r="B126" i="2"/>
  <c r="B140" i="2"/>
  <c r="E57" i="1"/>
  <c r="E99" i="1" s="1"/>
  <c r="B98" i="2"/>
  <c r="B112" i="2"/>
  <c r="H35" i="1"/>
  <c r="J35" i="1"/>
  <c r="K6" i="1"/>
  <c r="K4" i="1"/>
  <c r="F39" i="1"/>
  <c r="C137" i="1" l="1"/>
  <c r="C141" i="1"/>
  <c r="C145" i="1"/>
  <c r="L6" i="1"/>
  <c r="K35" i="1"/>
  <c r="L4" i="1"/>
  <c r="M6" i="1" l="1"/>
  <c r="M35" i="1" s="1"/>
  <c r="L35" i="1"/>
  <c r="M4" i="1"/>
  <c r="E74" i="1" l="1"/>
  <c r="F74" i="1"/>
  <c r="D74" i="1"/>
  <c r="B45" i="2"/>
  <c r="B46" i="2"/>
  <c r="B47" i="2"/>
  <c r="B48" i="2"/>
  <c r="B49" i="2"/>
  <c r="B50" i="2"/>
  <c r="B51" i="2"/>
  <c r="B52" i="2"/>
  <c r="B53" i="2"/>
  <c r="B54" i="2"/>
  <c r="B55" i="2"/>
  <c r="B44" i="2"/>
  <c r="B31" i="2"/>
  <c r="B32" i="2"/>
  <c r="B33" i="2"/>
  <c r="B34" i="2"/>
  <c r="B35" i="2"/>
  <c r="B36" i="2"/>
  <c r="B37" i="2"/>
  <c r="B38" i="2"/>
  <c r="B39" i="2"/>
  <c r="B40" i="2"/>
  <c r="B41" i="2"/>
  <c r="B30" i="2"/>
  <c r="B17" i="2"/>
  <c r="B18" i="2"/>
  <c r="B19" i="2"/>
  <c r="B20" i="2"/>
  <c r="B21" i="2"/>
  <c r="B22" i="2"/>
  <c r="B23" i="2"/>
  <c r="B24" i="2"/>
  <c r="B25" i="2"/>
  <c r="B26" i="2"/>
  <c r="B27" i="2"/>
  <c r="B16" i="2"/>
  <c r="B3" i="2"/>
  <c r="B4" i="2"/>
  <c r="B5" i="2"/>
  <c r="B6" i="2"/>
  <c r="B7" i="2"/>
  <c r="B8" i="2"/>
  <c r="B9" i="2"/>
  <c r="B10" i="2"/>
  <c r="B11" i="2"/>
  <c r="B12" i="2"/>
  <c r="B13" i="2"/>
  <c r="E62" i="1"/>
  <c r="F62" i="1"/>
  <c r="D63" i="1"/>
  <c r="E63" i="1" s="1"/>
  <c r="F63" i="1" s="1"/>
  <c r="G63" i="1" s="1"/>
  <c r="H63" i="1" s="1"/>
  <c r="I63" i="1" s="1"/>
  <c r="J63" i="1" s="1"/>
  <c r="K63" i="1" s="1"/>
  <c r="L63" i="1" s="1"/>
  <c r="M63" i="1" s="1"/>
  <c r="C16" i="1" s="1"/>
  <c r="E55" i="1"/>
  <c r="F55" i="1"/>
  <c r="D55" i="1"/>
  <c r="D87" i="1"/>
  <c r="F83" i="1"/>
  <c r="O74" i="1" l="1"/>
  <c r="O72" i="1"/>
  <c r="E13" i="1"/>
  <c r="M96" i="1" s="1"/>
  <c r="M93" i="1"/>
  <c r="E38" i="1"/>
  <c r="E58" i="1"/>
  <c r="E100" i="1" s="1"/>
  <c r="F87" i="1"/>
  <c r="D65" i="1"/>
  <c r="E83" i="1"/>
  <c r="F35" i="1"/>
  <c r="B56" i="2"/>
  <c r="B28" i="2"/>
  <c r="B42" i="2"/>
  <c r="E2" i="2"/>
  <c r="B14" i="2"/>
  <c r="D84" i="1"/>
  <c r="F3" i="1"/>
  <c r="E68" i="1" l="1"/>
  <c r="E101" i="1" s="1"/>
  <c r="E82" i="1"/>
  <c r="E84" i="1" s="1"/>
  <c r="G3" i="1"/>
  <c r="F58" i="1"/>
  <c r="F34" i="1"/>
  <c r="E87" i="1"/>
  <c r="D85" i="1"/>
  <c r="D102" i="1" s="1"/>
  <c r="F38" i="1"/>
  <c r="D3" i="2"/>
  <c r="F68" i="1" l="1"/>
  <c r="F101" i="1" s="1"/>
  <c r="F82" i="1"/>
  <c r="F84" i="1" s="1"/>
  <c r="D86" i="1"/>
  <c r="D88" i="1" s="1"/>
  <c r="H3" i="1"/>
  <c r="G58" i="1"/>
  <c r="G100" i="1" s="1"/>
  <c r="G34" i="1"/>
  <c r="G38" i="1"/>
  <c r="F100" i="1"/>
  <c r="F57" i="1"/>
  <c r="E85" i="1"/>
  <c r="E86" i="1" s="1"/>
  <c r="E88" i="1" s="1"/>
  <c r="C3" i="2"/>
  <c r="G82" i="1" l="1"/>
  <c r="G84" i="1" s="1"/>
  <c r="G85" i="1" s="1"/>
  <c r="G86" i="1" s="1"/>
  <c r="G88" i="1" s="1"/>
  <c r="G68" i="1"/>
  <c r="G101" i="1" s="1"/>
  <c r="D110" i="1"/>
  <c r="G57" i="1"/>
  <c r="G65" i="1" s="1"/>
  <c r="H34" i="1"/>
  <c r="H58" i="1"/>
  <c r="H100" i="1" s="1"/>
  <c r="I3" i="1"/>
  <c r="H38" i="1"/>
  <c r="F85" i="1"/>
  <c r="F99" i="1"/>
  <c r="E102" i="1"/>
  <c r="E3" i="2"/>
  <c r="D126" i="1" l="1"/>
  <c r="D141" i="1" s="1"/>
  <c r="H82" i="1"/>
  <c r="H84" i="1" s="1"/>
  <c r="H68" i="1"/>
  <c r="H101" i="1" s="1"/>
  <c r="G99" i="1"/>
  <c r="I34" i="1"/>
  <c r="J3" i="1"/>
  <c r="I58" i="1"/>
  <c r="I100" i="1" s="1"/>
  <c r="I38" i="1"/>
  <c r="H57" i="1"/>
  <c r="G102" i="1"/>
  <c r="F102" i="1"/>
  <c r="F86" i="1"/>
  <c r="F88" i="1" s="1"/>
  <c r="D4" i="2"/>
  <c r="E110" i="1"/>
  <c r="E126" i="1" s="1"/>
  <c r="E141" i="1" s="1"/>
  <c r="D145" i="1" l="1"/>
  <c r="D137" i="1"/>
  <c r="E145" i="1"/>
  <c r="E137" i="1"/>
  <c r="I82" i="1"/>
  <c r="I84" i="1" s="1"/>
  <c r="I85" i="1" s="1"/>
  <c r="I68" i="1"/>
  <c r="I101" i="1" s="1"/>
  <c r="G110" i="1"/>
  <c r="G126" i="1" s="1"/>
  <c r="H99" i="1"/>
  <c r="H65" i="1"/>
  <c r="K3" i="1"/>
  <c r="J38" i="1"/>
  <c r="J34" i="1"/>
  <c r="J58" i="1"/>
  <c r="J100" i="1" s="1"/>
  <c r="H85" i="1"/>
  <c r="H102" i="1" s="1"/>
  <c r="I57" i="1"/>
  <c r="C4" i="2"/>
  <c r="G145" i="1" l="1"/>
  <c r="G141" i="1"/>
  <c r="G137" i="1"/>
  <c r="J82" i="1"/>
  <c r="J68" i="1"/>
  <c r="J101" i="1" s="1"/>
  <c r="H86" i="1"/>
  <c r="H88" i="1" s="1"/>
  <c r="H110" i="1" s="1"/>
  <c r="H126" i="1" s="1"/>
  <c r="I86" i="1"/>
  <c r="I88" i="1" s="1"/>
  <c r="I102" i="1"/>
  <c r="I65" i="1"/>
  <c r="I99" i="1"/>
  <c r="J57" i="1"/>
  <c r="J84" i="1"/>
  <c r="J85" i="1" s="1"/>
  <c r="L3" i="1"/>
  <c r="K58" i="1"/>
  <c r="K100" i="1" s="1"/>
  <c r="K34" i="1"/>
  <c r="K38" i="1"/>
  <c r="E4" i="2"/>
  <c r="F110" i="1"/>
  <c r="F126" i="1" s="1"/>
  <c r="F137" i="1" l="1"/>
  <c r="F141" i="1"/>
  <c r="H145" i="1"/>
  <c r="H137" i="1"/>
  <c r="H141" i="1"/>
  <c r="F145" i="1"/>
  <c r="K82" i="1"/>
  <c r="K84" i="1" s="1"/>
  <c r="K68" i="1"/>
  <c r="K101" i="1" s="1"/>
  <c r="K57" i="1"/>
  <c r="M3" i="1"/>
  <c r="L38" i="1"/>
  <c r="L58" i="1"/>
  <c r="L100" i="1" s="1"/>
  <c r="L34" i="1"/>
  <c r="J86" i="1"/>
  <c r="J88" i="1" s="1"/>
  <c r="J102" i="1"/>
  <c r="I110" i="1"/>
  <c r="I126" i="1" s="1"/>
  <c r="J65" i="1"/>
  <c r="J99" i="1"/>
  <c r="D5" i="2"/>
  <c r="I145" i="1" l="1"/>
  <c r="I141" i="1"/>
  <c r="I137" i="1"/>
  <c r="L82" i="1"/>
  <c r="L68" i="1"/>
  <c r="L101" i="1" s="1"/>
  <c r="J110" i="1"/>
  <c r="J126" i="1" s="1"/>
  <c r="L57" i="1"/>
  <c r="L84" i="1"/>
  <c r="K65" i="1"/>
  <c r="K99" i="1"/>
  <c r="M34" i="1"/>
  <c r="M38" i="1"/>
  <c r="M68" i="1" s="1"/>
  <c r="M58" i="1"/>
  <c r="K85" i="1"/>
  <c r="K102" i="1" s="1"/>
  <c r="C5" i="2"/>
  <c r="J145" i="1" l="1"/>
  <c r="J137" i="1"/>
  <c r="J141" i="1"/>
  <c r="M82" i="1"/>
  <c r="M107" i="1"/>
  <c r="M101" i="1"/>
  <c r="K86" i="1"/>
  <c r="K88" i="1" s="1"/>
  <c r="K110" i="1" s="1"/>
  <c r="K126" i="1" s="1"/>
  <c r="L85" i="1"/>
  <c r="L102" i="1" s="1"/>
  <c r="M100" i="1"/>
  <c r="M106" i="1"/>
  <c r="M57" i="1"/>
  <c r="M84" i="1"/>
  <c r="L65" i="1"/>
  <c r="L99" i="1"/>
  <c r="E5" i="2"/>
  <c r="K145" i="1" l="1"/>
  <c r="K141" i="1"/>
  <c r="K137" i="1"/>
  <c r="M105" i="1"/>
  <c r="M99" i="1"/>
  <c r="M65" i="1"/>
  <c r="M85" i="1"/>
  <c r="M86" i="1" s="1"/>
  <c r="M88" i="1" s="1"/>
  <c r="L86" i="1"/>
  <c r="L88" i="1" s="1"/>
  <c r="L110" i="1" s="1"/>
  <c r="L126" i="1" s="1"/>
  <c r="D6" i="2"/>
  <c r="L145" i="1" l="1"/>
  <c r="L141" i="1"/>
  <c r="L137" i="1"/>
  <c r="M108" i="1"/>
  <c r="M102" i="1"/>
  <c r="C6" i="2"/>
  <c r="M110" i="1" l="1"/>
  <c r="E6" i="2"/>
  <c r="M126" i="1" l="1"/>
  <c r="C115" i="1"/>
  <c r="D7" i="2"/>
  <c r="M141" i="1" l="1"/>
  <c r="M145" i="1"/>
  <c r="M137" i="1"/>
  <c r="D17" i="1"/>
  <c r="C7" i="2"/>
  <c r="E7" i="2" s="1"/>
  <c r="D8" i="2" l="1"/>
  <c r="C8" i="2" s="1"/>
  <c r="E8" i="2" s="1"/>
  <c r="D9" i="2" l="1"/>
  <c r="C9" i="2" s="1"/>
  <c r="E9" i="2" s="1"/>
  <c r="D10" i="2" l="1"/>
  <c r="C10" i="2" s="1"/>
  <c r="E10" i="2" s="1"/>
  <c r="D11" i="2" l="1"/>
  <c r="C11" i="2" s="1"/>
  <c r="E11" i="2" s="1"/>
  <c r="D12" i="2" l="1"/>
  <c r="C12" i="2" s="1"/>
  <c r="E12" i="2" s="1"/>
  <c r="D13" i="2" l="1"/>
  <c r="C13" i="2" l="1"/>
  <c r="D14" i="2"/>
  <c r="D46" i="1" l="1"/>
  <c r="D49" i="1" s="1"/>
  <c r="D50" i="1" s="1"/>
  <c r="D69" i="1" s="1"/>
  <c r="C14" i="2"/>
  <c r="E13" i="2"/>
  <c r="E14" i="2" s="1"/>
  <c r="D16" i="2" l="1"/>
  <c r="D51" i="1"/>
  <c r="D75" i="1" s="1"/>
  <c r="D71" i="1"/>
  <c r="D77" i="1" l="1"/>
  <c r="D78" i="1" s="1"/>
  <c r="C16" i="2"/>
  <c r="E16" i="2" s="1"/>
  <c r="D17" i="2" l="1"/>
  <c r="C17" i="2" l="1"/>
  <c r="E17" i="2" l="1"/>
  <c r="D18" i="2" l="1"/>
  <c r="C18" i="2" l="1"/>
  <c r="E18" i="2" l="1"/>
  <c r="D19" i="2" l="1"/>
  <c r="C19" i="2" l="1"/>
  <c r="E19" i="2" l="1"/>
  <c r="D20" i="2" l="1"/>
  <c r="C20" i="2" l="1"/>
  <c r="E20" i="2" l="1"/>
  <c r="D21" i="2" l="1"/>
  <c r="C21" i="2" s="1"/>
  <c r="E21" i="2" s="1"/>
  <c r="D22" i="2" l="1"/>
  <c r="C22" i="2" s="1"/>
  <c r="E22" i="2" s="1"/>
  <c r="D23" i="2" l="1"/>
  <c r="C23" i="2" s="1"/>
  <c r="E23" i="2" s="1"/>
  <c r="D24" i="2" l="1"/>
  <c r="C24" i="2" s="1"/>
  <c r="E24" i="2" s="1"/>
  <c r="D25" i="2" l="1"/>
  <c r="C25" i="2" s="1"/>
  <c r="E25" i="2" s="1"/>
  <c r="D26" i="2" l="1"/>
  <c r="C26" i="2" s="1"/>
  <c r="E26" i="2" s="1"/>
  <c r="D27" i="2" l="1"/>
  <c r="C27" i="2" l="1"/>
  <c r="D28" i="2"/>
  <c r="E46" i="1" l="1"/>
  <c r="E49" i="1" s="1"/>
  <c r="E50" i="1" s="1"/>
  <c r="C28" i="2"/>
  <c r="E27" i="2"/>
  <c r="E28" i="2" s="1"/>
  <c r="E51" i="1" l="1"/>
  <c r="E75" i="1" s="1"/>
  <c r="D30" i="2"/>
  <c r="E71" i="1"/>
  <c r="C30" i="2" l="1"/>
  <c r="E69" i="1"/>
  <c r="E77" i="1" l="1"/>
  <c r="E30" i="2"/>
  <c r="D31" i="2" l="1"/>
  <c r="C31" i="2" l="1"/>
  <c r="E31" i="2" l="1"/>
  <c r="D32" i="2" l="1"/>
  <c r="C32" i="2" l="1"/>
  <c r="E32" i="2" l="1"/>
  <c r="D33" i="2" l="1"/>
  <c r="C33" i="2" l="1"/>
  <c r="E33" i="2" l="1"/>
  <c r="D34" i="2" l="1"/>
  <c r="C34" i="2" l="1"/>
  <c r="E34" i="2" l="1"/>
  <c r="D35" i="2" l="1"/>
  <c r="C35" i="2" s="1"/>
  <c r="E35" i="2" s="1"/>
  <c r="D36" i="2" l="1"/>
  <c r="C36" i="2" s="1"/>
  <c r="E36" i="2" s="1"/>
  <c r="D37" i="2" l="1"/>
  <c r="C37" i="2" s="1"/>
  <c r="E37" i="2" s="1"/>
  <c r="D38" i="2" l="1"/>
  <c r="C38" i="2" s="1"/>
  <c r="E38" i="2" s="1"/>
  <c r="D39" i="2" l="1"/>
  <c r="C39" i="2" s="1"/>
  <c r="E39" i="2" s="1"/>
  <c r="D40" i="2" l="1"/>
  <c r="C40" i="2" s="1"/>
  <c r="E40" i="2" s="1"/>
  <c r="D41" i="2" l="1"/>
  <c r="C41" i="2" l="1"/>
  <c r="D42" i="2"/>
  <c r="F46" i="1" l="1"/>
  <c r="F49" i="1" s="1"/>
  <c r="F50" i="1" s="1"/>
  <c r="C42" i="2"/>
  <c r="E41" i="2"/>
  <c r="E42" i="2" s="1"/>
  <c r="F51" i="1" l="1"/>
  <c r="F75" i="1" s="1"/>
  <c r="D44" i="2"/>
  <c r="F71" i="1"/>
  <c r="C44" i="2" l="1"/>
  <c r="E44" i="2" s="1"/>
  <c r="F69" i="1"/>
  <c r="F77" i="1" l="1"/>
  <c r="D45" i="2" l="1"/>
  <c r="C45" i="2" l="1"/>
  <c r="E45" i="2" l="1"/>
  <c r="D46" i="2" l="1"/>
  <c r="C46" i="2" l="1"/>
  <c r="E46" i="2" l="1"/>
  <c r="D47" i="2" l="1"/>
  <c r="C47" i="2" l="1"/>
  <c r="E47" i="2" l="1"/>
  <c r="D48" i="2" l="1"/>
  <c r="C48" i="2" l="1"/>
  <c r="E48" i="2" l="1"/>
  <c r="D49" i="2" l="1"/>
  <c r="C49" i="2" s="1"/>
  <c r="E49" i="2" s="1"/>
  <c r="D50" i="2" l="1"/>
  <c r="C50" i="2" s="1"/>
  <c r="E50" i="2" s="1"/>
  <c r="D51" i="2" l="1"/>
  <c r="C51" i="2" s="1"/>
  <c r="E51" i="2" s="1"/>
  <c r="D52" i="2" l="1"/>
  <c r="C52" i="2" s="1"/>
  <c r="E52" i="2" s="1"/>
  <c r="D53" i="2" l="1"/>
  <c r="C53" i="2" s="1"/>
  <c r="E53" i="2" s="1"/>
  <c r="D54" i="2" l="1"/>
  <c r="C54" i="2" s="1"/>
  <c r="E54" i="2" s="1"/>
  <c r="D55" i="2" l="1"/>
  <c r="C55" i="2" l="1"/>
  <c r="D56" i="2"/>
  <c r="G46" i="1" l="1"/>
  <c r="G49" i="1" s="1"/>
  <c r="G50" i="1" s="1"/>
  <c r="G69" i="1" s="1"/>
  <c r="C56" i="2"/>
  <c r="E55" i="2"/>
  <c r="E56" i="2" s="1"/>
  <c r="G71" i="1" l="1"/>
  <c r="E58" i="2"/>
  <c r="G51" i="1"/>
  <c r="G75" i="1" s="1"/>
  <c r="G77" i="1" l="1"/>
  <c r="G78" i="1" s="1"/>
  <c r="D59" i="2"/>
  <c r="C59" i="2" l="1"/>
  <c r="E59" i="2" l="1"/>
  <c r="D60" i="2" l="1"/>
  <c r="C60" i="2" l="1"/>
  <c r="E60" i="2" l="1"/>
  <c r="D61" i="2" l="1"/>
  <c r="C61" i="2" l="1"/>
  <c r="E61" i="2" l="1"/>
  <c r="D62" i="2" s="1"/>
  <c r="C62" i="2" l="1"/>
  <c r="E62" i="2" l="1"/>
  <c r="D63" i="2" s="1"/>
  <c r="C63" i="2" l="1"/>
  <c r="E63" i="2" l="1"/>
  <c r="D64" i="2" s="1"/>
  <c r="C64" i="2" s="1"/>
  <c r="E64" i="2" s="1"/>
  <c r="D65" i="2" s="1"/>
  <c r="C65" i="2" s="1"/>
  <c r="E65" i="2" s="1"/>
  <c r="D66" i="2" s="1"/>
  <c r="C66" i="2" s="1"/>
  <c r="E66" i="2" s="1"/>
  <c r="D67" i="2" s="1"/>
  <c r="C67" i="2" s="1"/>
  <c r="E67" i="2" s="1"/>
  <c r="D68" i="2" s="1"/>
  <c r="C68" i="2" s="1"/>
  <c r="E68" i="2" s="1"/>
  <c r="D69" i="2" l="1"/>
  <c r="C69" i="2" l="1"/>
  <c r="D70" i="2"/>
  <c r="H46" i="1" l="1"/>
  <c r="H49" i="1" s="1"/>
  <c r="H50" i="1" s="1"/>
  <c r="H69" i="1" s="1"/>
  <c r="C70" i="2"/>
  <c r="E69" i="2"/>
  <c r="E70" i="2" s="1"/>
  <c r="H71" i="1" l="1"/>
  <c r="D72" i="2"/>
  <c r="H51" i="1"/>
  <c r="H75" i="1" s="1"/>
  <c r="H77" i="1" l="1"/>
  <c r="H78" i="1" s="1"/>
  <c r="C72" i="2"/>
  <c r="E72" i="2" l="1"/>
  <c r="D73" i="2" l="1"/>
  <c r="C73" i="2" l="1"/>
  <c r="E73" i="2" l="1"/>
  <c r="D74" i="2" l="1"/>
  <c r="C74" i="2" l="1"/>
  <c r="E74" i="2" l="1"/>
  <c r="D75" i="2" l="1"/>
  <c r="C75" i="2" l="1"/>
  <c r="E75" i="2" l="1"/>
  <c r="D76" i="2" l="1"/>
  <c r="C76" i="2" l="1"/>
  <c r="E76" i="2" l="1"/>
  <c r="D77" i="2" s="1"/>
  <c r="C77" i="2" s="1"/>
  <c r="E77" i="2" s="1"/>
  <c r="D78" i="2" s="1"/>
  <c r="C78" i="2" s="1"/>
  <c r="E78" i="2" s="1"/>
  <c r="D79" i="2" s="1"/>
  <c r="C79" i="2" s="1"/>
  <c r="E79" i="2" s="1"/>
  <c r="D80" i="2" s="1"/>
  <c r="C80" i="2" s="1"/>
  <c r="E80" i="2" s="1"/>
  <c r="D81" i="2" s="1"/>
  <c r="C81" i="2" s="1"/>
  <c r="E81" i="2" s="1"/>
  <c r="D82" i="2" s="1"/>
  <c r="C82" i="2" s="1"/>
  <c r="E82" i="2" s="1"/>
  <c r="D83" i="2" l="1"/>
  <c r="C83" i="2" l="1"/>
  <c r="D84" i="2"/>
  <c r="I46" i="1" l="1"/>
  <c r="I49" i="1" s="1"/>
  <c r="I50" i="1" s="1"/>
  <c r="I69" i="1" s="1"/>
  <c r="C84" i="2"/>
  <c r="E83" i="2"/>
  <c r="E84" i="2" s="1"/>
  <c r="I71" i="1" l="1"/>
  <c r="D86" i="2"/>
  <c r="I51" i="1"/>
  <c r="I75" i="1" s="1"/>
  <c r="I77" i="1" l="1"/>
  <c r="I78" i="1" s="1"/>
  <c r="C86" i="2"/>
  <c r="E86" i="2" l="1"/>
  <c r="D87" i="2" l="1"/>
  <c r="C87" i="2" l="1"/>
  <c r="E87" i="2" l="1"/>
  <c r="D88" i="2" l="1"/>
  <c r="C88" i="2" l="1"/>
  <c r="E88" i="2" l="1"/>
  <c r="D89" i="2" l="1"/>
  <c r="C89" i="2" l="1"/>
  <c r="E89" i="2" l="1"/>
  <c r="D90" i="2" l="1"/>
  <c r="C90" i="2" l="1"/>
  <c r="E90" i="2" l="1"/>
  <c r="D91" i="2" s="1"/>
  <c r="C91" i="2" s="1"/>
  <c r="E91" i="2" s="1"/>
  <c r="D92" i="2" s="1"/>
  <c r="C92" i="2" s="1"/>
  <c r="E92" i="2" s="1"/>
  <c r="D93" i="2" s="1"/>
  <c r="C93" i="2" s="1"/>
  <c r="E93" i="2" s="1"/>
  <c r="D94" i="2" s="1"/>
  <c r="C94" i="2" s="1"/>
  <c r="E94" i="2" s="1"/>
  <c r="D95" i="2" s="1"/>
  <c r="C95" i="2" s="1"/>
  <c r="E95" i="2" s="1"/>
  <c r="D96" i="2" s="1"/>
  <c r="C96" i="2" s="1"/>
  <c r="E96" i="2" s="1"/>
  <c r="D97" i="2" l="1"/>
  <c r="C97" i="2" l="1"/>
  <c r="D98" i="2"/>
  <c r="J46" i="1" l="1"/>
  <c r="J49" i="1" s="1"/>
  <c r="J50" i="1" s="1"/>
  <c r="J69" i="1" s="1"/>
  <c r="C98" i="2"/>
  <c r="E97" i="2"/>
  <c r="E98" i="2" s="1"/>
  <c r="J71" i="1" l="1"/>
  <c r="D100" i="2"/>
  <c r="J51" i="1"/>
  <c r="J75" i="1" s="1"/>
  <c r="J77" i="1" l="1"/>
  <c r="J78" i="1" s="1"/>
  <c r="C100" i="2"/>
  <c r="E100" i="2" l="1"/>
  <c r="D101" i="2" l="1"/>
  <c r="C101" i="2" l="1"/>
  <c r="E101" i="2" l="1"/>
  <c r="D102" i="2" l="1"/>
  <c r="C102" i="2" l="1"/>
  <c r="E102" i="2" l="1"/>
  <c r="D103" i="2" l="1"/>
  <c r="C103" i="2" l="1"/>
  <c r="E103" i="2" l="1"/>
  <c r="D104" i="2" l="1"/>
  <c r="C104" i="2" l="1"/>
  <c r="E104" i="2" l="1"/>
  <c r="D105" i="2" s="1"/>
  <c r="C105" i="2" s="1"/>
  <c r="E105" i="2" s="1"/>
  <c r="D106" i="2" s="1"/>
  <c r="C106" i="2" s="1"/>
  <c r="E106" i="2" s="1"/>
  <c r="D107" i="2" s="1"/>
  <c r="C107" i="2" s="1"/>
  <c r="E107" i="2" s="1"/>
  <c r="D108" i="2" s="1"/>
  <c r="C108" i="2" s="1"/>
  <c r="E108" i="2" s="1"/>
  <c r="D109" i="2" s="1"/>
  <c r="C109" i="2" s="1"/>
  <c r="E109" i="2" s="1"/>
  <c r="D110" i="2" s="1"/>
  <c r="C110" i="2" s="1"/>
  <c r="E110" i="2" s="1"/>
  <c r="D111" i="2" l="1"/>
  <c r="C111" i="2" l="1"/>
  <c r="D112" i="2"/>
  <c r="K46" i="1" l="1"/>
  <c r="K49" i="1" s="1"/>
  <c r="K50" i="1" s="1"/>
  <c r="K69" i="1" s="1"/>
  <c r="C112" i="2"/>
  <c r="E111" i="2"/>
  <c r="E112" i="2" s="1"/>
  <c r="K71" i="1" l="1"/>
  <c r="D114" i="2"/>
  <c r="K51" i="1"/>
  <c r="K75" i="1" s="1"/>
  <c r="K77" i="1" l="1"/>
  <c r="K78" i="1" s="1"/>
  <c r="C114" i="2"/>
  <c r="E114" i="2" l="1"/>
  <c r="D115" i="2" l="1"/>
  <c r="C115" i="2" l="1"/>
  <c r="E115" i="2" l="1"/>
  <c r="D116" i="2" l="1"/>
  <c r="C116" i="2" l="1"/>
  <c r="E116" i="2" l="1"/>
  <c r="D117" i="2" l="1"/>
  <c r="C117" i="2" l="1"/>
  <c r="E117" i="2" l="1"/>
  <c r="D118" i="2" l="1"/>
  <c r="C118" i="2" l="1"/>
  <c r="E118" i="2" l="1"/>
  <c r="D119" i="2" s="1"/>
  <c r="C119" i="2" s="1"/>
  <c r="E119" i="2" s="1"/>
  <c r="D120" i="2" s="1"/>
  <c r="C120" i="2" s="1"/>
  <c r="E120" i="2" s="1"/>
  <c r="D121" i="2" s="1"/>
  <c r="C121" i="2" s="1"/>
  <c r="E121" i="2" s="1"/>
  <c r="D122" i="2" s="1"/>
  <c r="C122" i="2" s="1"/>
  <c r="E122" i="2" s="1"/>
  <c r="D123" i="2" s="1"/>
  <c r="C123" i="2" s="1"/>
  <c r="E123" i="2" s="1"/>
  <c r="D124" i="2" s="1"/>
  <c r="C124" i="2" s="1"/>
  <c r="E124" i="2" s="1"/>
  <c r="D125" i="2" l="1"/>
  <c r="C125" i="2" l="1"/>
  <c r="D126" i="2"/>
  <c r="L46" i="1" l="1"/>
  <c r="L49" i="1" s="1"/>
  <c r="L50" i="1" s="1"/>
  <c r="L69" i="1" s="1"/>
  <c r="C126" i="2"/>
  <c r="E125" i="2"/>
  <c r="E126" i="2" s="1"/>
  <c r="L71" i="1" l="1"/>
  <c r="D128" i="2"/>
  <c r="L51" i="1"/>
  <c r="L75" i="1" s="1"/>
  <c r="L77" i="1" l="1"/>
  <c r="L78" i="1" s="1"/>
  <c r="C128" i="2"/>
  <c r="E128" i="2" l="1"/>
  <c r="D129" i="2" l="1"/>
  <c r="C129" i="2" l="1"/>
  <c r="E129" i="2" l="1"/>
  <c r="D130" i="2" l="1"/>
  <c r="C130" i="2" l="1"/>
  <c r="E130" i="2" l="1"/>
  <c r="D131" i="2" l="1"/>
  <c r="C131" i="2" l="1"/>
  <c r="E131" i="2" l="1"/>
  <c r="D132" i="2" l="1"/>
  <c r="C132" i="2" l="1"/>
  <c r="E132" i="2" l="1"/>
  <c r="D133" i="2" s="1"/>
  <c r="C133" i="2" s="1"/>
  <c r="E133" i="2" s="1"/>
  <c r="D134" i="2" s="1"/>
  <c r="C134" i="2" s="1"/>
  <c r="E134" i="2" s="1"/>
  <c r="D135" i="2" s="1"/>
  <c r="C135" i="2" s="1"/>
  <c r="E135" i="2" s="1"/>
  <c r="D136" i="2" s="1"/>
  <c r="C136" i="2" s="1"/>
  <c r="E136" i="2" s="1"/>
  <c r="D137" i="2" s="1"/>
  <c r="C137" i="2" s="1"/>
  <c r="E137" i="2" s="1"/>
  <c r="D138" i="2" s="1"/>
  <c r="C138" i="2" s="1"/>
  <c r="E138" i="2" s="1"/>
  <c r="D139" i="2" l="1"/>
  <c r="C139" i="2" l="1"/>
  <c r="D140" i="2"/>
  <c r="M46" i="1" l="1"/>
  <c r="M49" i="1" s="1"/>
  <c r="M50" i="1" s="1"/>
  <c r="M69" i="1" s="1"/>
  <c r="C140" i="2"/>
  <c r="E139" i="2"/>
  <c r="E140" i="2" s="1"/>
  <c r="M71" i="1" l="1"/>
  <c r="O71" i="1" s="1"/>
  <c r="M51" i="1"/>
  <c r="M75" i="1" s="1"/>
  <c r="M77" i="1" l="1"/>
  <c r="M78" i="1" s="1"/>
  <c r="O75" i="1"/>
  <c r="O77" i="1" s="1"/>
  <c r="P72" i="1" l="1"/>
  <c r="S72" i="1" s="1"/>
  <c r="P71" i="1"/>
  <c r="S71" i="1" s="1"/>
  <c r="P74" i="1"/>
  <c r="Q62" i="1" l="1"/>
  <c r="R66" i="1" s="1"/>
  <c r="Q74" i="1" s="1"/>
  <c r="R74" i="1" s="1"/>
  <c r="S74" i="1" s="1"/>
  <c r="S76" i="1" s="1"/>
  <c r="C22" i="1" l="1"/>
  <c r="E65" i="1"/>
  <c r="E78" i="1" s="1"/>
  <c r="C112" i="1" l="1"/>
  <c r="D112" i="1"/>
  <c r="E112" i="1"/>
  <c r="G112" i="1"/>
  <c r="F112" i="1"/>
  <c r="H112" i="1"/>
  <c r="I112" i="1"/>
  <c r="J112" i="1"/>
  <c r="K112" i="1"/>
  <c r="L112" i="1"/>
  <c r="M112" i="1"/>
  <c r="E17" i="1"/>
  <c r="B120" i="1"/>
  <c r="L138" i="1" s="1"/>
  <c r="F65" i="1"/>
  <c r="K138" i="1" l="1"/>
  <c r="D146" i="1"/>
  <c r="F146" i="1"/>
  <c r="H146" i="1"/>
  <c r="J146" i="1"/>
  <c r="L146" i="1"/>
  <c r="C146" i="1"/>
  <c r="E142" i="1"/>
  <c r="I142" i="1"/>
  <c r="K142" i="1"/>
  <c r="M142" i="1"/>
  <c r="D138" i="1"/>
  <c r="G138" i="1"/>
  <c r="J138" i="1"/>
  <c r="C138" i="1"/>
  <c r="E138" i="1"/>
  <c r="I138" i="1"/>
  <c r="M138" i="1"/>
  <c r="E146" i="1"/>
  <c r="G146" i="1"/>
  <c r="I146" i="1"/>
  <c r="K146" i="1"/>
  <c r="M146" i="1"/>
  <c r="H142" i="1"/>
  <c r="J142" i="1"/>
  <c r="L142" i="1"/>
  <c r="C142" i="1"/>
  <c r="H138" i="1"/>
  <c r="D142" i="1"/>
  <c r="F142" i="1"/>
  <c r="G142" i="1"/>
  <c r="F138" i="1"/>
  <c r="C114" i="1"/>
  <c r="C128" i="1" s="1"/>
  <c r="F78" i="1"/>
  <c r="C139" i="1" l="1"/>
  <c r="C143" i="1"/>
  <c r="C147" i="1"/>
  <c r="C149" i="1" l="1"/>
</calcChain>
</file>

<file path=xl/sharedStrings.xml><?xml version="1.0" encoding="utf-8"?>
<sst xmlns="http://schemas.openxmlformats.org/spreadsheetml/2006/main" count="318" uniqueCount="136">
  <si>
    <t>INCOME STATEMENT</t>
  </si>
  <si>
    <t>Revenue</t>
  </si>
  <si>
    <t>Cost of Goods Sold</t>
  </si>
  <si>
    <t>Operating Expenses</t>
  </si>
  <si>
    <t>Depreciation</t>
  </si>
  <si>
    <t>Mortgage Loan Interest</t>
  </si>
  <si>
    <t>Extra Bank Loan Interest</t>
  </si>
  <si>
    <t>Taxable Income</t>
  </si>
  <si>
    <t>Income Tax Expense</t>
  </si>
  <si>
    <t>Net Income</t>
  </si>
  <si>
    <t>BALANCE SHEET</t>
  </si>
  <si>
    <t>Assets</t>
  </si>
  <si>
    <t>Minimum Cash Inventory</t>
  </si>
  <si>
    <t>Extra Cash Above Minimum</t>
  </si>
  <si>
    <t>Accounts Receivable</t>
  </si>
  <si>
    <t>Inventory</t>
  </si>
  <si>
    <t>Buildings</t>
  </si>
  <si>
    <t>Accumulated Depreciation</t>
  </si>
  <si>
    <t>Total Assets</t>
  </si>
  <si>
    <t>Liabilities and Owners Equity</t>
  </si>
  <si>
    <t>Accounts Payable</t>
  </si>
  <si>
    <t>Income Tax Payable</t>
  </si>
  <si>
    <t>Mortgage Loan</t>
  </si>
  <si>
    <t>Extra Bank Loan</t>
  </si>
  <si>
    <t>Common Stock</t>
  </si>
  <si>
    <t>Retained Earnings</t>
  </si>
  <si>
    <t>Total Liabilities and Owners Equity</t>
  </si>
  <si>
    <t>FCF, NPV, IRR</t>
  </si>
  <si>
    <t>Cash from Operations</t>
  </si>
  <si>
    <t>Total Cash from Operations</t>
  </si>
  <si>
    <t>Cash in/out from Capital Expenditures</t>
  </si>
  <si>
    <t>Buy Building</t>
  </si>
  <si>
    <t>Sell Building</t>
  </si>
  <si>
    <t>Cash in/out from Changes in Working Capital</t>
  </si>
  <si>
    <t>Cash in/out from Liquidation of Working Capital</t>
  </si>
  <si>
    <t>Total Free Cash Flows</t>
  </si>
  <si>
    <t>Present Value of Total Free Cash Flows</t>
  </si>
  <si>
    <t>NPV of Total Free Cash Flows</t>
  </si>
  <si>
    <t>IRR</t>
  </si>
  <si>
    <t>Jan 2014</t>
  </si>
  <si>
    <t>TOTALS</t>
  </si>
  <si>
    <t>Jan 2015</t>
  </si>
  <si>
    <t>Jan 2016</t>
  </si>
  <si>
    <t>Jan 2017</t>
  </si>
  <si>
    <t>Outside Numbers</t>
  </si>
  <si>
    <t>Extra Loan</t>
  </si>
  <si>
    <t>PMT</t>
  </si>
  <si>
    <t>Prin</t>
  </si>
  <si>
    <t>Int</t>
  </si>
  <si>
    <t>Remaining</t>
  </si>
  <si>
    <t>Operating Income</t>
  </si>
  <si>
    <t>Less Fake Depreciation</t>
  </si>
  <si>
    <t>Taxable Operating Income</t>
  </si>
  <si>
    <t>Tax on Operations Only</t>
  </si>
  <si>
    <t>After Tax Operating Income</t>
  </si>
  <si>
    <t>Add back Fake Depreciation</t>
  </si>
  <si>
    <t>Book</t>
  </si>
  <si>
    <t>Gain</t>
  </si>
  <si>
    <t>-</t>
  </si>
  <si>
    <t>+</t>
  </si>
  <si>
    <t>Building</t>
  </si>
  <si>
    <t>Gen and Admin</t>
  </si>
  <si>
    <t>yr</t>
  </si>
  <si>
    <t>Min Cash</t>
  </si>
  <si>
    <t>Bank Loan</t>
  </si>
  <si>
    <t>Year</t>
  </si>
  <si>
    <t>Guns Sold</t>
  </si>
  <si>
    <t>Price/Gun</t>
  </si>
  <si>
    <t>Cost of Guns</t>
  </si>
  <si>
    <t>Labor</t>
  </si>
  <si>
    <t>Land</t>
  </si>
  <si>
    <t>Shooting Range Yearly Membership</t>
  </si>
  <si>
    <t>Shooting Range Members</t>
  </si>
  <si>
    <t>Ammo Revenue</t>
  </si>
  <si>
    <t>Gun Revenue</t>
  </si>
  <si>
    <t>Shooting Range Revenue</t>
  </si>
  <si>
    <t>Guns</t>
  </si>
  <si>
    <t>Ammo</t>
  </si>
  <si>
    <t>Tax Rate</t>
  </si>
  <si>
    <t xml:space="preserve">Sell for </t>
  </si>
  <si>
    <t>Cost of Capital</t>
  </si>
  <si>
    <t>Loan Length</t>
  </si>
  <si>
    <t>Int Rate</t>
  </si>
  <si>
    <t>A/R Days</t>
  </si>
  <si>
    <t>Inv Days</t>
  </si>
  <si>
    <t>A/P Days</t>
  </si>
  <si>
    <t>A/P Percent</t>
  </si>
  <si>
    <t xml:space="preserve">Increasing </t>
  </si>
  <si>
    <t>Ammo Cost % of Rev</t>
  </si>
  <si>
    <t>Taxes on Sale</t>
  </si>
  <si>
    <t>Buy Land</t>
  </si>
  <si>
    <t>Sell Land</t>
  </si>
  <si>
    <t>Furnishings</t>
  </si>
  <si>
    <t>year Furnis</t>
  </si>
  <si>
    <t>CAPM for the return equity holders want</t>
  </si>
  <si>
    <t>TBIll</t>
  </si>
  <si>
    <t>S&amp;P 500</t>
  </si>
  <si>
    <t>Return equity wants</t>
  </si>
  <si>
    <t>Current years income taxes (not paid until next April)</t>
  </si>
  <si>
    <t xml:space="preserve">Average </t>
  </si>
  <si>
    <t>Proportion</t>
  </si>
  <si>
    <t>Rate</t>
  </si>
  <si>
    <t>After Tax Rate</t>
  </si>
  <si>
    <t>Weighted</t>
  </si>
  <si>
    <t>Unleveraged Beta</t>
  </si>
  <si>
    <t>Releveraged Beta</t>
  </si>
  <si>
    <t>WACC</t>
  </si>
  <si>
    <t>Free Cash Flows</t>
  </si>
  <si>
    <t>Sale at end of 10 years</t>
  </si>
  <si>
    <t>PV</t>
  </si>
  <si>
    <t>NPV</t>
  </si>
  <si>
    <t>Middle</t>
  </si>
  <si>
    <t>Bad</t>
  </si>
  <si>
    <t>Expected NPV - Whole Project</t>
  </si>
  <si>
    <t>2nd Store</t>
  </si>
  <si>
    <t>Mortgage</t>
  </si>
  <si>
    <t>Sell for</t>
  </si>
  <si>
    <t>Secured</t>
  </si>
  <si>
    <t>Unsecured</t>
  </si>
  <si>
    <t>Total</t>
  </si>
  <si>
    <t>Prop</t>
  </si>
  <si>
    <t>PAID</t>
  </si>
  <si>
    <t>Total Paid</t>
  </si>
  <si>
    <t>%</t>
  </si>
  <si>
    <t>PROMISED AND EXPECTED DEBT RETURNS</t>
  </si>
  <si>
    <t>Probability</t>
  </si>
  <si>
    <t>Balance Changes</t>
  </si>
  <si>
    <t>Paid in Bankruptcy</t>
  </si>
  <si>
    <t>Interest Payments</t>
  </si>
  <si>
    <t>IRR in Bankruptcy</t>
  </si>
  <si>
    <t>IRR outside Bankruptcy</t>
  </si>
  <si>
    <t>Expected Reutrn</t>
  </si>
  <si>
    <t>Good Expand</t>
  </si>
  <si>
    <t>Option to Expand</t>
  </si>
  <si>
    <t>year Furnishings</t>
  </si>
  <si>
    <t>Buy Furnishings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</si>
</sst>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8" formatCode="&quot;$&quot;#,##0.00_);[Red]\(&quot;$&quot;#,##0.00\)"/>
    <numFmt numFmtId="164" formatCode="_(\$* #,##0.00_);_(\$* \(#,##0.00\);_(\$* \-??_);_(@_)"/>
    <numFmt numFmtId="165" formatCode="_(\$* #,##0_);_(\$* \(#,##0\);_(\$* \-??_);_(@_)"/>
    <numFmt numFmtId="166" formatCode="0.0%"/>
    <numFmt numFmtId="167" formatCode="[$$-409]#,##0.00;[Red]\-[$$-409]#,##0.00"/>
    <numFmt numFmtId="168" formatCode="_(* #,##0.00_);_(* \(#,##0.00\);_(* \-??_);_(@_)"/>
    <numFmt numFmtId="169" formatCode="_(* #,##0_);_(* \(#,##0\);_(* &quot;-&quot;??_);_(@_)"/>
    <numFmt numFmtId="170" formatCode="_(* #,##0_);_(* \(#,##0\);_(* \-??_);_(@_)"/>
  </numFmts>
  <fonts count="12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sz val="11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  <scheme val="minor"/>
    </font>
    <font>
      <u/>
      <sz val="12"/>
      <color indexed="8"/>
      <name val="Calibri"/>
      <family val="2"/>
      <scheme val="minor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8" fontId="1" fillId="0" borderId="0"/>
    <xf numFmtId="164" fontId="1" fillId="0" borderId="0"/>
    <xf numFmtId="9" fontId="2" fillId="0" borderId="0"/>
    <xf numFmtId="0" fontId="1" fillId="0" borderId="0"/>
    <xf numFmtId="0" fontId="2" fillId="0" borderId="0"/>
  </cellStyleXfs>
  <cellXfs count="88">
    <xf numFmtId="0" fontId="0" fillId="0" borderId="0" xfId="0"/>
    <xf numFmtId="0" fontId="1" fillId="0" borderId="0" xfId="4"/>
    <xf numFmtId="0" fontId="1" fillId="2" borderId="0" xfId="4" applyFont="1" applyFill="1"/>
    <xf numFmtId="0" fontId="1" fillId="0" borderId="0" xfId="4" applyFont="1"/>
    <xf numFmtId="165" fontId="1" fillId="2" borderId="0" xfId="2" applyNumberFormat="1" applyFont="1" applyFill="1"/>
    <xf numFmtId="166" fontId="3" fillId="0" borderId="0" xfId="3" applyNumberFormat="1" applyFont="1" applyFill="1" applyBorder="1" applyAlignment="1" applyProtection="1"/>
    <xf numFmtId="0" fontId="4" fillId="2" borderId="0" xfId="4" applyFont="1" applyFill="1"/>
    <xf numFmtId="0" fontId="1" fillId="2" borderId="0" xfId="4" applyFill="1"/>
    <xf numFmtId="0" fontId="1" fillId="2" borderId="1" xfId="4" applyFill="1" applyBorder="1"/>
    <xf numFmtId="0" fontId="2" fillId="0" borderId="0" xfId="5"/>
    <xf numFmtId="10" fontId="2" fillId="0" borderId="0" xfId="5" applyNumberFormat="1"/>
    <xf numFmtId="17" fontId="2" fillId="0" borderId="0" xfId="5" applyNumberFormat="1" applyFont="1" applyAlignment="1">
      <alignment wrapText="1"/>
    </xf>
    <xf numFmtId="167" fontId="2" fillId="0" borderId="0" xfId="5" applyNumberFormat="1" applyFont="1" applyAlignment="1">
      <alignment wrapText="1"/>
    </xf>
    <xf numFmtId="0" fontId="2" fillId="0" borderId="0" xfId="5" applyFont="1" applyAlignment="1">
      <alignment wrapText="1"/>
    </xf>
    <xf numFmtId="167" fontId="2" fillId="0" borderId="0" xfId="5" applyNumberFormat="1"/>
    <xf numFmtId="0" fontId="2" fillId="0" borderId="0" xfId="5" applyNumberFormat="1"/>
    <xf numFmtId="167" fontId="5" fillId="0" borderId="0" xfId="5" applyNumberFormat="1" applyFont="1" applyAlignment="1">
      <alignment wrapText="1"/>
    </xf>
    <xf numFmtId="0" fontId="5" fillId="0" borderId="0" xfId="5" applyFont="1" applyAlignment="1">
      <alignment wrapText="1"/>
    </xf>
    <xf numFmtId="0" fontId="5" fillId="0" borderId="0" xfId="5" applyFont="1"/>
    <xf numFmtId="0" fontId="6" fillId="0" borderId="0" xfId="0" applyFont="1"/>
    <xf numFmtId="169" fontId="0" fillId="0" borderId="0" xfId="1" applyNumberFormat="1" applyFont="1"/>
    <xf numFmtId="169" fontId="0" fillId="0" borderId="0" xfId="0" applyNumberFormat="1"/>
    <xf numFmtId="9" fontId="2" fillId="0" borderId="0" xfId="3"/>
    <xf numFmtId="9" fontId="2" fillId="0" borderId="0" xfId="5" applyNumberFormat="1"/>
    <xf numFmtId="165" fontId="1" fillId="2" borderId="0" xfId="4" applyNumberFormat="1" applyFill="1"/>
    <xf numFmtId="8" fontId="1" fillId="2" borderId="0" xfId="4" applyNumberFormat="1" applyFill="1"/>
    <xf numFmtId="165" fontId="1" fillId="2" borderId="1" xfId="4" applyNumberFormat="1" applyFill="1" applyBorder="1"/>
    <xf numFmtId="165" fontId="1" fillId="0" borderId="0" xfId="4" applyNumberFormat="1"/>
    <xf numFmtId="169" fontId="0" fillId="3" borderId="0" xfId="1" applyNumberFormat="1" applyFont="1" applyFill="1"/>
    <xf numFmtId="168" fontId="1" fillId="0" borderId="0" xfId="1"/>
    <xf numFmtId="0" fontId="1" fillId="3" borderId="0" xfId="4" applyFont="1" applyFill="1"/>
    <xf numFmtId="170" fontId="1" fillId="3" borderId="0" xfId="1" applyNumberFormat="1" applyFill="1"/>
    <xf numFmtId="169" fontId="0" fillId="0" borderId="0" xfId="1" applyNumberFormat="1" applyFont="1" applyFill="1"/>
    <xf numFmtId="0" fontId="1" fillId="2" borderId="0" xfId="4" applyFill="1" applyAlignment="1">
      <alignment horizontal="right"/>
    </xf>
    <xf numFmtId="9" fontId="1" fillId="0" borderId="0" xfId="4" applyNumberFormat="1" applyFill="1"/>
    <xf numFmtId="9" fontId="2" fillId="0" borderId="0" xfId="3" applyFill="1"/>
    <xf numFmtId="9" fontId="1" fillId="3" borderId="0" xfId="4" applyNumberFormat="1" applyFill="1"/>
    <xf numFmtId="10" fontId="0" fillId="3" borderId="0" xfId="0" applyNumberFormat="1" applyFill="1"/>
    <xf numFmtId="10" fontId="2" fillId="0" borderId="0" xfId="3" applyNumberFormat="1"/>
    <xf numFmtId="10" fontId="1" fillId="3" borderId="0" xfId="4" applyNumberFormat="1" applyFill="1"/>
    <xf numFmtId="169" fontId="1" fillId="2" borderId="0" xfId="4" applyNumberFormat="1" applyFill="1"/>
    <xf numFmtId="169" fontId="1" fillId="0" borderId="0" xfId="4" applyNumberFormat="1"/>
    <xf numFmtId="6" fontId="1" fillId="2" borderId="1" xfId="4" applyNumberFormat="1" applyFill="1" applyBorder="1"/>
    <xf numFmtId="0" fontId="1" fillId="4" borderId="0" xfId="4" applyFill="1"/>
    <xf numFmtId="9" fontId="1" fillId="0" borderId="0" xfId="4" applyNumberFormat="1"/>
    <xf numFmtId="165" fontId="1" fillId="4" borderId="0" xfId="4" applyNumberFormat="1" applyFill="1"/>
    <xf numFmtId="9" fontId="1" fillId="0" borderId="0" xfId="4" applyNumberFormat="1" applyFont="1"/>
    <xf numFmtId="169" fontId="1" fillId="2" borderId="0" xfId="2" applyNumberFormat="1" applyFont="1" applyFill="1"/>
    <xf numFmtId="10" fontId="1" fillId="0" borderId="0" xfId="4" applyNumberFormat="1"/>
    <xf numFmtId="10" fontId="2" fillId="5" borderId="0" xfId="3" applyNumberFormat="1" applyFill="1"/>
    <xf numFmtId="2" fontId="1" fillId="0" borderId="0" xfId="4" applyNumberFormat="1"/>
    <xf numFmtId="0" fontId="1" fillId="6" borderId="0" xfId="4" applyFill="1"/>
    <xf numFmtId="10" fontId="1" fillId="2" borderId="1" xfId="4" applyNumberFormat="1" applyFill="1" applyBorder="1"/>
    <xf numFmtId="10" fontId="1" fillId="0" borderId="0" xfId="4" applyNumberFormat="1" applyFont="1"/>
    <xf numFmtId="0" fontId="7" fillId="0" borderId="0" xfId="0" applyFont="1"/>
    <xf numFmtId="0" fontId="0" fillId="0" borderId="0" xfId="0" applyAlignment="1">
      <alignment wrapText="1"/>
    </xf>
    <xf numFmtId="10" fontId="7" fillId="0" borderId="0" xfId="0" applyNumberFormat="1" applyFont="1"/>
    <xf numFmtId="0" fontId="8" fillId="0" borderId="0" xfId="4" applyFont="1" applyFill="1"/>
    <xf numFmtId="170" fontId="1" fillId="0" borderId="0" xfId="1" applyNumberFormat="1" applyFill="1"/>
    <xf numFmtId="170" fontId="1" fillId="0" borderId="0" xfId="1" applyNumberFormat="1"/>
    <xf numFmtId="168" fontId="1" fillId="0" borderId="0" xfId="1" applyNumberFormat="1"/>
    <xf numFmtId="166" fontId="1" fillId="0" borderId="0" xfId="4" applyNumberFormat="1" applyFont="1"/>
    <xf numFmtId="0" fontId="7" fillId="3" borderId="0" xfId="0" applyFont="1" applyFill="1"/>
    <xf numFmtId="165" fontId="7" fillId="3" borderId="0" xfId="0" applyNumberFormat="1" applyFont="1" applyFill="1"/>
    <xf numFmtId="6" fontId="7" fillId="3" borderId="0" xfId="0" applyNumberFormat="1" applyFont="1" applyFill="1"/>
    <xf numFmtId="165" fontId="1" fillId="3" borderId="0" xfId="2" applyNumberFormat="1" applyFill="1"/>
    <xf numFmtId="9" fontId="2" fillId="3" borderId="0" xfId="3" applyFill="1"/>
    <xf numFmtId="3" fontId="7" fillId="3" borderId="0" xfId="0" applyNumberFormat="1" applyFont="1" applyFill="1"/>
    <xf numFmtId="0" fontId="1" fillId="3" borderId="0" xfId="4" applyFill="1"/>
    <xf numFmtId="0" fontId="8" fillId="3" borderId="0" xfId="4" applyFont="1" applyFill="1"/>
    <xf numFmtId="0" fontId="8" fillId="2" borderId="0" xfId="4" applyFont="1" applyFill="1"/>
    <xf numFmtId="0" fontId="9" fillId="3" borderId="0" xfId="4" applyFont="1" applyFill="1"/>
    <xf numFmtId="165" fontId="9" fillId="3" borderId="0" xfId="4" applyNumberFormat="1" applyFont="1" applyFill="1"/>
    <xf numFmtId="0" fontId="10" fillId="3" borderId="0" xfId="4" applyFont="1" applyFill="1"/>
    <xf numFmtId="2" fontId="9" fillId="3" borderId="0" xfId="4" applyNumberFormat="1" applyFont="1" applyFill="1"/>
    <xf numFmtId="9" fontId="9" fillId="3" borderId="0" xfId="4" applyNumberFormat="1" applyFont="1" applyFill="1"/>
    <xf numFmtId="10" fontId="9" fillId="3" borderId="0" xfId="3" applyNumberFormat="1" applyFont="1" applyFill="1"/>
    <xf numFmtId="165" fontId="9" fillId="3" borderId="0" xfId="2" applyNumberFormat="1" applyFont="1" applyFill="1" applyBorder="1" applyAlignment="1" applyProtection="1"/>
    <xf numFmtId="165" fontId="9" fillId="3" borderId="2" xfId="4" applyNumberFormat="1" applyFont="1" applyFill="1" applyBorder="1"/>
    <xf numFmtId="166" fontId="9" fillId="3" borderId="0" xfId="3" applyNumberFormat="1" applyFont="1" applyFill="1"/>
    <xf numFmtId="164" fontId="9" fillId="3" borderId="0" xfId="4" applyNumberFormat="1" applyFont="1" applyFill="1"/>
    <xf numFmtId="0" fontId="9" fillId="3" borderId="0" xfId="4" applyNumberFormat="1" applyFont="1" applyFill="1"/>
    <xf numFmtId="0" fontId="8" fillId="3" borderId="0" xfId="4" applyFont="1" applyFill="1" applyBorder="1"/>
    <xf numFmtId="0" fontId="1" fillId="3" borderId="0" xfId="4" applyFill="1" applyBorder="1"/>
    <xf numFmtId="165" fontId="1" fillId="3" borderId="0" xfId="4" applyNumberFormat="1" applyFill="1" applyBorder="1"/>
    <xf numFmtId="10" fontId="2" fillId="3" borderId="0" xfId="3" applyNumberFormat="1" applyFill="1"/>
    <xf numFmtId="165" fontId="1" fillId="3" borderId="0" xfId="4" applyNumberFormat="1" applyFill="1"/>
    <xf numFmtId="166" fontId="1" fillId="3" borderId="0" xfId="4" applyNumberFormat="1" applyFill="1"/>
  </cellXfs>
  <cellStyles count="6">
    <cellStyle name="Comma" xfId="1" builtinId="3"/>
    <cellStyle name="Currency" xfId="2" builtinId="4"/>
    <cellStyle name="Excel Built-in Normal 1" xfId="4"/>
    <cellStyle name="Excel Built-in Normal 2" xfId="5"/>
    <cellStyle name="Normal" xfId="0" builtinId="0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66675</xdr:colOff>
          <xdr:row>76</xdr:row>
          <xdr:rowOff>47625</xdr:rowOff>
        </xdr:from>
        <xdr:to>
          <xdr:col>13</xdr:col>
          <xdr:colOff>571500</xdr:colOff>
          <xdr:row>79</xdr:row>
          <xdr:rowOff>19050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Fix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tanabe%20Family/Downloads/Gun%20Shop%20Bankrup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ilure"/>
      <sheetName val="MinimalCoF"/>
      <sheetName val="Mortgage"/>
      <sheetName val="Mortgage (2)"/>
      <sheetName val="Notes"/>
    </sheetNames>
    <sheetDataSet>
      <sheetData sheetId="0"/>
      <sheetData sheetId="1"/>
      <sheetData sheetId="2">
        <row r="14">
          <cell r="D14">
            <v>238663.78358225236</v>
          </cell>
          <cell r="E14">
            <v>3950879.531508931</v>
          </cell>
        </row>
        <row r="28">
          <cell r="D28">
            <v>235634.1405679642</v>
          </cell>
          <cell r="E28">
            <v>3898729.4200035748</v>
          </cell>
        </row>
        <row r="42">
          <cell r="D42">
            <v>232417.63580182419</v>
          </cell>
          <cell r="E42">
            <v>3843362.8037320781</v>
          </cell>
        </row>
        <row r="56">
          <cell r="E56">
            <v>3784581.2957186131</v>
          </cell>
        </row>
        <row r="70">
          <cell r="E70">
            <v>3723312.1100202263</v>
          </cell>
        </row>
        <row r="84">
          <cell r="E84">
            <v>3657126.1379058007</v>
          </cell>
        </row>
        <row r="112">
          <cell r="D112">
            <v>213182.08655688787</v>
          </cell>
        </row>
        <row r="126">
          <cell r="D126">
            <v>208580.78822748098</v>
          </cell>
        </row>
        <row r="140">
          <cell r="D140">
            <v>203695.69188538063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S149"/>
  <sheetViews>
    <sheetView tabSelected="1" zoomScale="60" zoomScaleNormal="60" workbookViewId="0"/>
  </sheetViews>
  <sheetFormatPr defaultColWidth="9.42578125" defaultRowHeight="15" x14ac:dyDescent="0.25"/>
  <cols>
    <col min="1" max="1" width="7.42578125" style="1" customWidth="1"/>
    <col min="2" max="2" width="35.7109375" style="1" customWidth="1"/>
    <col min="3" max="3" width="16.140625" style="1" customWidth="1"/>
    <col min="4" max="13" width="16.7109375" style="1" customWidth="1"/>
    <col min="14" max="14" width="9.42578125" style="1"/>
    <col min="15" max="15" width="15.5703125" style="1" customWidth="1"/>
    <col min="16" max="17" width="18.5703125" style="1" customWidth="1"/>
    <col min="18" max="16384" width="9.42578125" style="1"/>
  </cols>
  <sheetData>
    <row r="1" spans="1:13" x14ac:dyDescent="0.25">
      <c r="A1"/>
      <c r="B1"/>
      <c r="C1"/>
      <c r="D1">
        <v>2014</v>
      </c>
      <c r="E1">
        <v>2015</v>
      </c>
      <c r="F1">
        <v>2016</v>
      </c>
      <c r="G1">
        <v>2017</v>
      </c>
      <c r="H1">
        <v>2018</v>
      </c>
      <c r="I1">
        <v>2019</v>
      </c>
      <c r="J1">
        <v>2020</v>
      </c>
      <c r="K1">
        <v>2021</v>
      </c>
      <c r="L1">
        <v>2022</v>
      </c>
      <c r="M1">
        <v>2023</v>
      </c>
    </row>
    <row r="2" spans="1:13" x14ac:dyDescent="0.25">
      <c r="A2" s="19" t="s">
        <v>44</v>
      </c>
      <c r="B2"/>
      <c r="C2"/>
      <c r="D2"/>
      <c r="E2"/>
      <c r="F2"/>
      <c r="G2"/>
      <c r="H2"/>
      <c r="I2"/>
      <c r="J2"/>
      <c r="K2"/>
      <c r="L2"/>
      <c r="M2"/>
    </row>
    <row r="3" spans="1:13" x14ac:dyDescent="0.25">
      <c r="A3"/>
      <c r="B3" t="s">
        <v>66</v>
      </c>
      <c r="C3" s="37">
        <v>2.5000000000000001E-2</v>
      </c>
      <c r="D3" s="28">
        <v>4400</v>
      </c>
      <c r="E3" s="20">
        <f>+D3*$C$3+D3</f>
        <v>4510</v>
      </c>
      <c r="F3" s="20">
        <f>+E3*$C$3+E3</f>
        <v>4622.75</v>
      </c>
      <c r="G3" s="20">
        <f>+F3*$C$3+F3</f>
        <v>4738.3187500000004</v>
      </c>
      <c r="H3" s="20">
        <f>+G3*$C$3+G3</f>
        <v>4856.7767187500003</v>
      </c>
      <c r="I3" s="20">
        <f t="shared" ref="I3:J3" si="0">+H3*$C$3+H3</f>
        <v>4978.1961367187505</v>
      </c>
      <c r="J3" s="20">
        <f t="shared" si="0"/>
        <v>5102.6510401367195</v>
      </c>
      <c r="K3" s="20">
        <f t="shared" ref="K3:M3" si="1">+J3*$C$3+J3</f>
        <v>5230.2173161401379</v>
      </c>
      <c r="L3" s="20">
        <f t="shared" si="1"/>
        <v>5360.9727490436417</v>
      </c>
      <c r="M3" s="20">
        <f t="shared" si="1"/>
        <v>5494.9970677697329</v>
      </c>
    </row>
    <row r="4" spans="1:13" x14ac:dyDescent="0.25">
      <c r="A4"/>
      <c r="B4" t="s">
        <v>67</v>
      </c>
      <c r="C4" s="37">
        <v>1.4999999999999999E-2</v>
      </c>
      <c r="D4" s="28">
        <v>600</v>
      </c>
      <c r="E4" s="20">
        <f>+D4*$C$4+D4</f>
        <v>609</v>
      </c>
      <c r="F4" s="20">
        <f t="shared" ref="F4:M4" si="2">+E4*$C$4+E4</f>
        <v>618.13499999999999</v>
      </c>
      <c r="G4" s="20">
        <f t="shared" si="2"/>
        <v>627.40702499999998</v>
      </c>
      <c r="H4" s="20">
        <f t="shared" si="2"/>
        <v>636.81813037500001</v>
      </c>
      <c r="I4" s="20">
        <f t="shared" si="2"/>
        <v>646.37040233062498</v>
      </c>
      <c r="J4" s="20">
        <f t="shared" si="2"/>
        <v>656.06595836558438</v>
      </c>
      <c r="K4" s="20">
        <f t="shared" si="2"/>
        <v>665.90694774106817</v>
      </c>
      <c r="L4" s="20">
        <f t="shared" si="2"/>
        <v>675.89555195718424</v>
      </c>
      <c r="M4" s="20">
        <f t="shared" si="2"/>
        <v>686.03398523654198</v>
      </c>
    </row>
    <row r="5" spans="1:13" x14ac:dyDescent="0.25">
      <c r="A5"/>
      <c r="B5" t="s">
        <v>68</v>
      </c>
      <c r="C5" s="37">
        <v>0.02</v>
      </c>
      <c r="D5" s="28">
        <v>400</v>
      </c>
      <c r="E5" s="20">
        <f>+D5+(D5*$C$5)</f>
        <v>408</v>
      </c>
      <c r="F5" s="20">
        <f t="shared" ref="F5:M5" si="3">+E5+(E5*$C$5)</f>
        <v>416.16</v>
      </c>
      <c r="G5" s="20">
        <f t="shared" si="3"/>
        <v>424.48320000000001</v>
      </c>
      <c r="H5" s="20">
        <f t="shared" si="3"/>
        <v>432.97286400000002</v>
      </c>
      <c r="I5" s="20">
        <f t="shared" si="3"/>
        <v>441.63232128000004</v>
      </c>
      <c r="J5" s="20">
        <f t="shared" si="3"/>
        <v>450.46496770560003</v>
      </c>
      <c r="K5" s="20">
        <f t="shared" si="3"/>
        <v>459.47426705971202</v>
      </c>
      <c r="L5" s="20">
        <f t="shared" si="3"/>
        <v>468.66375240090628</v>
      </c>
      <c r="M5" s="20">
        <f t="shared" si="3"/>
        <v>478.03702744892439</v>
      </c>
    </row>
    <row r="6" spans="1:13" x14ac:dyDescent="0.25">
      <c r="A6"/>
      <c r="B6" t="s">
        <v>71</v>
      </c>
      <c r="C6" s="37">
        <v>0</v>
      </c>
      <c r="D6" s="28">
        <v>100</v>
      </c>
      <c r="E6" s="20">
        <f>+D6*$C$6+D6</f>
        <v>100</v>
      </c>
      <c r="F6" s="20">
        <f t="shared" ref="F6:M6" si="4">+E6*$C$6+E6</f>
        <v>100</v>
      </c>
      <c r="G6" s="20">
        <f t="shared" si="4"/>
        <v>100</v>
      </c>
      <c r="H6" s="20">
        <f t="shared" si="4"/>
        <v>100</v>
      </c>
      <c r="I6" s="20">
        <f t="shared" si="4"/>
        <v>100</v>
      </c>
      <c r="J6" s="20">
        <f t="shared" si="4"/>
        <v>100</v>
      </c>
      <c r="K6" s="20">
        <f t="shared" si="4"/>
        <v>100</v>
      </c>
      <c r="L6" s="20">
        <f t="shared" si="4"/>
        <v>100</v>
      </c>
      <c r="M6" s="20">
        <f t="shared" si="4"/>
        <v>100</v>
      </c>
    </row>
    <row r="7" spans="1:13" x14ac:dyDescent="0.25">
      <c r="A7"/>
      <c r="B7" t="s">
        <v>72</v>
      </c>
      <c r="C7" s="37">
        <v>-0.01</v>
      </c>
      <c r="D7" s="28">
        <v>2000</v>
      </c>
      <c r="E7" s="20">
        <f>+D7*$C$7+D7</f>
        <v>1980</v>
      </c>
      <c r="F7" s="20">
        <f t="shared" ref="F7:M7" si="5">+E7*$C$7+E7</f>
        <v>1960.2</v>
      </c>
      <c r="G7" s="20">
        <f t="shared" si="5"/>
        <v>1940.598</v>
      </c>
      <c r="H7" s="20">
        <f t="shared" si="5"/>
        <v>1921.19202</v>
      </c>
      <c r="I7" s="20">
        <f t="shared" si="5"/>
        <v>1901.9800998000001</v>
      </c>
      <c r="J7" s="20">
        <f t="shared" si="5"/>
        <v>1882.9602988020001</v>
      </c>
      <c r="K7" s="20">
        <f t="shared" si="5"/>
        <v>1864.1306958139801</v>
      </c>
      <c r="L7" s="20">
        <f t="shared" si="5"/>
        <v>1845.4893888558404</v>
      </c>
      <c r="M7" s="20">
        <f t="shared" si="5"/>
        <v>1827.0344949672819</v>
      </c>
    </row>
    <row r="8" spans="1:13" x14ac:dyDescent="0.25">
      <c r="A8"/>
      <c r="B8" t="s">
        <v>73</v>
      </c>
      <c r="C8" s="37">
        <v>0.03</v>
      </c>
      <c r="D8" s="28">
        <v>200000</v>
      </c>
      <c r="E8" s="20">
        <f>+D8*$C$8+D8</f>
        <v>206000</v>
      </c>
      <c r="F8" s="20">
        <f t="shared" ref="F8:M8" si="6">+E8*$C$8+E8</f>
        <v>212180</v>
      </c>
      <c r="G8" s="20">
        <f t="shared" si="6"/>
        <v>218545.4</v>
      </c>
      <c r="H8" s="20">
        <f t="shared" si="6"/>
        <v>225101.76199999999</v>
      </c>
      <c r="I8" s="20">
        <f t="shared" si="6"/>
        <v>231854.81485999998</v>
      </c>
      <c r="J8" s="20">
        <f t="shared" si="6"/>
        <v>238810.45930579997</v>
      </c>
      <c r="K8" s="20">
        <f>+J8*$C$8+J8</f>
        <v>245974.77308497397</v>
      </c>
      <c r="L8" s="20">
        <f t="shared" si="6"/>
        <v>253354.01627752319</v>
      </c>
      <c r="M8" s="20">
        <f t="shared" si="6"/>
        <v>260954.63676584887</v>
      </c>
    </row>
    <row r="9" spans="1:13" x14ac:dyDescent="0.25">
      <c r="A9"/>
      <c r="B9" s="1" t="s">
        <v>88</v>
      </c>
      <c r="C9" s="37">
        <v>0.3</v>
      </c>
      <c r="D9" s="21">
        <f>+D8*$C$9</f>
        <v>60000</v>
      </c>
      <c r="E9" s="21">
        <f t="shared" ref="E9" si="7">+E8*$C$9</f>
        <v>61800</v>
      </c>
      <c r="F9" s="21">
        <f t="shared" ref="F9" si="8">+F8*$C$9</f>
        <v>63654</v>
      </c>
      <c r="G9" s="21">
        <f t="shared" ref="G9" si="9">+G8*$C$9</f>
        <v>65563.62</v>
      </c>
      <c r="H9" s="21">
        <f t="shared" ref="H9" si="10">+H8*$C$9</f>
        <v>67530.528599999991</v>
      </c>
      <c r="I9" s="21">
        <f t="shared" ref="I9" si="11">+I8*$C$9</f>
        <v>69556.444457999998</v>
      </c>
      <c r="J9" s="21">
        <f t="shared" ref="J9" si="12">+J8*$C$9</f>
        <v>71643.137791739995</v>
      </c>
      <c r="K9" s="21">
        <f t="shared" ref="K9" si="13">+K8*$C$9</f>
        <v>73792.431925492187</v>
      </c>
      <c r="L9" s="21">
        <f t="shared" ref="L9" si="14">+L8*$C$9</f>
        <v>76006.204883256956</v>
      </c>
      <c r="M9" s="21">
        <f t="shared" ref="M9" si="15">+M8*$C$9</f>
        <v>78286.391029754654</v>
      </c>
    </row>
    <row r="10" spans="1:13" x14ac:dyDescent="0.25">
      <c r="A10" s="3"/>
      <c r="B10" s="3" t="s">
        <v>69</v>
      </c>
      <c r="C10" s="31">
        <f>5*40*50*15</f>
        <v>150000</v>
      </c>
      <c r="D10" s="3"/>
      <c r="G10" s="3"/>
      <c r="J10" s="3"/>
      <c r="M10" s="3"/>
    </row>
    <row r="11" spans="1:13" x14ac:dyDescent="0.25">
      <c r="A11" s="3"/>
      <c r="B11" s="3" t="s">
        <v>61</v>
      </c>
      <c r="C11" s="31">
        <v>500000</v>
      </c>
    </row>
    <row r="12" spans="1:13" x14ac:dyDescent="0.25">
      <c r="A12" s="5"/>
      <c r="B12" s="3" t="s">
        <v>70</v>
      </c>
      <c r="C12" s="28">
        <f>37000*100</f>
        <v>3700000</v>
      </c>
      <c r="D12" s="1" t="s">
        <v>57</v>
      </c>
      <c r="E12" s="41">
        <f>+M95-C12</f>
        <v>925000</v>
      </c>
    </row>
    <row r="13" spans="1:13" x14ac:dyDescent="0.25">
      <c r="A13" s="5"/>
      <c r="B13" s="3" t="s">
        <v>60</v>
      </c>
      <c r="C13" s="28">
        <v>750000</v>
      </c>
      <c r="D13" s="1" t="s">
        <v>57</v>
      </c>
      <c r="E13" s="27">
        <f>D14-C16</f>
        <v>125000</v>
      </c>
    </row>
    <row r="14" spans="1:13" x14ac:dyDescent="0.25">
      <c r="A14" s="5"/>
      <c r="B14" s="1" t="s">
        <v>62</v>
      </c>
      <c r="C14" s="30">
        <v>30</v>
      </c>
      <c r="D14" s="1">
        <v>625000</v>
      </c>
    </row>
    <row r="15" spans="1:13" x14ac:dyDescent="0.25">
      <c r="A15" s="3"/>
      <c r="B15" s="1" t="s">
        <v>79</v>
      </c>
      <c r="C15" s="36">
        <v>1.25</v>
      </c>
      <c r="D15" s="3"/>
      <c r="E15" s="1">
        <v>7</v>
      </c>
      <c r="F15" s="1" t="s">
        <v>134</v>
      </c>
      <c r="G15" s="3"/>
      <c r="J15" s="3"/>
      <c r="M15" s="3"/>
    </row>
    <row r="16" spans="1:13" x14ac:dyDescent="0.25">
      <c r="A16" s="3"/>
      <c r="B16" s="1" t="s">
        <v>56</v>
      </c>
      <c r="C16" s="27">
        <f>+M62-M63</f>
        <v>500000</v>
      </c>
      <c r="D16" s="1" t="s">
        <v>38</v>
      </c>
      <c r="E16" s="1" t="s">
        <v>106</v>
      </c>
    </row>
    <row r="17" spans="1:13" x14ac:dyDescent="0.25">
      <c r="A17" s="3"/>
      <c r="D17" s="53">
        <f>C115</f>
        <v>6.6243546709416901E-2</v>
      </c>
      <c r="E17" s="48">
        <f>S76</f>
        <v>6.8756113909863276E-2</v>
      </c>
      <c r="G17" s="3"/>
      <c r="J17" s="3"/>
      <c r="M17" s="3"/>
    </row>
    <row r="18" spans="1:13" x14ac:dyDescent="0.25">
      <c r="A18" s="3"/>
      <c r="B18" s="3" t="s">
        <v>63</v>
      </c>
      <c r="C18" s="28">
        <v>10000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x14ac:dyDescent="0.25">
      <c r="A19" s="3"/>
      <c r="B19" s="1" t="s">
        <v>83</v>
      </c>
      <c r="C19" s="34"/>
      <c r="D19" s="32">
        <v>15</v>
      </c>
      <c r="E19" s="32">
        <v>15</v>
      </c>
      <c r="F19" s="32">
        <v>15</v>
      </c>
      <c r="G19" s="32">
        <v>15</v>
      </c>
      <c r="H19" s="32">
        <v>15</v>
      </c>
      <c r="I19" s="32">
        <v>15</v>
      </c>
      <c r="J19" s="32">
        <v>15</v>
      </c>
      <c r="K19" s="32">
        <v>15</v>
      </c>
      <c r="L19" s="32">
        <v>15</v>
      </c>
      <c r="M19" s="32">
        <v>15</v>
      </c>
    </row>
    <row r="20" spans="1:13" x14ac:dyDescent="0.25">
      <c r="A20" s="3"/>
      <c r="B20" s="3" t="s">
        <v>84</v>
      </c>
      <c r="C20" s="34"/>
      <c r="D20" s="32">
        <v>45</v>
      </c>
      <c r="E20" s="32">
        <v>45</v>
      </c>
      <c r="F20" s="32">
        <v>45</v>
      </c>
      <c r="G20" s="32">
        <v>45</v>
      </c>
      <c r="H20" s="32">
        <v>45</v>
      </c>
      <c r="I20" s="32">
        <v>45</v>
      </c>
      <c r="J20" s="32">
        <v>45</v>
      </c>
      <c r="K20" s="32">
        <v>45</v>
      </c>
      <c r="L20" s="32">
        <v>45</v>
      </c>
      <c r="M20" s="32">
        <v>45</v>
      </c>
    </row>
    <row r="21" spans="1:13" x14ac:dyDescent="0.25">
      <c r="A21" s="3"/>
      <c r="B21" s="3" t="s">
        <v>78</v>
      </c>
      <c r="C21" s="37">
        <v>0.3</v>
      </c>
    </row>
    <row r="22" spans="1:13" x14ac:dyDescent="0.25">
      <c r="A22" s="3"/>
      <c r="B22" s="3" t="s">
        <v>80</v>
      </c>
      <c r="C22" s="37">
        <f>S76</f>
        <v>6.8756113909863276E-2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</row>
    <row r="23" spans="1:13" x14ac:dyDescent="0.25">
      <c r="A23" s="3"/>
      <c r="B23" s="3" t="s">
        <v>85</v>
      </c>
      <c r="C23" s="28">
        <v>20</v>
      </c>
      <c r="D23" s="1" t="s">
        <v>87</v>
      </c>
      <c r="E23" s="39">
        <v>0.05</v>
      </c>
    </row>
    <row r="24" spans="1:13" x14ac:dyDescent="0.25">
      <c r="A24" s="3"/>
      <c r="B24" s="3" t="s">
        <v>86</v>
      </c>
      <c r="C24" s="38">
        <f>+C23/365</f>
        <v>5.4794520547945202E-2</v>
      </c>
      <c r="D24" s="3"/>
      <c r="G24" s="3"/>
      <c r="J24" s="3"/>
      <c r="M24" s="3"/>
    </row>
    <row r="25" spans="1:13" x14ac:dyDescent="0.25">
      <c r="A25" s="3"/>
      <c r="B25" s="3" t="s">
        <v>64</v>
      </c>
      <c r="C25" s="28">
        <f>D25*(D60+D62)</f>
        <v>3192875</v>
      </c>
      <c r="D25" s="61">
        <v>0.71750000000000003</v>
      </c>
      <c r="G25" s="3"/>
      <c r="J25" s="3"/>
      <c r="M25" s="3"/>
    </row>
    <row r="26" spans="1:13" x14ac:dyDescent="0.25">
      <c r="A26" s="3"/>
      <c r="B26" s="1" t="s">
        <v>81</v>
      </c>
      <c r="C26" s="28">
        <v>30</v>
      </c>
    </row>
    <row r="27" spans="1:13" x14ac:dyDescent="0.25">
      <c r="A27" s="3"/>
      <c r="B27" s="1" t="s">
        <v>82</v>
      </c>
      <c r="C27" s="37">
        <v>0.06</v>
      </c>
      <c r="E27" s="35"/>
      <c r="H27" s="35"/>
      <c r="K27" s="35"/>
    </row>
    <row r="28" spans="1:13" x14ac:dyDescent="0.25">
      <c r="A28" s="3"/>
      <c r="B28" s="3" t="s">
        <v>45</v>
      </c>
      <c r="C28" s="37">
        <v>0.05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</row>
    <row r="29" spans="1:13" x14ac:dyDescent="0.25">
      <c r="A29" s="3"/>
      <c r="B29" s="3" t="s">
        <v>24</v>
      </c>
      <c r="C29" s="28">
        <v>1000000</v>
      </c>
      <c r="D29" s="3"/>
      <c r="G29" s="3"/>
      <c r="J29" s="3"/>
      <c r="M29" s="3"/>
    </row>
    <row r="30" spans="1:13" x14ac:dyDescent="0.25">
      <c r="A30" s="3"/>
      <c r="B30" s="3"/>
      <c r="C30" s="3"/>
      <c r="D30" s="3"/>
      <c r="G30" s="3"/>
      <c r="J30" s="3"/>
      <c r="M30" s="3"/>
    </row>
    <row r="31" spans="1:13" x14ac:dyDescent="0.25">
      <c r="A31" s="3"/>
      <c r="B31" s="3"/>
      <c r="C31" s="3"/>
      <c r="D31" s="3"/>
      <c r="G31" s="3"/>
      <c r="J31" s="3"/>
      <c r="M31" s="3"/>
    </row>
    <row r="32" spans="1:13" x14ac:dyDescent="0.25">
      <c r="A32" s="70" t="s">
        <v>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5" x14ac:dyDescent="0.25">
      <c r="A33" s="2" t="s">
        <v>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5" x14ac:dyDescent="0.25">
      <c r="A34" s="2"/>
      <c r="B34" s="2" t="s">
        <v>74</v>
      </c>
      <c r="C34" s="4"/>
      <c r="D34" s="4">
        <f t="shared" ref="D34:M34" si="16">+D3*D4</f>
        <v>2640000</v>
      </c>
      <c r="E34" s="4">
        <f t="shared" si="16"/>
        <v>2746590</v>
      </c>
      <c r="F34" s="4">
        <f t="shared" si="16"/>
        <v>2857483.57125</v>
      </c>
      <c r="G34" s="4">
        <f t="shared" si="16"/>
        <v>2972854.4704392189</v>
      </c>
      <c r="H34" s="4">
        <f t="shared" si="16"/>
        <v>3092883.4696832024</v>
      </c>
      <c r="I34" s="4">
        <f t="shared" si="16"/>
        <v>3217758.6397716617</v>
      </c>
      <c r="J34" s="4">
        <f t="shared" si="16"/>
        <v>3347675.6448524427</v>
      </c>
      <c r="K34" s="4">
        <f t="shared" si="16"/>
        <v>3482838.0490133604</v>
      </c>
      <c r="L34" s="4">
        <f t="shared" si="16"/>
        <v>3623457.6352422754</v>
      </c>
      <c r="M34" s="4">
        <f t="shared" si="16"/>
        <v>3769754.7372651822</v>
      </c>
    </row>
    <row r="35" spans="1:15" x14ac:dyDescent="0.25">
      <c r="A35" s="2"/>
      <c r="B35" s="2" t="s">
        <v>75</v>
      </c>
      <c r="C35" s="4"/>
      <c r="D35" s="4">
        <f t="shared" ref="D35:M35" si="17">+D7*D6</f>
        <v>200000</v>
      </c>
      <c r="E35" s="4">
        <f t="shared" si="17"/>
        <v>198000</v>
      </c>
      <c r="F35" s="4">
        <f t="shared" si="17"/>
        <v>196020</v>
      </c>
      <c r="G35" s="4">
        <f t="shared" si="17"/>
        <v>194059.8</v>
      </c>
      <c r="H35" s="4">
        <f t="shared" si="17"/>
        <v>192119.20199999999</v>
      </c>
      <c r="I35" s="4">
        <f t="shared" si="17"/>
        <v>190198.00998</v>
      </c>
      <c r="J35" s="4">
        <f t="shared" si="17"/>
        <v>188296.02988020002</v>
      </c>
      <c r="K35" s="4">
        <f t="shared" si="17"/>
        <v>186413.06958139801</v>
      </c>
      <c r="L35" s="4">
        <f t="shared" si="17"/>
        <v>184548.93888558404</v>
      </c>
      <c r="M35" s="4">
        <f t="shared" si="17"/>
        <v>182703.44949672819</v>
      </c>
    </row>
    <row r="36" spans="1:15" x14ac:dyDescent="0.25">
      <c r="A36" s="2"/>
      <c r="B36" s="2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5" x14ac:dyDescent="0.25">
      <c r="A37" s="2" t="s">
        <v>2</v>
      </c>
      <c r="B37" s="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5" x14ac:dyDescent="0.25">
      <c r="A38" s="2"/>
      <c r="B38" s="2" t="s">
        <v>76</v>
      </c>
      <c r="C38" s="4"/>
      <c r="D38" s="4">
        <f t="shared" ref="D38:M38" si="18">+D5*D3</f>
        <v>1760000</v>
      </c>
      <c r="E38" s="4">
        <f t="shared" si="18"/>
        <v>1840080</v>
      </c>
      <c r="F38" s="4">
        <f t="shared" si="18"/>
        <v>1923803.6400000001</v>
      </c>
      <c r="G38" s="4">
        <f t="shared" si="18"/>
        <v>2011336.7056200001</v>
      </c>
      <c r="H38" s="4">
        <f t="shared" si="18"/>
        <v>2102852.5257257102</v>
      </c>
      <c r="I38" s="4">
        <f t="shared" si="18"/>
        <v>2198532.3156462302</v>
      </c>
      <c r="J38" s="4">
        <f t="shared" si="18"/>
        <v>2298565.5360081336</v>
      </c>
      <c r="K38" s="4">
        <f t="shared" si="18"/>
        <v>2403150.2678965041</v>
      </c>
      <c r="L38" s="4">
        <f t="shared" si="18"/>
        <v>2512493.6050857953</v>
      </c>
      <c r="M38" s="4">
        <f t="shared" si="18"/>
        <v>2626812.0641171988</v>
      </c>
    </row>
    <row r="39" spans="1:15" x14ac:dyDescent="0.25">
      <c r="A39" s="2"/>
      <c r="B39" s="2" t="s">
        <v>77</v>
      </c>
      <c r="C39" s="4"/>
      <c r="D39" s="4">
        <f t="shared" ref="D39:M39" si="19">+D9</f>
        <v>60000</v>
      </c>
      <c r="E39" s="4">
        <f t="shared" si="19"/>
        <v>61800</v>
      </c>
      <c r="F39" s="4">
        <f t="shared" si="19"/>
        <v>63654</v>
      </c>
      <c r="G39" s="4">
        <f t="shared" si="19"/>
        <v>65563.62</v>
      </c>
      <c r="H39" s="4">
        <f t="shared" si="19"/>
        <v>67530.528599999991</v>
      </c>
      <c r="I39" s="4">
        <f t="shared" si="19"/>
        <v>69556.444457999998</v>
      </c>
      <c r="J39" s="4">
        <f t="shared" si="19"/>
        <v>71643.137791739995</v>
      </c>
      <c r="K39" s="4">
        <f t="shared" si="19"/>
        <v>73792.431925492187</v>
      </c>
      <c r="L39" s="4">
        <f t="shared" si="19"/>
        <v>76006.204883256956</v>
      </c>
      <c r="M39" s="4">
        <f t="shared" si="19"/>
        <v>78286.391029754654</v>
      </c>
    </row>
    <row r="40" spans="1:15" x14ac:dyDescent="0.25">
      <c r="A40" s="2"/>
      <c r="B40" s="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5" x14ac:dyDescent="0.25">
      <c r="A41" s="2" t="s">
        <v>3</v>
      </c>
      <c r="B41" s="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5" x14ac:dyDescent="0.25">
      <c r="A42" s="2"/>
      <c r="B42" s="2" t="str">
        <f>+B10</f>
        <v>Labor</v>
      </c>
      <c r="C42" s="4"/>
      <c r="D42" s="4">
        <f>+$C$10</f>
        <v>150000</v>
      </c>
      <c r="E42" s="45">
        <f>D42+(D42*$N$42)</f>
        <v>154500</v>
      </c>
      <c r="F42" s="45">
        <f t="shared" ref="F42:M42" si="20">E42+(E42*$N$42)</f>
        <v>159135</v>
      </c>
      <c r="G42" s="45">
        <f t="shared" si="20"/>
        <v>163909.04999999999</v>
      </c>
      <c r="H42" s="45">
        <f t="shared" si="20"/>
        <v>168826.32149999999</v>
      </c>
      <c r="I42" s="45">
        <f t="shared" si="20"/>
        <v>173891.111145</v>
      </c>
      <c r="J42" s="45">
        <f t="shared" si="20"/>
        <v>179107.84447934999</v>
      </c>
      <c r="K42" s="45">
        <f t="shared" si="20"/>
        <v>184481.0798137305</v>
      </c>
      <c r="L42" s="45">
        <f t="shared" si="20"/>
        <v>190015.51220814241</v>
      </c>
      <c r="M42" s="45">
        <f t="shared" si="20"/>
        <v>195715.97757438666</v>
      </c>
      <c r="N42" s="44">
        <v>0.03</v>
      </c>
      <c r="O42" s="27"/>
    </row>
    <row r="43" spans="1:15" x14ac:dyDescent="0.25">
      <c r="A43" s="2"/>
      <c r="B43" s="2" t="str">
        <f>+B11</f>
        <v>Gen and Admin</v>
      </c>
      <c r="C43" s="4"/>
      <c r="D43" s="4">
        <f>+$C$11</f>
        <v>500000</v>
      </c>
      <c r="E43" s="45">
        <f>D43+(D43*$N$42)</f>
        <v>515000</v>
      </c>
      <c r="F43" s="45">
        <f t="shared" ref="F43:M43" si="21">E43+(E43*$N$42)</f>
        <v>530450</v>
      </c>
      <c r="G43" s="45">
        <f t="shared" si="21"/>
        <v>546363.5</v>
      </c>
      <c r="H43" s="45">
        <f t="shared" si="21"/>
        <v>562754.40500000003</v>
      </c>
      <c r="I43" s="45">
        <f t="shared" si="21"/>
        <v>579637.03714999999</v>
      </c>
      <c r="J43" s="45">
        <f t="shared" si="21"/>
        <v>597026.14826449996</v>
      </c>
      <c r="K43" s="45">
        <f t="shared" si="21"/>
        <v>614936.93271243491</v>
      </c>
      <c r="L43" s="45">
        <f t="shared" si="21"/>
        <v>633385.040693808</v>
      </c>
      <c r="M43" s="45">
        <f t="shared" si="21"/>
        <v>652386.59191462223</v>
      </c>
      <c r="O43" s="27"/>
    </row>
    <row r="44" spans="1:15" x14ac:dyDescent="0.25">
      <c r="A44" s="2"/>
      <c r="B44" s="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5" x14ac:dyDescent="0.25">
      <c r="A45" s="2" t="s">
        <v>4</v>
      </c>
      <c r="B45" s="2"/>
      <c r="C45" s="4"/>
      <c r="D45" s="47">
        <f t="shared" ref="D45:M45" si="22">($D$62/$C$14)+(D61/$E$15)</f>
        <v>35714.28571428571</v>
      </c>
      <c r="E45" s="47">
        <f t="shared" si="22"/>
        <v>35714.28571428571</v>
      </c>
      <c r="F45" s="47">
        <f t="shared" si="22"/>
        <v>35714.28571428571</v>
      </c>
      <c r="G45" s="47">
        <f t="shared" si="22"/>
        <v>35714.28571428571</v>
      </c>
      <c r="H45" s="47">
        <f t="shared" si="22"/>
        <v>35714.28571428571</v>
      </c>
      <c r="I45" s="47">
        <f t="shared" si="22"/>
        <v>35714.28571428571</v>
      </c>
      <c r="J45" s="47">
        <f t="shared" si="22"/>
        <v>35714.28571428571</v>
      </c>
      <c r="K45" s="47">
        <f t="shared" si="22"/>
        <v>35714.28571428571</v>
      </c>
      <c r="L45" s="47">
        <f t="shared" si="22"/>
        <v>35714.28571428571</v>
      </c>
      <c r="M45" s="47">
        <f t="shared" si="22"/>
        <v>35714.28571428571</v>
      </c>
    </row>
    <row r="46" spans="1:15" x14ac:dyDescent="0.25">
      <c r="A46" s="2" t="s">
        <v>5</v>
      </c>
      <c r="B46" s="2"/>
      <c r="C46" s="4"/>
      <c r="D46" s="4">
        <f>+Mortgage!D14</f>
        <v>190505.90700129606</v>
      </c>
      <c r="E46" s="4">
        <f>+Mortgage!D28</f>
        <v>188087.5891414847</v>
      </c>
      <c r="F46" s="4">
        <f>+Mortgage!D42</f>
        <v>185520.11472768732</v>
      </c>
      <c r="G46" s="4">
        <f>+Mortgage!D56</f>
        <v>182794.28411002888</v>
      </c>
      <c r="H46" s="4">
        <f>+Mortgage!D70</f>
        <v>180808.57313796718</v>
      </c>
      <c r="I46" s="4">
        <f>+Mortgage!D84</f>
        <v>176883.90203093895</v>
      </c>
      <c r="J46" s="4">
        <f>+Mortgage!D98</f>
        <v>173625.40871134863</v>
      </c>
      <c r="K46" s="4">
        <f>+Mortgage!D112</f>
        <v>170165.93865383085</v>
      </c>
      <c r="L46" s="4">
        <f>+Mortgage!D126</f>
        <v>166493.09605295467</v>
      </c>
      <c r="M46" s="4">
        <f>+Mortgage!D140</f>
        <v>162593.72055713373</v>
      </c>
    </row>
    <row r="47" spans="1:15" x14ac:dyDescent="0.25">
      <c r="A47" s="2" t="s">
        <v>6</v>
      </c>
      <c r="B47" s="2"/>
      <c r="C47" s="4"/>
      <c r="D47" s="4">
        <f>+D72*$C$28</f>
        <v>23068.815596393211</v>
      </c>
      <c r="E47" s="4">
        <f>+E72*$C$28</f>
        <v>19714.494391419827</v>
      </c>
      <c r="F47" s="4">
        <f>+F72*$C$28</f>
        <v>16176.64707257157</v>
      </c>
      <c r="G47" s="4">
        <f t="shared" ref="G47:M47" si="23">+G72*$C$28</f>
        <v>12450.927999872398</v>
      </c>
      <c r="H47" s="4">
        <f t="shared" si="23"/>
        <v>8533.4968186488422</v>
      </c>
      <c r="I47" s="4">
        <f t="shared" si="23"/>
        <v>4406.7518282044066</v>
      </c>
      <c r="J47" s="4">
        <f t="shared" si="23"/>
        <v>95.360350585223472</v>
      </c>
      <c r="K47" s="4">
        <f t="shared" si="23"/>
        <v>0</v>
      </c>
      <c r="L47" s="4">
        <f t="shared" si="23"/>
        <v>0</v>
      </c>
      <c r="M47" s="4">
        <f t="shared" si="23"/>
        <v>0</v>
      </c>
    </row>
    <row r="48" spans="1:15" x14ac:dyDescent="0.25">
      <c r="A48" s="2"/>
      <c r="B48" s="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7" x14ac:dyDescent="0.25">
      <c r="A49" s="2" t="s">
        <v>7</v>
      </c>
      <c r="B49" s="2"/>
      <c r="C49" s="4"/>
      <c r="D49" s="4">
        <f>+D34+D35-SUM(D38:D47)</f>
        <v>120710.99168802472</v>
      </c>
      <c r="E49" s="4">
        <f t="shared" ref="E49:G49" si="24">+E34+E35-SUM(E38:E47)</f>
        <v>129693.63075280935</v>
      </c>
      <c r="F49" s="4">
        <f t="shared" si="24"/>
        <v>139049.88373545511</v>
      </c>
      <c r="G49" s="4">
        <f t="shared" si="24"/>
        <v>148781.89699503174</v>
      </c>
      <c r="H49" s="4">
        <f t="shared" ref="H49:M49" si="25">+H34+H35-SUM(H38:H47)</f>
        <v>157982.53518659063</v>
      </c>
      <c r="I49" s="4">
        <f t="shared" si="25"/>
        <v>169334.80177900288</v>
      </c>
      <c r="J49" s="4">
        <f t="shared" si="25"/>
        <v>180193.95341269998</v>
      </c>
      <c r="K49" s="4">
        <f t="shared" si="25"/>
        <v>187010.18187847966</v>
      </c>
      <c r="L49" s="4">
        <f t="shared" si="25"/>
        <v>193898.82948961668</v>
      </c>
      <c r="M49" s="4">
        <f t="shared" si="25"/>
        <v>200949.15585452877</v>
      </c>
    </row>
    <row r="50" spans="1:17" x14ac:dyDescent="0.25">
      <c r="A50" s="2" t="s">
        <v>8</v>
      </c>
      <c r="B50" s="2"/>
      <c r="C50" s="4"/>
      <c r="D50" s="4">
        <f>IF(D49&gt;0,D49*$C$21,0)</f>
        <v>36213.297506407413</v>
      </c>
      <c r="E50" s="4">
        <f t="shared" ref="E50:G50" si="26">IF(E49&gt;0,E49*$C$21,0)</f>
        <v>38908.089225842799</v>
      </c>
      <c r="F50" s="4">
        <f t="shared" si="26"/>
        <v>41714.965120636531</v>
      </c>
      <c r="G50" s="4">
        <f t="shared" si="26"/>
        <v>44634.569098509521</v>
      </c>
      <c r="H50" s="4">
        <f t="shared" ref="H50" si="27">IF(H49&gt;0,H49*$C$21,0)</f>
        <v>47394.760555977184</v>
      </c>
      <c r="I50" s="4">
        <f t="shared" ref="I50:J50" si="28">IF(I49&gt;0,I49*$C$21,0)</f>
        <v>50800.440533700865</v>
      </c>
      <c r="J50" s="4">
        <f t="shared" si="28"/>
        <v>54058.186023809991</v>
      </c>
      <c r="K50" s="4">
        <f t="shared" ref="K50" si="29">IF(K49&gt;0,K49*$C$21,0)</f>
        <v>56103.054563543898</v>
      </c>
      <c r="L50" s="4">
        <f t="shared" ref="L50:M50" si="30">IF(L49&gt;0,L49*$C$21,0)</f>
        <v>58169.648846885</v>
      </c>
      <c r="M50" s="4">
        <f t="shared" si="30"/>
        <v>60284.746756358625</v>
      </c>
    </row>
    <row r="51" spans="1:17" x14ac:dyDescent="0.25">
      <c r="A51" s="2" t="s">
        <v>9</v>
      </c>
      <c r="B51" s="2"/>
      <c r="C51" s="4"/>
      <c r="D51" s="4">
        <f>+D49-D50</f>
        <v>84497.694181617306</v>
      </c>
      <c r="E51" s="4">
        <f t="shared" ref="E51:G51" si="31">+E49-E50</f>
        <v>90785.541526966554</v>
      </c>
      <c r="F51" s="4">
        <f t="shared" si="31"/>
        <v>97334.918614818569</v>
      </c>
      <c r="G51" s="4">
        <f t="shared" si="31"/>
        <v>104147.32789652221</v>
      </c>
      <c r="H51" s="4">
        <f t="shared" ref="H51:M51" si="32">+H49-H50</f>
        <v>110587.77463061345</v>
      </c>
      <c r="I51" s="4">
        <f t="shared" si="32"/>
        <v>118534.36124530202</v>
      </c>
      <c r="J51" s="4">
        <f t="shared" si="32"/>
        <v>126135.76738888999</v>
      </c>
      <c r="K51" s="4">
        <f t="shared" si="32"/>
        <v>130907.12731493576</v>
      </c>
      <c r="L51" s="4">
        <f t="shared" si="32"/>
        <v>135729.18064273166</v>
      </c>
      <c r="M51" s="4">
        <f t="shared" si="32"/>
        <v>140664.40909817014</v>
      </c>
    </row>
    <row r="52" spans="1:17" x14ac:dyDescent="0.25">
      <c r="A52" s="2"/>
      <c r="B52" s="2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7" x14ac:dyDescent="0.25">
      <c r="A53" s="70" t="s">
        <v>10</v>
      </c>
      <c r="B53" s="2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7" x14ac:dyDescent="0.25">
      <c r="A54" s="2" t="s">
        <v>11</v>
      </c>
      <c r="B54" s="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7" x14ac:dyDescent="0.25">
      <c r="A55" s="2" t="s">
        <v>12</v>
      </c>
      <c r="B55" s="2"/>
      <c r="C55" s="4"/>
      <c r="D55" s="4">
        <f>+$C$18</f>
        <v>10000</v>
      </c>
      <c r="E55" s="4">
        <f>+$C$18</f>
        <v>10000</v>
      </c>
      <c r="F55" s="4">
        <f>+$C$18</f>
        <v>10000</v>
      </c>
      <c r="G55" s="4">
        <f t="shared" ref="G55:M55" si="33">+$C$18</f>
        <v>10000</v>
      </c>
      <c r="H55" s="4">
        <f t="shared" si="33"/>
        <v>10000</v>
      </c>
      <c r="I55" s="4">
        <f t="shared" si="33"/>
        <v>10000</v>
      </c>
      <c r="J55" s="4">
        <f t="shared" si="33"/>
        <v>10000</v>
      </c>
      <c r="K55" s="4">
        <f t="shared" si="33"/>
        <v>10000</v>
      </c>
      <c r="L55" s="4">
        <f t="shared" si="33"/>
        <v>10000</v>
      </c>
      <c r="M55" s="4">
        <f t="shared" si="33"/>
        <v>10000</v>
      </c>
    </row>
    <row r="56" spans="1:17" x14ac:dyDescent="0.25">
      <c r="A56" s="2" t="s">
        <v>13</v>
      </c>
      <c r="B56" s="2"/>
      <c r="C56" s="4"/>
      <c r="D56" s="4"/>
      <c r="E56" s="4"/>
      <c r="F56" s="4"/>
      <c r="G56" s="4"/>
      <c r="H56" s="4"/>
      <c r="I56" s="4"/>
      <c r="J56" s="4"/>
      <c r="K56" s="4">
        <v>83896</v>
      </c>
      <c r="L56" s="4">
        <v>170323</v>
      </c>
      <c r="M56" s="4">
        <v>257264</v>
      </c>
    </row>
    <row r="57" spans="1:17" x14ac:dyDescent="0.25">
      <c r="A57" s="2" t="s">
        <v>14</v>
      </c>
      <c r="B57" s="2"/>
      <c r="C57" s="4"/>
      <c r="D57" s="4">
        <f t="shared" ref="D57:M57" si="34">+(D19/365)*D34</f>
        <v>108493.1506849315</v>
      </c>
      <c r="E57" s="4">
        <f t="shared" si="34"/>
        <v>112873.56164383561</v>
      </c>
      <c r="F57" s="4">
        <f t="shared" si="34"/>
        <v>117430.83169520547</v>
      </c>
      <c r="G57" s="4">
        <f t="shared" si="34"/>
        <v>122172.10152489939</v>
      </c>
      <c r="H57" s="4">
        <f t="shared" si="34"/>
        <v>127104.80012396722</v>
      </c>
      <c r="I57" s="4">
        <f t="shared" si="34"/>
        <v>132236.6564289724</v>
      </c>
      <c r="J57" s="4">
        <f t="shared" si="34"/>
        <v>137575.71143229216</v>
      </c>
      <c r="K57" s="4">
        <f t="shared" si="34"/>
        <v>143130.33078137095</v>
      </c>
      <c r="L57" s="4">
        <f t="shared" si="34"/>
        <v>148909.21788666883</v>
      </c>
      <c r="M57" s="4">
        <f t="shared" si="34"/>
        <v>154921.4275588431</v>
      </c>
    </row>
    <row r="58" spans="1:17" x14ac:dyDescent="0.25">
      <c r="A58" s="2" t="s">
        <v>15</v>
      </c>
      <c r="B58" s="2"/>
      <c r="C58" s="4"/>
      <c r="D58" s="4">
        <f t="shared" ref="D58:M58" si="35">+(D20/365)*(D3*D5)</f>
        <v>216986.30136986301</v>
      </c>
      <c r="E58" s="4">
        <f t="shared" si="35"/>
        <v>226859.17808219176</v>
      </c>
      <c r="F58" s="4">
        <f t="shared" si="35"/>
        <v>237181.27068493151</v>
      </c>
      <c r="G58" s="4">
        <f t="shared" si="35"/>
        <v>247973.01850109588</v>
      </c>
      <c r="H58" s="4">
        <f t="shared" si="35"/>
        <v>259255.79084289577</v>
      </c>
      <c r="I58" s="4">
        <f t="shared" si="35"/>
        <v>271051.92932624754</v>
      </c>
      <c r="J58" s="4">
        <f t="shared" si="35"/>
        <v>283384.79211059178</v>
      </c>
      <c r="K58" s="4">
        <f t="shared" si="35"/>
        <v>296278.80015162379</v>
      </c>
      <c r="L58" s="4">
        <f t="shared" si="35"/>
        <v>309759.48555852269</v>
      </c>
      <c r="M58" s="4">
        <f t="shared" si="35"/>
        <v>323853.54215143545</v>
      </c>
      <c r="P58" s="1" t="s">
        <v>104</v>
      </c>
      <c r="Q58" s="1">
        <v>0.67</v>
      </c>
    </row>
    <row r="59" spans="1:17" x14ac:dyDescent="0.25">
      <c r="A59" s="2"/>
      <c r="B59" s="2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7" x14ac:dyDescent="0.25">
      <c r="A60" s="2" t="s">
        <v>70</v>
      </c>
      <c r="B60" s="2"/>
      <c r="C60" s="4"/>
      <c r="D60" s="4">
        <f>$C$12</f>
        <v>3700000</v>
      </c>
      <c r="E60" s="4">
        <f t="shared" ref="E60:M60" si="36">$C$12</f>
        <v>3700000</v>
      </c>
      <c r="F60" s="4">
        <f t="shared" si="36"/>
        <v>3700000</v>
      </c>
      <c r="G60" s="4">
        <f t="shared" si="36"/>
        <v>3700000</v>
      </c>
      <c r="H60" s="4">
        <f t="shared" si="36"/>
        <v>3700000</v>
      </c>
      <c r="I60" s="4">
        <f t="shared" si="36"/>
        <v>3700000</v>
      </c>
      <c r="J60" s="4">
        <f t="shared" si="36"/>
        <v>3700000</v>
      </c>
      <c r="K60" s="4">
        <f t="shared" si="36"/>
        <v>3700000</v>
      </c>
      <c r="L60" s="4">
        <f t="shared" si="36"/>
        <v>3700000</v>
      </c>
      <c r="M60" s="4">
        <f t="shared" si="36"/>
        <v>3700000</v>
      </c>
    </row>
    <row r="61" spans="1:17" x14ac:dyDescent="0.25">
      <c r="A61" s="43" t="s">
        <v>92</v>
      </c>
      <c r="B61" s="2"/>
      <c r="C61" s="4"/>
      <c r="D61" s="4">
        <v>75000</v>
      </c>
      <c r="E61" s="4">
        <v>75000</v>
      </c>
      <c r="F61" s="4">
        <v>75000</v>
      </c>
      <c r="G61" s="4">
        <v>75000</v>
      </c>
      <c r="H61" s="4">
        <v>75000</v>
      </c>
      <c r="I61" s="4">
        <v>75000</v>
      </c>
      <c r="J61" s="4">
        <v>75000</v>
      </c>
      <c r="K61" s="4">
        <v>75000</v>
      </c>
      <c r="L61" s="4">
        <v>75000</v>
      </c>
      <c r="M61" s="4">
        <v>75000</v>
      </c>
      <c r="O61" s="1" t="s">
        <v>94</v>
      </c>
    </row>
    <row r="62" spans="1:17" x14ac:dyDescent="0.25">
      <c r="A62" s="2" t="s">
        <v>16</v>
      </c>
      <c r="B62" s="2"/>
      <c r="C62" s="4"/>
      <c r="D62" s="4">
        <f>+$C$13</f>
        <v>750000</v>
      </c>
      <c r="E62" s="4">
        <f>+$C$13</f>
        <v>750000</v>
      </c>
      <c r="F62" s="4">
        <f>+$C$13</f>
        <v>750000</v>
      </c>
      <c r="G62" s="4">
        <f t="shared" ref="G62:M62" si="37">+$C$13</f>
        <v>750000</v>
      </c>
      <c r="H62" s="4">
        <f t="shared" si="37"/>
        <v>750000</v>
      </c>
      <c r="I62" s="4">
        <f t="shared" si="37"/>
        <v>750000</v>
      </c>
      <c r="J62" s="4">
        <f t="shared" si="37"/>
        <v>750000</v>
      </c>
      <c r="K62" s="4">
        <f t="shared" si="37"/>
        <v>750000</v>
      </c>
      <c r="L62" s="4">
        <f t="shared" si="37"/>
        <v>750000</v>
      </c>
      <c r="M62" s="4">
        <f t="shared" si="37"/>
        <v>750000</v>
      </c>
      <c r="P62" s="1" t="s">
        <v>105</v>
      </c>
      <c r="Q62" s="50">
        <f>Q58*(1+(1-C21))*(P71/P74)</f>
        <v>2.1227467981561148</v>
      </c>
    </row>
    <row r="63" spans="1:17" x14ac:dyDescent="0.25">
      <c r="A63" s="2" t="s">
        <v>17</v>
      </c>
      <c r="B63" s="2"/>
      <c r="C63" s="4"/>
      <c r="D63" s="4">
        <f>+$C$13/$C$14</f>
        <v>25000</v>
      </c>
      <c r="E63" s="4">
        <f>+$C$13/$C$14+D63</f>
        <v>50000</v>
      </c>
      <c r="F63" s="4">
        <f t="shared" ref="F63:M63" si="38">+$C$13/$C$14+E63</f>
        <v>75000</v>
      </c>
      <c r="G63" s="4">
        <f t="shared" si="38"/>
        <v>100000</v>
      </c>
      <c r="H63" s="4">
        <f t="shared" si="38"/>
        <v>125000</v>
      </c>
      <c r="I63" s="4">
        <f t="shared" si="38"/>
        <v>150000</v>
      </c>
      <c r="J63" s="4">
        <f t="shared" si="38"/>
        <v>175000</v>
      </c>
      <c r="K63" s="4">
        <f t="shared" si="38"/>
        <v>200000</v>
      </c>
      <c r="L63" s="4">
        <f t="shared" si="38"/>
        <v>225000</v>
      </c>
      <c r="M63" s="4">
        <f t="shared" si="38"/>
        <v>250000</v>
      </c>
      <c r="P63" s="1" t="s">
        <v>95</v>
      </c>
      <c r="Q63" s="22">
        <v>2.7E-2</v>
      </c>
    </row>
    <row r="64" spans="1:17" x14ac:dyDescent="0.25">
      <c r="A64" s="2"/>
      <c r="B64" s="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P64" s="1" t="s">
        <v>96</v>
      </c>
      <c r="Q64" s="22">
        <v>7.2599999999999998E-2</v>
      </c>
    </row>
    <row r="65" spans="1:19" x14ac:dyDescent="0.25">
      <c r="A65" s="70" t="s">
        <v>18</v>
      </c>
      <c r="B65" s="2"/>
      <c r="C65" s="4"/>
      <c r="D65" s="4">
        <f>SUM(D55:D62)-D63</f>
        <v>4835479.4520547949</v>
      </c>
      <c r="E65" s="4">
        <f t="shared" ref="E65:G65" si="39">SUM(E55:E62)-E63</f>
        <v>4824732.7397260275</v>
      </c>
      <c r="F65" s="4">
        <f t="shared" si="39"/>
        <v>4814612.102380137</v>
      </c>
      <c r="G65" s="4">
        <f t="shared" si="39"/>
        <v>4805145.1200259952</v>
      </c>
      <c r="H65" s="4">
        <f t="shared" ref="H65:M65" si="40">SUM(H55:H62)-H63</f>
        <v>4796360.5909668636</v>
      </c>
      <c r="I65" s="4">
        <f t="shared" si="40"/>
        <v>4788288.5857552197</v>
      </c>
      <c r="J65" s="4">
        <f t="shared" si="40"/>
        <v>4780960.5035428833</v>
      </c>
      <c r="K65" s="4">
        <f t="shared" si="40"/>
        <v>4858305.1309329951</v>
      </c>
      <c r="L65" s="4">
        <f t="shared" si="40"/>
        <v>4938991.7034451915</v>
      </c>
      <c r="M65" s="4">
        <f t="shared" si="40"/>
        <v>5021038.9697102783</v>
      </c>
    </row>
    <row r="66" spans="1:19" x14ac:dyDescent="0.25">
      <c r="A66" s="2"/>
      <c r="B66" s="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P66" s="1" t="s">
        <v>97</v>
      </c>
      <c r="R66" s="38">
        <f>Q62*(Q64-Q63)+Q63</f>
        <v>0.12379725399591883</v>
      </c>
    </row>
    <row r="67" spans="1:19" x14ac:dyDescent="0.25">
      <c r="A67" s="2" t="s">
        <v>19</v>
      </c>
      <c r="B67" s="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19" x14ac:dyDescent="0.25">
      <c r="A68" s="2" t="s">
        <v>20</v>
      </c>
      <c r="B68" s="2"/>
      <c r="C68" s="4"/>
      <c r="D68" s="47">
        <f>+($C$24)*(D38+D39)</f>
        <v>99726.027397260274</v>
      </c>
      <c r="E68" s="47">
        <f>+($C$24)*(E38+E39)</f>
        <v>104212.60273972602</v>
      </c>
      <c r="F68" s="47">
        <f t="shared" ref="F68:M68" si="41">+($C$24)*(F38+F39)</f>
        <v>108901.78849315069</v>
      </c>
      <c r="G68" s="47">
        <f t="shared" si="41"/>
        <v>113802.75756821918</v>
      </c>
      <c r="H68" s="47">
        <f t="shared" si="41"/>
        <v>118925.09886716219</v>
      </c>
      <c r="I68" s="47">
        <f t="shared" si="41"/>
        <v>124278.8361700948</v>
      </c>
      <c r="J68" s="47">
        <f t="shared" si="41"/>
        <v>129874.44787944511</v>
      </c>
      <c r="K68" s="47">
        <f t="shared" si="41"/>
        <v>135722.88766147924</v>
      </c>
      <c r="L68" s="47">
        <f t="shared" si="41"/>
        <v>141835.60602570148</v>
      </c>
      <c r="M68" s="47">
        <f t="shared" si="41"/>
        <v>148224.57288476455</v>
      </c>
      <c r="O68" s="1" t="s">
        <v>98</v>
      </c>
    </row>
    <row r="69" spans="1:19" x14ac:dyDescent="0.25">
      <c r="A69" s="2" t="s">
        <v>21</v>
      </c>
      <c r="B69" s="2"/>
      <c r="C69" s="4"/>
      <c r="D69" s="4">
        <f>+D50</f>
        <v>36213.297506407413</v>
      </c>
      <c r="E69" s="4">
        <f t="shared" ref="E69:G69" si="42">+E50</f>
        <v>38908.089225842799</v>
      </c>
      <c r="F69" s="4">
        <f t="shared" si="42"/>
        <v>41714.965120636531</v>
      </c>
      <c r="G69" s="4">
        <f t="shared" si="42"/>
        <v>44634.569098509521</v>
      </c>
      <c r="H69" s="4">
        <f t="shared" ref="H69:M69" si="43">+H50</f>
        <v>47394.760555977184</v>
      </c>
      <c r="I69" s="4">
        <f t="shared" si="43"/>
        <v>50800.440533700865</v>
      </c>
      <c r="J69" s="4">
        <f t="shared" si="43"/>
        <v>54058.186023809991</v>
      </c>
      <c r="K69" s="4">
        <f t="shared" si="43"/>
        <v>56103.054563543898</v>
      </c>
      <c r="L69" s="4">
        <f t="shared" si="43"/>
        <v>58169.648846885</v>
      </c>
      <c r="M69" s="4">
        <f t="shared" si="43"/>
        <v>60284.746756358625</v>
      </c>
    </row>
    <row r="70" spans="1:19" x14ac:dyDescent="0.25">
      <c r="A70" s="2"/>
      <c r="B70" s="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O70" s="1" t="s">
        <v>99</v>
      </c>
      <c r="P70" s="1" t="s">
        <v>100</v>
      </c>
      <c r="Q70" s="1" t="s">
        <v>101</v>
      </c>
      <c r="R70" s="1" t="s">
        <v>102</v>
      </c>
      <c r="S70" s="1" t="s">
        <v>103</v>
      </c>
    </row>
    <row r="71" spans="1:19" x14ac:dyDescent="0.25">
      <c r="A71" s="2" t="s">
        <v>22</v>
      </c>
      <c r="B71" s="2"/>
      <c r="C71" s="4"/>
      <c r="D71" s="4">
        <f>+Mortgage!E14</f>
        <v>3153666.1210416453</v>
      </c>
      <c r="E71" s="4">
        <f>+Mortgage!E28</f>
        <v>3112038.9242234784</v>
      </c>
      <c r="F71" s="4">
        <f>+Mortgage!E42</f>
        <v>3067844.2529915152</v>
      </c>
      <c r="G71" s="4">
        <f>+Mortgage!E56</f>
        <v>3020923.7511418932</v>
      </c>
      <c r="H71" s="4">
        <f>+Mortgage!E70</f>
        <v>2972017.5383202089</v>
      </c>
      <c r="I71" s="4">
        <f>+Mortgage!E84</f>
        <v>2919186.6543914969</v>
      </c>
      <c r="J71" s="4">
        <f>+Mortgage!E98</f>
        <v>2863097.2771431939</v>
      </c>
      <c r="K71" s="4">
        <f>+Mortgage!E112</f>
        <v>2803548.4298373736</v>
      </c>
      <c r="L71" s="4">
        <f>+Mortgage!E126</f>
        <v>2740326.7399306777</v>
      </c>
      <c r="M71" s="4">
        <f>+Mortgage!E140</f>
        <v>2673205.6745281601</v>
      </c>
      <c r="O71" s="27">
        <f>AVERAGE(D71:M71)</f>
        <v>2932585.5363549641</v>
      </c>
      <c r="P71" s="48">
        <f>O71/$O$77</f>
        <v>0.6177251310073949</v>
      </c>
      <c r="Q71" s="48">
        <v>0.06</v>
      </c>
      <c r="R71" s="48">
        <f>Q71*(1-0.3)</f>
        <v>4.1999999999999996E-2</v>
      </c>
      <c r="S71" s="48">
        <f>P71*R71</f>
        <v>2.5944455502310584E-2</v>
      </c>
    </row>
    <row r="72" spans="1:19" x14ac:dyDescent="0.25">
      <c r="A72" s="2" t="s">
        <v>23</v>
      </c>
      <c r="B72" s="2"/>
      <c r="C72" s="4"/>
      <c r="D72" s="4">
        <v>461376.31192786421</v>
      </c>
      <c r="E72" s="4">
        <v>394289.88782839652</v>
      </c>
      <c r="F72" s="4">
        <v>323532.94145143137</v>
      </c>
      <c r="G72" s="4">
        <v>249018.55999744794</v>
      </c>
      <c r="H72" s="4">
        <v>170669.93637297684</v>
      </c>
      <c r="I72" s="4">
        <v>88135.036564088121</v>
      </c>
      <c r="J72" s="4">
        <v>1907.2070117044693</v>
      </c>
      <c r="K72" s="4"/>
      <c r="L72" s="4"/>
      <c r="M72" s="4"/>
      <c r="O72" s="27">
        <f t="shared" ref="O72:O75" si="44">AVERAGE(D72:M72)</f>
        <v>241275.6973077014</v>
      </c>
      <c r="P72" s="48">
        <f>+O72/O77</f>
        <v>5.0822750054735369E-2</v>
      </c>
      <c r="Q72" s="48">
        <f>+C28</f>
        <v>0.05</v>
      </c>
      <c r="R72" s="48">
        <f>Q72*(1-0.3)</f>
        <v>3.4999999999999996E-2</v>
      </c>
      <c r="S72" s="48">
        <f>P72*R72</f>
        <v>1.7787962519157376E-3</v>
      </c>
    </row>
    <row r="73" spans="1:19" x14ac:dyDescent="0.25">
      <c r="A73" s="2"/>
      <c r="B73" s="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O73" s="27"/>
      <c r="P73" s="48"/>
    </row>
    <row r="74" spans="1:19" x14ac:dyDescent="0.25">
      <c r="A74" s="2" t="s">
        <v>24</v>
      </c>
      <c r="B74" s="2"/>
      <c r="C74" s="4"/>
      <c r="D74" s="4">
        <f>+$C$29</f>
        <v>1000000</v>
      </c>
      <c r="E74" s="4">
        <f>+$C$29</f>
        <v>1000000</v>
      </c>
      <c r="F74" s="4">
        <f>+$C$29</f>
        <v>1000000</v>
      </c>
      <c r="G74" s="4">
        <f t="shared" ref="G74:M74" si="45">+$C$29</f>
        <v>1000000</v>
      </c>
      <c r="H74" s="4">
        <f t="shared" si="45"/>
        <v>1000000</v>
      </c>
      <c r="I74" s="4">
        <f t="shared" si="45"/>
        <v>1000000</v>
      </c>
      <c r="J74" s="4">
        <f t="shared" si="45"/>
        <v>1000000</v>
      </c>
      <c r="K74" s="4">
        <f t="shared" si="45"/>
        <v>1000000</v>
      </c>
      <c r="L74" s="4">
        <f t="shared" si="45"/>
        <v>1000000</v>
      </c>
      <c r="M74" s="4">
        <f t="shared" si="45"/>
        <v>1000000</v>
      </c>
      <c r="O74" s="27">
        <f t="shared" si="44"/>
        <v>1000000</v>
      </c>
      <c r="P74" s="48">
        <f>SUM(O74:O75)/O77</f>
        <v>0.33145211893786974</v>
      </c>
      <c r="Q74" s="48">
        <f>R66</f>
        <v>0.12379725399591883</v>
      </c>
      <c r="R74" s="48">
        <f>Q74</f>
        <v>0.12379725399591883</v>
      </c>
      <c r="S74" s="1">
        <f>P74*R74</f>
        <v>4.1032862155636958E-2</v>
      </c>
    </row>
    <row r="75" spans="1:19" x14ac:dyDescent="0.25">
      <c r="A75" s="2" t="s">
        <v>25</v>
      </c>
      <c r="B75" s="2"/>
      <c r="C75" s="4"/>
      <c r="D75" s="4">
        <f>+D51+C75</f>
        <v>84497.694181617306</v>
      </c>
      <c r="E75" s="4">
        <f t="shared" ref="E75:G75" si="46">+E51+D75</f>
        <v>175283.23570858384</v>
      </c>
      <c r="F75" s="4">
        <f t="shared" si="46"/>
        <v>272618.15432340244</v>
      </c>
      <c r="G75" s="4">
        <f t="shared" si="46"/>
        <v>376765.48221992468</v>
      </c>
      <c r="H75" s="4">
        <f t="shared" ref="H75:M75" si="47">+H51+G75</f>
        <v>487353.25685053814</v>
      </c>
      <c r="I75" s="4">
        <f t="shared" si="47"/>
        <v>605887.61809584009</v>
      </c>
      <c r="J75" s="4">
        <f t="shared" si="47"/>
        <v>732023.38548473013</v>
      </c>
      <c r="K75" s="4">
        <f t="shared" si="47"/>
        <v>862930.51279966591</v>
      </c>
      <c r="L75" s="4">
        <f t="shared" si="47"/>
        <v>998659.69344239752</v>
      </c>
      <c r="M75" s="4">
        <f t="shared" si="47"/>
        <v>1139324.1025405678</v>
      </c>
      <c r="O75" s="27">
        <f t="shared" si="44"/>
        <v>573534.31356472673</v>
      </c>
    </row>
    <row r="76" spans="1:19" x14ac:dyDescent="0.25">
      <c r="A76" s="2"/>
      <c r="B76" s="2"/>
      <c r="C76" s="2"/>
      <c r="D76" s="4"/>
      <c r="E76" s="4"/>
      <c r="F76" s="4"/>
      <c r="G76" s="4"/>
      <c r="H76" s="4"/>
      <c r="I76" s="4"/>
      <c r="J76" s="4"/>
      <c r="K76" s="4"/>
      <c r="L76" s="4"/>
      <c r="M76" s="4"/>
      <c r="O76" s="27"/>
      <c r="R76" s="1" t="s">
        <v>106</v>
      </c>
      <c r="S76" s="49">
        <f>S71+S74+S72</f>
        <v>6.8756113909863276E-2</v>
      </c>
    </row>
    <row r="77" spans="1:19" x14ac:dyDescent="0.25">
      <c r="A77" s="70" t="s">
        <v>26</v>
      </c>
      <c r="B77" s="2"/>
      <c r="C77" s="2"/>
      <c r="D77" s="4">
        <f>SUM(D68:D75)</f>
        <v>4835479.4520547949</v>
      </c>
      <c r="E77" s="4">
        <f t="shared" ref="E77:G77" si="48">SUM(E68:E75)</f>
        <v>4824732.7397260284</v>
      </c>
      <c r="F77" s="4">
        <f t="shared" si="48"/>
        <v>4814612.102380136</v>
      </c>
      <c r="G77" s="4">
        <f t="shared" si="48"/>
        <v>4805145.1200259943</v>
      </c>
      <c r="H77" s="4">
        <f t="shared" ref="H77:M77" si="49">SUM(H68:H75)</f>
        <v>4796360.5909668626</v>
      </c>
      <c r="I77" s="4">
        <f t="shared" si="49"/>
        <v>4788288.5857552206</v>
      </c>
      <c r="J77" s="4">
        <f t="shared" si="49"/>
        <v>4780960.5035428833</v>
      </c>
      <c r="K77" s="4">
        <f t="shared" si="49"/>
        <v>4858304.8848620625</v>
      </c>
      <c r="L77" s="4">
        <f t="shared" si="49"/>
        <v>4938991.6882456616</v>
      </c>
      <c r="M77" s="4">
        <f t="shared" si="49"/>
        <v>5021039.0967098512</v>
      </c>
      <c r="O77" s="27">
        <f>SUM(O71:O75)</f>
        <v>4747395.547227392</v>
      </c>
    </row>
    <row r="78" spans="1:19" x14ac:dyDescent="0.25">
      <c r="D78" s="27">
        <f>D65-D77</f>
        <v>0</v>
      </c>
      <c r="E78" s="27">
        <f t="shared" ref="E78:M78" si="50">E65-E77</f>
        <v>0</v>
      </c>
      <c r="F78" s="27">
        <f t="shared" si="50"/>
        <v>0</v>
      </c>
      <c r="G78" s="27">
        <f t="shared" si="50"/>
        <v>0</v>
      </c>
      <c r="H78" s="27">
        <f t="shared" si="50"/>
        <v>0</v>
      </c>
      <c r="I78" s="27">
        <f t="shared" si="50"/>
        <v>0</v>
      </c>
      <c r="J78" s="27">
        <f t="shared" si="50"/>
        <v>0</v>
      </c>
      <c r="K78" s="27">
        <f t="shared" si="50"/>
        <v>0.24607093259692192</v>
      </c>
      <c r="L78" s="27">
        <f t="shared" si="50"/>
        <v>1.5199529938399792E-2</v>
      </c>
      <c r="M78" s="27">
        <f t="shared" si="50"/>
        <v>-0.1269995728507638</v>
      </c>
    </row>
    <row r="79" spans="1:19" x14ac:dyDescent="0.25">
      <c r="A79" s="6" t="s">
        <v>27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9" x14ac:dyDescent="0.25">
      <c r="A80" s="7"/>
      <c r="B80" s="33" t="s">
        <v>65</v>
      </c>
      <c r="C80" s="7">
        <v>0</v>
      </c>
      <c r="D80" s="7">
        <v>1</v>
      </c>
      <c r="E80" s="7">
        <v>2</v>
      </c>
      <c r="F80" s="7">
        <v>3</v>
      </c>
      <c r="G80" s="7">
        <v>4</v>
      </c>
      <c r="H80" s="7">
        <v>5</v>
      </c>
      <c r="I80" s="7">
        <v>6</v>
      </c>
      <c r="J80" s="7">
        <v>7</v>
      </c>
      <c r="K80" s="7">
        <v>8</v>
      </c>
      <c r="L80" s="7">
        <v>9</v>
      </c>
      <c r="M80" s="7">
        <v>10</v>
      </c>
    </row>
    <row r="81" spans="1:13" x14ac:dyDescent="0.25">
      <c r="A81" s="6" t="s">
        <v>28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x14ac:dyDescent="0.25">
      <c r="A82" s="7"/>
      <c r="B82" s="7" t="s">
        <v>50</v>
      </c>
      <c r="C82" s="7"/>
      <c r="D82" s="24">
        <f>+(D34+D35)-(D38+D39+D42+D43)</f>
        <v>370000</v>
      </c>
      <c r="E82" s="24">
        <f>+(E34+E35)-(E38+E39+E42+E43)</f>
        <v>373210</v>
      </c>
      <c r="F82" s="24">
        <f>+(F34+F35)-(F38+F39+F42+F43)</f>
        <v>376460.93124999991</v>
      </c>
      <c r="G82" s="24">
        <f t="shared" ref="G82:M82" si="51">+(G34+G35)-(G38+G39+G42+G43)</f>
        <v>379741.39481921867</v>
      </c>
      <c r="H82" s="24">
        <f t="shared" si="51"/>
        <v>383038.89085749257</v>
      </c>
      <c r="I82" s="24">
        <f t="shared" si="51"/>
        <v>386339.74135243194</v>
      </c>
      <c r="J82" s="24">
        <f t="shared" si="51"/>
        <v>389629.00818891963</v>
      </c>
      <c r="K82" s="24">
        <f t="shared" si="51"/>
        <v>392890.40624659648</v>
      </c>
      <c r="L82" s="24">
        <f t="shared" si="51"/>
        <v>396106.21125685703</v>
      </c>
      <c r="M82" s="24">
        <f t="shared" si="51"/>
        <v>399257.16212594835</v>
      </c>
    </row>
    <row r="83" spans="1:13" x14ac:dyDescent="0.25">
      <c r="A83" s="7"/>
      <c r="B83" s="7" t="s">
        <v>51</v>
      </c>
      <c r="C83" s="7"/>
      <c r="D83" s="24">
        <f>+D45</f>
        <v>35714.28571428571</v>
      </c>
      <c r="E83" s="24">
        <f t="shared" ref="E83:G83" si="52">+E45</f>
        <v>35714.28571428571</v>
      </c>
      <c r="F83" s="24">
        <f t="shared" si="52"/>
        <v>35714.28571428571</v>
      </c>
      <c r="G83" s="24">
        <f t="shared" si="52"/>
        <v>35714.28571428571</v>
      </c>
      <c r="H83" s="24">
        <f t="shared" ref="H83:M83" si="53">+H45</f>
        <v>35714.28571428571</v>
      </c>
      <c r="I83" s="24">
        <f t="shared" si="53"/>
        <v>35714.28571428571</v>
      </c>
      <c r="J83" s="24">
        <f t="shared" si="53"/>
        <v>35714.28571428571</v>
      </c>
      <c r="K83" s="24">
        <f t="shared" si="53"/>
        <v>35714.28571428571</v>
      </c>
      <c r="L83" s="24">
        <f t="shared" si="53"/>
        <v>35714.28571428571</v>
      </c>
      <c r="M83" s="24">
        <f t="shared" si="53"/>
        <v>35714.28571428571</v>
      </c>
    </row>
    <row r="84" spans="1:13" x14ac:dyDescent="0.25">
      <c r="A84" s="7"/>
      <c r="B84" s="7" t="s">
        <v>52</v>
      </c>
      <c r="C84" s="7"/>
      <c r="D84" s="24">
        <f>+D82-D83</f>
        <v>334285.71428571432</v>
      </c>
      <c r="E84" s="24">
        <f t="shared" ref="E84:G84" si="54">+E82-E83</f>
        <v>337495.71428571432</v>
      </c>
      <c r="F84" s="24">
        <f t="shared" si="54"/>
        <v>340746.64553571423</v>
      </c>
      <c r="G84" s="24">
        <f t="shared" si="54"/>
        <v>344027.10910493298</v>
      </c>
      <c r="H84" s="24">
        <f t="shared" ref="H84" si="55">+H82-H83</f>
        <v>347324.60514320689</v>
      </c>
      <c r="I84" s="24">
        <f t="shared" ref="I84:J84" si="56">+I82-I83</f>
        <v>350625.45563814626</v>
      </c>
      <c r="J84" s="24">
        <f t="shared" si="56"/>
        <v>353914.72247463395</v>
      </c>
      <c r="K84" s="24">
        <f t="shared" ref="K84" si="57">+K82-K83</f>
        <v>357176.1205323108</v>
      </c>
      <c r="L84" s="24">
        <f t="shared" ref="L84:M84" si="58">+L82-L83</f>
        <v>360391.92554257135</v>
      </c>
      <c r="M84" s="24">
        <f t="shared" si="58"/>
        <v>363542.87641166267</v>
      </c>
    </row>
    <row r="85" spans="1:13" x14ac:dyDescent="0.25">
      <c r="A85" s="7"/>
      <c r="B85" s="7" t="s">
        <v>53</v>
      </c>
      <c r="C85" s="7"/>
      <c r="D85" s="24">
        <f>+D84*$C$21</f>
        <v>100285.71428571429</v>
      </c>
      <c r="E85" s="24">
        <f t="shared" ref="E85:G85" si="59">+E84*$C$21</f>
        <v>101248.71428571429</v>
      </c>
      <c r="F85" s="24">
        <f t="shared" si="59"/>
        <v>102223.99366071426</v>
      </c>
      <c r="G85" s="24">
        <f t="shared" si="59"/>
        <v>103208.1327314799</v>
      </c>
      <c r="H85" s="24">
        <f t="shared" ref="H85" si="60">+H84*$C$21</f>
        <v>104197.38154296206</v>
      </c>
      <c r="I85" s="24">
        <f t="shared" ref="I85:J85" si="61">+I84*$C$21</f>
        <v>105187.63669144387</v>
      </c>
      <c r="J85" s="24">
        <f t="shared" si="61"/>
        <v>106174.41674239018</v>
      </c>
      <c r="K85" s="24">
        <f t="shared" ref="K85" si="62">+K84*$C$21</f>
        <v>107152.83615969324</v>
      </c>
      <c r="L85" s="24">
        <f t="shared" ref="L85:M85" si="63">+L84*$C$21</f>
        <v>108117.57766277141</v>
      </c>
      <c r="M85" s="24">
        <f t="shared" si="63"/>
        <v>109062.8629234988</v>
      </c>
    </row>
    <row r="86" spans="1:13" x14ac:dyDescent="0.25">
      <c r="A86" s="7"/>
      <c r="B86" s="7" t="s">
        <v>54</v>
      </c>
      <c r="C86" s="7"/>
      <c r="D86" s="24">
        <f>+D84-D85</f>
        <v>234000.00000000003</v>
      </c>
      <c r="E86" s="24">
        <f t="shared" ref="E86:G86" si="64">+E84-E85</f>
        <v>236247.00000000003</v>
      </c>
      <c r="F86" s="24">
        <f t="shared" si="64"/>
        <v>238522.65187499998</v>
      </c>
      <c r="G86" s="24">
        <f t="shared" si="64"/>
        <v>240818.9763734531</v>
      </c>
      <c r="H86" s="24">
        <f t="shared" ref="H86" si="65">+H84-H85</f>
        <v>243127.22360024485</v>
      </c>
      <c r="I86" s="24">
        <f t="shared" ref="I86:J86" si="66">+I84-I85</f>
        <v>245437.81894670241</v>
      </c>
      <c r="J86" s="24">
        <f t="shared" si="66"/>
        <v>247740.30573224375</v>
      </c>
      <c r="K86" s="24">
        <f t="shared" ref="K86" si="67">+K84-K85</f>
        <v>250023.28437261755</v>
      </c>
      <c r="L86" s="24">
        <f t="shared" ref="L86:M86" si="68">+L84-L85</f>
        <v>252274.34787979996</v>
      </c>
      <c r="M86" s="24">
        <f t="shared" si="68"/>
        <v>254480.01348816388</v>
      </c>
    </row>
    <row r="87" spans="1:13" x14ac:dyDescent="0.25">
      <c r="A87" s="7"/>
      <c r="B87" s="7" t="s">
        <v>55</v>
      </c>
      <c r="C87" s="7"/>
      <c r="D87" s="24">
        <f>+D83</f>
        <v>35714.28571428571</v>
      </c>
      <c r="E87" s="24">
        <f t="shared" ref="E87:G87" si="69">+E83</f>
        <v>35714.28571428571</v>
      </c>
      <c r="F87" s="24">
        <f t="shared" si="69"/>
        <v>35714.28571428571</v>
      </c>
      <c r="G87" s="24">
        <f t="shared" si="69"/>
        <v>35714.28571428571</v>
      </c>
      <c r="H87" s="24">
        <f t="shared" ref="H87:M87" si="70">+H83</f>
        <v>35714.28571428571</v>
      </c>
      <c r="I87" s="24">
        <f t="shared" si="70"/>
        <v>35714.28571428571</v>
      </c>
      <c r="J87" s="24">
        <f t="shared" si="70"/>
        <v>35714.28571428571</v>
      </c>
      <c r="K87" s="24">
        <f t="shared" si="70"/>
        <v>35714.28571428571</v>
      </c>
      <c r="L87" s="24">
        <f t="shared" si="70"/>
        <v>35714.28571428571</v>
      </c>
      <c r="M87" s="24">
        <f t="shared" si="70"/>
        <v>35714.28571428571</v>
      </c>
    </row>
    <row r="88" spans="1:13" x14ac:dyDescent="0.25">
      <c r="A88" s="7"/>
      <c r="B88" s="6" t="s">
        <v>29</v>
      </c>
      <c r="C88" s="8"/>
      <c r="D88" s="26">
        <f>+D86+D87</f>
        <v>269714.28571428574</v>
      </c>
      <c r="E88" s="26">
        <f t="shared" ref="E88:G88" si="71">+E86+E87</f>
        <v>271961.28571428574</v>
      </c>
      <c r="F88" s="26">
        <f t="shared" si="71"/>
        <v>274236.93758928566</v>
      </c>
      <c r="G88" s="26">
        <f t="shared" si="71"/>
        <v>276533.26208773884</v>
      </c>
      <c r="H88" s="26">
        <f t="shared" ref="H88" si="72">+H86+H87</f>
        <v>278841.50931453053</v>
      </c>
      <c r="I88" s="26">
        <f t="shared" ref="I88:J88" si="73">+I86+I87</f>
        <v>281152.10466098809</v>
      </c>
      <c r="J88" s="26">
        <f t="shared" si="73"/>
        <v>283454.59144652949</v>
      </c>
      <c r="K88" s="26">
        <f t="shared" ref="K88" si="74">+K86+K87</f>
        <v>285737.57008690329</v>
      </c>
      <c r="L88" s="26">
        <f t="shared" ref="L88:M88" si="75">+L86+L87</f>
        <v>287988.6335940857</v>
      </c>
      <c r="M88" s="26">
        <f t="shared" si="75"/>
        <v>290194.29920244962</v>
      </c>
    </row>
    <row r="89" spans="1:13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x14ac:dyDescent="0.25">
      <c r="A90" s="6" t="s">
        <v>30</v>
      </c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x14ac:dyDescent="0.25">
      <c r="A91" s="7"/>
      <c r="B91" s="7" t="s">
        <v>31</v>
      </c>
      <c r="C91" s="4">
        <f>-D62</f>
        <v>-750000</v>
      </c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 x14ac:dyDescent="0.25">
      <c r="A92" s="7"/>
      <c r="B92" s="7" t="s">
        <v>135</v>
      </c>
      <c r="C92" s="4">
        <f>-D61</f>
        <v>-75000</v>
      </c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 x14ac:dyDescent="0.25">
      <c r="A93" s="7"/>
      <c r="B93" s="7" t="s">
        <v>32</v>
      </c>
      <c r="C93" s="7"/>
      <c r="D93" s="7"/>
      <c r="E93" s="7"/>
      <c r="F93" s="7"/>
      <c r="G93" s="7"/>
      <c r="H93" s="7"/>
      <c r="I93" s="7"/>
      <c r="J93" s="7"/>
      <c r="K93" s="7"/>
      <c r="L93" s="7"/>
      <c r="M93" s="4">
        <f>+C15*C16</f>
        <v>625000</v>
      </c>
    </row>
    <row r="94" spans="1:13" x14ac:dyDescent="0.25">
      <c r="A94" s="7"/>
      <c r="B94" s="7" t="s">
        <v>90</v>
      </c>
      <c r="C94" s="40">
        <f>-D60</f>
        <v>-3700000</v>
      </c>
      <c r="D94" s="7"/>
      <c r="E94" s="43"/>
      <c r="F94" s="7"/>
      <c r="G94" s="7"/>
      <c r="H94" s="7"/>
      <c r="I94" s="7"/>
      <c r="J94" s="7"/>
      <c r="K94" s="7"/>
      <c r="L94" s="7"/>
      <c r="M94" s="4"/>
    </row>
    <row r="95" spans="1:13" x14ac:dyDescent="0.25">
      <c r="A95" s="7"/>
      <c r="B95" s="7" t="s">
        <v>91</v>
      </c>
      <c r="C95" s="7"/>
      <c r="D95" s="7"/>
      <c r="E95" s="7"/>
      <c r="F95" s="7"/>
      <c r="G95" s="7"/>
      <c r="H95" s="7"/>
      <c r="I95" s="7"/>
      <c r="J95" s="7"/>
      <c r="K95" s="7"/>
      <c r="L95" s="7"/>
      <c r="M95" s="4">
        <f>-C94*C15</f>
        <v>4625000</v>
      </c>
    </row>
    <row r="96" spans="1:13" x14ac:dyDescent="0.25">
      <c r="A96" s="7"/>
      <c r="B96" s="7" t="s">
        <v>89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4">
        <f>-(E12+E13)*$C$21</f>
        <v>-315000</v>
      </c>
    </row>
    <row r="97" spans="1:13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 x14ac:dyDescent="0.25">
      <c r="A98" s="6" t="s">
        <v>33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 x14ac:dyDescent="0.25">
      <c r="A99" s="7" t="s">
        <v>58</v>
      </c>
      <c r="B99" s="7" t="s">
        <v>14</v>
      </c>
      <c r="C99" s="24"/>
      <c r="D99" s="24">
        <f>-(D57-C57)</f>
        <v>-108493.1506849315</v>
      </c>
      <c r="E99" s="24">
        <f t="shared" ref="E99:G99" si="76">-(E57-D57)</f>
        <v>-4380.4109589041036</v>
      </c>
      <c r="F99" s="24">
        <f t="shared" si="76"/>
        <v>-4557.2700513698655</v>
      </c>
      <c r="G99" s="24">
        <f t="shared" si="76"/>
        <v>-4741.2698296939197</v>
      </c>
      <c r="H99" s="24">
        <f t="shared" ref="H99:M99" si="77">-(H57-G57)</f>
        <v>-4932.6985990678222</v>
      </c>
      <c r="I99" s="24">
        <f t="shared" si="77"/>
        <v>-5131.8563050051889</v>
      </c>
      <c r="J99" s="24">
        <f t="shared" si="77"/>
        <v>-5339.0550033197505</v>
      </c>
      <c r="K99" s="24">
        <f t="shared" si="77"/>
        <v>-5554.6193490787991</v>
      </c>
      <c r="L99" s="24">
        <f t="shared" si="77"/>
        <v>-5778.8871052978793</v>
      </c>
      <c r="M99" s="24">
        <f t="shared" si="77"/>
        <v>-6012.209672174271</v>
      </c>
    </row>
    <row r="100" spans="1:13" x14ac:dyDescent="0.25">
      <c r="A100" s="7" t="s">
        <v>58</v>
      </c>
      <c r="B100" s="7" t="s">
        <v>15</v>
      </c>
      <c r="C100" s="24"/>
      <c r="D100" s="24">
        <f>-(D58-C58)</f>
        <v>-216986.30136986301</v>
      </c>
      <c r="E100" s="24">
        <f t="shared" ref="E100:G100" si="78">-(E58-D58)</f>
        <v>-9872.8767123287544</v>
      </c>
      <c r="F100" s="24">
        <f t="shared" si="78"/>
        <v>-10322.092602739751</v>
      </c>
      <c r="G100" s="24">
        <f t="shared" si="78"/>
        <v>-10791.747816164367</v>
      </c>
      <c r="H100" s="24">
        <f t="shared" ref="H100:M100" si="79">-(H58-G58)</f>
        <v>-11282.772341799893</v>
      </c>
      <c r="I100" s="24">
        <f t="shared" si="79"/>
        <v>-11796.138483351766</v>
      </c>
      <c r="J100" s="24">
        <f t="shared" si="79"/>
        <v>-12332.862784344237</v>
      </c>
      <c r="K100" s="24">
        <f t="shared" si="79"/>
        <v>-12894.008041032008</v>
      </c>
      <c r="L100" s="24">
        <f t="shared" si="79"/>
        <v>-13480.685406898905</v>
      </c>
      <c r="M100" s="24">
        <f t="shared" si="79"/>
        <v>-14094.056592912762</v>
      </c>
    </row>
    <row r="101" spans="1:13" x14ac:dyDescent="0.25">
      <c r="A101" s="7" t="s">
        <v>59</v>
      </c>
      <c r="B101" s="7" t="s">
        <v>20</v>
      </c>
      <c r="C101" s="24"/>
      <c r="D101" s="24">
        <f>+D68-C68</f>
        <v>99726.027397260274</v>
      </c>
      <c r="E101" s="24">
        <f>+E68-D68</f>
        <v>4486.5753424657451</v>
      </c>
      <c r="F101" s="24">
        <f t="shared" ref="F101:G101" si="80">+F68-E68</f>
        <v>4689.1857534246665</v>
      </c>
      <c r="G101" s="24">
        <f t="shared" si="80"/>
        <v>4900.9690750684967</v>
      </c>
      <c r="H101" s="24">
        <f t="shared" ref="H101:M101" si="81">+H68-G68</f>
        <v>5122.3412989430071</v>
      </c>
      <c r="I101" s="24">
        <f t="shared" si="81"/>
        <v>5353.7373029326118</v>
      </c>
      <c r="J101" s="24">
        <f t="shared" si="81"/>
        <v>5595.6117093503126</v>
      </c>
      <c r="K101" s="24">
        <f t="shared" si="81"/>
        <v>5848.4397820341255</v>
      </c>
      <c r="L101" s="24">
        <f t="shared" si="81"/>
        <v>6112.7183642222371</v>
      </c>
      <c r="M101" s="24">
        <f t="shared" si="81"/>
        <v>6388.9668590630754</v>
      </c>
    </row>
    <row r="102" spans="1:13" x14ac:dyDescent="0.25">
      <c r="A102" s="7" t="s">
        <v>59</v>
      </c>
      <c r="B102" s="7" t="s">
        <v>21</v>
      </c>
      <c r="C102" s="24"/>
      <c r="D102" s="24">
        <f>+D85-C85</f>
        <v>100285.71428571429</v>
      </c>
      <c r="E102" s="24">
        <f t="shared" ref="E102:G102" si="82">+E85-D85</f>
        <v>963</v>
      </c>
      <c r="F102" s="24">
        <f t="shared" si="82"/>
        <v>975.27937499996915</v>
      </c>
      <c r="G102" s="24">
        <f t="shared" si="82"/>
        <v>984.13907076563919</v>
      </c>
      <c r="H102" s="24">
        <f t="shared" ref="H102:M102" si="83">+H85-G85</f>
        <v>989.24881148216082</v>
      </c>
      <c r="I102" s="24">
        <f t="shared" si="83"/>
        <v>990.25514848181047</v>
      </c>
      <c r="J102" s="24">
        <f t="shared" si="83"/>
        <v>986.78005094631226</v>
      </c>
      <c r="K102" s="24">
        <f t="shared" si="83"/>
        <v>978.41941730305552</v>
      </c>
      <c r="L102" s="24">
        <f t="shared" si="83"/>
        <v>964.74150307817035</v>
      </c>
      <c r="M102" s="24">
        <f t="shared" si="83"/>
        <v>945.28526072739623</v>
      </c>
    </row>
    <row r="103" spans="1:13" x14ac:dyDescent="0.25">
      <c r="A103" s="7"/>
      <c r="B103" s="7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</row>
    <row r="104" spans="1:13" x14ac:dyDescent="0.25">
      <c r="A104" s="6" t="s">
        <v>34</v>
      </c>
      <c r="B104" s="7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</row>
    <row r="105" spans="1:13" x14ac:dyDescent="0.25">
      <c r="A105" s="7" t="s">
        <v>59</v>
      </c>
      <c r="B105" s="7" t="s">
        <v>14</v>
      </c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>
        <f>+M57</f>
        <v>154921.4275588431</v>
      </c>
    </row>
    <row r="106" spans="1:13" x14ac:dyDescent="0.25">
      <c r="A106" s="7" t="s">
        <v>59</v>
      </c>
      <c r="B106" s="7" t="s">
        <v>15</v>
      </c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>
        <f>+M58</f>
        <v>323853.54215143545</v>
      </c>
    </row>
    <row r="107" spans="1:13" x14ac:dyDescent="0.25">
      <c r="A107" s="7" t="s">
        <v>58</v>
      </c>
      <c r="B107" s="7" t="s">
        <v>20</v>
      </c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>
        <f>-M68</f>
        <v>-148224.57288476455</v>
      </c>
    </row>
    <row r="108" spans="1:13" x14ac:dyDescent="0.25">
      <c r="A108" s="7" t="s">
        <v>58</v>
      </c>
      <c r="B108" s="7" t="s">
        <v>21</v>
      </c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>
        <f>-M85</f>
        <v>-109062.8629234988</v>
      </c>
    </row>
    <row r="109" spans="1:13" x14ac:dyDescent="0.25">
      <c r="A109" s="7"/>
      <c r="B109" s="7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</row>
    <row r="110" spans="1:13" x14ac:dyDescent="0.25">
      <c r="A110" s="6" t="s">
        <v>35</v>
      </c>
      <c r="B110" s="7"/>
      <c r="C110" s="24">
        <f>SUM(C88:C109)</f>
        <v>-4525000</v>
      </c>
      <c r="D110" s="24">
        <f>SUM(D88:D109)</f>
        <v>144246.5753424658</v>
      </c>
      <c r="E110" s="24">
        <f t="shared" ref="E110" si="84">SUM(E88:E109)</f>
        <v>263157.57338551863</v>
      </c>
      <c r="F110" s="24">
        <f>SUM(F88:F109)</f>
        <v>265022.0400636007</v>
      </c>
      <c r="G110" s="24">
        <f t="shared" ref="G110:M110" si="85">SUM(G88:G109)</f>
        <v>266885.35258771467</v>
      </c>
      <c r="H110" s="24">
        <f t="shared" si="85"/>
        <v>268737.62848408805</v>
      </c>
      <c r="I110" s="24">
        <f t="shared" si="85"/>
        <v>270568.10232404555</v>
      </c>
      <c r="J110" s="24">
        <f t="shared" si="85"/>
        <v>272365.06541916216</v>
      </c>
      <c r="K110" s="24">
        <f t="shared" si="85"/>
        <v>274115.80189612968</v>
      </c>
      <c r="L110" s="24">
        <f t="shared" si="85"/>
        <v>275806.52094918932</v>
      </c>
      <c r="M110" s="24">
        <f t="shared" si="85"/>
        <v>5433909.8189591682</v>
      </c>
    </row>
    <row r="111" spans="1:13" x14ac:dyDescent="0.25">
      <c r="A111" s="6" t="s">
        <v>36</v>
      </c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</row>
    <row r="112" spans="1:13" x14ac:dyDescent="0.25">
      <c r="A112" s="7"/>
      <c r="B112" s="7"/>
      <c r="C112" s="25">
        <f>-PV($C$22,C80,,C110)</f>
        <v>-4525000</v>
      </c>
      <c r="D112" s="25">
        <f>-PV($C$22,D80,,D110)</f>
        <v>134966.7837826575</v>
      </c>
      <c r="E112" s="25">
        <f t="shared" ref="E112:F112" si="86">-PV($C$22,E80,,E110)</f>
        <v>230387.36026921921</v>
      </c>
      <c r="F112" s="25">
        <f t="shared" si="86"/>
        <v>217093.16798899969</v>
      </c>
      <c r="G112" s="25">
        <f t="shared" ref="G112:M112" si="87">-PV($C$22,G80,,G110)</f>
        <v>204555.0899368824</v>
      </c>
      <c r="H112" s="25">
        <f t="shared" si="87"/>
        <v>192723.83076794547</v>
      </c>
      <c r="I112" s="25">
        <f t="shared" si="87"/>
        <v>181553.62415879461</v>
      </c>
      <c r="J112" s="25">
        <f t="shared" si="87"/>
        <v>171001.97148732681</v>
      </c>
      <c r="K112" s="25">
        <f t="shared" si="87"/>
        <v>161029.39996656054</v>
      </c>
      <c r="L112" s="25">
        <f t="shared" si="87"/>
        <v>151599.23878846128</v>
      </c>
      <c r="M112" s="25">
        <f t="shared" si="87"/>
        <v>2794642.7934843311</v>
      </c>
    </row>
    <row r="113" spans="1:13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</row>
    <row r="114" spans="1:13" x14ac:dyDescent="0.25">
      <c r="A114" s="6" t="s">
        <v>37</v>
      </c>
      <c r="B114" s="7"/>
      <c r="C114" s="42">
        <f>SUM(C112:M112)</f>
        <v>-85446.739368821494</v>
      </c>
      <c r="D114" s="7"/>
      <c r="E114" s="7"/>
      <c r="F114" s="7"/>
      <c r="G114" s="7"/>
      <c r="H114" s="7"/>
      <c r="I114" s="7"/>
      <c r="J114" s="7"/>
      <c r="K114" s="7"/>
      <c r="L114" s="7"/>
      <c r="M114" s="7"/>
    </row>
    <row r="115" spans="1:13" x14ac:dyDescent="0.25">
      <c r="A115" s="6" t="s">
        <v>38</v>
      </c>
      <c r="B115" s="7"/>
      <c r="C115" s="52">
        <f>IRR(C110:M110)</f>
        <v>6.6243546709416901E-2</v>
      </c>
      <c r="D115" s="7"/>
      <c r="E115" s="7"/>
      <c r="F115" s="7"/>
      <c r="G115" s="7"/>
      <c r="H115" s="7"/>
      <c r="I115" s="7"/>
      <c r="J115" s="7"/>
      <c r="K115" s="7"/>
      <c r="L115" s="7"/>
      <c r="M115" s="7"/>
    </row>
    <row r="117" spans="1:13" x14ac:dyDescent="0.25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</row>
    <row r="120" spans="1:13" x14ac:dyDescent="0.25">
      <c r="A120" s="54" t="s">
        <v>106</v>
      </c>
      <c r="B120" s="56">
        <f>S76</f>
        <v>6.8756113909863276E-2</v>
      </c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</row>
    <row r="121" spans="1:13" x14ac:dyDescent="0.25">
      <c r="A121" s="54"/>
      <c r="B121" s="54"/>
      <c r="C121" s="55"/>
      <c r="D121" s="54"/>
      <c r="E121" s="54"/>
      <c r="F121" s="54"/>
      <c r="G121" s="54"/>
      <c r="H121" s="54"/>
      <c r="I121" s="54"/>
      <c r="J121" s="54"/>
      <c r="K121" s="54"/>
      <c r="L121" s="54"/>
      <c r="M121" s="54"/>
    </row>
    <row r="123" spans="1:13" x14ac:dyDescent="0.25">
      <c r="B123" s="69" t="s">
        <v>133</v>
      </c>
    </row>
    <row r="124" spans="1:13" x14ac:dyDescent="0.25">
      <c r="A124" s="62"/>
      <c r="B124" s="62"/>
      <c r="C124" s="62">
        <v>0</v>
      </c>
      <c r="D124" s="62">
        <v>1</v>
      </c>
      <c r="E124" s="62">
        <v>2</v>
      </c>
      <c r="F124" s="62">
        <v>3</v>
      </c>
      <c r="G124" s="62">
        <v>4</v>
      </c>
      <c r="H124" s="62">
        <v>5</v>
      </c>
      <c r="I124" s="62">
        <v>6</v>
      </c>
      <c r="J124" s="62">
        <v>7</v>
      </c>
      <c r="K124" s="62">
        <v>8</v>
      </c>
      <c r="L124" s="62">
        <v>9</v>
      </c>
      <c r="M124" s="62">
        <v>10</v>
      </c>
    </row>
    <row r="125" spans="1:13" x14ac:dyDescent="0.25">
      <c r="A125" s="62" t="s">
        <v>76</v>
      </c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</row>
    <row r="126" spans="1:13" x14ac:dyDescent="0.25">
      <c r="A126" s="62" t="s">
        <v>107</v>
      </c>
      <c r="B126" s="62"/>
      <c r="C126" s="63">
        <f t="shared" ref="C126:M126" si="88">C110</f>
        <v>-4525000</v>
      </c>
      <c r="D126" s="63">
        <f t="shared" si="88"/>
        <v>144246.5753424658</v>
      </c>
      <c r="E126" s="63">
        <f t="shared" si="88"/>
        <v>263157.57338551863</v>
      </c>
      <c r="F126" s="63">
        <f t="shared" si="88"/>
        <v>265022.0400636007</v>
      </c>
      <c r="G126" s="63">
        <f t="shared" si="88"/>
        <v>266885.35258771467</v>
      </c>
      <c r="H126" s="63">
        <f t="shared" si="88"/>
        <v>268737.62848408805</v>
      </c>
      <c r="I126" s="63">
        <f t="shared" si="88"/>
        <v>270568.10232404555</v>
      </c>
      <c r="J126" s="63">
        <f t="shared" si="88"/>
        <v>272365.06541916216</v>
      </c>
      <c r="K126" s="63">
        <f t="shared" si="88"/>
        <v>274115.80189612968</v>
      </c>
      <c r="L126" s="63">
        <f t="shared" si="88"/>
        <v>275806.52094918932</v>
      </c>
      <c r="M126" s="63">
        <f t="shared" si="88"/>
        <v>5433909.8189591682</v>
      </c>
    </row>
    <row r="127" spans="1:13" x14ac:dyDescent="0.25">
      <c r="A127" s="62" t="s">
        <v>108</v>
      </c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</row>
    <row r="128" spans="1:13" x14ac:dyDescent="0.25">
      <c r="A128" s="62" t="s">
        <v>110</v>
      </c>
      <c r="B128" s="62"/>
      <c r="C128" s="64">
        <f>C114</f>
        <v>-85446.739368821494</v>
      </c>
      <c r="D128" s="62"/>
      <c r="E128" s="62"/>
      <c r="F128" s="62"/>
      <c r="G128" s="62"/>
      <c r="H128" s="62"/>
      <c r="I128" s="62"/>
      <c r="J128" s="62"/>
      <c r="K128" s="62"/>
      <c r="L128" s="62"/>
      <c r="M128" s="62"/>
    </row>
    <row r="129" spans="1:13" x14ac:dyDescent="0.25">
      <c r="A129" s="62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</row>
    <row r="130" spans="1:13" x14ac:dyDescent="0.25">
      <c r="A130" s="62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</row>
    <row r="131" spans="1:13" x14ac:dyDescent="0.25">
      <c r="A131" s="62" t="s">
        <v>114</v>
      </c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</row>
    <row r="132" spans="1:13" x14ac:dyDescent="0.25">
      <c r="A132" s="62" t="s">
        <v>107</v>
      </c>
      <c r="B132" s="62"/>
      <c r="C132" s="65"/>
      <c r="D132" s="65"/>
      <c r="E132" s="65"/>
      <c r="F132" s="65">
        <v>-700000</v>
      </c>
      <c r="G132" s="65">
        <v>150000</v>
      </c>
      <c r="H132" s="65">
        <v>150000</v>
      </c>
      <c r="I132" s="65">
        <v>150000</v>
      </c>
      <c r="J132" s="65">
        <v>150000</v>
      </c>
      <c r="K132" s="65">
        <v>150000</v>
      </c>
      <c r="L132" s="65">
        <v>150000</v>
      </c>
      <c r="M132" s="65">
        <v>1500000</v>
      </c>
    </row>
    <row r="133" spans="1:13" x14ac:dyDescent="0.25">
      <c r="A133" s="62" t="s">
        <v>109</v>
      </c>
      <c r="B133" s="62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</row>
    <row r="134" spans="1:13" x14ac:dyDescent="0.25">
      <c r="A134" s="62" t="s">
        <v>110</v>
      </c>
      <c r="B134" s="62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</row>
    <row r="135" spans="1:13" x14ac:dyDescent="0.25">
      <c r="A135" s="62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</row>
    <row r="136" spans="1:13" x14ac:dyDescent="0.25">
      <c r="A136" s="62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</row>
    <row r="137" spans="1:13" x14ac:dyDescent="0.25">
      <c r="A137" s="62" t="s">
        <v>132</v>
      </c>
      <c r="B137" s="62"/>
      <c r="C137" s="65">
        <f>C126</f>
        <v>-4525000</v>
      </c>
      <c r="D137" s="65">
        <f>D126</f>
        <v>144246.5753424658</v>
      </c>
      <c r="E137" s="65">
        <f>E126</f>
        <v>263157.57338551863</v>
      </c>
      <c r="F137" s="65">
        <f t="shared" ref="F137:M137" si="89">F126+F132</f>
        <v>-434977.9599363993</v>
      </c>
      <c r="G137" s="65">
        <f t="shared" si="89"/>
        <v>416885.35258771467</v>
      </c>
      <c r="H137" s="65">
        <f t="shared" si="89"/>
        <v>418737.62848408805</v>
      </c>
      <c r="I137" s="65">
        <f t="shared" si="89"/>
        <v>420568.10232404555</v>
      </c>
      <c r="J137" s="65">
        <f t="shared" si="89"/>
        <v>422365.06541916216</v>
      </c>
      <c r="K137" s="65">
        <f t="shared" si="89"/>
        <v>424115.80189612968</v>
      </c>
      <c r="L137" s="65">
        <f t="shared" si="89"/>
        <v>425806.52094918932</v>
      </c>
      <c r="M137" s="65">
        <f t="shared" si="89"/>
        <v>6933909.8189591682</v>
      </c>
    </row>
    <row r="138" spans="1:13" x14ac:dyDescent="0.25">
      <c r="A138" s="62" t="s">
        <v>109</v>
      </c>
      <c r="B138" s="62"/>
      <c r="C138" s="65">
        <f t="shared" ref="C138:M138" si="90">-PV($B$120,C124,,C137)</f>
        <v>-4525000</v>
      </c>
      <c r="D138" s="65">
        <f t="shared" si="90"/>
        <v>134966.7837826575</v>
      </c>
      <c r="E138" s="65">
        <f t="shared" si="90"/>
        <v>230387.36026921921</v>
      </c>
      <c r="F138" s="65">
        <f t="shared" si="90"/>
        <v>-356312.7930994847</v>
      </c>
      <c r="G138" s="65">
        <f t="shared" si="90"/>
        <v>319523.04600126774</v>
      </c>
      <c r="H138" s="65">
        <f t="shared" si="90"/>
        <v>300295.57194264111</v>
      </c>
      <c r="I138" s="65">
        <f t="shared" si="90"/>
        <v>282204.96993791964</v>
      </c>
      <c r="J138" s="65">
        <f t="shared" si="90"/>
        <v>265178.13054658036</v>
      </c>
      <c r="K138" s="65">
        <f t="shared" si="90"/>
        <v>249146.93944404341</v>
      </c>
      <c r="L138" s="65">
        <f t="shared" si="90"/>
        <v>234047.9268760735</v>
      </c>
      <c r="M138" s="65">
        <f t="shared" si="90"/>
        <v>3566088.0934413779</v>
      </c>
    </row>
    <row r="139" spans="1:13" x14ac:dyDescent="0.25">
      <c r="A139" s="62" t="s">
        <v>110</v>
      </c>
      <c r="B139" s="62"/>
      <c r="C139" s="65">
        <f>SUM(C138:M138)</f>
        <v>700526.02914229501</v>
      </c>
      <c r="D139" s="66">
        <v>0.3</v>
      </c>
      <c r="E139" s="65"/>
      <c r="F139" s="65"/>
      <c r="G139" s="65"/>
      <c r="H139" s="65"/>
      <c r="I139" s="65"/>
      <c r="J139" s="65"/>
      <c r="K139" s="65"/>
      <c r="L139" s="65"/>
      <c r="M139" s="65"/>
    </row>
    <row r="140" spans="1:13" x14ac:dyDescent="0.25">
      <c r="A140" s="62"/>
      <c r="B140" s="62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</row>
    <row r="141" spans="1:13" x14ac:dyDescent="0.25">
      <c r="A141" s="62" t="s">
        <v>111</v>
      </c>
      <c r="B141" s="62"/>
      <c r="C141" s="65">
        <f t="shared" ref="C141:M141" si="91">C126</f>
        <v>-4525000</v>
      </c>
      <c r="D141" s="65">
        <f t="shared" si="91"/>
        <v>144246.5753424658</v>
      </c>
      <c r="E141" s="65">
        <f t="shared" si="91"/>
        <v>263157.57338551863</v>
      </c>
      <c r="F141" s="65">
        <f t="shared" si="91"/>
        <v>265022.0400636007</v>
      </c>
      <c r="G141" s="65">
        <f t="shared" si="91"/>
        <v>266885.35258771467</v>
      </c>
      <c r="H141" s="65">
        <f t="shared" si="91"/>
        <v>268737.62848408805</v>
      </c>
      <c r="I141" s="65">
        <f t="shared" si="91"/>
        <v>270568.10232404555</v>
      </c>
      <c r="J141" s="65">
        <f t="shared" si="91"/>
        <v>272365.06541916216</v>
      </c>
      <c r="K141" s="65">
        <f t="shared" si="91"/>
        <v>274115.80189612968</v>
      </c>
      <c r="L141" s="65">
        <f t="shared" si="91"/>
        <v>275806.52094918932</v>
      </c>
      <c r="M141" s="65">
        <f t="shared" si="91"/>
        <v>5433909.8189591682</v>
      </c>
    </row>
    <row r="142" spans="1:13" x14ac:dyDescent="0.25">
      <c r="A142" s="62" t="s">
        <v>109</v>
      </c>
      <c r="B142" s="62"/>
      <c r="C142" s="65">
        <f t="shared" ref="C142:M142" si="92">-PV($B$120,C124,,C141)</f>
        <v>-4525000</v>
      </c>
      <c r="D142" s="65">
        <f t="shared" si="92"/>
        <v>134966.7837826575</v>
      </c>
      <c r="E142" s="65">
        <f t="shared" si="92"/>
        <v>230387.36026921921</v>
      </c>
      <c r="F142" s="65">
        <f t="shared" si="92"/>
        <v>217093.16798899969</v>
      </c>
      <c r="G142" s="65">
        <f t="shared" si="92"/>
        <v>204555.0899368824</v>
      </c>
      <c r="H142" s="65">
        <f t="shared" si="92"/>
        <v>192723.83076794547</v>
      </c>
      <c r="I142" s="65">
        <f t="shared" si="92"/>
        <v>181553.62415879461</v>
      </c>
      <c r="J142" s="65">
        <f t="shared" si="92"/>
        <v>171001.97148732681</v>
      </c>
      <c r="K142" s="65">
        <f t="shared" si="92"/>
        <v>161029.39996656054</v>
      </c>
      <c r="L142" s="65">
        <f t="shared" si="92"/>
        <v>151599.23878846128</v>
      </c>
      <c r="M142" s="65">
        <f t="shared" si="92"/>
        <v>2794642.7934843311</v>
      </c>
    </row>
    <row r="143" spans="1:13" x14ac:dyDescent="0.25">
      <c r="A143" s="62" t="s">
        <v>110</v>
      </c>
      <c r="B143" s="62"/>
      <c r="C143" s="65">
        <f>SUM(C142:M142)</f>
        <v>-85446.739368821494</v>
      </c>
      <c r="D143" s="66">
        <v>0.5</v>
      </c>
      <c r="E143" s="65"/>
      <c r="F143" s="65"/>
      <c r="G143" s="65"/>
      <c r="H143" s="65"/>
      <c r="I143" s="65"/>
      <c r="J143" s="65"/>
      <c r="K143" s="65"/>
      <c r="L143" s="65"/>
      <c r="M143" s="65"/>
    </row>
    <row r="144" spans="1:13" x14ac:dyDescent="0.25">
      <c r="A144" s="62"/>
      <c r="B144" s="62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</row>
    <row r="145" spans="1:13" x14ac:dyDescent="0.25">
      <c r="A145" s="62" t="s">
        <v>112</v>
      </c>
      <c r="B145" s="62"/>
      <c r="C145" s="65">
        <f>C126</f>
        <v>-4525000</v>
      </c>
      <c r="D145" s="65">
        <f>D126</f>
        <v>144246.5753424658</v>
      </c>
      <c r="E145" s="65">
        <f>E126</f>
        <v>263157.57338551863</v>
      </c>
      <c r="F145" s="65">
        <f>F126</f>
        <v>265022.0400636007</v>
      </c>
      <c r="G145" s="65">
        <f t="shared" ref="G145:M145" si="93">G126-350000</f>
        <v>-83114.647412285325</v>
      </c>
      <c r="H145" s="65">
        <f t="shared" si="93"/>
        <v>-81262.371515911946</v>
      </c>
      <c r="I145" s="65">
        <f t="shared" si="93"/>
        <v>-79431.897675954446</v>
      </c>
      <c r="J145" s="65">
        <f t="shared" si="93"/>
        <v>-77634.934580837842</v>
      </c>
      <c r="K145" s="65">
        <f t="shared" si="93"/>
        <v>-75884.198103870323</v>
      </c>
      <c r="L145" s="65">
        <f t="shared" si="93"/>
        <v>-74193.479050810682</v>
      </c>
      <c r="M145" s="65">
        <f t="shared" si="93"/>
        <v>5083909.8189591682</v>
      </c>
    </row>
    <row r="146" spans="1:13" x14ac:dyDescent="0.25">
      <c r="A146" s="62" t="s">
        <v>109</v>
      </c>
      <c r="B146" s="62"/>
      <c r="C146" s="65">
        <f t="shared" ref="C146:M146" si="94">-PV($B$120,C124,,C145)</f>
        <v>-4525000</v>
      </c>
      <c r="D146" s="65">
        <f t="shared" si="94"/>
        <v>134966.7837826575</v>
      </c>
      <c r="E146" s="65">
        <f t="shared" si="94"/>
        <v>230387.36026921921</v>
      </c>
      <c r="F146" s="65">
        <f t="shared" si="94"/>
        <v>217093.16798899969</v>
      </c>
      <c r="G146" s="65">
        <f t="shared" si="94"/>
        <v>-63703.474213349968</v>
      </c>
      <c r="H146" s="65">
        <f t="shared" si="94"/>
        <v>-58276.898639677573</v>
      </c>
      <c r="I146" s="65">
        <f t="shared" si="94"/>
        <v>-53299.515992497123</v>
      </c>
      <c r="J146" s="65">
        <f t="shared" si="94"/>
        <v>-48742.399650931533</v>
      </c>
      <c r="K146" s="65">
        <f t="shared" si="94"/>
        <v>-44578.192147566158</v>
      </c>
      <c r="L146" s="65">
        <f t="shared" si="94"/>
        <v>-40781.033415967206</v>
      </c>
      <c r="M146" s="65">
        <f t="shared" si="94"/>
        <v>2614638.8901610202</v>
      </c>
    </row>
    <row r="147" spans="1:13" x14ac:dyDescent="0.25">
      <c r="A147" s="62" t="s">
        <v>110</v>
      </c>
      <c r="B147" s="62"/>
      <c r="C147" s="65">
        <f>SUM(C146:M146)</f>
        <v>-1637295.3118580938</v>
      </c>
      <c r="D147" s="66">
        <v>0.2</v>
      </c>
      <c r="E147" s="65"/>
      <c r="F147" s="65"/>
      <c r="G147" s="65"/>
      <c r="H147" s="65"/>
      <c r="I147" s="65"/>
      <c r="J147" s="65"/>
      <c r="K147" s="65"/>
      <c r="L147" s="65"/>
      <c r="M147" s="65"/>
    </row>
    <row r="148" spans="1:13" x14ac:dyDescent="0.25">
      <c r="A148" s="62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</row>
    <row r="149" spans="1:13" x14ac:dyDescent="0.25">
      <c r="A149" s="62" t="s">
        <v>113</v>
      </c>
      <c r="B149" s="62"/>
      <c r="C149" s="67">
        <f>((C139*D139)+(C143*D143))+(C147*D147)</f>
        <v>-160024.62331334106</v>
      </c>
      <c r="D149" s="62"/>
      <c r="E149" s="62"/>
      <c r="F149" s="62"/>
      <c r="G149" s="62"/>
      <c r="H149" s="62"/>
      <c r="I149" s="62"/>
      <c r="J149" s="62"/>
      <c r="K149" s="62"/>
      <c r="L149" s="62"/>
      <c r="M149" s="62"/>
    </row>
  </sheetData>
  <sheetProtection selectLockedCells="1" selectUnlockedCells="1"/>
  <pageMargins left="0.7" right="0.7" top="0.75" bottom="0.75" header="0.51180555555555551" footer="0.51180555555555551"/>
  <pageSetup paperSize="5" scale="53" firstPageNumber="0" fitToHeight="0" orientation="landscape" horizontalDpi="300" verticalDpi="300" r:id="rId1"/>
  <headerFooter alignWithMargins="0"/>
  <ignoredErrors>
    <ignoredError sqref="D85:M85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Macro2">
                <anchor moveWithCells="1" sizeWithCells="1">
                  <from>
                    <xdr:col>13</xdr:col>
                    <xdr:colOff>66675</xdr:colOff>
                    <xdr:row>76</xdr:row>
                    <xdr:rowOff>47625</xdr:rowOff>
                  </from>
                  <to>
                    <xdr:col>13</xdr:col>
                    <xdr:colOff>571500</xdr:colOff>
                    <xdr:row>79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84"/>
  <sheetViews>
    <sheetView zoomScale="95" zoomScaleNormal="95" workbookViewId="0">
      <selection activeCell="A10" sqref="A10"/>
    </sheetView>
  </sheetViews>
  <sheetFormatPr defaultColWidth="11.5703125" defaultRowHeight="12.75" x14ac:dyDescent="0.2"/>
  <cols>
    <col min="1" max="1" width="30.140625" style="9" customWidth="1"/>
    <col min="2" max="2" width="14" style="9" customWidth="1"/>
    <col min="3" max="3" width="12.7109375" style="9" customWidth="1"/>
    <col min="4" max="4" width="12.85546875" style="9" customWidth="1"/>
    <col min="5" max="5" width="13.5703125" style="9" customWidth="1"/>
    <col min="6" max="6" width="12.42578125" style="9" customWidth="1"/>
    <col min="7" max="7" width="13.5703125" style="9" bestFit="1" customWidth="1"/>
    <col min="8" max="8" width="11.5703125" style="9"/>
    <col min="9" max="9" width="13.42578125" style="9" customWidth="1"/>
    <col min="10" max="16384" width="11.5703125" style="9"/>
  </cols>
  <sheetData>
    <row r="1" spans="1:9" x14ac:dyDescent="0.2">
      <c r="B1" s="9" t="s">
        <v>46</v>
      </c>
      <c r="C1" s="9" t="s">
        <v>47</v>
      </c>
      <c r="D1" s="9" t="s">
        <v>48</v>
      </c>
      <c r="E1" s="9" t="s">
        <v>49</v>
      </c>
      <c r="I1" s="10"/>
    </row>
    <row r="2" spans="1:9" ht="15" x14ac:dyDescent="0.25">
      <c r="A2" s="11" t="s">
        <v>39</v>
      </c>
      <c r="B2" s="12">
        <f>PMT('GunShop with Expansion Option'!$C$27/12,'GunShop with Expansion Option'!$C$26*12,-'GunShop with Expansion Option'!$C$25,,)</f>
        <v>19142.898829970942</v>
      </c>
      <c r="C2" s="12">
        <f>+B2-D2</f>
        <v>3178.5238299709417</v>
      </c>
      <c r="D2" s="12">
        <f>+'GunShop with Expansion Option'!$C$27/12*'GunShop with Expansion Option'!$C$25</f>
        <v>15964.375</v>
      </c>
      <c r="E2" s="12">
        <f>'GunShop with Expansion Option'!C25-C2</f>
        <v>3189696.476170029</v>
      </c>
      <c r="F2" s="12"/>
      <c r="G2" s="29"/>
      <c r="I2" s="10"/>
    </row>
    <row r="3" spans="1:9" x14ac:dyDescent="0.2">
      <c r="A3" s="13"/>
      <c r="B3" s="12">
        <f>PMT('GunShop with Expansion Option'!$C$27/12,'GunShop with Expansion Option'!$C$26*12,-'GunShop with Expansion Option'!$C$25,,)</f>
        <v>19142.898829970942</v>
      </c>
      <c r="C3" s="12">
        <f t="shared" ref="C3:C13" si="0">+B3-D3</f>
        <v>3194.4164491207957</v>
      </c>
      <c r="D3" s="12">
        <f>+'GunShop with Expansion Option'!$C$27/12*E2</f>
        <v>15948.482380850146</v>
      </c>
      <c r="E3" s="12">
        <f>+E2-C3</f>
        <v>3186502.0597209083</v>
      </c>
      <c r="F3" s="12"/>
      <c r="G3" s="23"/>
      <c r="I3" s="14"/>
    </row>
    <row r="4" spans="1:9" x14ac:dyDescent="0.2">
      <c r="A4" s="13"/>
      <c r="B4" s="12">
        <f>PMT('GunShop with Expansion Option'!$C$27/12,'GunShop with Expansion Option'!$C$26*12,-'GunShop with Expansion Option'!$C$25,,)</f>
        <v>19142.898829970942</v>
      </c>
      <c r="C4" s="12">
        <f t="shared" si="0"/>
        <v>3210.3885313663995</v>
      </c>
      <c r="D4" s="12">
        <f>+'GunShop with Expansion Option'!$C$27/12*E3</f>
        <v>15932.510298604542</v>
      </c>
      <c r="E4" s="12">
        <f t="shared" ref="E4:E13" si="1">+E3-C4</f>
        <v>3183291.6711895419</v>
      </c>
      <c r="F4" s="12"/>
      <c r="I4" s="15"/>
    </row>
    <row r="5" spans="1:9" x14ac:dyDescent="0.2">
      <c r="A5" s="13"/>
      <c r="B5" s="12">
        <f>PMT('GunShop with Expansion Option'!$C$27/12,'GunShop with Expansion Option'!$C$26*12,-'GunShop with Expansion Option'!$C$25,,)</f>
        <v>19142.898829970942</v>
      </c>
      <c r="C5" s="12">
        <f t="shared" si="0"/>
        <v>3226.4404740232312</v>
      </c>
      <c r="D5" s="12">
        <f>+'GunShop with Expansion Option'!$C$27/12*E4</f>
        <v>15916.458355947711</v>
      </c>
      <c r="E5" s="12">
        <f t="shared" si="1"/>
        <v>3180065.2307155188</v>
      </c>
      <c r="F5" s="12"/>
    </row>
    <row r="6" spans="1:9" x14ac:dyDescent="0.2">
      <c r="A6" s="13"/>
      <c r="B6" s="12">
        <f>PMT('GunShop with Expansion Option'!$C$27/12,'GunShop with Expansion Option'!$C$26*12,-'GunShop with Expansion Option'!$C$25,,)</f>
        <v>19142.898829970942</v>
      </c>
      <c r="C6" s="12">
        <f t="shared" si="0"/>
        <v>3242.5726763933471</v>
      </c>
      <c r="D6" s="12">
        <f>+'GunShop with Expansion Option'!$C$27/12*E5</f>
        <v>15900.326153577595</v>
      </c>
      <c r="E6" s="12">
        <f t="shared" si="1"/>
        <v>3176822.6580391256</v>
      </c>
      <c r="F6" s="12"/>
      <c r="I6" s="14"/>
    </row>
    <row r="7" spans="1:9" x14ac:dyDescent="0.2">
      <c r="A7" s="13"/>
      <c r="B7" s="12">
        <f>PMT('GunShop with Expansion Option'!$C$27/12,'GunShop with Expansion Option'!$C$26*12,-'GunShop with Expansion Option'!$C$25,,)</f>
        <v>19142.898829970942</v>
      </c>
      <c r="C7" s="12">
        <f t="shared" si="0"/>
        <v>3258.7855397753137</v>
      </c>
      <c r="D7" s="12">
        <f>+'GunShop with Expansion Option'!$C$27/12*E6</f>
        <v>15884.113290195628</v>
      </c>
      <c r="E7" s="12">
        <f t="shared" si="1"/>
        <v>3173563.8724993505</v>
      </c>
      <c r="F7" s="12"/>
    </row>
    <row r="8" spans="1:9" x14ac:dyDescent="0.2">
      <c r="A8" s="13"/>
      <c r="B8" s="12">
        <f>PMT('GunShop with Expansion Option'!$C$27/12,'GunShop with Expansion Option'!$C$26*12,-'GunShop with Expansion Option'!$C$25,,)</f>
        <v>19142.898829970942</v>
      </c>
      <c r="C8" s="12">
        <f t="shared" si="0"/>
        <v>3275.0794674741883</v>
      </c>
      <c r="D8" s="12">
        <f>+'GunShop with Expansion Option'!$C$27/12*E7</f>
        <v>15867.819362496753</v>
      </c>
      <c r="E8" s="12">
        <f t="shared" si="1"/>
        <v>3170288.7930318764</v>
      </c>
      <c r="F8" s="12"/>
      <c r="I8" s="14"/>
    </row>
    <row r="9" spans="1:9" x14ac:dyDescent="0.2">
      <c r="A9" s="13"/>
      <c r="B9" s="12">
        <f>PMT('GunShop with Expansion Option'!$C$27/12,'GunShop with Expansion Option'!$C$26*12,-'GunShop with Expansion Option'!$C$25,,)</f>
        <v>19142.898829970942</v>
      </c>
      <c r="C9" s="12">
        <f t="shared" si="0"/>
        <v>3291.4548648115597</v>
      </c>
      <c r="D9" s="12">
        <f>+'GunShop with Expansion Option'!$C$27/12*E8</f>
        <v>15851.443965159382</v>
      </c>
      <c r="E9" s="12">
        <f t="shared" si="1"/>
        <v>3166997.3381670648</v>
      </c>
      <c r="F9" s="12"/>
    </row>
    <row r="10" spans="1:9" x14ac:dyDescent="0.2">
      <c r="A10" s="13"/>
      <c r="B10" s="12">
        <f>PMT('GunShop with Expansion Option'!$C$27/12,'GunShop with Expansion Option'!$C$26*12,-'GunShop with Expansion Option'!$C$25,,)</f>
        <v>19142.898829970942</v>
      </c>
      <c r="C10" s="12">
        <f t="shared" si="0"/>
        <v>3307.9121391356166</v>
      </c>
      <c r="D10" s="12">
        <f>+'GunShop with Expansion Option'!$C$27/12*E9</f>
        <v>15834.986690835325</v>
      </c>
      <c r="E10" s="12">
        <f t="shared" si="1"/>
        <v>3163689.4260279294</v>
      </c>
      <c r="F10" s="12"/>
    </row>
    <row r="11" spans="1:9" x14ac:dyDescent="0.2">
      <c r="A11" s="13"/>
      <c r="B11" s="12">
        <f>PMT('GunShop with Expansion Option'!$C$27/12,'GunShop with Expansion Option'!$C$26*12,-'GunShop with Expansion Option'!$C$25,,)</f>
        <v>19142.898829970942</v>
      </c>
      <c r="C11" s="12">
        <f t="shared" si="0"/>
        <v>3324.4516998312938</v>
      </c>
      <c r="D11" s="12">
        <f>+'GunShop with Expansion Option'!$C$27/12*E10</f>
        <v>15818.447130139648</v>
      </c>
      <c r="E11" s="12">
        <f t="shared" si="1"/>
        <v>3160364.9743280979</v>
      </c>
      <c r="F11" s="12"/>
    </row>
    <row r="12" spans="1:9" x14ac:dyDescent="0.2">
      <c r="A12" s="13"/>
      <c r="B12" s="12">
        <f>PMT('GunShop with Expansion Option'!$C$27/12,'GunShop with Expansion Option'!$C$26*12,-'GunShop with Expansion Option'!$C$25,,)</f>
        <v>19142.898829970942</v>
      </c>
      <c r="C12" s="12">
        <f t="shared" si="0"/>
        <v>3341.0739583304512</v>
      </c>
      <c r="D12" s="12">
        <f>+'GunShop with Expansion Option'!$C$27/12*E11</f>
        <v>15801.824871640491</v>
      </c>
      <c r="E12" s="12">
        <f t="shared" si="1"/>
        <v>3157023.9003697676</v>
      </c>
      <c r="F12" s="12"/>
    </row>
    <row r="13" spans="1:9" x14ac:dyDescent="0.2">
      <c r="A13" s="13"/>
      <c r="B13" s="12">
        <f>PMT('GunShop with Expansion Option'!$C$27/12,'GunShop with Expansion Option'!$C$26*12,-'GunShop with Expansion Option'!$C$25,,)</f>
        <v>19142.898829970942</v>
      </c>
      <c r="C13" s="12">
        <f t="shared" si="0"/>
        <v>3357.7793281221038</v>
      </c>
      <c r="D13" s="12">
        <f>+'GunShop with Expansion Option'!$C$27/12*E12</f>
        <v>15785.119501848838</v>
      </c>
      <c r="E13" s="12">
        <f t="shared" si="1"/>
        <v>3153666.1210416453</v>
      </c>
      <c r="F13" s="16"/>
    </row>
    <row r="14" spans="1:9" x14ac:dyDescent="0.2">
      <c r="A14" s="17" t="s">
        <v>40</v>
      </c>
      <c r="B14" s="16">
        <f>SUM(B2:B13)</f>
        <v>229714.78595965132</v>
      </c>
      <c r="C14" s="16">
        <f t="shared" ref="C14:D14" si="2">SUM(C2:C13)</f>
        <v>39208.878958355243</v>
      </c>
      <c r="D14" s="16">
        <f t="shared" si="2"/>
        <v>190505.90700129606</v>
      </c>
      <c r="E14" s="16">
        <f>+E13</f>
        <v>3153666.1210416453</v>
      </c>
      <c r="F14" s="12"/>
    </row>
    <row r="15" spans="1:9" x14ac:dyDescent="0.2">
      <c r="A15" s="13"/>
      <c r="B15" s="9" t="s">
        <v>46</v>
      </c>
      <c r="C15" s="9" t="s">
        <v>47</v>
      </c>
      <c r="D15" s="9" t="s">
        <v>48</v>
      </c>
      <c r="E15" s="9" t="s">
        <v>49</v>
      </c>
      <c r="F15" s="12"/>
    </row>
    <row r="16" spans="1:9" x14ac:dyDescent="0.2">
      <c r="A16" s="13" t="s">
        <v>41</v>
      </c>
      <c r="B16" s="12">
        <f>PMT('GunShop with Expansion Option'!$C$27/12,'GunShop with Expansion Option'!$C$26*12,-'GunShop with Expansion Option'!$C$25,,)</f>
        <v>19142.898829970942</v>
      </c>
      <c r="C16" s="12">
        <f>+B16-D16</f>
        <v>3374.5682247627155</v>
      </c>
      <c r="D16" s="12">
        <f>+'GunShop with Expansion Option'!$C$27/12*E14</f>
        <v>15768.330605208226</v>
      </c>
      <c r="E16" s="12">
        <f>+E14-C16</f>
        <v>3150291.5528168827</v>
      </c>
      <c r="F16" s="12"/>
    </row>
    <row r="17" spans="1:6" x14ac:dyDescent="0.2">
      <c r="A17" s="13"/>
      <c r="B17" s="12">
        <f>PMT('GunShop with Expansion Option'!$C$27/12,'GunShop with Expansion Option'!$C$26*12,-'GunShop with Expansion Option'!$C$25,,)</f>
        <v>19142.898829970942</v>
      </c>
      <c r="C17" s="12">
        <f t="shared" ref="C17:C27" si="3">+B17-D17</f>
        <v>3391.4410658865272</v>
      </c>
      <c r="D17" s="12">
        <f>+'GunShop with Expansion Option'!$C$27/12*E16</f>
        <v>15751.457764084415</v>
      </c>
      <c r="E17" s="12">
        <f>+E16-C17</f>
        <v>3146900.1117509962</v>
      </c>
      <c r="F17" s="12"/>
    </row>
    <row r="18" spans="1:6" x14ac:dyDescent="0.2">
      <c r="A18" s="13"/>
      <c r="B18" s="12">
        <f>PMT('GunShop with Expansion Option'!$C$27/12,'GunShop with Expansion Option'!$C$26*12,-'GunShop with Expansion Option'!$C$25,,)</f>
        <v>19142.898829970942</v>
      </c>
      <c r="C18" s="12">
        <f t="shared" si="3"/>
        <v>3408.3982712159595</v>
      </c>
      <c r="D18" s="12">
        <f>+'GunShop with Expansion Option'!$C$27/12*E17</f>
        <v>15734.500558754982</v>
      </c>
      <c r="E18" s="12">
        <f t="shared" ref="E18:E27" si="4">+E17-C18</f>
        <v>3143491.7134797801</v>
      </c>
      <c r="F18" s="12"/>
    </row>
    <row r="19" spans="1:6" x14ac:dyDescent="0.2">
      <c r="A19" s="13"/>
      <c r="B19" s="12">
        <f>PMT('GunShop with Expansion Option'!$C$27/12,'GunShop with Expansion Option'!$C$26*12,-'GunShop with Expansion Option'!$C$25,,)</f>
        <v>19142.898829970942</v>
      </c>
      <c r="C19" s="12">
        <f t="shared" si="3"/>
        <v>3425.4402625720413</v>
      </c>
      <c r="D19" s="12">
        <f>+'GunShop with Expansion Option'!$C$27/12*E18</f>
        <v>15717.4585673989</v>
      </c>
      <c r="E19" s="12">
        <f t="shared" si="4"/>
        <v>3140066.2732172082</v>
      </c>
      <c r="F19" s="12"/>
    </row>
    <row r="20" spans="1:6" x14ac:dyDescent="0.2">
      <c r="A20" s="13"/>
      <c r="B20" s="12">
        <f>PMT('GunShop with Expansion Option'!$C$27/12,'GunShop with Expansion Option'!$C$26*12,-'GunShop with Expansion Option'!$C$25,,)</f>
        <v>19142.898829970942</v>
      </c>
      <c r="C20" s="12">
        <f t="shared" si="3"/>
        <v>3442.5674638848996</v>
      </c>
      <c r="D20" s="12">
        <f>+'GunShop with Expansion Option'!$C$27/12*E19</f>
        <v>15700.331366086042</v>
      </c>
      <c r="E20" s="12">
        <f t="shared" si="4"/>
        <v>3136623.7057533232</v>
      </c>
      <c r="F20" s="12"/>
    </row>
    <row r="21" spans="1:6" x14ac:dyDescent="0.2">
      <c r="A21" s="13"/>
      <c r="B21" s="12">
        <f>PMT('GunShop with Expansion Option'!$C$27/12,'GunShop with Expansion Option'!$C$26*12,-'GunShop with Expansion Option'!$C$25,,)</f>
        <v>19142.898829970942</v>
      </c>
      <c r="C21" s="12">
        <f t="shared" si="3"/>
        <v>3459.780301204326</v>
      </c>
      <c r="D21" s="12">
        <f>+'GunShop with Expansion Option'!$C$27/12*E20</f>
        <v>15683.118528766616</v>
      </c>
      <c r="E21" s="12">
        <f t="shared" si="4"/>
        <v>3133163.9254521187</v>
      </c>
      <c r="F21" s="12"/>
    </row>
    <row r="22" spans="1:6" x14ac:dyDescent="0.2">
      <c r="A22" s="13"/>
      <c r="B22" s="12">
        <f>PMT('GunShop with Expansion Option'!$C$27/12,'GunShop with Expansion Option'!$C$26*12,-'GunShop with Expansion Option'!$C$25,,)</f>
        <v>19142.898829970942</v>
      </c>
      <c r="C22" s="12">
        <f t="shared" si="3"/>
        <v>3477.0792027103471</v>
      </c>
      <c r="D22" s="12">
        <f>+'GunShop with Expansion Option'!$C$27/12*E21</f>
        <v>15665.819627260595</v>
      </c>
      <c r="E22" s="12">
        <f t="shared" si="4"/>
        <v>3129686.8462494086</v>
      </c>
      <c r="F22" s="12"/>
    </row>
    <row r="23" spans="1:6" x14ac:dyDescent="0.2">
      <c r="A23" s="13"/>
      <c r="B23" s="12">
        <f>PMT('GunShop with Expansion Option'!$C$27/12,'GunShop with Expansion Option'!$C$26*12,-'GunShop with Expansion Option'!$C$25,,)</f>
        <v>19142.898829970942</v>
      </c>
      <c r="C23" s="12">
        <f t="shared" si="3"/>
        <v>3494.4645987238982</v>
      </c>
      <c r="D23" s="12">
        <f>+'GunShop with Expansion Option'!$C$27/12*E22</f>
        <v>15648.434231247043</v>
      </c>
      <c r="E23" s="12">
        <f t="shared" si="4"/>
        <v>3126192.3816506849</v>
      </c>
      <c r="F23" s="12"/>
    </row>
    <row r="24" spans="1:6" x14ac:dyDescent="0.2">
      <c r="A24" s="13"/>
      <c r="B24" s="12">
        <f>PMT('GunShop with Expansion Option'!$C$27/12,'GunShop with Expansion Option'!$C$26*12,-'GunShop with Expansion Option'!$C$25,,)</f>
        <v>19142.898829970942</v>
      </c>
      <c r="C24" s="12">
        <f t="shared" si="3"/>
        <v>3511.9369217175172</v>
      </c>
      <c r="D24" s="12">
        <f>+'GunShop with Expansion Option'!$C$27/12*E23</f>
        <v>15630.961908253425</v>
      </c>
      <c r="E24" s="12">
        <f t="shared" si="4"/>
        <v>3122680.4447289673</v>
      </c>
      <c r="F24" s="12"/>
    </row>
    <row r="25" spans="1:6" x14ac:dyDescent="0.2">
      <c r="A25" s="13"/>
      <c r="B25" s="12">
        <f>PMT('GunShop with Expansion Option'!$C$27/12,'GunShop with Expansion Option'!$C$26*12,-'GunShop with Expansion Option'!$C$25,,)</f>
        <v>19142.898829970942</v>
      </c>
      <c r="C25" s="12">
        <f t="shared" si="3"/>
        <v>3529.4966063261054</v>
      </c>
      <c r="D25" s="12">
        <f>+'GunShop with Expansion Option'!$C$27/12*E24</f>
        <v>15613.402223644836</v>
      </c>
      <c r="E25" s="12">
        <f t="shared" si="4"/>
        <v>3119150.9481226411</v>
      </c>
      <c r="F25" s="12"/>
    </row>
    <row r="26" spans="1:6" x14ac:dyDescent="0.2">
      <c r="A26" s="13"/>
      <c r="B26" s="12">
        <f>PMT('GunShop with Expansion Option'!$C$27/12,'GunShop with Expansion Option'!$C$26*12,-'GunShop with Expansion Option'!$C$25,,)</f>
        <v>19142.898829970942</v>
      </c>
      <c r="C26" s="12">
        <f t="shared" si="3"/>
        <v>3547.1440893577364</v>
      </c>
      <c r="D26" s="12">
        <f>+'GunShop with Expansion Option'!$C$27/12*E25</f>
        <v>15595.754740613205</v>
      </c>
      <c r="E26" s="12">
        <f t="shared" si="4"/>
        <v>3115603.8040332831</v>
      </c>
      <c r="F26" s="12"/>
    </row>
    <row r="27" spans="1:6" x14ac:dyDescent="0.2">
      <c r="A27" s="13"/>
      <c r="B27" s="12">
        <f>PMT('GunShop with Expansion Option'!$C$27/12,'GunShop with Expansion Option'!$C$26*12,-'GunShop with Expansion Option'!$C$25,,)</f>
        <v>19142.898829970942</v>
      </c>
      <c r="C27" s="12">
        <f t="shared" si="3"/>
        <v>3564.8798098045263</v>
      </c>
      <c r="D27" s="12">
        <f>+'GunShop with Expansion Option'!$C$27/12*E26</f>
        <v>15578.019020166415</v>
      </c>
      <c r="E27" s="12">
        <f t="shared" si="4"/>
        <v>3112038.9242234784</v>
      </c>
      <c r="F27" s="16"/>
    </row>
    <row r="28" spans="1:6" x14ac:dyDescent="0.2">
      <c r="A28" s="17" t="s">
        <v>40</v>
      </c>
      <c r="B28" s="16">
        <f>SUM(B16:B27)</f>
        <v>229714.78595965132</v>
      </c>
      <c r="C28" s="16">
        <f t="shared" ref="C28" si="5">SUM(C16:C27)</f>
        <v>41627.196818166602</v>
      </c>
      <c r="D28" s="16">
        <f t="shared" ref="D28" si="6">SUM(D16:D27)</f>
        <v>188087.5891414847</v>
      </c>
      <c r="E28" s="16">
        <f>+E27</f>
        <v>3112038.9242234784</v>
      </c>
      <c r="F28" s="12"/>
    </row>
    <row r="29" spans="1:6" x14ac:dyDescent="0.2">
      <c r="A29" s="13"/>
      <c r="B29" s="9" t="s">
        <v>46</v>
      </c>
      <c r="C29" s="9" t="s">
        <v>47</v>
      </c>
      <c r="D29" s="9" t="s">
        <v>48</v>
      </c>
      <c r="E29" s="9" t="s">
        <v>49</v>
      </c>
      <c r="F29" s="12"/>
    </row>
    <row r="30" spans="1:6" x14ac:dyDescent="0.2">
      <c r="A30" s="13" t="s">
        <v>42</v>
      </c>
      <c r="B30" s="12">
        <f>PMT('GunShop with Expansion Option'!$C$27/12,'GunShop with Expansion Option'!$C$26*12,-'GunShop with Expansion Option'!$C$25,,)</f>
        <v>19142.898829970942</v>
      </c>
      <c r="C30" s="12">
        <f>+B30-D30</f>
        <v>3582.7042088535491</v>
      </c>
      <c r="D30" s="12">
        <f>+'GunShop with Expansion Option'!$C$27/12*E28</f>
        <v>15560.194621117393</v>
      </c>
      <c r="E30" s="12">
        <f>+E28-C30</f>
        <v>3108456.2200146248</v>
      </c>
      <c r="F30" s="12"/>
    </row>
    <row r="31" spans="1:6" x14ac:dyDescent="0.2">
      <c r="A31" s="13"/>
      <c r="B31" s="12">
        <f>PMT('GunShop with Expansion Option'!$C$27/12,'GunShop with Expansion Option'!$C$26*12,-'GunShop with Expansion Option'!$C$25,,)</f>
        <v>19142.898829970942</v>
      </c>
      <c r="C31" s="12">
        <f t="shared" ref="C31:C41" si="7">+B31-D31</f>
        <v>3600.6177298978182</v>
      </c>
      <c r="D31" s="12">
        <f>+'GunShop with Expansion Option'!$C$27/12*E30</f>
        <v>15542.281100073124</v>
      </c>
      <c r="E31" s="12">
        <f>+E30-C31</f>
        <v>3104855.6022847272</v>
      </c>
      <c r="F31" s="12"/>
    </row>
    <row r="32" spans="1:6" x14ac:dyDescent="0.2">
      <c r="A32" s="13"/>
      <c r="B32" s="12">
        <f>PMT('GunShop with Expansion Option'!$C$27/12,'GunShop with Expansion Option'!$C$26*12,-'GunShop with Expansion Option'!$C$25,,)</f>
        <v>19142.898829970942</v>
      </c>
      <c r="C32" s="12">
        <f t="shared" si="7"/>
        <v>3618.620818547306</v>
      </c>
      <c r="D32" s="12">
        <f>+'GunShop with Expansion Option'!$C$27/12*E31</f>
        <v>15524.278011423636</v>
      </c>
      <c r="E32" s="12">
        <f t="shared" ref="E32:E41" si="8">+E31-C32</f>
        <v>3101236.9814661797</v>
      </c>
      <c r="F32" s="12"/>
    </row>
    <row r="33" spans="1:6" x14ac:dyDescent="0.2">
      <c r="A33" s="13"/>
      <c r="B33" s="12">
        <f>PMT('GunShop with Expansion Option'!$C$27/12,'GunShop with Expansion Option'!$C$26*12,-'GunShop with Expansion Option'!$C$25,,)</f>
        <v>19142.898829970942</v>
      </c>
      <c r="C33" s="12">
        <f t="shared" si="7"/>
        <v>3636.7139226400432</v>
      </c>
      <c r="D33" s="12">
        <f>+'GunShop with Expansion Option'!$C$27/12*E32</f>
        <v>15506.184907330899</v>
      </c>
      <c r="E33" s="12">
        <f t="shared" si="8"/>
        <v>3097600.2675435399</v>
      </c>
      <c r="F33" s="12"/>
    </row>
    <row r="34" spans="1:6" x14ac:dyDescent="0.2">
      <c r="A34" s="13"/>
      <c r="B34" s="12">
        <f>PMT('GunShop with Expansion Option'!$C$27/12,'GunShop with Expansion Option'!$C$26*12,-'GunShop with Expansion Option'!$C$25,,)</f>
        <v>19142.898829970942</v>
      </c>
      <c r="C34" s="12">
        <f t="shared" si="7"/>
        <v>3654.8974922532416</v>
      </c>
      <c r="D34" s="12">
        <f>+'GunShop with Expansion Option'!$C$27/12*E33</f>
        <v>15488.0013377177</v>
      </c>
      <c r="E34" s="12">
        <f t="shared" si="8"/>
        <v>3093945.3700512866</v>
      </c>
      <c r="F34" s="12"/>
    </row>
    <row r="35" spans="1:6" x14ac:dyDescent="0.2">
      <c r="A35" s="13"/>
      <c r="B35" s="12">
        <f>PMT('GunShop with Expansion Option'!$C$27/12,'GunShop with Expansion Option'!$C$26*12,-'GunShop with Expansion Option'!$C$25,,)</f>
        <v>19142.898829970942</v>
      </c>
      <c r="C35" s="12">
        <f t="shared" si="7"/>
        <v>3673.1719797145088</v>
      </c>
      <c r="D35" s="12">
        <f>+'GunShop with Expansion Option'!$C$27/12*E34</f>
        <v>15469.726850256433</v>
      </c>
      <c r="E35" s="12">
        <f t="shared" si="8"/>
        <v>3090272.198071572</v>
      </c>
      <c r="F35" s="12"/>
    </row>
    <row r="36" spans="1:6" x14ac:dyDescent="0.2">
      <c r="A36" s="13"/>
      <c r="B36" s="12">
        <f>PMT('GunShop with Expansion Option'!$C$27/12,'GunShop with Expansion Option'!$C$26*12,-'GunShop with Expansion Option'!$C$25,,)</f>
        <v>19142.898829970942</v>
      </c>
      <c r="C36" s="12">
        <f t="shared" si="7"/>
        <v>3691.5378396130818</v>
      </c>
      <c r="D36" s="12">
        <f>+'GunShop with Expansion Option'!$C$27/12*E35</f>
        <v>15451.36099035786</v>
      </c>
      <c r="E36" s="12">
        <f t="shared" si="8"/>
        <v>3086580.6602319591</v>
      </c>
      <c r="F36" s="12"/>
    </row>
    <row r="37" spans="1:6" x14ac:dyDescent="0.2">
      <c r="A37" s="13"/>
      <c r="B37" s="12">
        <f>PMT('GunShop with Expansion Option'!$C$27/12,'GunShop with Expansion Option'!$C$26*12,-'GunShop with Expansion Option'!$C$25,,)</f>
        <v>19142.898829970942</v>
      </c>
      <c r="C37" s="12">
        <f t="shared" si="7"/>
        <v>3709.9955288111469</v>
      </c>
      <c r="D37" s="12">
        <f>+'GunShop with Expansion Option'!$C$27/12*E36</f>
        <v>15432.903301159795</v>
      </c>
      <c r="E37" s="12">
        <f t="shared" si="8"/>
        <v>3082870.664703148</v>
      </c>
      <c r="F37" s="12"/>
    </row>
    <row r="38" spans="1:6" x14ac:dyDescent="0.2">
      <c r="A38" s="13"/>
      <c r="B38" s="12">
        <f>PMT('GunShop with Expansion Option'!$C$27/12,'GunShop with Expansion Option'!$C$26*12,-'GunShop with Expansion Option'!$C$25,,)</f>
        <v>19142.898829970942</v>
      </c>
      <c r="C38" s="12">
        <f t="shared" si="7"/>
        <v>3728.5455064552025</v>
      </c>
      <c r="D38" s="12">
        <f>+'GunShop with Expansion Option'!$C$27/12*E37</f>
        <v>15414.353323515739</v>
      </c>
      <c r="E38" s="12">
        <f t="shared" si="8"/>
        <v>3079142.1191966929</v>
      </c>
      <c r="F38" s="12"/>
    </row>
    <row r="39" spans="1:6" x14ac:dyDescent="0.2">
      <c r="A39" s="13"/>
      <c r="B39" s="12">
        <f>PMT('GunShop with Expansion Option'!$C$27/12,'GunShop with Expansion Option'!$C$26*12,-'GunShop with Expansion Option'!$C$25,,)</f>
        <v>19142.898829970942</v>
      </c>
      <c r="C39" s="12">
        <f t="shared" si="7"/>
        <v>3747.1882339874774</v>
      </c>
      <c r="D39" s="12">
        <f>+'GunShop with Expansion Option'!$C$27/12*E38</f>
        <v>15395.710595983464</v>
      </c>
      <c r="E39" s="12">
        <f t="shared" si="8"/>
        <v>3075394.9309627055</v>
      </c>
      <c r="F39" s="12"/>
    </row>
    <row r="40" spans="1:6" x14ac:dyDescent="0.2">
      <c r="A40" s="13"/>
      <c r="B40" s="12">
        <f>PMT('GunShop with Expansion Option'!$C$27/12,'GunShop with Expansion Option'!$C$26*12,-'GunShop with Expansion Option'!$C$25,,)</f>
        <v>19142.898829970942</v>
      </c>
      <c r="C40" s="12">
        <f t="shared" si="7"/>
        <v>3765.9241751574136</v>
      </c>
      <c r="D40" s="12">
        <f>+'GunShop with Expansion Option'!$C$27/12*E39</f>
        <v>15376.974654813528</v>
      </c>
      <c r="E40" s="12">
        <f t="shared" si="8"/>
        <v>3071629.0067875483</v>
      </c>
      <c r="F40" s="12"/>
    </row>
    <row r="41" spans="1:6" x14ac:dyDescent="0.2">
      <c r="A41" s="13"/>
      <c r="B41" s="12">
        <f>PMT('GunShop with Expansion Option'!$C$27/12,'GunShop with Expansion Option'!$C$26*12,-'GunShop with Expansion Option'!$C$25,,)</f>
        <v>19142.898829970942</v>
      </c>
      <c r="C41" s="12">
        <f t="shared" si="7"/>
        <v>3784.7537960331993</v>
      </c>
      <c r="D41" s="12">
        <f>+'GunShop with Expansion Option'!$C$27/12*E40</f>
        <v>15358.145033937742</v>
      </c>
      <c r="E41" s="12">
        <f t="shared" si="8"/>
        <v>3067844.2529915152</v>
      </c>
      <c r="F41" s="16"/>
    </row>
    <row r="42" spans="1:6" x14ac:dyDescent="0.2">
      <c r="A42" s="17" t="s">
        <v>40</v>
      </c>
      <c r="B42" s="16">
        <f>SUM(B30:B41)</f>
        <v>229714.78595965132</v>
      </c>
      <c r="C42" s="16">
        <f t="shared" ref="C42" si="9">SUM(C30:C41)</f>
        <v>44194.671231963985</v>
      </c>
      <c r="D42" s="16">
        <f t="shared" ref="D42" si="10">SUM(D30:D41)</f>
        <v>185520.11472768732</v>
      </c>
      <c r="E42" s="16">
        <f>+E41</f>
        <v>3067844.2529915152</v>
      </c>
      <c r="F42" s="12"/>
    </row>
    <row r="43" spans="1:6" x14ac:dyDescent="0.2">
      <c r="A43" s="13"/>
      <c r="B43" s="9" t="s">
        <v>46</v>
      </c>
      <c r="C43" s="9" t="s">
        <v>47</v>
      </c>
      <c r="D43" s="9" t="s">
        <v>48</v>
      </c>
      <c r="E43" s="9" t="s">
        <v>49</v>
      </c>
      <c r="F43" s="12"/>
    </row>
    <row r="44" spans="1:6" x14ac:dyDescent="0.2">
      <c r="A44" s="13" t="s">
        <v>43</v>
      </c>
      <c r="B44" s="12">
        <f>PMT('GunShop with Expansion Option'!$C$27/12,'GunShop with Expansion Option'!$C$26*12,-'GunShop with Expansion Option'!$C$25,,)</f>
        <v>19142.898829970942</v>
      </c>
      <c r="C44" s="12">
        <f>+B44-D44</f>
        <v>3803.6775650133659</v>
      </c>
      <c r="D44" s="12">
        <f>+'GunShop with Expansion Option'!$C$27/12*E42</f>
        <v>15339.221264957576</v>
      </c>
      <c r="E44" s="12">
        <f>+E42-C44</f>
        <v>3064040.5754265017</v>
      </c>
      <c r="F44" s="12"/>
    </row>
    <row r="45" spans="1:6" x14ac:dyDescent="0.2">
      <c r="A45" s="13"/>
      <c r="B45" s="12">
        <f>PMT('GunShop with Expansion Option'!$C$27/12,'GunShop with Expansion Option'!$C$26*12,-'GunShop with Expansion Option'!$C$25,,)</f>
        <v>19142.898829970942</v>
      </c>
      <c r="C45" s="12">
        <f t="shared" ref="C45:C55" si="11">+B45-D45</f>
        <v>3822.6959528384323</v>
      </c>
      <c r="D45" s="12">
        <f>+'GunShop with Expansion Option'!$C$27/12*E44</f>
        <v>15320.202877132509</v>
      </c>
      <c r="E45" s="12">
        <f>+E44-C45</f>
        <v>3060217.8794736634</v>
      </c>
      <c r="F45" s="12"/>
    </row>
    <row r="46" spans="1:6" x14ac:dyDescent="0.2">
      <c r="A46" s="13"/>
      <c r="B46" s="12">
        <f>PMT('GunShop with Expansion Option'!$C$27/12,'GunShop with Expansion Option'!$C$26*12,-'GunShop with Expansion Option'!$C$25,,)</f>
        <v>19142.898829970942</v>
      </c>
      <c r="C46" s="12">
        <f t="shared" si="11"/>
        <v>3841.8094326026239</v>
      </c>
      <c r="D46" s="12">
        <f>+'GunShop with Expansion Option'!$C$27/12*E45</f>
        <v>15301.089397368318</v>
      </c>
      <c r="E46" s="12">
        <f t="shared" ref="E46:E55" si="12">+E45-C46</f>
        <v>3056376.0700410609</v>
      </c>
      <c r="F46" s="12"/>
    </row>
    <row r="47" spans="1:6" x14ac:dyDescent="0.2">
      <c r="A47" s="13"/>
      <c r="B47" s="12">
        <f>PMT('GunShop with Expansion Option'!$C$27/12,'GunShop with Expansion Option'!$C$26*12,-'GunShop with Expansion Option'!$C$25,,)</f>
        <v>19142.898829970942</v>
      </c>
      <c r="C47" s="12">
        <f t="shared" si="11"/>
        <v>3861.0184797656366</v>
      </c>
      <c r="D47" s="12">
        <f>+'GunShop with Expansion Option'!$C$27/12*E46</f>
        <v>15281.880350205305</v>
      </c>
      <c r="E47" s="12">
        <f t="shared" si="12"/>
        <v>3052515.0515612951</v>
      </c>
      <c r="F47" s="12"/>
    </row>
    <row r="48" spans="1:6" x14ac:dyDescent="0.2">
      <c r="A48" s="13"/>
      <c r="B48" s="12">
        <f>PMT('GunShop with Expansion Option'!$C$27/12,'GunShop with Expansion Option'!$C$26*12,-'GunShop with Expansion Option'!$C$25,,)</f>
        <v>19142.898829970942</v>
      </c>
      <c r="C48" s="12">
        <f t="shared" si="11"/>
        <v>3880.3235721644669</v>
      </c>
      <c r="D48" s="12">
        <f>+'GunShop with Expansion Option'!$C$27/12*E47</f>
        <v>15262.575257806475</v>
      </c>
      <c r="E48" s="12">
        <f t="shared" si="12"/>
        <v>3048634.7279891307</v>
      </c>
      <c r="F48" s="12"/>
    </row>
    <row r="49" spans="1:7" x14ac:dyDescent="0.2">
      <c r="A49" s="13"/>
      <c r="B49" s="12">
        <f>PMT('GunShop with Expansion Option'!$C$27/12,'GunShop with Expansion Option'!$C$26*12,-'GunShop with Expansion Option'!$C$25,,)</f>
        <v>19142.898829970942</v>
      </c>
      <c r="C49" s="12">
        <f t="shared" si="11"/>
        <v>3899.7251900252886</v>
      </c>
      <c r="D49" s="12">
        <f>+'GunShop with Expansion Option'!$C$27/12*E48</f>
        <v>15243.173639945653</v>
      </c>
      <c r="E49" s="12">
        <f t="shared" si="12"/>
        <v>3044735.0027991054</v>
      </c>
      <c r="F49" s="12"/>
    </row>
    <row r="50" spans="1:7" x14ac:dyDescent="0.2">
      <c r="A50" s="13"/>
      <c r="B50" s="12">
        <f>PMT('GunShop with Expansion Option'!$C$27/12,'GunShop with Expansion Option'!$C$26*12,-'GunShop with Expansion Option'!$C$25,,)</f>
        <v>19142.898829970942</v>
      </c>
      <c r="C50" s="12">
        <f t="shared" si="11"/>
        <v>3919.2238159754143</v>
      </c>
      <c r="D50" s="12">
        <f>+'GunShop with Expansion Option'!$C$27/12*E49</f>
        <v>15223.675013995527</v>
      </c>
      <c r="E50" s="12">
        <f t="shared" si="12"/>
        <v>3040815.7789831301</v>
      </c>
      <c r="F50" s="12"/>
    </row>
    <row r="51" spans="1:7" x14ac:dyDescent="0.2">
      <c r="A51" s="13"/>
      <c r="B51" s="12">
        <f>PMT('GunShop with Expansion Option'!$C$27/12,'GunShop with Expansion Option'!$C$26*12,-'GunShop with Expansion Option'!$C$25,,)</f>
        <v>19142.898829970942</v>
      </c>
      <c r="C51" s="12">
        <f t="shared" si="11"/>
        <v>3938.8199350552914</v>
      </c>
      <c r="D51" s="12">
        <f>+'GunShop with Expansion Option'!$C$27/12*E50</f>
        <v>15204.07889491565</v>
      </c>
      <c r="E51" s="12">
        <f t="shared" si="12"/>
        <v>3036876.9590480747</v>
      </c>
      <c r="F51" s="12"/>
    </row>
    <row r="52" spans="1:7" x14ac:dyDescent="0.2">
      <c r="A52" s="13"/>
      <c r="B52" s="12">
        <f>PMT('GunShop with Expansion Option'!$C$27/12,'GunShop with Expansion Option'!$C$26*12,-'GunShop with Expansion Option'!$C$25,,)</f>
        <v>19142.898829970942</v>
      </c>
      <c r="C52" s="12">
        <f t="shared" si="11"/>
        <v>3958.5140347305678</v>
      </c>
      <c r="D52" s="12">
        <f>+'GunShop with Expansion Option'!$C$27/12*E51</f>
        <v>15184.384795240374</v>
      </c>
      <c r="E52" s="12">
        <f t="shared" si="12"/>
        <v>3032918.4450133443</v>
      </c>
      <c r="F52" s="12"/>
    </row>
    <row r="53" spans="1:7" x14ac:dyDescent="0.2">
      <c r="A53" s="13"/>
      <c r="B53" s="12">
        <f>PMT('GunShop with Expansion Option'!$C$27/12,'GunShop with Expansion Option'!$C$26*12,-'GunShop with Expansion Option'!$C$25,,)</f>
        <v>19142.898829970942</v>
      </c>
      <c r="C53" s="12">
        <f t="shared" si="11"/>
        <v>3978.3066049042209</v>
      </c>
      <c r="D53" s="12">
        <f>+'GunShop with Expansion Option'!$C$27/12*E52</f>
        <v>15164.592225066721</v>
      </c>
      <c r="E53" s="12">
        <f t="shared" si="12"/>
        <v>3028940.1384084402</v>
      </c>
      <c r="F53" s="12"/>
    </row>
    <row r="54" spans="1:7" x14ac:dyDescent="0.2">
      <c r="A54" s="13"/>
      <c r="B54" s="12">
        <f>PMT('GunShop with Expansion Option'!$C$27/12,'GunShop with Expansion Option'!$C$26*12,-'GunShop with Expansion Option'!$C$25,,)</f>
        <v>19142.898829970942</v>
      </c>
      <c r="C54" s="12">
        <f t="shared" si="11"/>
        <v>3998.1981379287408</v>
      </c>
      <c r="D54" s="12">
        <f>+'GunShop with Expansion Option'!$C$27/12*E53</f>
        <v>15144.700692042201</v>
      </c>
      <c r="E54" s="12">
        <f t="shared" si="12"/>
        <v>3024941.9402705114</v>
      </c>
      <c r="F54" s="12"/>
    </row>
    <row r="55" spans="1:7" x14ac:dyDescent="0.2">
      <c r="A55" s="13"/>
      <c r="B55" s="12">
        <f>PMT('GunShop with Expansion Option'!$C$27/12,'GunShop with Expansion Option'!$C$26*12,-'GunShop with Expansion Option'!$C$25,,)</f>
        <v>19142.898829970942</v>
      </c>
      <c r="C55" s="12">
        <f t="shared" si="11"/>
        <v>4018.1891286183836</v>
      </c>
      <c r="D55" s="12">
        <f>+'GunShop with Expansion Option'!$C$27/12*E54</f>
        <v>15124.709701352558</v>
      </c>
      <c r="E55" s="12">
        <f t="shared" si="12"/>
        <v>3020923.7511418932</v>
      </c>
      <c r="F55" s="16"/>
      <c r="G55" s="12"/>
    </row>
    <row r="56" spans="1:7" x14ac:dyDescent="0.2">
      <c r="A56" s="17" t="s">
        <v>40</v>
      </c>
      <c r="B56" s="16">
        <f>SUM(B44:B55)</f>
        <v>229714.78595965132</v>
      </c>
      <c r="C56" s="16">
        <f t="shared" ref="C56" si="13">SUM(C44:C55)</f>
        <v>46920.501849622429</v>
      </c>
      <c r="D56" s="16">
        <f t="shared" ref="D56" si="14">SUM(D44:D55)</f>
        <v>182794.28411002888</v>
      </c>
      <c r="E56" s="16">
        <f>+E55</f>
        <v>3020923.7511418932</v>
      </c>
    </row>
    <row r="57" spans="1:7" x14ac:dyDescent="0.2">
      <c r="B57" s="9" t="s">
        <v>46</v>
      </c>
      <c r="C57" s="9" t="s">
        <v>47</v>
      </c>
      <c r="D57" s="9" t="s">
        <v>48</v>
      </c>
      <c r="E57" s="9" t="s">
        <v>49</v>
      </c>
    </row>
    <row r="58" spans="1:7" x14ac:dyDescent="0.2">
      <c r="A58" s="11">
        <v>43101</v>
      </c>
      <c r="B58" s="12">
        <f>PMT('GunShop with Expansion Option'!$C$27/12,'GunShop with Expansion Option'!$C$26*12,-'GunShop with Expansion Option'!$C$25,,)</f>
        <v>19142.898829970942</v>
      </c>
      <c r="C58" s="12">
        <f>+B58-D58</f>
        <v>3178.5238299709417</v>
      </c>
      <c r="D58" s="12">
        <f>+'GunShop with Expansion Option'!$C$27/12*'GunShop with Expansion Option'!$C$25</f>
        <v>15964.375</v>
      </c>
      <c r="E58" s="12">
        <f>+E56-C58</f>
        <v>3017745.2273119222</v>
      </c>
    </row>
    <row r="59" spans="1:7" x14ac:dyDescent="0.2">
      <c r="A59" s="11"/>
      <c r="B59" s="12">
        <f>PMT('GunShop with Expansion Option'!$C$27/12,'GunShop with Expansion Option'!$C$26*12,-'GunShop with Expansion Option'!$C$25,,)</f>
        <v>19142.898829970942</v>
      </c>
      <c r="C59" s="12">
        <f t="shared" ref="C59:C69" si="15">+B59-D59</f>
        <v>4054.1726934113303</v>
      </c>
      <c r="D59" s="12">
        <f>+'GunShop with Expansion Option'!$C$27/12*E58</f>
        <v>15088.726136559611</v>
      </c>
      <c r="E59" s="12">
        <f>+E58-C59</f>
        <v>3013691.0546185109</v>
      </c>
    </row>
    <row r="60" spans="1:7" x14ac:dyDescent="0.2">
      <c r="A60" s="13"/>
      <c r="B60" s="12">
        <f>PMT('GunShop with Expansion Option'!$C$27/12,'GunShop with Expansion Option'!$C$26*12,-'GunShop with Expansion Option'!$C$25,,)</f>
        <v>19142.898829970942</v>
      </c>
      <c r="C60" s="12">
        <f t="shared" si="15"/>
        <v>4074.4435568783865</v>
      </c>
      <c r="D60" s="12">
        <f>+'GunShop with Expansion Option'!$C$27/12*E59</f>
        <v>15068.455273092555</v>
      </c>
      <c r="E60" s="12">
        <f t="shared" ref="E60:E69" si="16">+E59-C60</f>
        <v>3009616.6110616326</v>
      </c>
    </row>
    <row r="61" spans="1:7" x14ac:dyDescent="0.2">
      <c r="A61" s="13"/>
      <c r="B61" s="12">
        <f>PMT('GunShop with Expansion Option'!$C$27/12,'GunShop with Expansion Option'!$C$26*12,-'GunShop with Expansion Option'!$C$25,,)</f>
        <v>19142.898829970942</v>
      </c>
      <c r="C61" s="12">
        <f t="shared" si="15"/>
        <v>4094.8157746627785</v>
      </c>
      <c r="D61" s="12">
        <f>+'GunShop with Expansion Option'!$C$27/12*E60</f>
        <v>15048.083055308163</v>
      </c>
      <c r="E61" s="12">
        <f t="shared" si="16"/>
        <v>3005521.7952869697</v>
      </c>
    </row>
    <row r="62" spans="1:7" x14ac:dyDescent="0.2">
      <c r="A62" s="13"/>
      <c r="B62" s="12">
        <f>PMT('GunShop with Expansion Option'!$C$27/12,'GunShop with Expansion Option'!$C$26*12,-'GunShop with Expansion Option'!$C$25,,)</f>
        <v>19142.898829970942</v>
      </c>
      <c r="C62" s="12">
        <f t="shared" si="15"/>
        <v>4115.2898535360928</v>
      </c>
      <c r="D62" s="12">
        <f>+'GunShop with Expansion Option'!$C$27/12*E61</f>
        <v>15027.608976434849</v>
      </c>
      <c r="E62" s="12">
        <f t="shared" si="16"/>
        <v>3001406.5054334337</v>
      </c>
    </row>
    <row r="63" spans="1:7" x14ac:dyDescent="0.2">
      <c r="A63" s="13"/>
      <c r="B63" s="12">
        <f>PMT('GunShop with Expansion Option'!$C$27/12,'GunShop with Expansion Option'!$C$26*12,-'GunShop with Expansion Option'!$C$25,,)</f>
        <v>19142.898829970942</v>
      </c>
      <c r="C63" s="12">
        <f t="shared" si="15"/>
        <v>4135.8663028037736</v>
      </c>
      <c r="D63" s="12">
        <f>+'GunShop with Expansion Option'!$C$27/12*E62</f>
        <v>15007.032527167168</v>
      </c>
      <c r="E63" s="12">
        <f t="shared" si="16"/>
        <v>2997270.6391306301</v>
      </c>
    </row>
    <row r="64" spans="1:7" x14ac:dyDescent="0.2">
      <c r="A64" s="13"/>
      <c r="B64" s="12">
        <f>PMT('GunShop with Expansion Option'!$C$27/12,'GunShop with Expansion Option'!$C$26*12,-'GunShop with Expansion Option'!$C$25,,)</f>
        <v>19142.898829970942</v>
      </c>
      <c r="C64" s="12">
        <f t="shared" si="15"/>
        <v>4156.5456343177902</v>
      </c>
      <c r="D64" s="12">
        <f>+'GunShop with Expansion Option'!$C$27/12*E63</f>
        <v>14986.353195653151</v>
      </c>
      <c r="E64" s="12">
        <f t="shared" si="16"/>
        <v>2993114.0934963124</v>
      </c>
    </row>
    <row r="65" spans="1:6" x14ac:dyDescent="0.2">
      <c r="A65" s="13"/>
      <c r="B65" s="12">
        <f>PMT('GunShop with Expansion Option'!$C$27/12,'GunShop with Expansion Option'!$C$26*12,-'GunShop with Expansion Option'!$C$25,,)</f>
        <v>19142.898829970942</v>
      </c>
      <c r="C65" s="12">
        <f t="shared" si="15"/>
        <v>4177.3283624893793</v>
      </c>
      <c r="D65" s="12">
        <f>+'GunShop with Expansion Option'!$C$27/12*E64</f>
        <v>14965.570467481562</v>
      </c>
      <c r="E65" s="12">
        <f t="shared" si="16"/>
        <v>2988936.7651338228</v>
      </c>
    </row>
    <row r="66" spans="1:6" x14ac:dyDescent="0.2">
      <c r="A66" s="13"/>
      <c r="B66" s="12">
        <f>PMT('GunShop with Expansion Option'!$C$27/12,'GunShop with Expansion Option'!$C$26*12,-'GunShop with Expansion Option'!$C$25,,)</f>
        <v>19142.898829970942</v>
      </c>
      <c r="C66" s="12">
        <f t="shared" si="15"/>
        <v>4198.2150043018282</v>
      </c>
      <c r="D66" s="12">
        <f>+'GunShop with Expansion Option'!$C$27/12*E65</f>
        <v>14944.683825669114</v>
      </c>
      <c r="E66" s="12">
        <f t="shared" si="16"/>
        <v>2984738.5501295212</v>
      </c>
    </row>
    <row r="67" spans="1:6" x14ac:dyDescent="0.2">
      <c r="A67" s="13"/>
      <c r="B67" s="12">
        <f>PMT('GunShop with Expansion Option'!$C$27/12,'GunShop with Expansion Option'!$C$26*12,-'GunShop with Expansion Option'!$C$25,,)</f>
        <v>19142.898829970942</v>
      </c>
      <c r="C67" s="12">
        <f t="shared" si="15"/>
        <v>4219.2060793233359</v>
      </c>
      <c r="D67" s="12">
        <f>+'GunShop with Expansion Option'!$C$27/12*E66</f>
        <v>14923.692750647606</v>
      </c>
      <c r="E67" s="12">
        <f t="shared" si="16"/>
        <v>2980519.3440501979</v>
      </c>
    </row>
    <row r="68" spans="1:6" x14ac:dyDescent="0.2">
      <c r="A68" s="13"/>
      <c r="B68" s="12">
        <f>PMT('GunShop with Expansion Option'!$C$27/12,'GunShop with Expansion Option'!$C$26*12,-'GunShop with Expansion Option'!$C$25,,)</f>
        <v>19142.898829970942</v>
      </c>
      <c r="C68" s="12">
        <f t="shared" si="15"/>
        <v>4240.3021097199526</v>
      </c>
      <c r="D68" s="12">
        <f>+'GunShop with Expansion Option'!$C$27/12*E67</f>
        <v>14902.596720250989</v>
      </c>
      <c r="E68" s="12">
        <f t="shared" si="16"/>
        <v>2976279.0419404777</v>
      </c>
    </row>
    <row r="69" spans="1:6" x14ac:dyDescent="0.2">
      <c r="A69" s="13"/>
      <c r="B69" s="12">
        <f>PMT('GunShop with Expansion Option'!$C$27/12,'GunShop with Expansion Option'!$C$26*12,-'GunShop with Expansion Option'!$C$25,,)</f>
        <v>19142.898829970942</v>
      </c>
      <c r="C69" s="12">
        <f t="shared" si="15"/>
        <v>4261.5036202685533</v>
      </c>
      <c r="D69" s="12">
        <f>+'GunShop with Expansion Option'!$C$27/12*E68</f>
        <v>14881.395209702388</v>
      </c>
      <c r="E69" s="12">
        <f t="shared" si="16"/>
        <v>2972017.5383202089</v>
      </c>
    </row>
    <row r="70" spans="1:6" x14ac:dyDescent="0.2">
      <c r="A70" s="17" t="s">
        <v>40</v>
      </c>
      <c r="B70" s="16">
        <f>SUM(B58:B69)</f>
        <v>229714.78595965132</v>
      </c>
      <c r="C70" s="16">
        <f t="shared" ref="C70:D70" si="17">SUM(C58:C69)</f>
        <v>48906.212821684145</v>
      </c>
      <c r="D70" s="16">
        <f t="shared" si="17"/>
        <v>180808.57313796718</v>
      </c>
      <c r="E70" s="16">
        <f>+E69</f>
        <v>2972017.5383202089</v>
      </c>
    </row>
    <row r="71" spans="1:6" x14ac:dyDescent="0.2">
      <c r="A71" s="13"/>
      <c r="B71" s="9" t="s">
        <v>46</v>
      </c>
      <c r="C71" s="9" t="s">
        <v>47</v>
      </c>
      <c r="D71" s="9" t="s">
        <v>48</v>
      </c>
      <c r="E71" s="9" t="s">
        <v>49</v>
      </c>
    </row>
    <row r="72" spans="1:6" x14ac:dyDescent="0.2">
      <c r="A72" s="11">
        <v>43466</v>
      </c>
      <c r="B72" s="12">
        <f>PMT('GunShop with Expansion Option'!$C$27/12,'GunShop with Expansion Option'!$C$26*12,-'GunShop with Expansion Option'!$C$25,,)</f>
        <v>19142.898829970942</v>
      </c>
      <c r="C72" s="12">
        <f>+B72-D72</f>
        <v>4282.8111383698961</v>
      </c>
      <c r="D72" s="12">
        <f>+'GunShop with Expansion Option'!$C$27/12*E70</f>
        <v>14860.087691601046</v>
      </c>
      <c r="E72" s="12">
        <f>+E70-C72</f>
        <v>2967734.7271818388</v>
      </c>
    </row>
    <row r="73" spans="1:6" x14ac:dyDescent="0.2">
      <c r="A73" s="13"/>
      <c r="B73" s="12">
        <f>PMT('GunShop with Expansion Option'!$C$27/12,'GunShop with Expansion Option'!$C$26*12,-'GunShop with Expansion Option'!$C$25,,)</f>
        <v>19142.898829970942</v>
      </c>
      <c r="C73" s="12">
        <f t="shared" ref="C73:C83" si="18">+B73-D73</f>
        <v>4304.225194061748</v>
      </c>
      <c r="D73" s="12">
        <f>+'GunShop with Expansion Option'!$C$27/12*E72</f>
        <v>14838.673635909194</v>
      </c>
      <c r="E73" s="12">
        <f>+E72-C73</f>
        <v>2963430.5019877772</v>
      </c>
    </row>
    <row r="74" spans="1:6" x14ac:dyDescent="0.2">
      <c r="A74" s="13"/>
      <c r="B74" s="12">
        <f>PMT('GunShop with Expansion Option'!$C$27/12,'GunShop with Expansion Option'!$C$26*12,-'GunShop with Expansion Option'!$C$25,,)</f>
        <v>19142.898829970942</v>
      </c>
      <c r="C74" s="12">
        <f t="shared" si="18"/>
        <v>4325.7463200320562</v>
      </c>
      <c r="D74" s="12">
        <f>+'GunShop with Expansion Option'!$C$27/12*E73</f>
        <v>14817.152509938885</v>
      </c>
      <c r="E74" s="12">
        <f t="shared" ref="E74:E83" si="19">+E73-C74</f>
        <v>2959104.7556677451</v>
      </c>
    </row>
    <row r="75" spans="1:6" x14ac:dyDescent="0.2">
      <c r="A75" s="13"/>
      <c r="B75" s="12">
        <f>PMT('GunShop with Expansion Option'!$C$27/12,'GunShop with Expansion Option'!$C$26*12,-'GunShop with Expansion Option'!$C$25,,)</f>
        <v>19142.898829970942</v>
      </c>
      <c r="C75" s="12">
        <f t="shared" si="18"/>
        <v>4347.3750516322161</v>
      </c>
      <c r="D75" s="12">
        <f>+'GunShop with Expansion Option'!$C$27/12*E74</f>
        <v>14795.523778338726</v>
      </c>
      <c r="E75" s="12">
        <f t="shared" si="19"/>
        <v>2954757.3806161131</v>
      </c>
    </row>
    <row r="76" spans="1:6" x14ac:dyDescent="0.2">
      <c r="A76" s="13"/>
      <c r="B76" s="12">
        <f>PMT('GunShop with Expansion Option'!$C$27/12,'GunShop with Expansion Option'!$C$26*12,-'GunShop with Expansion Option'!$C$25,,)</f>
        <v>19142.898829970942</v>
      </c>
      <c r="C76" s="12">
        <f t="shared" si="18"/>
        <v>4369.1119268903767</v>
      </c>
      <c r="D76" s="12">
        <f>+'GunShop with Expansion Option'!$C$27/12*E75</f>
        <v>14773.786903080565</v>
      </c>
      <c r="E76" s="12">
        <f t="shared" si="19"/>
        <v>2950388.2686892226</v>
      </c>
      <c r="F76" s="12"/>
    </row>
    <row r="77" spans="1:6" x14ac:dyDescent="0.2">
      <c r="A77" s="13"/>
      <c r="B77" s="12">
        <f>PMT('GunShop with Expansion Option'!$C$27/12,'GunShop with Expansion Option'!$C$26*12,-'GunShop with Expansion Option'!$C$25,,)</f>
        <v>19142.898829970942</v>
      </c>
      <c r="C77" s="12">
        <f t="shared" si="18"/>
        <v>4390.9574865248287</v>
      </c>
      <c r="D77" s="12">
        <f>+'GunShop with Expansion Option'!$C$27/12*E76</f>
        <v>14751.941343446113</v>
      </c>
      <c r="E77" s="12">
        <f t="shared" si="19"/>
        <v>2945997.3112026979</v>
      </c>
      <c r="F77" s="12"/>
    </row>
    <row r="78" spans="1:6" x14ac:dyDescent="0.2">
      <c r="A78" s="13"/>
      <c r="B78" s="12">
        <f>PMT('GunShop with Expansion Option'!$C$27/12,'GunShop with Expansion Option'!$C$26*12,-'GunShop with Expansion Option'!$C$25,,)</f>
        <v>19142.898829970942</v>
      </c>
      <c r="C78" s="12">
        <f t="shared" si="18"/>
        <v>4412.9122739574523</v>
      </c>
      <c r="D78" s="12">
        <f>+'GunShop with Expansion Option'!$C$27/12*E77</f>
        <v>14729.986556013489</v>
      </c>
      <c r="E78" s="12">
        <f t="shared" si="19"/>
        <v>2941584.3989287405</v>
      </c>
      <c r="F78" s="12"/>
    </row>
    <row r="79" spans="1:6" x14ac:dyDescent="0.2">
      <c r="A79" s="13"/>
      <c r="B79" s="12">
        <f>PMT('GunShop with Expansion Option'!$C$27/12,'GunShop with Expansion Option'!$C$26*12,-'GunShop with Expansion Option'!$C$25,,)</f>
        <v>19142.898829970942</v>
      </c>
      <c r="C79" s="12">
        <f t="shared" si="18"/>
        <v>4434.9768353272393</v>
      </c>
      <c r="D79" s="12">
        <f>+'GunShop with Expansion Option'!$C$27/12*E78</f>
        <v>14707.921994643702</v>
      </c>
      <c r="E79" s="12">
        <f t="shared" si="19"/>
        <v>2937149.4220934133</v>
      </c>
      <c r="F79" s="12"/>
    </row>
    <row r="80" spans="1:6" x14ac:dyDescent="0.2">
      <c r="A80" s="13"/>
      <c r="B80" s="12">
        <f>PMT('GunShop with Expansion Option'!$C$27/12,'GunShop with Expansion Option'!$C$26*12,-'GunShop with Expansion Option'!$C$25,,)</f>
        <v>19142.898829970942</v>
      </c>
      <c r="C80" s="12">
        <f t="shared" si="18"/>
        <v>4457.1517195038741</v>
      </c>
      <c r="D80" s="12">
        <f>+'GunShop with Expansion Option'!$C$27/12*E79</f>
        <v>14685.747110467068</v>
      </c>
      <c r="E80" s="12">
        <f t="shared" si="19"/>
        <v>2932692.2703739093</v>
      </c>
      <c r="F80" s="12"/>
    </row>
    <row r="81" spans="1:6" x14ac:dyDescent="0.2">
      <c r="A81" s="13"/>
      <c r="B81" s="12">
        <f>PMT('GunShop with Expansion Option'!$C$27/12,'GunShop with Expansion Option'!$C$26*12,-'GunShop with Expansion Option'!$C$25,,)</f>
        <v>19142.898829970942</v>
      </c>
      <c r="C81" s="12">
        <f t="shared" si="18"/>
        <v>4479.4374781013958</v>
      </c>
      <c r="D81" s="12">
        <f>+'GunShop with Expansion Option'!$C$27/12*E80</f>
        <v>14663.461351869546</v>
      </c>
      <c r="E81" s="12">
        <f t="shared" si="19"/>
        <v>2928212.8328958079</v>
      </c>
      <c r="F81" s="12"/>
    </row>
    <row r="82" spans="1:6" x14ac:dyDescent="0.2">
      <c r="A82" s="13"/>
      <c r="B82" s="12">
        <f>PMT('GunShop with Expansion Option'!$C$27/12,'GunShop with Expansion Option'!$C$26*12,-'GunShop with Expansion Option'!$C$25,,)</f>
        <v>19142.898829970942</v>
      </c>
      <c r="C82" s="12">
        <f t="shared" si="18"/>
        <v>4501.8346654919023</v>
      </c>
      <c r="D82" s="12">
        <f>+'GunShop with Expansion Option'!$C$27/12*E81</f>
        <v>14641.064164479039</v>
      </c>
      <c r="E82" s="12">
        <f t="shared" si="19"/>
        <v>2923710.9982303162</v>
      </c>
      <c r="F82" s="12"/>
    </row>
    <row r="83" spans="1:6" x14ac:dyDescent="0.2">
      <c r="A83" s="13"/>
      <c r="B83" s="12">
        <f>PMT('GunShop with Expansion Option'!$C$27/12,'GunShop with Expansion Option'!$C$26*12,-'GunShop with Expansion Option'!$C$25,,)</f>
        <v>19142.898829970942</v>
      </c>
      <c r="C83" s="12">
        <f t="shared" si="18"/>
        <v>4524.3438388193608</v>
      </c>
      <c r="D83" s="12">
        <f>+'GunShop with Expansion Option'!$C$27/12*E82</f>
        <v>14618.554991151581</v>
      </c>
      <c r="E83" s="12">
        <f t="shared" si="19"/>
        <v>2919186.6543914969</v>
      </c>
      <c r="F83" s="16"/>
    </row>
    <row r="84" spans="1:6" x14ac:dyDescent="0.2">
      <c r="A84" s="17" t="s">
        <v>40</v>
      </c>
      <c r="B84" s="16">
        <f>SUM(B72:B83)</f>
        <v>229714.78595965132</v>
      </c>
      <c r="C84" s="16">
        <f t="shared" ref="C84:D84" si="20">SUM(C72:C83)</f>
        <v>52830.883928712348</v>
      </c>
      <c r="D84" s="16">
        <f t="shared" si="20"/>
        <v>176883.90203093895</v>
      </c>
      <c r="E84" s="16">
        <f>+E83</f>
        <v>2919186.6543914969</v>
      </c>
      <c r="F84" s="12"/>
    </row>
    <row r="85" spans="1:6" x14ac:dyDescent="0.2">
      <c r="A85" s="13"/>
      <c r="B85" s="9" t="s">
        <v>46</v>
      </c>
      <c r="C85" s="9" t="s">
        <v>47</v>
      </c>
      <c r="D85" s="9" t="s">
        <v>48</v>
      </c>
      <c r="E85" s="9" t="s">
        <v>49</v>
      </c>
      <c r="F85" s="12"/>
    </row>
    <row r="86" spans="1:6" x14ac:dyDescent="0.2">
      <c r="A86" s="11">
        <v>43831</v>
      </c>
      <c r="B86" s="12">
        <f>PMT('GunShop with Expansion Option'!$C$27/12,'GunShop with Expansion Option'!$C$26*12,-'GunShop with Expansion Option'!$C$25,,)</f>
        <v>19142.898829970942</v>
      </c>
      <c r="C86" s="12">
        <f>+B86-D86</f>
        <v>4546.9655580134568</v>
      </c>
      <c r="D86" s="12">
        <f>+'GunShop with Expansion Option'!$C$27/12*E84</f>
        <v>14595.933271957485</v>
      </c>
      <c r="E86" s="12">
        <f>+E84-C86</f>
        <v>2914639.6888334835</v>
      </c>
      <c r="F86" s="12"/>
    </row>
    <row r="87" spans="1:6" x14ac:dyDescent="0.2">
      <c r="A87" s="11"/>
      <c r="B87" s="12">
        <f>PMT('GunShop with Expansion Option'!$C$27/12,'GunShop with Expansion Option'!$C$26*12,-'GunShop with Expansion Option'!$C$25,,)</f>
        <v>19142.898829970942</v>
      </c>
      <c r="C87" s="12">
        <f t="shared" ref="C87:C97" si="21">+B87-D87</f>
        <v>4569.7003858035241</v>
      </c>
      <c r="D87" s="12">
        <f>+'GunShop with Expansion Option'!$C$27/12*E86</f>
        <v>14573.198444167418</v>
      </c>
      <c r="E87" s="12">
        <f>+E86-C87</f>
        <v>2910069.9884476801</v>
      </c>
      <c r="F87" s="12"/>
    </row>
    <row r="88" spans="1:6" x14ac:dyDescent="0.2">
      <c r="A88" s="13"/>
      <c r="B88" s="12">
        <f>PMT('GunShop with Expansion Option'!$C$27/12,'GunShop with Expansion Option'!$C$26*12,-'GunShop with Expansion Option'!$C$25,,)</f>
        <v>19142.898829970942</v>
      </c>
      <c r="C88" s="12">
        <f t="shared" si="21"/>
        <v>4592.5488877325406</v>
      </c>
      <c r="D88" s="12">
        <f>+'GunShop with Expansion Option'!$C$27/12*E87</f>
        <v>14550.349942238401</v>
      </c>
      <c r="E88" s="12">
        <f t="shared" ref="E88:E97" si="22">+E87-C88</f>
        <v>2905477.4395599477</v>
      </c>
      <c r="F88" s="12"/>
    </row>
    <row r="89" spans="1:6" x14ac:dyDescent="0.2">
      <c r="A89" s="13"/>
      <c r="B89" s="12">
        <f>PMT('GunShop with Expansion Option'!$C$27/12,'GunShop with Expansion Option'!$C$26*12,-'GunShop with Expansion Option'!$C$25,,)</f>
        <v>19142.898829970942</v>
      </c>
      <c r="C89" s="12">
        <f t="shared" si="21"/>
        <v>4615.511632171203</v>
      </c>
      <c r="D89" s="12">
        <f>+'GunShop with Expansion Option'!$C$27/12*E88</f>
        <v>14527.387197799739</v>
      </c>
      <c r="E89" s="12">
        <f t="shared" si="22"/>
        <v>2900861.9279277767</v>
      </c>
      <c r="F89" s="12"/>
    </row>
    <row r="90" spans="1:6" x14ac:dyDescent="0.2">
      <c r="A90" s="13"/>
      <c r="B90" s="12">
        <f>PMT('GunShop with Expansion Option'!$C$27/12,'GunShop with Expansion Option'!$C$26*12,-'GunShop with Expansion Option'!$C$25,,)</f>
        <v>19142.898829970942</v>
      </c>
      <c r="C90" s="12">
        <f t="shared" si="21"/>
        <v>4638.5891903320571</v>
      </c>
      <c r="D90" s="12">
        <f>+'GunShop with Expansion Option'!$C$27/12*E89</f>
        <v>14504.309639638885</v>
      </c>
      <c r="E90" s="12">
        <f t="shared" si="22"/>
        <v>2896223.3387374445</v>
      </c>
      <c r="F90" s="12"/>
    </row>
    <row r="91" spans="1:6" x14ac:dyDescent="0.2">
      <c r="A91" s="13"/>
      <c r="B91" s="12">
        <f>PMT('GunShop with Expansion Option'!$C$27/12,'GunShop with Expansion Option'!$C$26*12,-'GunShop with Expansion Option'!$C$25,,)</f>
        <v>19142.898829970942</v>
      </c>
      <c r="C91" s="12">
        <f t="shared" si="21"/>
        <v>4661.7821362837185</v>
      </c>
      <c r="D91" s="12">
        <f>+'GunShop with Expansion Option'!$C$27/12*E90</f>
        <v>14481.116693687223</v>
      </c>
      <c r="E91" s="12">
        <f t="shared" si="22"/>
        <v>2891561.5566011607</v>
      </c>
      <c r="F91" s="12"/>
    </row>
    <row r="92" spans="1:6" x14ac:dyDescent="0.2">
      <c r="A92" s="13"/>
      <c r="B92" s="12">
        <f>PMT('GunShop with Expansion Option'!$C$27/12,'GunShop with Expansion Option'!$C$26*12,-'GunShop with Expansion Option'!$C$25,,)</f>
        <v>19142.898829970942</v>
      </c>
      <c r="C92" s="12">
        <f t="shared" si="21"/>
        <v>4685.091046965139</v>
      </c>
      <c r="D92" s="12">
        <f>+'GunShop with Expansion Option'!$C$27/12*E91</f>
        <v>14457.807783005803</v>
      </c>
      <c r="E92" s="12">
        <f t="shared" si="22"/>
        <v>2886876.4655541955</v>
      </c>
      <c r="F92" s="12"/>
    </row>
    <row r="93" spans="1:6" x14ac:dyDescent="0.2">
      <c r="A93" s="13"/>
      <c r="B93" s="12">
        <f>PMT('GunShop with Expansion Option'!$C$27/12,'GunShop with Expansion Option'!$C$26*12,-'GunShop with Expansion Option'!$C$25,,)</f>
        <v>19142.898829970942</v>
      </c>
      <c r="C93" s="12">
        <f t="shared" si="21"/>
        <v>4708.5165021999637</v>
      </c>
      <c r="D93" s="12">
        <f>+'GunShop with Expansion Option'!$C$27/12*E92</f>
        <v>14434.382327770978</v>
      </c>
      <c r="E93" s="12">
        <f t="shared" si="22"/>
        <v>2882167.9490519953</v>
      </c>
      <c r="F93" s="12"/>
    </row>
    <row r="94" spans="1:6" x14ac:dyDescent="0.2">
      <c r="A94" s="13"/>
      <c r="B94" s="12">
        <f>PMT('GunShop with Expansion Option'!$C$27/12,'GunShop with Expansion Option'!$C$26*12,-'GunShop with Expansion Option'!$C$25,,)</f>
        <v>19142.898829970942</v>
      </c>
      <c r="C94" s="12">
        <f t="shared" si="21"/>
        <v>4732.0590847109652</v>
      </c>
      <c r="D94" s="12">
        <f>+'GunShop with Expansion Option'!$C$27/12*E93</f>
        <v>14410.839745259977</v>
      </c>
      <c r="E94" s="12">
        <f t="shared" si="22"/>
        <v>2877435.8899672842</v>
      </c>
      <c r="F94" s="12"/>
    </row>
    <row r="95" spans="1:6" x14ac:dyDescent="0.2">
      <c r="A95" s="13"/>
      <c r="B95" s="12">
        <f>PMT('GunShop with Expansion Option'!$C$27/12,'GunShop with Expansion Option'!$C$26*12,-'GunShop with Expansion Option'!$C$25,,)</f>
        <v>19142.898829970942</v>
      </c>
      <c r="C95" s="12">
        <f t="shared" si="21"/>
        <v>4755.7193801345202</v>
      </c>
      <c r="D95" s="12">
        <f>+'GunShop with Expansion Option'!$C$27/12*E94</f>
        <v>14387.179449836422</v>
      </c>
      <c r="E95" s="12">
        <f t="shared" si="22"/>
        <v>2872680.1705871494</v>
      </c>
      <c r="F95" s="12"/>
    </row>
    <row r="96" spans="1:6" x14ac:dyDescent="0.2">
      <c r="A96" s="13"/>
      <c r="B96" s="12">
        <f>PMT('GunShop with Expansion Option'!$C$27/12,'GunShop with Expansion Option'!$C$26*12,-'GunShop with Expansion Option'!$C$25,,)</f>
        <v>19142.898829970942</v>
      </c>
      <c r="C96" s="12">
        <f t="shared" si="21"/>
        <v>4779.4979770351947</v>
      </c>
      <c r="D96" s="12">
        <f>+'GunShop with Expansion Option'!$C$27/12*E95</f>
        <v>14363.400852935747</v>
      </c>
      <c r="E96" s="12">
        <f t="shared" si="22"/>
        <v>2867900.6726101143</v>
      </c>
      <c r="F96" s="12"/>
    </row>
    <row r="97" spans="1:6" x14ac:dyDescent="0.2">
      <c r="A97" s="13"/>
      <c r="B97" s="12">
        <f>PMT('GunShop with Expansion Option'!$C$27/12,'GunShop with Expansion Option'!$C$26*12,-'GunShop with Expansion Option'!$C$25,,)</f>
        <v>19142.898829970942</v>
      </c>
      <c r="C97" s="12">
        <f t="shared" si="21"/>
        <v>4803.3954669203704</v>
      </c>
      <c r="D97" s="12">
        <f>+'GunShop with Expansion Option'!$C$27/12*E96</f>
        <v>14339.503363050571</v>
      </c>
      <c r="E97" s="12">
        <f t="shared" si="22"/>
        <v>2863097.2771431939</v>
      </c>
      <c r="F97" s="16"/>
    </row>
    <row r="98" spans="1:6" x14ac:dyDescent="0.2">
      <c r="A98" s="17" t="s">
        <v>40</v>
      </c>
      <c r="B98" s="16">
        <f>SUM(B86:B97)</f>
        <v>229714.78595965132</v>
      </c>
      <c r="C98" s="16">
        <f t="shared" ref="C98:D98" si="23">SUM(C86:C97)</f>
        <v>56089.377248302655</v>
      </c>
      <c r="D98" s="16">
        <f t="shared" si="23"/>
        <v>173625.40871134863</v>
      </c>
      <c r="E98" s="16">
        <f>+E97</f>
        <v>2863097.2771431939</v>
      </c>
      <c r="F98" s="12"/>
    </row>
    <row r="99" spans="1:6" x14ac:dyDescent="0.2">
      <c r="A99" s="13"/>
      <c r="B99" s="9" t="s">
        <v>46</v>
      </c>
      <c r="C99" s="9" t="s">
        <v>47</v>
      </c>
      <c r="D99" s="9" t="s">
        <v>48</v>
      </c>
      <c r="E99" s="9" t="s">
        <v>49</v>
      </c>
      <c r="F99" s="12"/>
    </row>
    <row r="100" spans="1:6" x14ac:dyDescent="0.2">
      <c r="A100" s="11">
        <v>44197</v>
      </c>
      <c r="B100" s="12">
        <f>PMT('GunShop with Expansion Option'!$C$27/12,'GunShop with Expansion Option'!$C$26*12,-'GunShop with Expansion Option'!$C$25,,)</f>
        <v>19142.898829970942</v>
      </c>
      <c r="C100" s="12">
        <f>+B100-D100</f>
        <v>4827.4124442549728</v>
      </c>
      <c r="D100" s="12">
        <f>+'GunShop with Expansion Option'!$C$27/12*E98</f>
        <v>14315.486385715969</v>
      </c>
      <c r="E100" s="12">
        <f>+E98-C100</f>
        <v>2858269.864698939</v>
      </c>
      <c r="F100" s="12"/>
    </row>
    <row r="101" spans="1:6" x14ac:dyDescent="0.2">
      <c r="A101" s="13"/>
      <c r="B101" s="12">
        <f>PMT('GunShop with Expansion Option'!$C$27/12,'GunShop with Expansion Option'!$C$26*12,-'GunShop with Expansion Option'!$C$25,,)</f>
        <v>19142.898829970942</v>
      </c>
      <c r="C101" s="12">
        <f t="shared" ref="C101:C111" si="24">+B101-D101</f>
        <v>4851.5495064762472</v>
      </c>
      <c r="D101" s="12">
        <f>+'GunShop with Expansion Option'!$C$27/12*E100</f>
        <v>14291.349323494695</v>
      </c>
      <c r="E101" s="12">
        <f>+E100-C101</f>
        <v>2853418.3151924629</v>
      </c>
      <c r="F101" s="12"/>
    </row>
    <row r="102" spans="1:6" x14ac:dyDescent="0.2">
      <c r="A102" s="13"/>
      <c r="B102" s="12">
        <f>PMT('GunShop with Expansion Option'!$C$27/12,'GunShop with Expansion Option'!$C$26*12,-'GunShop with Expansion Option'!$C$25,,)</f>
        <v>19142.898829970942</v>
      </c>
      <c r="C102" s="12">
        <f t="shared" si="24"/>
        <v>4875.8072540086268</v>
      </c>
      <c r="D102" s="12">
        <f>+'GunShop with Expansion Option'!$C$27/12*E101</f>
        <v>14267.091575962315</v>
      </c>
      <c r="E102" s="12">
        <f t="shared" ref="E102:E111" si="25">+E101-C102</f>
        <v>2848542.5079384544</v>
      </c>
      <c r="F102" s="12"/>
    </row>
    <row r="103" spans="1:6" x14ac:dyDescent="0.2">
      <c r="A103" s="13"/>
      <c r="B103" s="12">
        <f>PMT('GunShop with Expansion Option'!$C$27/12,'GunShop with Expansion Option'!$C$26*12,-'GunShop with Expansion Option'!$C$25,,)</f>
        <v>19142.898829970942</v>
      </c>
      <c r="C103" s="12">
        <f t="shared" si="24"/>
        <v>4900.1862902786688</v>
      </c>
      <c r="D103" s="12">
        <f>+'GunShop with Expansion Option'!$C$27/12*E102</f>
        <v>14242.712539692273</v>
      </c>
      <c r="E103" s="12">
        <f t="shared" si="25"/>
        <v>2843642.3216481758</v>
      </c>
      <c r="F103" s="12"/>
    </row>
    <row r="104" spans="1:6" x14ac:dyDescent="0.2">
      <c r="A104" s="13"/>
      <c r="B104" s="12">
        <f>PMT('GunShop with Expansion Option'!$C$27/12,'GunShop with Expansion Option'!$C$26*12,-'GunShop with Expansion Option'!$C$25,,)</f>
        <v>19142.898829970942</v>
      </c>
      <c r="C104" s="12">
        <f>+B104-D104</f>
        <v>4924.6872217300624</v>
      </c>
      <c r="D104" s="12">
        <f>+'GunShop with Expansion Option'!$C$27/12*E103</f>
        <v>14218.211608240879</v>
      </c>
      <c r="E104" s="12">
        <f t="shared" si="25"/>
        <v>2838717.6344264457</v>
      </c>
      <c r="F104" s="12"/>
    </row>
    <row r="105" spans="1:6" x14ac:dyDescent="0.2">
      <c r="A105" s="13"/>
      <c r="B105" s="12">
        <f>PMT('GunShop with Expansion Option'!$C$27/12,'GunShop with Expansion Option'!$C$26*12,-'GunShop with Expansion Option'!$C$25,,)</f>
        <v>19142.898829970942</v>
      </c>
      <c r="C105" s="12">
        <f t="shared" si="24"/>
        <v>4949.3106578387124</v>
      </c>
      <c r="D105" s="12">
        <f>+'GunShop with Expansion Option'!$C$27/12*E104</f>
        <v>14193.588172132229</v>
      </c>
      <c r="E105" s="12">
        <f t="shared" si="25"/>
        <v>2833768.3237686069</v>
      </c>
      <c r="F105" s="12"/>
    </row>
    <row r="106" spans="1:6" x14ac:dyDescent="0.2">
      <c r="A106" s="13"/>
      <c r="B106" s="12">
        <f>PMT('GunShop with Expansion Option'!$C$27/12,'GunShop with Expansion Option'!$C$26*12,-'GunShop with Expansion Option'!$C$25,,)</f>
        <v>19142.898829970942</v>
      </c>
      <c r="C106" s="12">
        <f t="shared" si="24"/>
        <v>4974.0572111279071</v>
      </c>
      <c r="D106" s="12">
        <f>+'GunShop with Expansion Option'!$C$27/12*E105</f>
        <v>14168.841618843035</v>
      </c>
      <c r="E106" s="12">
        <f t="shared" si="25"/>
        <v>2828794.2665574788</v>
      </c>
      <c r="F106" s="12"/>
    </row>
    <row r="107" spans="1:6" x14ac:dyDescent="0.2">
      <c r="A107" s="13"/>
      <c r="B107" s="12">
        <f>PMT('GunShop with Expansion Option'!$C$27/12,'GunShop with Expansion Option'!$C$26*12,-'GunShop with Expansion Option'!$C$25,,)</f>
        <v>19142.898829970942</v>
      </c>
      <c r="C107" s="12">
        <f t="shared" si="24"/>
        <v>4998.9274971835475</v>
      </c>
      <c r="D107" s="12">
        <f>+'GunShop with Expansion Option'!$C$27/12*E106</f>
        <v>14143.971332787394</v>
      </c>
      <c r="E107" s="12">
        <f t="shared" si="25"/>
        <v>2823795.3390602954</v>
      </c>
      <c r="F107" s="12"/>
    </row>
    <row r="108" spans="1:6" x14ac:dyDescent="0.2">
      <c r="A108" s="13"/>
      <c r="B108" s="12">
        <f>PMT('GunShop with Expansion Option'!$C$27/12,'GunShop with Expansion Option'!$C$26*12,-'GunShop with Expansion Option'!$C$25,,)</f>
        <v>19142.898829970942</v>
      </c>
      <c r="C108" s="12">
        <f t="shared" si="24"/>
        <v>5023.9221346694649</v>
      </c>
      <c r="D108" s="12">
        <f>+'GunShop with Expansion Option'!$C$27/12*E107</f>
        <v>14118.976695301477</v>
      </c>
      <c r="E108" s="12">
        <f t="shared" si="25"/>
        <v>2818771.4169256259</v>
      </c>
      <c r="F108" s="12"/>
    </row>
    <row r="109" spans="1:6" x14ac:dyDescent="0.2">
      <c r="A109" s="13"/>
      <c r="B109" s="12">
        <f>PMT('GunShop with Expansion Option'!$C$27/12,'GunShop with Expansion Option'!$C$26*12,-'GunShop with Expansion Option'!$C$25,,)</f>
        <v>19142.898829970942</v>
      </c>
      <c r="C109" s="12">
        <f t="shared" si="24"/>
        <v>5049.0417453428126</v>
      </c>
      <c r="D109" s="12">
        <f>+'GunShop with Expansion Option'!$C$27/12*E108</f>
        <v>14093.857084628129</v>
      </c>
      <c r="E109" s="12">
        <f t="shared" si="25"/>
        <v>2813722.3751802831</v>
      </c>
      <c r="F109" s="12"/>
    </row>
    <row r="110" spans="1:6" x14ac:dyDescent="0.2">
      <c r="A110" s="13"/>
      <c r="B110" s="12">
        <f>PMT('GunShop with Expansion Option'!$C$27/12,'GunShop with Expansion Option'!$C$26*12,-'GunShop with Expansion Option'!$C$25,,)</f>
        <v>19142.898829970942</v>
      </c>
      <c r="C110" s="12">
        <f t="shared" si="24"/>
        <v>5074.2869540695265</v>
      </c>
      <c r="D110" s="12">
        <f>+'GunShop with Expansion Option'!$C$27/12*E109</f>
        <v>14068.611875901415</v>
      </c>
      <c r="E110" s="12">
        <f t="shared" si="25"/>
        <v>2808648.0882262136</v>
      </c>
      <c r="F110" s="12"/>
    </row>
    <row r="111" spans="1:6" x14ac:dyDescent="0.2">
      <c r="A111" s="13"/>
      <c r="B111" s="12">
        <f>PMT('GunShop with Expansion Option'!$C$27/12,'GunShop with Expansion Option'!$C$26*12,-'GunShop with Expansion Option'!$C$25,,)</f>
        <v>19142.898829970942</v>
      </c>
      <c r="C111" s="12">
        <f t="shared" si="24"/>
        <v>5099.6583888398727</v>
      </c>
      <c r="D111" s="12">
        <f>+'GunShop with Expansion Option'!$C$27/12*E110</f>
        <v>14043.240441131069</v>
      </c>
      <c r="E111" s="12">
        <f t="shared" si="25"/>
        <v>2803548.4298373736</v>
      </c>
      <c r="F111" s="16"/>
    </row>
    <row r="112" spans="1:6" x14ac:dyDescent="0.2">
      <c r="A112" s="17" t="s">
        <v>40</v>
      </c>
      <c r="B112" s="16">
        <f>SUM(B100:B111)</f>
        <v>229714.78595965132</v>
      </c>
      <c r="C112" s="16">
        <f t="shared" ref="C112:D112" si="26">SUM(C100:C111)</f>
        <v>59548.847305820411</v>
      </c>
      <c r="D112" s="16">
        <f t="shared" si="26"/>
        <v>170165.93865383085</v>
      </c>
      <c r="E112" s="16">
        <f>+E111</f>
        <v>2803548.4298373736</v>
      </c>
    </row>
    <row r="113" spans="1:6" x14ac:dyDescent="0.2">
      <c r="A113" s="13"/>
      <c r="B113" s="9" t="s">
        <v>46</v>
      </c>
      <c r="C113" s="9" t="s">
        <v>47</v>
      </c>
      <c r="D113" s="9" t="s">
        <v>48</v>
      </c>
      <c r="E113" s="9" t="s">
        <v>49</v>
      </c>
    </row>
    <row r="114" spans="1:6" x14ac:dyDescent="0.2">
      <c r="A114" s="11">
        <v>44562</v>
      </c>
      <c r="B114" s="12">
        <f>PMT('GunShop with Expansion Option'!$C$27/12,'GunShop with Expansion Option'!$C$26*12,-'GunShop with Expansion Option'!$C$25,,)</f>
        <v>19142.898829970942</v>
      </c>
      <c r="C114" s="12">
        <f>+B114-D114</f>
        <v>5125.1566807840736</v>
      </c>
      <c r="D114" s="12">
        <f>+'GunShop with Expansion Option'!$C$27/12*E112</f>
        <v>14017.742149186868</v>
      </c>
      <c r="E114" s="12">
        <f>+E112-C114</f>
        <v>2798423.2731565894</v>
      </c>
      <c r="F114" s="12"/>
    </row>
    <row r="115" spans="1:6" x14ac:dyDescent="0.2">
      <c r="A115" s="13"/>
      <c r="B115" s="12">
        <f>PMT('GunShop with Expansion Option'!$C$27/12,'GunShop with Expansion Option'!$C$26*12,-'GunShop with Expansion Option'!$C$25,,)</f>
        <v>19142.898829970942</v>
      </c>
      <c r="C115" s="12">
        <f t="shared" ref="C115:C125" si="27">+B115-D115</f>
        <v>5150.7824641879943</v>
      </c>
      <c r="D115" s="12">
        <f>+'GunShop with Expansion Option'!$C$27/12*E114</f>
        <v>13992.116365782947</v>
      </c>
      <c r="E115" s="12">
        <f>+E114-C115</f>
        <v>2793272.4906924013</v>
      </c>
      <c r="F115" s="12"/>
    </row>
    <row r="116" spans="1:6" x14ac:dyDescent="0.2">
      <c r="A116" s="13"/>
      <c r="B116" s="12">
        <f>PMT('GunShop with Expansion Option'!$C$27/12,'GunShop with Expansion Option'!$C$26*12,-'GunShop with Expansion Option'!$C$25,,)</f>
        <v>19142.898829970942</v>
      </c>
      <c r="C116" s="12">
        <f t="shared" si="27"/>
        <v>5176.5363765089351</v>
      </c>
      <c r="D116" s="12">
        <f>+'GunShop with Expansion Option'!$C$27/12*E115</f>
        <v>13966.362453462007</v>
      </c>
      <c r="E116" s="12">
        <f t="shared" ref="E116:E125" si="28">+E115-C116</f>
        <v>2788095.9543158924</v>
      </c>
      <c r="F116" s="12"/>
    </row>
    <row r="117" spans="1:6" x14ac:dyDescent="0.2">
      <c r="A117" s="13"/>
      <c r="B117" s="12">
        <f>PMT('GunShop with Expansion Option'!$C$27/12,'GunShop with Expansion Option'!$C$26*12,-'GunShop with Expansion Option'!$C$25,,)</f>
        <v>19142.898829970942</v>
      </c>
      <c r="C117" s="12">
        <f t="shared" si="27"/>
        <v>5202.4190583914788</v>
      </c>
      <c r="D117" s="12">
        <f>+'GunShop with Expansion Option'!$C$27/12*E116</f>
        <v>13940.479771579463</v>
      </c>
      <c r="E117" s="12">
        <f t="shared" si="28"/>
        <v>2782893.5352575011</v>
      </c>
      <c r="F117" s="12"/>
    </row>
    <row r="118" spans="1:6" x14ac:dyDescent="0.2">
      <c r="A118" s="13"/>
      <c r="B118" s="12">
        <f>PMT('GunShop with Expansion Option'!$C$27/12,'GunShop with Expansion Option'!$C$26*12,-'GunShop with Expansion Option'!$C$25,,)</f>
        <v>19142.898829970942</v>
      </c>
      <c r="C118" s="12">
        <f t="shared" si="27"/>
        <v>5228.4311536834357</v>
      </c>
      <c r="D118" s="12">
        <f>+'GunShop with Expansion Option'!$C$27/12*E117</f>
        <v>13914.467676287506</v>
      </c>
      <c r="E118" s="12">
        <f t="shared" si="28"/>
        <v>2777665.1041038176</v>
      </c>
      <c r="F118" s="12"/>
    </row>
    <row r="119" spans="1:6" x14ac:dyDescent="0.2">
      <c r="A119" s="13"/>
      <c r="B119" s="12">
        <f>PMT('GunShop with Expansion Option'!$C$27/12,'GunShop with Expansion Option'!$C$26*12,-'GunShop with Expansion Option'!$C$25,,)</f>
        <v>19142.898829970942</v>
      </c>
      <c r="C119" s="12">
        <f t="shared" si="27"/>
        <v>5254.5733094518528</v>
      </c>
      <c r="D119" s="12">
        <f>+'GunShop with Expansion Option'!$C$27/12*E118</f>
        <v>13888.325520519089</v>
      </c>
      <c r="E119" s="12">
        <f t="shared" si="28"/>
        <v>2772410.5307943658</v>
      </c>
      <c r="F119" s="12"/>
    </row>
    <row r="120" spans="1:6" x14ac:dyDescent="0.2">
      <c r="A120" s="13"/>
      <c r="B120" s="12">
        <f>PMT('GunShop with Expansion Option'!$C$27/12,'GunShop with Expansion Option'!$C$26*12,-'GunShop with Expansion Option'!$C$25,,)</f>
        <v>19142.898829970942</v>
      </c>
      <c r="C120" s="12">
        <f t="shared" si="27"/>
        <v>5280.8461759991133</v>
      </c>
      <c r="D120" s="12">
        <f>+'GunShop with Expansion Option'!$C$27/12*E119</f>
        <v>13862.052653971828</v>
      </c>
      <c r="E120" s="12">
        <f t="shared" si="28"/>
        <v>2767129.6846183669</v>
      </c>
      <c r="F120" s="12"/>
    </row>
    <row r="121" spans="1:6" x14ac:dyDescent="0.2">
      <c r="A121" s="13"/>
      <c r="B121" s="12">
        <f>PMT('GunShop with Expansion Option'!$C$27/12,'GunShop with Expansion Option'!$C$26*12,-'GunShop with Expansion Option'!$C$25,,)</f>
        <v>19142.898829970942</v>
      </c>
      <c r="C121" s="12">
        <f t="shared" si="27"/>
        <v>5307.2504068791077</v>
      </c>
      <c r="D121" s="12">
        <f>+'GunShop with Expansion Option'!$C$27/12*E120</f>
        <v>13835.648423091834</v>
      </c>
      <c r="E121" s="12">
        <f t="shared" si="28"/>
        <v>2761822.4342114879</v>
      </c>
      <c r="F121" s="12"/>
    </row>
    <row r="122" spans="1:6" x14ac:dyDescent="0.2">
      <c r="A122" s="13"/>
      <c r="B122" s="12">
        <f>PMT('GunShop with Expansion Option'!$C$27/12,'GunShop with Expansion Option'!$C$26*12,-'GunShop with Expansion Option'!$C$25,,)</f>
        <v>19142.898829970942</v>
      </c>
      <c r="C122" s="12">
        <f t="shared" si="27"/>
        <v>5333.7866589135028</v>
      </c>
      <c r="D122" s="12">
        <f>+'GunShop with Expansion Option'!$C$27/12*E121</f>
        <v>13809.112171057439</v>
      </c>
      <c r="E122" s="12">
        <f t="shared" si="28"/>
        <v>2756488.6475525745</v>
      </c>
      <c r="F122" s="12"/>
    </row>
    <row r="123" spans="1:6" x14ac:dyDescent="0.2">
      <c r="A123" s="13"/>
      <c r="B123" s="12">
        <f>PMT('GunShop with Expansion Option'!$C$27/12,'GunShop with Expansion Option'!$C$26*12,-'GunShop with Expansion Option'!$C$25,,)</f>
        <v>19142.898829970942</v>
      </c>
      <c r="C123" s="12">
        <f t="shared" si="27"/>
        <v>5360.455592208069</v>
      </c>
      <c r="D123" s="12">
        <f>+'GunShop with Expansion Option'!$C$27/12*E122</f>
        <v>13782.443237762873</v>
      </c>
      <c r="E123" s="12">
        <f t="shared" si="28"/>
        <v>2751128.1919603664</v>
      </c>
      <c r="F123" s="12"/>
    </row>
    <row r="124" spans="1:6" x14ac:dyDescent="0.2">
      <c r="A124" s="13"/>
      <c r="B124" s="12">
        <f>PMT('GunShop with Expansion Option'!$C$27/12,'GunShop with Expansion Option'!$C$26*12,-'GunShop with Expansion Option'!$C$25,,)</f>
        <v>19142.898829970942</v>
      </c>
      <c r="C124" s="12">
        <f t="shared" si="27"/>
        <v>5387.2578701691091</v>
      </c>
      <c r="D124" s="12">
        <f>+'GunShop with Expansion Option'!$C$27/12*E123</f>
        <v>13755.640959801833</v>
      </c>
      <c r="E124" s="12">
        <f t="shared" si="28"/>
        <v>2745740.9340901976</v>
      </c>
      <c r="F124" s="12"/>
    </row>
    <row r="125" spans="1:6" x14ac:dyDescent="0.2">
      <c r="A125" s="13"/>
      <c r="B125" s="12">
        <f>PMT('GunShop with Expansion Option'!$C$27/12,'GunShop with Expansion Option'!$C$26*12,-'GunShop with Expansion Option'!$C$25,,)</f>
        <v>19142.898829970942</v>
      </c>
      <c r="C125" s="12">
        <f t="shared" si="27"/>
        <v>5414.1941595199532</v>
      </c>
      <c r="D125" s="12">
        <f>+'GunShop with Expansion Option'!$C$27/12*E124</f>
        <v>13728.704670450988</v>
      </c>
      <c r="E125" s="12">
        <f t="shared" si="28"/>
        <v>2740326.7399306777</v>
      </c>
      <c r="F125" s="16"/>
    </row>
    <row r="126" spans="1:6" x14ac:dyDescent="0.2">
      <c r="A126" s="17" t="s">
        <v>40</v>
      </c>
      <c r="B126" s="16">
        <f>SUM(B114:B125)</f>
        <v>229714.78595965132</v>
      </c>
      <c r="C126" s="16">
        <f t="shared" ref="C126:D126" si="29">SUM(C114:C125)</f>
        <v>63221.689906696622</v>
      </c>
      <c r="D126" s="16">
        <f t="shared" si="29"/>
        <v>166493.09605295467</v>
      </c>
      <c r="E126" s="16">
        <f>+E125</f>
        <v>2740326.7399306777</v>
      </c>
    </row>
    <row r="127" spans="1:6" x14ac:dyDescent="0.2">
      <c r="A127" s="13"/>
      <c r="B127" s="9" t="s">
        <v>46</v>
      </c>
      <c r="C127" s="9" t="s">
        <v>47</v>
      </c>
      <c r="D127" s="9" t="s">
        <v>48</v>
      </c>
      <c r="E127" s="9" t="s">
        <v>49</v>
      </c>
    </row>
    <row r="128" spans="1:6" x14ac:dyDescent="0.2">
      <c r="A128" s="11">
        <v>44927</v>
      </c>
      <c r="B128" s="12">
        <f>PMT('GunShop with Expansion Option'!$C$27/12,'GunShop with Expansion Option'!$C$26*12,-'GunShop with Expansion Option'!$C$25,,)</f>
        <v>19142.898829970942</v>
      </c>
      <c r="C128" s="12">
        <f>+B128-D128</f>
        <v>5441.2651303175535</v>
      </c>
      <c r="D128" s="12">
        <f>+'GunShop with Expansion Option'!$C$27/12*E126</f>
        <v>13701.633699653388</v>
      </c>
      <c r="E128" s="12">
        <f>+E126-C128</f>
        <v>2734885.4748003599</v>
      </c>
      <c r="F128" s="12"/>
    </row>
    <row r="129" spans="1:6" x14ac:dyDescent="0.2">
      <c r="A129" s="13"/>
      <c r="B129" s="12">
        <f>PMT('GunShop with Expansion Option'!$C$27/12,'GunShop with Expansion Option'!$C$26*12,-'GunShop with Expansion Option'!$C$25,,)</f>
        <v>19142.898829970942</v>
      </c>
      <c r="C129" s="12">
        <f t="shared" ref="C129:C139" si="30">+B129-D129</f>
        <v>5468.471455969142</v>
      </c>
      <c r="D129" s="12">
        <f>+'GunShop with Expansion Option'!$C$27/12*E128</f>
        <v>13674.4273740018</v>
      </c>
      <c r="E129" s="12">
        <f>+E128-C129</f>
        <v>2729417.003344391</v>
      </c>
      <c r="F129" s="12"/>
    </row>
    <row r="130" spans="1:6" x14ac:dyDescent="0.2">
      <c r="A130" s="13"/>
      <c r="B130" s="12">
        <f>PMT('GunShop with Expansion Option'!$C$27/12,'GunShop with Expansion Option'!$C$26*12,-'GunShop with Expansion Option'!$C$25,,)</f>
        <v>19142.898829970942</v>
      </c>
      <c r="C130" s="12">
        <f t="shared" si="30"/>
        <v>5495.8138132489858</v>
      </c>
      <c r="D130" s="12">
        <f>+'GunShop with Expansion Option'!$C$27/12*E129</f>
        <v>13647.085016721956</v>
      </c>
      <c r="E130" s="12">
        <f t="shared" ref="E130:E139" si="31">+E129-C130</f>
        <v>2723921.1895311419</v>
      </c>
      <c r="F130" s="12"/>
    </row>
    <row r="131" spans="1:6" x14ac:dyDescent="0.2">
      <c r="A131" s="13"/>
      <c r="B131" s="12">
        <f>PMT('GunShop with Expansion Option'!$C$27/12,'GunShop with Expansion Option'!$C$26*12,-'GunShop with Expansion Option'!$C$25,,)</f>
        <v>19142.898829970942</v>
      </c>
      <c r="C131" s="12">
        <f t="shared" si="30"/>
        <v>5523.2928823152324</v>
      </c>
      <c r="D131" s="12">
        <f>+'GunShop with Expansion Option'!$C$27/12*E130</f>
        <v>13619.605947655709</v>
      </c>
      <c r="E131" s="12">
        <f t="shared" si="31"/>
        <v>2718397.8966488265</v>
      </c>
      <c r="F131" s="12"/>
    </row>
    <row r="132" spans="1:6" x14ac:dyDescent="0.2">
      <c r="A132" s="13"/>
      <c r="B132" s="12">
        <f>PMT('GunShop with Expansion Option'!$C$27/12,'GunShop with Expansion Option'!$C$26*12,-'GunShop with Expansion Option'!$C$25,,)</f>
        <v>19142.898829970942</v>
      </c>
      <c r="C132" s="12">
        <f t="shared" si="30"/>
        <v>5550.9093467268085</v>
      </c>
      <c r="D132" s="12">
        <f>+'GunShop with Expansion Option'!$C$27/12*E131</f>
        <v>13591.989483244133</v>
      </c>
      <c r="E132" s="12">
        <f t="shared" si="31"/>
        <v>2712846.9873020998</v>
      </c>
      <c r="F132" s="12"/>
    </row>
    <row r="133" spans="1:6" x14ac:dyDescent="0.2">
      <c r="A133" s="13"/>
      <c r="B133" s="12">
        <f>PMT('GunShop with Expansion Option'!$C$27/12,'GunShop with Expansion Option'!$C$26*12,-'GunShop with Expansion Option'!$C$25,,)</f>
        <v>19142.898829970942</v>
      </c>
      <c r="C133" s="12">
        <f t="shared" si="30"/>
        <v>5578.6638934604416</v>
      </c>
      <c r="D133" s="12">
        <f>+'GunShop with Expansion Option'!$C$27/12*E132</f>
        <v>13564.2349365105</v>
      </c>
      <c r="E133" s="12">
        <f t="shared" si="31"/>
        <v>2707268.3234086395</v>
      </c>
      <c r="F133" s="12"/>
    </row>
    <row r="134" spans="1:6" x14ac:dyDescent="0.2">
      <c r="A134" s="13"/>
      <c r="B134" s="12">
        <f>PMT('GunShop with Expansion Option'!$C$27/12,'GunShop with Expansion Option'!$C$26*12,-'GunShop with Expansion Option'!$C$25,,)</f>
        <v>19142.898829970942</v>
      </c>
      <c r="C134" s="12">
        <f t="shared" si="30"/>
        <v>5606.5572129277443</v>
      </c>
      <c r="D134" s="12">
        <f>+'GunShop with Expansion Option'!$C$27/12*E133</f>
        <v>13536.341617043197</v>
      </c>
      <c r="E134" s="12">
        <f t="shared" si="31"/>
        <v>2701661.7661957117</v>
      </c>
      <c r="F134" s="12"/>
    </row>
    <row r="135" spans="1:6" x14ac:dyDescent="0.2">
      <c r="A135" s="13"/>
      <c r="B135" s="12">
        <f>PMT('GunShop with Expansion Option'!$C$27/12,'GunShop with Expansion Option'!$C$26*12,-'GunShop with Expansion Option'!$C$25,,)</f>
        <v>19142.898829970942</v>
      </c>
      <c r="C135" s="12">
        <f t="shared" si="30"/>
        <v>5634.5899989923837</v>
      </c>
      <c r="D135" s="12">
        <f>+'GunShop with Expansion Option'!$C$27/12*E134</f>
        <v>13508.308830978558</v>
      </c>
      <c r="E135" s="12">
        <f t="shared" si="31"/>
        <v>2696027.1761967195</v>
      </c>
      <c r="F135" s="12"/>
    </row>
    <row r="136" spans="1:6" x14ac:dyDescent="0.2">
      <c r="A136" s="13"/>
      <c r="B136" s="12">
        <f>PMT('GunShop with Expansion Option'!$C$27/12,'GunShop with Expansion Option'!$C$26*12,-'GunShop with Expansion Option'!$C$25,,)</f>
        <v>19142.898829970942</v>
      </c>
      <c r="C136" s="12">
        <f t="shared" si="30"/>
        <v>5662.7629489873434</v>
      </c>
      <c r="D136" s="12">
        <f>+'GunShop with Expansion Option'!$C$27/12*E135</f>
        <v>13480.135880983598</v>
      </c>
      <c r="E136" s="12">
        <f t="shared" si="31"/>
        <v>2690364.413247732</v>
      </c>
      <c r="F136" s="12"/>
    </row>
    <row r="137" spans="1:6" x14ac:dyDescent="0.2">
      <c r="A137" s="13"/>
      <c r="B137" s="12">
        <f>PMT('GunShop with Expansion Option'!$C$27/12,'GunShop with Expansion Option'!$C$26*12,-'GunShop with Expansion Option'!$C$25,,)</f>
        <v>19142.898829970942</v>
      </c>
      <c r="C137" s="12">
        <f t="shared" si="30"/>
        <v>5691.0767637322824</v>
      </c>
      <c r="D137" s="12">
        <f>+'GunShop with Expansion Option'!$C$27/12*E136</f>
        <v>13451.822066238659</v>
      </c>
      <c r="E137" s="12">
        <f t="shared" si="31"/>
        <v>2684673.3364839996</v>
      </c>
      <c r="F137" s="12"/>
    </row>
    <row r="138" spans="1:6" x14ac:dyDescent="0.2">
      <c r="A138" s="13"/>
      <c r="B138" s="12">
        <f>PMT('GunShop with Expansion Option'!$C$27/12,'GunShop with Expansion Option'!$C$26*12,-'GunShop with Expansion Option'!$C$25,,)</f>
        <v>19142.898829970942</v>
      </c>
      <c r="C138" s="12">
        <f t="shared" si="30"/>
        <v>5719.5321475509427</v>
      </c>
      <c r="D138" s="12">
        <f>+'GunShop with Expansion Option'!$C$27/12*E137</f>
        <v>13423.366682419999</v>
      </c>
      <c r="E138" s="12">
        <f t="shared" si="31"/>
        <v>2678953.8043364487</v>
      </c>
      <c r="F138" s="12"/>
    </row>
    <row r="139" spans="1:6" x14ac:dyDescent="0.2">
      <c r="A139" s="13"/>
      <c r="B139" s="12">
        <f>PMT('GunShop with Expansion Option'!$C$27/12,'GunShop with Expansion Option'!$C$26*12,-'GunShop with Expansion Option'!$C$25,,)</f>
        <v>19142.898829970942</v>
      </c>
      <c r="C139" s="12">
        <f t="shared" si="30"/>
        <v>5748.1298082886988</v>
      </c>
      <c r="D139" s="12">
        <f>+'GunShop with Expansion Option'!$C$27/12*E138</f>
        <v>13394.769021682243</v>
      </c>
      <c r="E139" s="12">
        <f t="shared" si="31"/>
        <v>2673205.6745281601</v>
      </c>
      <c r="F139" s="16"/>
    </row>
    <row r="140" spans="1:6" x14ac:dyDescent="0.2">
      <c r="A140" s="17" t="s">
        <v>40</v>
      </c>
      <c r="B140" s="16">
        <f>SUM(B128:B139)</f>
        <v>229714.78595965132</v>
      </c>
      <c r="C140" s="16">
        <f t="shared" ref="C140:D140" si="32">SUM(C128:C139)</f>
        <v>67121.065402517546</v>
      </c>
      <c r="D140" s="16">
        <f t="shared" si="32"/>
        <v>162593.72055713373</v>
      </c>
      <c r="E140" s="16">
        <f>+E139</f>
        <v>2673205.6745281601</v>
      </c>
      <c r="F140" s="12"/>
    </row>
    <row r="141" spans="1:6" x14ac:dyDescent="0.2">
      <c r="B141" s="13"/>
      <c r="C141" s="12"/>
      <c r="D141" s="12"/>
      <c r="E141" s="12"/>
      <c r="F141" s="12"/>
    </row>
    <row r="142" spans="1:6" x14ac:dyDescent="0.2">
      <c r="B142" s="12"/>
      <c r="C142" s="12"/>
      <c r="D142" s="12"/>
      <c r="E142" s="12"/>
      <c r="F142" s="12"/>
    </row>
    <row r="143" spans="1:6" x14ac:dyDescent="0.2">
      <c r="B143" s="12"/>
      <c r="C143" s="12"/>
      <c r="D143" s="12"/>
      <c r="E143" s="12"/>
      <c r="F143" s="12"/>
    </row>
    <row r="144" spans="1:6" x14ac:dyDescent="0.2">
      <c r="B144" s="12"/>
      <c r="C144" s="12"/>
      <c r="D144" s="12"/>
      <c r="E144" s="12"/>
      <c r="F144" s="12"/>
    </row>
    <row r="145" spans="2:6" x14ac:dyDescent="0.2">
      <c r="B145" s="12"/>
      <c r="C145" s="12"/>
      <c r="D145" s="12"/>
      <c r="E145" s="12"/>
      <c r="F145" s="12"/>
    </row>
    <row r="146" spans="2:6" x14ac:dyDescent="0.2">
      <c r="B146" s="12"/>
      <c r="C146" s="12"/>
      <c r="D146" s="12"/>
      <c r="E146" s="12"/>
      <c r="F146" s="12"/>
    </row>
    <row r="147" spans="2:6" x14ac:dyDescent="0.2">
      <c r="B147" s="12"/>
      <c r="C147" s="12"/>
      <c r="D147" s="12"/>
      <c r="E147" s="12"/>
      <c r="F147" s="12"/>
    </row>
    <row r="148" spans="2:6" x14ac:dyDescent="0.2">
      <c r="B148" s="12"/>
      <c r="C148" s="12"/>
      <c r="D148" s="12"/>
      <c r="E148" s="12"/>
      <c r="F148" s="12"/>
    </row>
    <row r="149" spans="2:6" x14ac:dyDescent="0.2">
      <c r="B149" s="12"/>
      <c r="C149" s="12"/>
      <c r="D149" s="12"/>
      <c r="E149" s="12"/>
      <c r="F149" s="12"/>
    </row>
    <row r="150" spans="2:6" x14ac:dyDescent="0.2">
      <c r="B150" s="12"/>
      <c r="C150" s="12"/>
      <c r="D150" s="12"/>
      <c r="E150" s="12"/>
      <c r="F150" s="12"/>
    </row>
    <row r="151" spans="2:6" x14ac:dyDescent="0.2">
      <c r="B151" s="12"/>
      <c r="C151" s="12"/>
      <c r="D151" s="12"/>
      <c r="E151" s="12"/>
      <c r="F151" s="12"/>
    </row>
    <row r="152" spans="2:6" x14ac:dyDescent="0.2">
      <c r="B152" s="12"/>
      <c r="C152" s="12"/>
      <c r="D152" s="12"/>
      <c r="E152" s="12"/>
      <c r="F152" s="12"/>
    </row>
    <row r="153" spans="2:6" x14ac:dyDescent="0.2">
      <c r="B153" s="12"/>
      <c r="C153" s="12"/>
      <c r="D153" s="12"/>
      <c r="E153" s="12"/>
      <c r="F153" s="16"/>
    </row>
    <row r="154" spans="2:6" x14ac:dyDescent="0.2">
      <c r="B154" s="17"/>
      <c r="C154" s="16"/>
      <c r="D154" s="16"/>
      <c r="E154" s="12"/>
      <c r="F154" s="12"/>
    </row>
    <row r="155" spans="2:6" x14ac:dyDescent="0.2">
      <c r="B155" s="13"/>
      <c r="C155" s="12"/>
      <c r="D155" s="12"/>
      <c r="E155" s="12"/>
      <c r="F155" s="12"/>
    </row>
    <row r="156" spans="2:6" x14ac:dyDescent="0.2">
      <c r="B156" s="12"/>
      <c r="C156" s="12"/>
      <c r="D156" s="12"/>
      <c r="E156" s="12"/>
      <c r="F156" s="12"/>
    </row>
    <row r="157" spans="2:6" x14ac:dyDescent="0.2">
      <c r="B157" s="12"/>
      <c r="C157" s="12"/>
      <c r="D157" s="12"/>
      <c r="E157" s="12"/>
      <c r="F157" s="12"/>
    </row>
    <row r="158" spans="2:6" x14ac:dyDescent="0.2">
      <c r="B158" s="12"/>
      <c r="C158" s="12"/>
      <c r="D158" s="12"/>
      <c r="E158" s="12"/>
      <c r="F158" s="12"/>
    </row>
    <row r="159" spans="2:6" x14ac:dyDescent="0.2">
      <c r="B159" s="12"/>
      <c r="C159" s="12"/>
      <c r="D159" s="12"/>
      <c r="E159" s="12"/>
      <c r="F159" s="12"/>
    </row>
    <row r="160" spans="2:6" x14ac:dyDescent="0.2">
      <c r="B160" s="12"/>
      <c r="C160" s="12"/>
      <c r="D160" s="12"/>
      <c r="E160" s="12"/>
      <c r="F160" s="12"/>
    </row>
    <row r="161" spans="2:6" x14ac:dyDescent="0.2">
      <c r="B161" s="12"/>
      <c r="C161" s="12"/>
      <c r="D161" s="12"/>
      <c r="E161" s="12"/>
      <c r="F161" s="12"/>
    </row>
    <row r="162" spans="2:6" x14ac:dyDescent="0.2">
      <c r="B162" s="12"/>
      <c r="C162" s="12"/>
      <c r="D162" s="12"/>
      <c r="E162" s="12"/>
      <c r="F162" s="12"/>
    </row>
    <row r="163" spans="2:6" x14ac:dyDescent="0.2">
      <c r="B163" s="12"/>
      <c r="C163" s="12"/>
      <c r="D163" s="12"/>
      <c r="E163" s="12"/>
      <c r="F163" s="12"/>
    </row>
    <row r="164" spans="2:6" x14ac:dyDescent="0.2">
      <c r="B164" s="12"/>
      <c r="C164" s="12"/>
      <c r="D164" s="12"/>
      <c r="E164" s="12"/>
      <c r="F164" s="12"/>
    </row>
    <row r="165" spans="2:6" x14ac:dyDescent="0.2">
      <c r="B165" s="12"/>
      <c r="C165" s="12"/>
      <c r="D165" s="12"/>
      <c r="E165" s="12"/>
      <c r="F165" s="12"/>
    </row>
    <row r="166" spans="2:6" x14ac:dyDescent="0.2">
      <c r="B166" s="12"/>
      <c r="C166" s="12"/>
      <c r="D166" s="12"/>
      <c r="E166" s="12"/>
      <c r="F166" s="12"/>
    </row>
    <row r="167" spans="2:6" x14ac:dyDescent="0.2">
      <c r="B167" s="12"/>
      <c r="C167" s="12"/>
      <c r="D167" s="12"/>
      <c r="E167" s="12"/>
      <c r="F167" s="16"/>
    </row>
    <row r="168" spans="2:6" x14ac:dyDescent="0.2">
      <c r="B168" s="18"/>
      <c r="C168" s="16"/>
      <c r="D168" s="16"/>
    </row>
    <row r="170" spans="2:6" x14ac:dyDescent="0.2">
      <c r="B170" s="12"/>
      <c r="C170" s="12"/>
      <c r="D170" s="12"/>
      <c r="E170" s="12"/>
      <c r="F170" s="12"/>
    </row>
    <row r="171" spans="2:6" x14ac:dyDescent="0.2">
      <c r="B171" s="12"/>
      <c r="C171" s="12"/>
      <c r="D171" s="12"/>
      <c r="E171" s="12"/>
      <c r="F171" s="12"/>
    </row>
    <row r="172" spans="2:6" x14ac:dyDescent="0.2">
      <c r="B172" s="12"/>
      <c r="C172" s="12"/>
      <c r="D172" s="12"/>
      <c r="E172" s="12"/>
      <c r="F172" s="12"/>
    </row>
    <row r="173" spans="2:6" x14ac:dyDescent="0.2">
      <c r="B173" s="12"/>
      <c r="C173" s="12"/>
      <c r="D173" s="12"/>
      <c r="E173" s="12"/>
      <c r="F173" s="12"/>
    </row>
    <row r="174" spans="2:6" x14ac:dyDescent="0.2">
      <c r="B174" s="12"/>
      <c r="C174" s="12"/>
      <c r="D174" s="12"/>
      <c r="E174" s="12"/>
      <c r="F174" s="12"/>
    </row>
    <row r="175" spans="2:6" x14ac:dyDescent="0.2">
      <c r="B175" s="12"/>
      <c r="C175" s="12"/>
      <c r="D175" s="12"/>
      <c r="E175" s="12"/>
      <c r="F175" s="12"/>
    </row>
    <row r="176" spans="2:6" x14ac:dyDescent="0.2">
      <c r="B176" s="12"/>
      <c r="C176" s="12"/>
      <c r="D176" s="12"/>
      <c r="E176" s="12"/>
      <c r="F176" s="12"/>
    </row>
    <row r="177" spans="2:6" x14ac:dyDescent="0.2">
      <c r="B177" s="12"/>
      <c r="C177" s="12"/>
      <c r="D177" s="12"/>
      <c r="E177" s="12"/>
      <c r="F177" s="12"/>
    </row>
    <row r="178" spans="2:6" x14ac:dyDescent="0.2">
      <c r="B178" s="12"/>
      <c r="C178" s="12"/>
      <c r="D178" s="12"/>
      <c r="E178" s="12"/>
      <c r="F178" s="12"/>
    </row>
    <row r="179" spans="2:6" x14ac:dyDescent="0.2">
      <c r="B179" s="12"/>
      <c r="C179" s="12"/>
      <c r="D179" s="12"/>
      <c r="E179" s="12"/>
      <c r="F179" s="12"/>
    </row>
    <row r="180" spans="2:6" x14ac:dyDescent="0.2">
      <c r="B180" s="12"/>
      <c r="C180" s="12"/>
      <c r="D180" s="12"/>
      <c r="E180" s="12"/>
      <c r="F180" s="12"/>
    </row>
    <row r="181" spans="2:6" x14ac:dyDescent="0.2">
      <c r="B181" s="12"/>
      <c r="C181" s="12"/>
      <c r="D181" s="12"/>
      <c r="E181" s="12"/>
      <c r="F181" s="16"/>
    </row>
    <row r="182" spans="2:6" x14ac:dyDescent="0.2">
      <c r="B182" s="18"/>
      <c r="C182" s="16"/>
      <c r="D182" s="16"/>
    </row>
    <row r="184" spans="2:6" x14ac:dyDescent="0.2">
      <c r="B184" s="12"/>
      <c r="C184" s="12"/>
      <c r="D184" s="12"/>
      <c r="E184" s="12"/>
      <c r="F184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41"/>
  <sheetViews>
    <sheetView zoomScale="60" zoomScaleNormal="60" workbookViewId="0">
      <selection activeCell="F1" sqref="F1"/>
    </sheetView>
  </sheetViews>
  <sheetFormatPr defaultColWidth="9.42578125" defaultRowHeight="15" x14ac:dyDescent="0.25"/>
  <cols>
    <col min="1" max="1" width="5.5703125" style="1" customWidth="1"/>
    <col min="2" max="2" width="35.7109375" style="1" customWidth="1"/>
    <col min="3" max="3" width="16.42578125" style="1" bestFit="1" customWidth="1"/>
    <col min="4" max="9" width="16.7109375" style="1" customWidth="1"/>
    <col min="10" max="10" width="13.42578125" style="1" bestFit="1" customWidth="1"/>
    <col min="11" max="11" width="13" style="1" customWidth="1"/>
    <col min="12" max="13" width="18.5703125" style="1" customWidth="1"/>
    <col min="14" max="14" width="9.42578125" style="1"/>
    <col min="15" max="15" width="13.5703125" style="1" bestFit="1" customWidth="1"/>
    <col min="16" max="16" width="15.42578125" style="1" customWidth="1"/>
    <col min="17" max="19" width="9.42578125" style="1"/>
    <col min="20" max="20" width="20" style="1" customWidth="1"/>
    <col min="21" max="16384" width="9.42578125" style="1"/>
  </cols>
  <sheetData>
    <row r="1" spans="1:9" x14ac:dyDescent="0.25">
      <c r="A1"/>
      <c r="B1"/>
      <c r="C1"/>
      <c r="D1">
        <v>2014</v>
      </c>
      <c r="E1">
        <v>2015</v>
      </c>
      <c r="F1">
        <v>2016</v>
      </c>
      <c r="G1">
        <v>2017</v>
      </c>
      <c r="H1">
        <v>2018</v>
      </c>
      <c r="I1">
        <v>2019</v>
      </c>
    </row>
    <row r="2" spans="1:9" x14ac:dyDescent="0.25">
      <c r="A2" s="19" t="s">
        <v>44</v>
      </c>
      <c r="B2"/>
      <c r="C2"/>
      <c r="D2"/>
      <c r="E2"/>
      <c r="F2"/>
      <c r="G2"/>
      <c r="H2"/>
      <c r="I2"/>
    </row>
    <row r="3" spans="1:9" x14ac:dyDescent="0.25">
      <c r="A3"/>
      <c r="B3" t="s">
        <v>66</v>
      </c>
      <c r="C3" s="37">
        <v>2.5000000000000001E-2</v>
      </c>
      <c r="D3" s="28">
        <v>4400</v>
      </c>
      <c r="E3" s="20">
        <f>+D3*$C$3+D3</f>
        <v>4510</v>
      </c>
      <c r="F3" s="20">
        <f>+E3*$C$3+E3</f>
        <v>4622.75</v>
      </c>
      <c r="G3" s="20">
        <f t="shared" ref="G3:I3" si="0">+F3*$C$3+F3</f>
        <v>4738.3187500000004</v>
      </c>
      <c r="H3" s="20">
        <f t="shared" si="0"/>
        <v>4856.7767187500003</v>
      </c>
      <c r="I3" s="20">
        <f t="shared" si="0"/>
        <v>4978.1961367187505</v>
      </c>
    </row>
    <row r="4" spans="1:9" x14ac:dyDescent="0.25">
      <c r="A4"/>
      <c r="B4" t="s">
        <v>67</v>
      </c>
      <c r="C4" s="37">
        <v>1.4999999999999999E-2</v>
      </c>
      <c r="D4" s="28">
        <v>600</v>
      </c>
      <c r="E4" s="20">
        <f>+D4*$C$4+D4</f>
        <v>609</v>
      </c>
      <c r="F4" s="20">
        <f t="shared" ref="F4:I4" si="1">+E4*$C$4+E4</f>
        <v>618.13499999999999</v>
      </c>
      <c r="G4" s="20">
        <f t="shared" si="1"/>
        <v>627.40702499999998</v>
      </c>
      <c r="H4" s="20">
        <f t="shared" si="1"/>
        <v>636.81813037500001</v>
      </c>
      <c r="I4" s="20">
        <f t="shared" si="1"/>
        <v>646.37040233062498</v>
      </c>
    </row>
    <row r="5" spans="1:9" x14ac:dyDescent="0.25">
      <c r="A5"/>
      <c r="B5" t="s">
        <v>68</v>
      </c>
      <c r="C5" s="37">
        <v>0.02</v>
      </c>
      <c r="D5" s="28">
        <v>400</v>
      </c>
      <c r="E5" s="20">
        <f>+D5+(D5*$C$5)</f>
        <v>408</v>
      </c>
      <c r="F5" s="20">
        <f t="shared" ref="F5:I5" si="2">+E5+(E5*$C$5)</f>
        <v>416.16</v>
      </c>
      <c r="G5" s="20">
        <f t="shared" si="2"/>
        <v>424.48320000000001</v>
      </c>
      <c r="H5" s="20">
        <f t="shared" si="2"/>
        <v>432.97286400000002</v>
      </c>
      <c r="I5" s="20">
        <f t="shared" si="2"/>
        <v>441.63232128000004</v>
      </c>
    </row>
    <row r="6" spans="1:9" x14ac:dyDescent="0.25">
      <c r="A6"/>
      <c r="B6" t="s">
        <v>71</v>
      </c>
      <c r="C6" s="37">
        <v>0</v>
      </c>
      <c r="D6" s="28">
        <v>100</v>
      </c>
      <c r="E6" s="20">
        <f>+D6*$C$6+D6</f>
        <v>100</v>
      </c>
      <c r="F6" s="20">
        <f t="shared" ref="F6:I6" si="3">+E6*$C$6+E6</f>
        <v>100</v>
      </c>
      <c r="G6" s="20">
        <f t="shared" si="3"/>
        <v>100</v>
      </c>
      <c r="H6" s="20">
        <f t="shared" si="3"/>
        <v>100</v>
      </c>
      <c r="I6" s="20">
        <f t="shared" si="3"/>
        <v>100</v>
      </c>
    </row>
    <row r="7" spans="1:9" x14ac:dyDescent="0.25">
      <c r="A7"/>
      <c r="B7" t="s">
        <v>72</v>
      </c>
      <c r="C7" s="37">
        <v>-0.01</v>
      </c>
      <c r="D7" s="28">
        <v>2000</v>
      </c>
      <c r="E7" s="20">
        <f>+D7*$C$7+D7</f>
        <v>1980</v>
      </c>
      <c r="F7" s="20">
        <f t="shared" ref="F7:I7" si="4">+E7*$C$7+E7</f>
        <v>1960.2</v>
      </c>
      <c r="G7" s="20">
        <f t="shared" si="4"/>
        <v>1940.598</v>
      </c>
      <c r="H7" s="20">
        <f t="shared" si="4"/>
        <v>1921.19202</v>
      </c>
      <c r="I7" s="20">
        <f t="shared" si="4"/>
        <v>1901.9800998000001</v>
      </c>
    </row>
    <row r="8" spans="1:9" x14ac:dyDescent="0.25">
      <c r="A8"/>
      <c r="B8" t="s">
        <v>73</v>
      </c>
      <c r="C8" s="37">
        <v>0.03</v>
      </c>
      <c r="D8" s="28">
        <v>200000</v>
      </c>
      <c r="E8" s="20">
        <f>+D8*$C$8+D8</f>
        <v>206000</v>
      </c>
      <c r="F8" s="20">
        <f t="shared" ref="F8:I8" si="5">+E8*$C$8+E8</f>
        <v>212180</v>
      </c>
      <c r="G8" s="20">
        <f t="shared" si="5"/>
        <v>218545.4</v>
      </c>
      <c r="H8" s="20">
        <f t="shared" si="5"/>
        <v>225101.76199999999</v>
      </c>
      <c r="I8" s="20">
        <f t="shared" si="5"/>
        <v>231854.81485999998</v>
      </c>
    </row>
    <row r="9" spans="1:9" x14ac:dyDescent="0.25">
      <c r="A9"/>
      <c r="B9" s="1" t="s">
        <v>88</v>
      </c>
      <c r="C9" s="37">
        <v>0.3</v>
      </c>
      <c r="D9" s="21">
        <f>+D8*$C$9</f>
        <v>60000</v>
      </c>
      <c r="E9" s="21">
        <f t="shared" ref="E9:F9" si="6">+E8*$C$9</f>
        <v>61800</v>
      </c>
      <c r="F9" s="21">
        <f t="shared" si="6"/>
        <v>63654</v>
      </c>
      <c r="G9" s="21">
        <f>+G8*$C$9</f>
        <v>65563.62</v>
      </c>
      <c r="H9" s="21">
        <f t="shared" ref="H9:I9" si="7">+H8*$C$9</f>
        <v>67530.528599999991</v>
      </c>
      <c r="I9" s="21">
        <f t="shared" si="7"/>
        <v>69556.444457999998</v>
      </c>
    </row>
    <row r="10" spans="1:9" x14ac:dyDescent="0.25">
      <c r="A10" s="3"/>
      <c r="B10" s="3" t="s">
        <v>69</v>
      </c>
      <c r="C10" s="31">
        <f>5*40*50*15</f>
        <v>150000</v>
      </c>
      <c r="D10" s="3"/>
      <c r="I10" s="3"/>
    </row>
    <row r="11" spans="1:9" x14ac:dyDescent="0.25">
      <c r="A11" s="3"/>
      <c r="B11" s="3" t="s">
        <v>61</v>
      </c>
      <c r="C11" s="31">
        <v>500000</v>
      </c>
    </row>
    <row r="12" spans="1:9" x14ac:dyDescent="0.25">
      <c r="A12" s="5"/>
      <c r="B12" s="3" t="s">
        <v>70</v>
      </c>
      <c r="C12" s="28">
        <f>37000*100</f>
        <v>3700000</v>
      </c>
      <c r="D12" s="1" t="s">
        <v>57</v>
      </c>
      <c r="E12" s="41">
        <f>+J92-C12</f>
        <v>-3700000</v>
      </c>
    </row>
    <row r="13" spans="1:9" x14ac:dyDescent="0.25">
      <c r="A13" s="5"/>
      <c r="B13" s="3" t="s">
        <v>60</v>
      </c>
      <c r="C13" s="28">
        <v>750000</v>
      </c>
      <c r="D13" s="1" t="s">
        <v>57</v>
      </c>
      <c r="E13" s="27">
        <f>D14-C16</f>
        <v>25000</v>
      </c>
    </row>
    <row r="14" spans="1:9" x14ac:dyDescent="0.25">
      <c r="A14" s="5"/>
      <c r="B14" s="1" t="s">
        <v>62</v>
      </c>
      <c r="C14" s="30">
        <v>30</v>
      </c>
      <c r="D14" s="1">
        <v>625000</v>
      </c>
    </row>
    <row r="15" spans="1:9" x14ac:dyDescent="0.25">
      <c r="A15" s="3"/>
      <c r="B15" s="1" t="s">
        <v>79</v>
      </c>
      <c r="C15" s="36">
        <v>1.25</v>
      </c>
      <c r="D15" s="3"/>
      <c r="E15" s="1">
        <v>7</v>
      </c>
      <c r="F15" s="1" t="s">
        <v>93</v>
      </c>
      <c r="I15" s="3"/>
    </row>
    <row r="16" spans="1:9" x14ac:dyDescent="0.25">
      <c r="A16" s="3"/>
      <c r="B16" s="1" t="s">
        <v>56</v>
      </c>
      <c r="C16" s="27">
        <f>+I62-I63</f>
        <v>600000</v>
      </c>
      <c r="D16" s="1" t="s">
        <v>38</v>
      </c>
      <c r="E16" s="1" t="s">
        <v>106</v>
      </c>
    </row>
    <row r="17" spans="1:9" x14ac:dyDescent="0.25">
      <c r="A17" s="3"/>
      <c r="D17" s="53">
        <f>+E17</f>
        <v>8.1805637728813912E-2</v>
      </c>
      <c r="E17" s="48">
        <f>G115</f>
        <v>8.1805637728813912E-2</v>
      </c>
      <c r="I17" s="3"/>
    </row>
    <row r="18" spans="1:9" x14ac:dyDescent="0.25">
      <c r="A18" s="3"/>
      <c r="B18" s="3" t="s">
        <v>63</v>
      </c>
      <c r="C18" s="28">
        <v>10000</v>
      </c>
      <c r="D18" s="32"/>
      <c r="E18" s="32"/>
      <c r="F18" s="32"/>
      <c r="G18" s="32"/>
      <c r="H18" s="32"/>
      <c r="I18" s="32"/>
    </row>
    <row r="19" spans="1:9" x14ac:dyDescent="0.25">
      <c r="A19" s="3"/>
      <c r="B19" s="1" t="s">
        <v>83</v>
      </c>
      <c r="C19" s="34"/>
      <c r="D19" s="32">
        <v>15</v>
      </c>
      <c r="E19" s="32">
        <v>15</v>
      </c>
      <c r="F19" s="32">
        <v>15</v>
      </c>
      <c r="G19" s="32">
        <v>15</v>
      </c>
      <c r="H19" s="32">
        <v>15</v>
      </c>
      <c r="I19" s="32">
        <v>15</v>
      </c>
    </row>
    <row r="20" spans="1:9" x14ac:dyDescent="0.25">
      <c r="A20" s="3"/>
      <c r="B20" s="3" t="s">
        <v>84</v>
      </c>
      <c r="C20" s="34"/>
      <c r="D20" s="32">
        <v>45</v>
      </c>
      <c r="E20" s="32">
        <v>45</v>
      </c>
      <c r="F20" s="32">
        <v>45</v>
      </c>
      <c r="G20" s="32">
        <v>45</v>
      </c>
      <c r="H20" s="32">
        <v>45</v>
      </c>
      <c r="I20" s="32">
        <v>45</v>
      </c>
    </row>
    <row r="21" spans="1:9" x14ac:dyDescent="0.25">
      <c r="A21" s="3"/>
      <c r="B21" s="3" t="s">
        <v>78</v>
      </c>
      <c r="C21" s="37">
        <v>0.3</v>
      </c>
    </row>
    <row r="22" spans="1:9" x14ac:dyDescent="0.25">
      <c r="A22" s="3"/>
      <c r="B22" s="3" t="s">
        <v>80</v>
      </c>
      <c r="C22" s="37">
        <f>G115</f>
        <v>8.1805637728813912E-2</v>
      </c>
      <c r="D22" s="22"/>
      <c r="E22" s="22"/>
      <c r="F22" s="22"/>
      <c r="G22" s="22"/>
      <c r="H22" s="22"/>
      <c r="I22" s="22"/>
    </row>
    <row r="23" spans="1:9" x14ac:dyDescent="0.25">
      <c r="A23" s="3"/>
      <c r="B23" s="3" t="s">
        <v>85</v>
      </c>
      <c r="C23" s="28">
        <v>20</v>
      </c>
      <c r="D23" s="1" t="s">
        <v>87</v>
      </c>
      <c r="E23" s="39">
        <v>0.05</v>
      </c>
    </row>
    <row r="24" spans="1:9" x14ac:dyDescent="0.25">
      <c r="A24" s="3"/>
      <c r="B24" s="3" t="s">
        <v>86</v>
      </c>
      <c r="C24" s="38">
        <f>+C23/365</f>
        <v>5.4794520547945202E-2</v>
      </c>
      <c r="D24" s="3"/>
      <c r="I24" s="3"/>
    </row>
    <row r="25" spans="1:9" x14ac:dyDescent="0.25">
      <c r="A25" s="3"/>
      <c r="B25" s="3" t="s">
        <v>115</v>
      </c>
      <c r="C25" s="28">
        <v>4000000</v>
      </c>
      <c r="D25" s="46">
        <v>0.8</v>
      </c>
      <c r="I25" s="3"/>
    </row>
    <row r="26" spans="1:9" x14ac:dyDescent="0.25">
      <c r="A26" s="3"/>
      <c r="B26" s="1" t="s">
        <v>81</v>
      </c>
      <c r="C26" s="28">
        <v>30</v>
      </c>
    </row>
    <row r="27" spans="1:9" x14ac:dyDescent="0.25">
      <c r="A27" s="3"/>
      <c r="B27" s="1" t="s">
        <v>82</v>
      </c>
      <c r="C27" s="37">
        <v>0.06</v>
      </c>
      <c r="E27" s="35"/>
      <c r="G27" s="35"/>
    </row>
    <row r="28" spans="1:9" x14ac:dyDescent="0.25">
      <c r="A28" s="3"/>
      <c r="B28" s="3" t="s">
        <v>45</v>
      </c>
      <c r="C28" s="37">
        <v>0.05</v>
      </c>
      <c r="D28" s="28">
        <v>0</v>
      </c>
      <c r="E28" s="28">
        <v>0</v>
      </c>
      <c r="F28" s="28"/>
      <c r="G28" s="28">
        <v>0</v>
      </c>
      <c r="H28" s="28">
        <v>0</v>
      </c>
      <c r="I28" s="28">
        <v>0</v>
      </c>
    </row>
    <row r="29" spans="1:9" x14ac:dyDescent="0.25">
      <c r="A29" s="3"/>
      <c r="B29" s="3" t="s">
        <v>24</v>
      </c>
      <c r="C29" s="28">
        <v>500000</v>
      </c>
      <c r="D29" s="3"/>
      <c r="I29" s="3"/>
    </row>
    <row r="30" spans="1:9" x14ac:dyDescent="0.25">
      <c r="A30" s="3"/>
    </row>
    <row r="31" spans="1:9" x14ac:dyDescent="0.25">
      <c r="A31" s="3"/>
      <c r="B31" s="3"/>
      <c r="C31" s="3"/>
      <c r="D31" s="3"/>
      <c r="I31" s="3"/>
    </row>
    <row r="32" spans="1:9" x14ac:dyDescent="0.25">
      <c r="A32" s="70" t="s">
        <v>0</v>
      </c>
      <c r="B32" s="2"/>
      <c r="C32" s="2"/>
      <c r="D32" s="2"/>
      <c r="E32" s="2"/>
      <c r="F32" s="2"/>
      <c r="G32" s="2"/>
      <c r="H32" s="2"/>
      <c r="I32" s="2"/>
    </row>
    <row r="33" spans="1:10" x14ac:dyDescent="0.25">
      <c r="A33" s="2" t="s">
        <v>1</v>
      </c>
      <c r="B33" s="2"/>
      <c r="C33" s="2"/>
      <c r="D33" s="2"/>
      <c r="E33" s="2"/>
      <c r="F33" s="2"/>
      <c r="G33" s="2"/>
      <c r="H33" s="2"/>
      <c r="I33" s="2"/>
    </row>
    <row r="34" spans="1:10" x14ac:dyDescent="0.25">
      <c r="A34" s="2"/>
      <c r="B34" s="2" t="s">
        <v>74</v>
      </c>
      <c r="C34" s="4"/>
      <c r="D34" s="4">
        <f t="shared" ref="D34:I34" si="8">+D3*D4</f>
        <v>2640000</v>
      </c>
      <c r="E34" s="4">
        <f t="shared" si="8"/>
        <v>2746590</v>
      </c>
      <c r="F34" s="4">
        <f t="shared" si="8"/>
        <v>2857483.57125</v>
      </c>
      <c r="G34" s="4">
        <f t="shared" si="8"/>
        <v>2972854.4704392189</v>
      </c>
      <c r="H34" s="4">
        <f t="shared" si="8"/>
        <v>3092883.4696832024</v>
      </c>
      <c r="I34" s="4">
        <f t="shared" si="8"/>
        <v>3217758.6397716617</v>
      </c>
    </row>
    <row r="35" spans="1:10" x14ac:dyDescent="0.25">
      <c r="A35" s="2"/>
      <c r="B35" s="2" t="s">
        <v>75</v>
      </c>
      <c r="C35" s="4"/>
      <c r="D35" s="4">
        <f t="shared" ref="D35:I35" si="9">+D7*D6</f>
        <v>200000</v>
      </c>
      <c r="E35" s="4">
        <f t="shared" si="9"/>
        <v>198000</v>
      </c>
      <c r="F35" s="4">
        <f t="shared" si="9"/>
        <v>196020</v>
      </c>
      <c r="G35" s="4">
        <f t="shared" si="9"/>
        <v>194059.8</v>
      </c>
      <c r="H35" s="4">
        <f t="shared" si="9"/>
        <v>192119.20199999999</v>
      </c>
      <c r="I35" s="4">
        <f t="shared" si="9"/>
        <v>190198.00998</v>
      </c>
    </row>
    <row r="36" spans="1:10" x14ac:dyDescent="0.25">
      <c r="A36" s="2"/>
      <c r="B36" s="2"/>
      <c r="C36" s="4"/>
      <c r="D36" s="4"/>
      <c r="E36" s="4"/>
      <c r="F36" s="4"/>
      <c r="G36" s="4"/>
      <c r="H36" s="4"/>
      <c r="I36" s="4"/>
    </row>
    <row r="37" spans="1:10" x14ac:dyDescent="0.25">
      <c r="A37" s="2" t="s">
        <v>2</v>
      </c>
      <c r="B37" s="2"/>
      <c r="C37" s="4"/>
      <c r="D37" s="4"/>
      <c r="E37" s="4"/>
      <c r="F37" s="4"/>
      <c r="G37" s="4"/>
      <c r="H37" s="4"/>
      <c r="I37" s="4"/>
    </row>
    <row r="38" spans="1:10" x14ac:dyDescent="0.25">
      <c r="A38" s="2"/>
      <c r="B38" s="2" t="s">
        <v>76</v>
      </c>
      <c r="C38" s="4"/>
      <c r="D38" s="4">
        <f t="shared" ref="D38:I38" si="10">+D5*D3</f>
        <v>1760000</v>
      </c>
      <c r="E38" s="4">
        <f t="shared" si="10"/>
        <v>1840080</v>
      </c>
      <c r="F38" s="4">
        <f t="shared" si="10"/>
        <v>1923803.6400000001</v>
      </c>
      <c r="G38" s="4">
        <f t="shared" si="10"/>
        <v>2011336.7056200001</v>
      </c>
      <c r="H38" s="4">
        <f t="shared" si="10"/>
        <v>2102852.5257257102</v>
      </c>
      <c r="I38" s="4">
        <f t="shared" si="10"/>
        <v>2198532.3156462302</v>
      </c>
    </row>
    <row r="39" spans="1:10" x14ac:dyDescent="0.25">
      <c r="A39" s="2"/>
      <c r="B39" s="2" t="s">
        <v>77</v>
      </c>
      <c r="C39" s="4"/>
      <c r="D39" s="4">
        <f t="shared" ref="D39:I39" si="11">+D9</f>
        <v>60000</v>
      </c>
      <c r="E39" s="4">
        <f t="shared" si="11"/>
        <v>61800</v>
      </c>
      <c r="F39" s="4">
        <f t="shared" si="11"/>
        <v>63654</v>
      </c>
      <c r="G39" s="4">
        <f t="shared" si="11"/>
        <v>65563.62</v>
      </c>
      <c r="H39" s="4">
        <f t="shared" si="11"/>
        <v>67530.528599999991</v>
      </c>
      <c r="I39" s="4">
        <f t="shared" si="11"/>
        <v>69556.444457999998</v>
      </c>
    </row>
    <row r="40" spans="1:10" x14ac:dyDescent="0.25">
      <c r="A40" s="2"/>
      <c r="B40" s="2"/>
      <c r="C40" s="4"/>
      <c r="D40" s="4"/>
      <c r="E40" s="4"/>
      <c r="F40" s="4"/>
      <c r="G40" s="4"/>
      <c r="H40" s="4"/>
      <c r="I40" s="4"/>
    </row>
    <row r="41" spans="1:10" x14ac:dyDescent="0.25">
      <c r="A41" s="2" t="s">
        <v>3</v>
      </c>
      <c r="B41" s="2"/>
      <c r="C41" s="4"/>
      <c r="D41" s="4"/>
      <c r="E41" s="4"/>
      <c r="F41" s="4"/>
      <c r="G41" s="4"/>
      <c r="H41" s="4"/>
      <c r="I41" s="4"/>
    </row>
    <row r="42" spans="1:10" x14ac:dyDescent="0.25">
      <c r="A42" s="2"/>
      <c r="B42" s="2" t="str">
        <f>+B10</f>
        <v>Labor</v>
      </c>
      <c r="C42" s="4"/>
      <c r="D42" s="4">
        <f>+$C$10</f>
        <v>150000</v>
      </c>
      <c r="E42" s="45">
        <f t="shared" ref="E42:I43" si="12">D42+(D42*$J$42)</f>
        <v>154500</v>
      </c>
      <c r="F42" s="45">
        <f t="shared" si="12"/>
        <v>159135</v>
      </c>
      <c r="G42" s="45">
        <f t="shared" si="12"/>
        <v>163909.04999999999</v>
      </c>
      <c r="H42" s="45">
        <f t="shared" si="12"/>
        <v>168826.32149999999</v>
      </c>
      <c r="I42" s="45">
        <f t="shared" si="12"/>
        <v>173891.111145</v>
      </c>
      <c r="J42" s="44">
        <v>0.03</v>
      </c>
    </row>
    <row r="43" spans="1:10" x14ac:dyDescent="0.25">
      <c r="A43" s="2"/>
      <c r="B43" s="2" t="str">
        <f>+B11</f>
        <v>Gen and Admin</v>
      </c>
      <c r="C43" s="4"/>
      <c r="D43" s="4">
        <f>+$C$11</f>
        <v>500000</v>
      </c>
      <c r="E43" s="45">
        <f t="shared" si="12"/>
        <v>515000</v>
      </c>
      <c r="F43" s="45">
        <f t="shared" si="12"/>
        <v>530450</v>
      </c>
      <c r="G43" s="45">
        <f t="shared" si="12"/>
        <v>546363.5</v>
      </c>
      <c r="H43" s="45">
        <f t="shared" si="12"/>
        <v>562754.40500000003</v>
      </c>
      <c r="I43" s="45">
        <f t="shared" si="12"/>
        <v>579637.03714999999</v>
      </c>
    </row>
    <row r="44" spans="1:10" x14ac:dyDescent="0.25">
      <c r="A44" s="2"/>
      <c r="B44" s="2"/>
      <c r="C44" s="4"/>
      <c r="D44" s="4"/>
      <c r="E44" s="4"/>
      <c r="F44" s="4"/>
      <c r="G44" s="4"/>
      <c r="H44" s="4"/>
      <c r="I44" s="4"/>
    </row>
    <row r="45" spans="1:10" x14ac:dyDescent="0.25">
      <c r="A45" s="2" t="s">
        <v>4</v>
      </c>
      <c r="B45" s="2"/>
      <c r="C45" s="4"/>
      <c r="D45" s="47">
        <f t="shared" ref="D45:I45" si="13">($D$62/$C$14)+(D61/$E$15)</f>
        <v>35714.28571428571</v>
      </c>
      <c r="E45" s="47">
        <f t="shared" si="13"/>
        <v>35714.28571428571</v>
      </c>
      <c r="F45" s="47">
        <f t="shared" si="13"/>
        <v>35714.28571428571</v>
      </c>
      <c r="G45" s="47">
        <f t="shared" si="13"/>
        <v>35714.28571428571</v>
      </c>
      <c r="H45" s="47">
        <f t="shared" si="13"/>
        <v>35714.28571428571</v>
      </c>
      <c r="I45" s="47">
        <f t="shared" si="13"/>
        <v>35714.28571428571</v>
      </c>
    </row>
    <row r="46" spans="1:10" x14ac:dyDescent="0.25">
      <c r="A46" s="2" t="s">
        <v>5</v>
      </c>
      <c r="B46" s="2"/>
      <c r="C46" s="4"/>
      <c r="D46" s="4">
        <f>+[1]Mortgage!D14</f>
        <v>238663.78358225236</v>
      </c>
      <c r="E46" s="4">
        <f>+[1]Mortgage!D28</f>
        <v>235634.1405679642</v>
      </c>
      <c r="F46" s="4">
        <f>+[1]Mortgage!D42</f>
        <v>232417.63580182419</v>
      </c>
      <c r="G46" s="4">
        <f>+[1]Mortgage!D112</f>
        <v>213182.08655688787</v>
      </c>
      <c r="H46" s="4">
        <f>+[1]Mortgage!D126</f>
        <v>208580.78822748098</v>
      </c>
      <c r="I46" s="4">
        <f>+[1]Mortgage!D140</f>
        <v>203695.69188538063</v>
      </c>
    </row>
    <row r="47" spans="1:10" x14ac:dyDescent="0.25">
      <c r="A47" s="2" t="s">
        <v>6</v>
      </c>
      <c r="B47" s="2"/>
      <c r="C47" s="4"/>
      <c r="D47" s="4">
        <f t="shared" ref="D47:I47" si="14">+D72*$C$28</f>
        <v>9960.6058100182418</v>
      </c>
      <c r="E47" s="4">
        <f t="shared" si="14"/>
        <v>8419.2882165021183</v>
      </c>
      <c r="F47" s="4">
        <f t="shared" si="14"/>
        <v>6770.835303399791</v>
      </c>
      <c r="G47" s="4">
        <f t="shared" si="14"/>
        <v>4181.7197256578074</v>
      </c>
      <c r="H47" s="4">
        <f t="shared" si="14"/>
        <v>1592.2322549256737</v>
      </c>
      <c r="I47" s="4">
        <f t="shared" si="14"/>
        <v>0</v>
      </c>
    </row>
    <row r="48" spans="1:10" x14ac:dyDescent="0.25">
      <c r="A48" s="2"/>
      <c r="B48" s="2"/>
      <c r="C48" s="4"/>
      <c r="D48" s="4"/>
      <c r="E48" s="4"/>
      <c r="F48" s="4"/>
      <c r="G48" s="4"/>
      <c r="H48" s="4"/>
      <c r="I48" s="4"/>
    </row>
    <row r="49" spans="1:10" x14ac:dyDescent="0.25">
      <c r="A49" s="2" t="s">
        <v>7</v>
      </c>
      <c r="B49" s="2"/>
      <c r="C49" s="4"/>
      <c r="D49" s="4">
        <f>+D34+D35-SUM(D38:D47)</f>
        <v>85661.32489344338</v>
      </c>
      <c r="E49" s="4">
        <f t="shared" ref="E49:I49" si="15">+E34+E35-SUM(E38:E47)</f>
        <v>93442.285501247738</v>
      </c>
      <c r="F49" s="4">
        <f t="shared" si="15"/>
        <v>101558.17443049001</v>
      </c>
      <c r="G49" s="4">
        <f t="shared" si="15"/>
        <v>126663.30282238731</v>
      </c>
      <c r="H49" s="4">
        <f t="shared" si="15"/>
        <v>137151.58466080017</v>
      </c>
      <c r="I49" s="4">
        <f t="shared" si="15"/>
        <v>146929.76375276549</v>
      </c>
    </row>
    <row r="50" spans="1:10" x14ac:dyDescent="0.25">
      <c r="A50" s="2" t="s">
        <v>8</v>
      </c>
      <c r="B50" s="2"/>
      <c r="C50" s="4"/>
      <c r="D50" s="4">
        <f t="shared" ref="D50:I50" si="16">IF(D49&gt;0,D49*$C$21,0)</f>
        <v>25698.397468033014</v>
      </c>
      <c r="E50" s="4">
        <f t="shared" si="16"/>
        <v>28032.685650374322</v>
      </c>
      <c r="F50" s="4">
        <f t="shared" si="16"/>
        <v>30467.452329147</v>
      </c>
      <c r="G50" s="4">
        <f t="shared" si="16"/>
        <v>37998.990846716195</v>
      </c>
      <c r="H50" s="4">
        <f t="shared" si="16"/>
        <v>41145.475398240051</v>
      </c>
      <c r="I50" s="4">
        <f t="shared" si="16"/>
        <v>44078.929125829643</v>
      </c>
    </row>
    <row r="51" spans="1:10" x14ac:dyDescent="0.25">
      <c r="A51" s="2" t="s">
        <v>9</v>
      </c>
      <c r="B51" s="2"/>
      <c r="C51" s="4"/>
      <c r="D51" s="4">
        <f>+D49-D50</f>
        <v>59962.927425410366</v>
      </c>
      <c r="E51" s="4">
        <f t="shared" ref="E51:I51" si="17">+E49-E50</f>
        <v>65409.599850873419</v>
      </c>
      <c r="F51" s="4">
        <f t="shared" si="17"/>
        <v>71090.72210134301</v>
      </c>
      <c r="G51" s="4">
        <f t="shared" si="17"/>
        <v>88664.311975671124</v>
      </c>
      <c r="H51" s="4">
        <f t="shared" si="17"/>
        <v>96006.109262560116</v>
      </c>
      <c r="I51" s="4">
        <f t="shared" si="17"/>
        <v>102850.83462693584</v>
      </c>
    </row>
    <row r="52" spans="1:10" x14ac:dyDescent="0.25">
      <c r="A52" s="2"/>
      <c r="B52" s="2"/>
      <c r="C52" s="4"/>
      <c r="D52" s="4"/>
      <c r="E52" s="4"/>
      <c r="F52" s="4"/>
      <c r="G52" s="4"/>
      <c r="H52" s="4"/>
      <c r="I52" s="4"/>
    </row>
    <row r="53" spans="1:10" x14ac:dyDescent="0.25">
      <c r="A53" s="70" t="s">
        <v>10</v>
      </c>
      <c r="B53" s="2"/>
      <c r="C53" s="4"/>
      <c r="D53" s="4"/>
      <c r="E53" s="4"/>
      <c r="F53" s="4"/>
      <c r="G53" s="4"/>
      <c r="H53" s="4"/>
      <c r="I53" s="4"/>
    </row>
    <row r="54" spans="1:10" x14ac:dyDescent="0.25">
      <c r="A54" s="2" t="s">
        <v>11</v>
      </c>
      <c r="B54" s="2"/>
      <c r="C54" s="4"/>
      <c r="D54" s="4"/>
      <c r="E54" s="4"/>
      <c r="F54" s="4"/>
      <c r="G54" s="4"/>
      <c r="H54" s="4"/>
      <c r="I54" s="4"/>
      <c r="J54" s="57"/>
    </row>
    <row r="55" spans="1:10" x14ac:dyDescent="0.25">
      <c r="A55" s="2" t="s">
        <v>12</v>
      </c>
      <c r="B55" s="2"/>
      <c r="C55" s="4"/>
      <c r="D55" s="4">
        <f t="shared" ref="D55:I55" si="18">+$C$18</f>
        <v>10000</v>
      </c>
      <c r="E55" s="4">
        <f t="shared" si="18"/>
        <v>10000</v>
      </c>
      <c r="F55" s="4">
        <f t="shared" si="18"/>
        <v>10000</v>
      </c>
      <c r="G55" s="4">
        <f t="shared" si="18"/>
        <v>10000</v>
      </c>
      <c r="H55" s="4">
        <f t="shared" si="18"/>
        <v>10000</v>
      </c>
      <c r="I55" s="4">
        <f t="shared" si="18"/>
        <v>10000</v>
      </c>
      <c r="J55" s="58"/>
    </row>
    <row r="56" spans="1:10" x14ac:dyDescent="0.25">
      <c r="A56" s="2" t="s">
        <v>13</v>
      </c>
      <c r="B56" s="2"/>
      <c r="C56" s="4"/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21180</v>
      </c>
      <c r="J56" s="58"/>
    </row>
    <row r="57" spans="1:10" x14ac:dyDescent="0.25">
      <c r="A57" s="2" t="s">
        <v>14</v>
      </c>
      <c r="B57" s="2"/>
      <c r="C57" s="4"/>
      <c r="D57" s="4">
        <f t="shared" ref="D57:I57" si="19">+(D19/365)*D34</f>
        <v>108493.1506849315</v>
      </c>
      <c r="E57" s="4">
        <f t="shared" si="19"/>
        <v>112873.56164383561</v>
      </c>
      <c r="F57" s="4">
        <f t="shared" si="19"/>
        <v>117430.83169520547</v>
      </c>
      <c r="G57" s="4">
        <f t="shared" si="19"/>
        <v>122172.10152489939</v>
      </c>
      <c r="H57" s="4">
        <f t="shared" si="19"/>
        <v>127104.80012396722</v>
      </c>
      <c r="I57" s="4">
        <f t="shared" si="19"/>
        <v>132236.6564289724</v>
      </c>
      <c r="J57" s="58"/>
    </row>
    <row r="58" spans="1:10" x14ac:dyDescent="0.25">
      <c r="A58" s="2" t="s">
        <v>15</v>
      </c>
      <c r="B58" s="2"/>
      <c r="C58" s="4"/>
      <c r="D58" s="4">
        <f t="shared" ref="D58:I58" si="20">+(D20/365)*(D3*D5)</f>
        <v>216986.30136986301</v>
      </c>
      <c r="E58" s="4">
        <f t="shared" si="20"/>
        <v>226859.17808219176</v>
      </c>
      <c r="F58" s="4">
        <f t="shared" si="20"/>
        <v>237181.27068493151</v>
      </c>
      <c r="G58" s="4">
        <f t="shared" si="20"/>
        <v>247973.01850109588</v>
      </c>
      <c r="H58" s="4">
        <f t="shared" si="20"/>
        <v>259255.79084289577</v>
      </c>
      <c r="I58" s="4">
        <f t="shared" si="20"/>
        <v>271051.92932624754</v>
      </c>
      <c r="J58" s="58"/>
    </row>
    <row r="59" spans="1:10" x14ac:dyDescent="0.25">
      <c r="A59" s="2"/>
      <c r="B59" s="2"/>
      <c r="C59" s="4"/>
      <c r="D59" s="4"/>
      <c r="E59" s="4"/>
      <c r="F59" s="4"/>
      <c r="G59" s="4"/>
      <c r="H59" s="4"/>
      <c r="I59" s="4"/>
      <c r="J59" s="58"/>
    </row>
    <row r="60" spans="1:10" x14ac:dyDescent="0.25">
      <c r="A60" s="2" t="s">
        <v>70</v>
      </c>
      <c r="B60" s="2"/>
      <c r="C60" s="4"/>
      <c r="D60" s="4">
        <f>$C$12</f>
        <v>3700000</v>
      </c>
      <c r="E60" s="4">
        <f t="shared" ref="E60:I60" si="21">$C$12</f>
        <v>3700000</v>
      </c>
      <c r="F60" s="4">
        <f t="shared" si="21"/>
        <v>3700000</v>
      </c>
      <c r="G60" s="4">
        <f t="shared" si="21"/>
        <v>3700000</v>
      </c>
      <c r="H60" s="4">
        <f t="shared" si="21"/>
        <v>3700000</v>
      </c>
      <c r="I60" s="4">
        <f t="shared" si="21"/>
        <v>3700000</v>
      </c>
      <c r="J60" s="58"/>
    </row>
    <row r="61" spans="1:10" x14ac:dyDescent="0.25">
      <c r="A61" s="43" t="s">
        <v>92</v>
      </c>
      <c r="B61" s="2"/>
      <c r="C61" s="4"/>
      <c r="D61" s="4">
        <v>75000</v>
      </c>
      <c r="E61" s="4">
        <v>75000</v>
      </c>
      <c r="F61" s="4">
        <v>75000</v>
      </c>
      <c r="G61" s="4">
        <v>75000</v>
      </c>
      <c r="H61" s="4">
        <v>75000</v>
      </c>
      <c r="I61" s="4">
        <v>75000</v>
      </c>
      <c r="J61" s="58"/>
    </row>
    <row r="62" spans="1:10" x14ac:dyDescent="0.25">
      <c r="A62" s="2" t="s">
        <v>16</v>
      </c>
      <c r="B62" s="2"/>
      <c r="C62" s="4"/>
      <c r="D62" s="4">
        <f>+$C$13</f>
        <v>750000</v>
      </c>
      <c r="E62" s="4">
        <f>+$C$13</f>
        <v>750000</v>
      </c>
      <c r="F62" s="4">
        <f>+$C$13</f>
        <v>750000</v>
      </c>
      <c r="G62" s="4">
        <f t="shared" ref="G62:I62" si="22">+$C$13</f>
        <v>750000</v>
      </c>
      <c r="H62" s="4">
        <f t="shared" si="22"/>
        <v>750000</v>
      </c>
      <c r="I62" s="4">
        <f t="shared" si="22"/>
        <v>750000</v>
      </c>
      <c r="J62" s="58"/>
    </row>
    <row r="63" spans="1:10" x14ac:dyDescent="0.25">
      <c r="A63" s="2" t="s">
        <v>17</v>
      </c>
      <c r="B63" s="2"/>
      <c r="C63" s="4"/>
      <c r="D63" s="4">
        <f>+$C$13/$C$14</f>
        <v>25000</v>
      </c>
      <c r="E63" s="4">
        <f>+$C$13/$C$14+D63</f>
        <v>50000</v>
      </c>
      <c r="F63" s="4">
        <f t="shared" ref="F63:I63" si="23">+$C$13/$C$14+E63</f>
        <v>75000</v>
      </c>
      <c r="G63" s="4">
        <f t="shared" si="23"/>
        <v>100000</v>
      </c>
      <c r="H63" s="4">
        <f t="shared" si="23"/>
        <v>125000</v>
      </c>
      <c r="I63" s="4">
        <f t="shared" si="23"/>
        <v>150000</v>
      </c>
      <c r="J63" s="58"/>
    </row>
    <row r="64" spans="1:10" x14ac:dyDescent="0.25">
      <c r="A64" s="2"/>
      <c r="B64" s="2"/>
      <c r="C64" s="4"/>
      <c r="D64" s="4"/>
      <c r="E64" s="4"/>
      <c r="F64" s="4"/>
      <c r="G64" s="4"/>
      <c r="H64" s="4"/>
      <c r="I64" s="4"/>
      <c r="J64" s="58"/>
    </row>
    <row r="65" spans="1:10" x14ac:dyDescent="0.25">
      <c r="A65" s="70" t="s">
        <v>18</v>
      </c>
      <c r="B65" s="2"/>
      <c r="C65" s="4"/>
      <c r="D65" s="4">
        <f>SUM(D55:D62)-D63</f>
        <v>4835479.4520547949</v>
      </c>
      <c r="E65" s="4">
        <f t="shared" ref="E65:I65" si="24">SUM(E55:E62)-E63</f>
        <v>4824732.7397260275</v>
      </c>
      <c r="F65" s="4">
        <f t="shared" si="24"/>
        <v>4814612.102380137</v>
      </c>
      <c r="G65" s="4">
        <f t="shared" si="24"/>
        <v>4805145.1200259952</v>
      </c>
      <c r="H65" s="4">
        <f t="shared" si="24"/>
        <v>4796360.5909668636</v>
      </c>
      <c r="I65" s="4">
        <f t="shared" si="24"/>
        <v>4809468.5857552197</v>
      </c>
      <c r="J65" s="58"/>
    </row>
    <row r="66" spans="1:10" x14ac:dyDescent="0.25">
      <c r="A66" s="2"/>
      <c r="B66" s="2"/>
      <c r="C66" s="4"/>
      <c r="D66" s="4"/>
      <c r="E66" s="4"/>
      <c r="F66" s="4"/>
      <c r="G66" s="4"/>
      <c r="H66" s="4"/>
      <c r="I66" s="4"/>
      <c r="J66" s="58"/>
    </row>
    <row r="67" spans="1:10" x14ac:dyDescent="0.25">
      <c r="A67" s="2" t="s">
        <v>19</v>
      </c>
      <c r="B67" s="2"/>
      <c r="C67" s="4"/>
      <c r="D67" s="4"/>
      <c r="E67" s="4"/>
      <c r="F67" s="4"/>
      <c r="G67" s="4"/>
      <c r="H67" s="4"/>
      <c r="I67" s="4"/>
      <c r="J67" s="58"/>
    </row>
    <row r="68" spans="1:10" x14ac:dyDescent="0.25">
      <c r="A68" s="2" t="s">
        <v>20</v>
      </c>
      <c r="B68" s="2"/>
      <c r="C68" s="4"/>
      <c r="D68" s="47">
        <f t="shared" ref="D68:I68" si="25">+($C$24)*(D38+D39)</f>
        <v>99726.027397260274</v>
      </c>
      <c r="E68" s="47">
        <f t="shared" si="25"/>
        <v>104212.60273972602</v>
      </c>
      <c r="F68" s="47">
        <f t="shared" si="25"/>
        <v>108901.78849315069</v>
      </c>
      <c r="G68" s="47">
        <f t="shared" si="25"/>
        <v>113802.75756821918</v>
      </c>
      <c r="H68" s="47">
        <f t="shared" si="25"/>
        <v>118925.09886716219</v>
      </c>
      <c r="I68" s="47">
        <f t="shared" si="25"/>
        <v>124278.8361700948</v>
      </c>
      <c r="J68" s="58"/>
    </row>
    <row r="69" spans="1:10" x14ac:dyDescent="0.25">
      <c r="A69" s="2" t="s">
        <v>21</v>
      </c>
      <c r="B69" s="2"/>
      <c r="C69" s="4"/>
      <c r="D69" s="4">
        <f>+D50</f>
        <v>25698.397468033014</v>
      </c>
      <c r="E69" s="4">
        <f t="shared" ref="E69:I69" si="26">+E50</f>
        <v>28032.685650374322</v>
      </c>
      <c r="F69" s="4">
        <f t="shared" si="26"/>
        <v>30467.452329147</v>
      </c>
      <c r="G69" s="4">
        <f t="shared" si="26"/>
        <v>37998.990846716195</v>
      </c>
      <c r="H69" s="4">
        <f t="shared" si="26"/>
        <v>41145.475398240051</v>
      </c>
      <c r="I69" s="4">
        <f t="shared" si="26"/>
        <v>44078.929125829643</v>
      </c>
      <c r="J69" s="58"/>
    </row>
    <row r="70" spans="1:10" x14ac:dyDescent="0.25">
      <c r="A70" s="2"/>
      <c r="B70" s="2"/>
      <c r="C70" s="4"/>
      <c r="D70" s="4"/>
      <c r="E70" s="4"/>
      <c r="F70" s="4"/>
      <c r="G70" s="4"/>
      <c r="H70" s="4"/>
      <c r="I70" s="4"/>
      <c r="J70" s="58"/>
    </row>
    <row r="71" spans="1:10" x14ac:dyDescent="0.25">
      <c r="A71" s="2" t="s">
        <v>22</v>
      </c>
      <c r="B71" s="2"/>
      <c r="C71" s="4"/>
      <c r="D71" s="4">
        <f>+[1]Mortgage!E14</f>
        <v>3950879.531508931</v>
      </c>
      <c r="E71" s="4">
        <f>+[1]Mortgage!E28</f>
        <v>3898729.4200035748</v>
      </c>
      <c r="F71" s="4">
        <f>+[1]Mortgage!E42</f>
        <v>3843362.8037320781</v>
      </c>
      <c r="G71" s="4">
        <f>+[1]Mortgage!E56</f>
        <v>3784581.2957186131</v>
      </c>
      <c r="H71" s="4">
        <f>+[1]Mortgage!E70</f>
        <v>3723312.1100202263</v>
      </c>
      <c r="I71" s="4">
        <f>+[1]Mortgage!E84</f>
        <v>3657126.1379058007</v>
      </c>
      <c r="J71" s="58"/>
    </row>
    <row r="72" spans="1:10" x14ac:dyDescent="0.25">
      <c r="A72" s="2" t="s">
        <v>23</v>
      </c>
      <c r="B72" s="2"/>
      <c r="C72" s="4"/>
      <c r="D72" s="4">
        <v>199212.11620036484</v>
      </c>
      <c r="E72" s="4">
        <v>168385.76433004235</v>
      </c>
      <c r="F72" s="4">
        <v>135416.70606799581</v>
      </c>
      <c r="G72" s="4">
        <v>83634.394513156149</v>
      </c>
      <c r="H72" s="4">
        <v>31844.645098513472</v>
      </c>
      <c r="I72" s="4">
        <v>0</v>
      </c>
      <c r="J72" s="59"/>
    </row>
    <row r="73" spans="1:10" x14ac:dyDescent="0.25">
      <c r="A73" s="2"/>
      <c r="B73" s="2"/>
      <c r="C73" s="4"/>
      <c r="D73" s="4"/>
      <c r="E73" s="4"/>
      <c r="F73" s="4"/>
      <c r="G73" s="4"/>
      <c r="H73" s="4"/>
      <c r="I73" s="4"/>
      <c r="J73" s="60"/>
    </row>
    <row r="74" spans="1:10" x14ac:dyDescent="0.25">
      <c r="A74" s="2" t="s">
        <v>24</v>
      </c>
      <c r="B74" s="2"/>
      <c r="C74" s="4"/>
      <c r="D74" s="4">
        <f t="shared" ref="D74:I74" si="27">+$C$29</f>
        <v>500000</v>
      </c>
      <c r="E74" s="4">
        <f t="shared" si="27"/>
        <v>500000</v>
      </c>
      <c r="F74" s="4">
        <f t="shared" si="27"/>
        <v>500000</v>
      </c>
      <c r="G74" s="4">
        <f t="shared" si="27"/>
        <v>500000</v>
      </c>
      <c r="H74" s="4">
        <f t="shared" si="27"/>
        <v>500000</v>
      </c>
      <c r="I74" s="4">
        <f t="shared" si="27"/>
        <v>500000</v>
      </c>
      <c r="J74" s="59"/>
    </row>
    <row r="75" spans="1:10" x14ac:dyDescent="0.25">
      <c r="A75" s="2" t="s">
        <v>25</v>
      </c>
      <c r="B75" s="2"/>
      <c r="C75" s="4"/>
      <c r="D75" s="4">
        <f>+D51+C75</f>
        <v>59962.927425410366</v>
      </c>
      <c r="E75" s="4">
        <f>+E51+D75</f>
        <v>125372.52727628378</v>
      </c>
      <c r="F75" s="4">
        <f t="shared" ref="F75:I75" si="28">+F51+E75</f>
        <v>196463.24937762681</v>
      </c>
      <c r="G75" s="4">
        <f t="shared" si="28"/>
        <v>285127.5613532979</v>
      </c>
      <c r="H75" s="4">
        <f t="shared" si="28"/>
        <v>381133.67061585805</v>
      </c>
      <c r="I75" s="4">
        <f t="shared" si="28"/>
        <v>483984.50524279388</v>
      </c>
      <c r="J75" s="59"/>
    </row>
    <row r="76" spans="1:10" x14ac:dyDescent="0.25">
      <c r="A76" s="2"/>
      <c r="B76" s="2"/>
      <c r="C76" s="2"/>
      <c r="D76" s="4"/>
      <c r="E76" s="4"/>
      <c r="F76" s="4"/>
      <c r="G76" s="4"/>
      <c r="H76" s="4"/>
      <c r="I76" s="4"/>
    </row>
    <row r="77" spans="1:10" x14ac:dyDescent="0.25">
      <c r="A77" s="70" t="s">
        <v>26</v>
      </c>
      <c r="B77" s="2"/>
      <c r="C77" s="2"/>
      <c r="D77" s="4">
        <f>SUM(D68:D75)</f>
        <v>4835479</v>
      </c>
      <c r="E77" s="4">
        <f t="shared" ref="E77:I77" si="29">SUM(E68:E75)</f>
        <v>4824733.0000000019</v>
      </c>
      <c r="F77" s="4">
        <f t="shared" si="29"/>
        <v>4814611.9999999981</v>
      </c>
      <c r="G77" s="4">
        <f t="shared" si="29"/>
        <v>4805145.0000000028</v>
      </c>
      <c r="H77" s="4">
        <f t="shared" si="29"/>
        <v>4796361.0000000009</v>
      </c>
      <c r="I77" s="4">
        <f t="shared" si="29"/>
        <v>4809468.4084445192</v>
      </c>
    </row>
    <row r="78" spans="1:10" x14ac:dyDescent="0.25">
      <c r="D78" s="27">
        <f t="shared" ref="D78:I78" si="30">D65-D77</f>
        <v>0.45205479487776756</v>
      </c>
      <c r="E78" s="27">
        <f t="shared" si="30"/>
        <v>-0.26027397438883781</v>
      </c>
      <c r="F78" s="27">
        <f t="shared" si="30"/>
        <v>0.10238013882189989</v>
      </c>
      <c r="G78" s="27">
        <f t="shared" si="30"/>
        <v>0.12002599239349365</v>
      </c>
      <c r="H78" s="27">
        <f t="shared" si="30"/>
        <v>-0.40903313737362623</v>
      </c>
      <c r="I78" s="27">
        <f t="shared" si="30"/>
        <v>0.17731070052832365</v>
      </c>
    </row>
    <row r="79" spans="1:10" x14ac:dyDescent="0.25">
      <c r="A79" s="82" t="s">
        <v>124</v>
      </c>
      <c r="B79" s="83"/>
      <c r="C79" s="84"/>
      <c r="D79" s="84"/>
      <c r="E79" s="84"/>
      <c r="F79" s="84"/>
      <c r="G79" s="84"/>
      <c r="H79" s="84"/>
      <c r="I79" s="83"/>
      <c r="J79" s="68"/>
    </row>
    <row r="80" spans="1:10" x14ac:dyDescent="0.25">
      <c r="A80" s="68"/>
      <c r="B80" s="68"/>
      <c r="C80" s="68"/>
      <c r="D80" s="68"/>
      <c r="E80" s="68"/>
      <c r="F80" s="68"/>
      <c r="G80" s="68"/>
      <c r="H80" s="68"/>
      <c r="I80" s="68"/>
      <c r="J80" s="68"/>
    </row>
    <row r="81" spans="1:10" x14ac:dyDescent="0.25">
      <c r="A81" s="68" t="s">
        <v>22</v>
      </c>
      <c r="B81" s="68"/>
      <c r="C81" s="68"/>
      <c r="D81" s="68"/>
      <c r="E81" s="68"/>
      <c r="F81" s="68"/>
      <c r="G81" s="68"/>
      <c r="H81" s="68"/>
      <c r="I81" s="68"/>
      <c r="J81" s="68" t="s">
        <v>125</v>
      </c>
    </row>
    <row r="82" spans="1:10" x14ac:dyDescent="0.25">
      <c r="A82" s="68"/>
      <c r="B82" s="68" t="s">
        <v>126</v>
      </c>
      <c r="C82" s="65">
        <f>-D71</f>
        <v>-3950879.531508931</v>
      </c>
      <c r="D82" s="65">
        <f t="shared" ref="D82:I82" si="31">D71-E71</f>
        <v>52150.111505356152</v>
      </c>
      <c r="E82" s="65">
        <f t="shared" si="31"/>
        <v>55366.61627149675</v>
      </c>
      <c r="F82" s="65">
        <f t="shared" si="31"/>
        <v>58781.508013464976</v>
      </c>
      <c r="G82" s="65">
        <f t="shared" si="31"/>
        <v>61269.185698386747</v>
      </c>
      <c r="H82" s="65">
        <f t="shared" si="31"/>
        <v>66185.972114425618</v>
      </c>
      <c r="I82" s="65">
        <f t="shared" si="31"/>
        <v>3657126.1379058007</v>
      </c>
      <c r="J82" s="68"/>
    </row>
    <row r="83" spans="1:10" x14ac:dyDescent="0.25">
      <c r="A83" s="68"/>
      <c r="B83" s="68" t="s">
        <v>127</v>
      </c>
      <c r="C83" s="85"/>
      <c r="D83" s="68"/>
      <c r="E83" s="68"/>
      <c r="F83" s="68"/>
      <c r="G83" s="68"/>
      <c r="H83" s="86"/>
      <c r="I83" s="86">
        <f>+H135</f>
        <v>3229466.5275816857</v>
      </c>
      <c r="J83" s="68"/>
    </row>
    <row r="84" spans="1:10" x14ac:dyDescent="0.25">
      <c r="A84" s="68"/>
      <c r="B84" s="68" t="s">
        <v>128</v>
      </c>
      <c r="C84" s="85"/>
      <c r="D84" s="86">
        <f t="shared" ref="D84:I84" si="32">D46</f>
        <v>238663.78358225236</v>
      </c>
      <c r="E84" s="86">
        <f t="shared" si="32"/>
        <v>235634.1405679642</v>
      </c>
      <c r="F84" s="86">
        <f t="shared" si="32"/>
        <v>232417.63580182419</v>
      </c>
      <c r="G84" s="86">
        <f t="shared" si="32"/>
        <v>213182.08655688787</v>
      </c>
      <c r="H84" s="86">
        <f t="shared" si="32"/>
        <v>208580.78822748098</v>
      </c>
      <c r="I84" s="86">
        <f t="shared" si="32"/>
        <v>203695.69188538063</v>
      </c>
      <c r="J84" s="68"/>
    </row>
    <row r="85" spans="1:10" x14ac:dyDescent="0.25">
      <c r="A85" s="68"/>
      <c r="B85" s="68" t="s">
        <v>119</v>
      </c>
      <c r="C85" s="86">
        <f t="shared" ref="C85:I85" si="33">SUM(C82:C84)</f>
        <v>-3950879.531508931</v>
      </c>
      <c r="D85" s="86">
        <f t="shared" si="33"/>
        <v>290813.89508760849</v>
      </c>
      <c r="E85" s="86">
        <f t="shared" si="33"/>
        <v>291000.75683946093</v>
      </c>
      <c r="F85" s="86">
        <f t="shared" si="33"/>
        <v>291199.14381528914</v>
      </c>
      <c r="G85" s="86">
        <f t="shared" si="33"/>
        <v>274451.27225527458</v>
      </c>
      <c r="H85" s="86">
        <f t="shared" si="33"/>
        <v>274766.76034190657</v>
      </c>
      <c r="I85" s="86">
        <f t="shared" si="33"/>
        <v>7090288.3573728679</v>
      </c>
      <c r="J85" s="68"/>
    </row>
    <row r="86" spans="1:10" x14ac:dyDescent="0.25">
      <c r="A86" s="68"/>
      <c r="B86" s="68" t="s">
        <v>129</v>
      </c>
      <c r="C86" s="39">
        <f>IRR(C85:I85)</f>
        <v>0.15401474207847787</v>
      </c>
      <c r="D86" s="36"/>
      <c r="E86" s="68"/>
      <c r="F86" s="68"/>
      <c r="G86" s="68"/>
      <c r="H86" s="68"/>
      <c r="I86" s="68"/>
      <c r="J86" s="36">
        <v>0.05</v>
      </c>
    </row>
    <row r="87" spans="1:10" x14ac:dyDescent="0.25">
      <c r="A87" s="68"/>
      <c r="B87" s="68" t="s">
        <v>130</v>
      </c>
      <c r="C87" s="39">
        <f>+E110</f>
        <v>0.06</v>
      </c>
      <c r="D87" s="36"/>
      <c r="E87" s="68"/>
      <c r="F87" s="68"/>
      <c r="G87" s="68"/>
      <c r="H87" s="68"/>
      <c r="I87" s="68"/>
      <c r="J87" s="36">
        <v>0.95</v>
      </c>
    </row>
    <row r="88" spans="1:10" x14ac:dyDescent="0.25">
      <c r="A88" s="68" t="s">
        <v>131</v>
      </c>
      <c r="B88" s="68"/>
      <c r="C88" s="85">
        <f>J86*C86+J87*C87</f>
        <v>6.4700737103923892E-2</v>
      </c>
      <c r="D88" s="68"/>
      <c r="E88" s="68"/>
      <c r="F88" s="68"/>
      <c r="G88" s="68"/>
      <c r="H88" s="68"/>
      <c r="I88" s="68"/>
      <c r="J88" s="68"/>
    </row>
    <row r="89" spans="1:10" x14ac:dyDescent="0.25">
      <c r="A89" s="68"/>
      <c r="B89" s="68"/>
      <c r="C89" s="85"/>
      <c r="D89" s="68"/>
      <c r="E89" s="68"/>
      <c r="F89" s="68"/>
      <c r="G89" s="68"/>
      <c r="H89" s="68"/>
      <c r="I89" s="68"/>
      <c r="J89" s="68"/>
    </row>
    <row r="90" spans="1:10" x14ac:dyDescent="0.25">
      <c r="A90" s="68" t="s">
        <v>23</v>
      </c>
      <c r="B90" s="68"/>
      <c r="C90" s="68"/>
      <c r="D90" s="68"/>
      <c r="E90" s="68"/>
      <c r="F90" s="68"/>
      <c r="G90" s="68"/>
      <c r="H90" s="68"/>
      <c r="I90" s="68"/>
      <c r="J90" s="68"/>
    </row>
    <row r="91" spans="1:10" x14ac:dyDescent="0.25">
      <c r="A91" s="68"/>
      <c r="B91" s="68" t="s">
        <v>126</v>
      </c>
      <c r="C91" s="86">
        <f>-D72</f>
        <v>-199212.11620036484</v>
      </c>
      <c r="D91" s="86">
        <f t="shared" ref="D91:I91" si="34">D72-E72</f>
        <v>30826.351870322484</v>
      </c>
      <c r="E91" s="86">
        <f t="shared" si="34"/>
        <v>32969.058262046543</v>
      </c>
      <c r="F91" s="86">
        <f t="shared" si="34"/>
        <v>51782.31155483966</v>
      </c>
      <c r="G91" s="86">
        <f t="shared" si="34"/>
        <v>51789.749414642676</v>
      </c>
      <c r="H91" s="86">
        <f t="shared" si="34"/>
        <v>31844.645098513472</v>
      </c>
      <c r="I91" s="86">
        <f t="shared" si="34"/>
        <v>0</v>
      </c>
      <c r="J91" s="68"/>
    </row>
    <row r="92" spans="1:10" x14ac:dyDescent="0.25">
      <c r="A92" s="68"/>
      <c r="B92" s="68" t="s">
        <v>127</v>
      </c>
      <c r="C92" s="68"/>
      <c r="D92" s="68"/>
      <c r="E92" s="68"/>
      <c r="F92" s="68"/>
      <c r="G92" s="68"/>
      <c r="H92" s="68"/>
      <c r="I92" s="68"/>
      <c r="J92" s="68"/>
    </row>
    <row r="93" spans="1:10" x14ac:dyDescent="0.25">
      <c r="A93" s="68"/>
      <c r="B93" s="68" t="s">
        <v>128</v>
      </c>
      <c r="C93" s="68"/>
      <c r="D93" s="86">
        <f t="shared" ref="D93:I93" si="35">D47</f>
        <v>9960.6058100182418</v>
      </c>
      <c r="E93" s="86">
        <f t="shared" si="35"/>
        <v>8419.2882165021183</v>
      </c>
      <c r="F93" s="86">
        <f t="shared" si="35"/>
        <v>6770.835303399791</v>
      </c>
      <c r="G93" s="86">
        <f t="shared" si="35"/>
        <v>4181.7197256578074</v>
      </c>
      <c r="H93" s="86">
        <f t="shared" si="35"/>
        <v>1592.2322549256737</v>
      </c>
      <c r="I93" s="86">
        <f t="shared" si="35"/>
        <v>0</v>
      </c>
      <c r="J93" s="68"/>
    </row>
    <row r="94" spans="1:10" x14ac:dyDescent="0.25">
      <c r="A94" s="68"/>
      <c r="B94" s="68" t="s">
        <v>119</v>
      </c>
      <c r="C94" s="86">
        <f t="shared" ref="C94:I94" si="36">SUM(C91:C93)</f>
        <v>-199212.11620036484</v>
      </c>
      <c r="D94" s="86">
        <f t="shared" si="36"/>
        <v>40786.957680340725</v>
      </c>
      <c r="E94" s="86">
        <f t="shared" si="36"/>
        <v>41388.346478548658</v>
      </c>
      <c r="F94" s="86">
        <f t="shared" si="36"/>
        <v>58553.146858239452</v>
      </c>
      <c r="G94" s="86">
        <f t="shared" si="36"/>
        <v>55971.469140300484</v>
      </c>
      <c r="H94" s="86">
        <f t="shared" si="36"/>
        <v>33436.877353439144</v>
      </c>
      <c r="I94" s="86">
        <f t="shared" si="36"/>
        <v>0</v>
      </c>
      <c r="J94" s="68"/>
    </row>
    <row r="95" spans="1:10" x14ac:dyDescent="0.25">
      <c r="A95" s="68"/>
      <c r="B95" s="68" t="s">
        <v>129</v>
      </c>
      <c r="C95" s="87">
        <f>IRR(C94:H94)</f>
        <v>5.0000000000000044E-2</v>
      </c>
      <c r="D95" s="68"/>
      <c r="E95" s="68"/>
      <c r="F95" s="68"/>
      <c r="G95" s="68"/>
      <c r="H95" s="68"/>
      <c r="I95" s="68"/>
      <c r="J95" s="36">
        <v>0.05</v>
      </c>
    </row>
    <row r="96" spans="1:10" x14ac:dyDescent="0.25">
      <c r="A96" s="68"/>
      <c r="B96" s="68" t="s">
        <v>130</v>
      </c>
      <c r="C96" s="36">
        <f>+E111</f>
        <v>0.05</v>
      </c>
      <c r="D96" s="68"/>
      <c r="E96" s="68"/>
      <c r="F96" s="68"/>
      <c r="G96" s="68"/>
      <c r="H96" s="68"/>
      <c r="I96" s="68"/>
      <c r="J96" s="36">
        <v>0.95</v>
      </c>
    </row>
    <row r="97" spans="1:10" x14ac:dyDescent="0.25">
      <c r="A97" s="68" t="s">
        <v>131</v>
      </c>
      <c r="B97" s="68"/>
      <c r="C97" s="85">
        <f>J95*C95+J96*C96</f>
        <v>0.05</v>
      </c>
      <c r="D97" s="68"/>
      <c r="E97" s="68"/>
      <c r="F97" s="68"/>
      <c r="G97" s="68"/>
      <c r="H97" s="68"/>
      <c r="I97" s="68"/>
      <c r="J97" s="68"/>
    </row>
    <row r="98" spans="1:10" x14ac:dyDescent="0.25">
      <c r="D98" s="1" t="s">
        <v>104</v>
      </c>
      <c r="E98" s="1">
        <v>0.67</v>
      </c>
    </row>
    <row r="99" spans="1:10" x14ac:dyDescent="0.25">
      <c r="A99" s="2"/>
      <c r="B99" s="2"/>
    </row>
    <row r="100" spans="1:10" x14ac:dyDescent="0.25">
      <c r="A100" s="2"/>
      <c r="B100" s="2"/>
      <c r="C100" s="1" t="s">
        <v>94</v>
      </c>
    </row>
    <row r="101" spans="1:10" x14ac:dyDescent="0.25">
      <c r="A101" s="2"/>
      <c r="B101" s="2"/>
      <c r="D101" s="1" t="s">
        <v>105</v>
      </c>
      <c r="E101" s="50">
        <f>E98*(1+(1-C21))*(D110/D113)</f>
        <v>5.7447036159285458</v>
      </c>
    </row>
    <row r="102" spans="1:10" x14ac:dyDescent="0.25">
      <c r="A102" s="2"/>
      <c r="B102" s="2"/>
      <c r="D102" s="1" t="s">
        <v>95</v>
      </c>
      <c r="E102" s="22">
        <v>2.7E-2</v>
      </c>
    </row>
    <row r="103" spans="1:10" x14ac:dyDescent="0.25">
      <c r="A103" s="2"/>
      <c r="B103" s="2"/>
      <c r="D103" s="1" t="s">
        <v>96</v>
      </c>
      <c r="E103" s="22">
        <v>7.2599999999999998E-2</v>
      </c>
    </row>
    <row r="104" spans="1:10" x14ac:dyDescent="0.25">
      <c r="A104" s="2"/>
      <c r="B104" s="2"/>
    </row>
    <row r="105" spans="1:10" x14ac:dyDescent="0.25">
      <c r="A105" s="2"/>
      <c r="B105" s="2"/>
      <c r="D105" s="1" t="s">
        <v>97</v>
      </c>
      <c r="F105" s="38">
        <f>E101*(E103-E102)+E102</f>
        <v>0.28895848488634174</v>
      </c>
    </row>
    <row r="106" spans="1:10" x14ac:dyDescent="0.25">
      <c r="A106" s="2"/>
      <c r="B106" s="2"/>
    </row>
    <row r="107" spans="1:10" x14ac:dyDescent="0.25">
      <c r="A107" s="2"/>
      <c r="B107" s="2"/>
      <c r="C107" s="1" t="s">
        <v>98</v>
      </c>
    </row>
    <row r="108" spans="1:10" x14ac:dyDescent="0.25">
      <c r="A108" s="2"/>
      <c r="B108" s="2"/>
    </row>
    <row r="109" spans="1:10" x14ac:dyDescent="0.25">
      <c r="A109" s="2"/>
      <c r="B109" s="2"/>
      <c r="C109" s="1" t="s">
        <v>99</v>
      </c>
      <c r="D109" s="1" t="s">
        <v>100</v>
      </c>
      <c r="E109" s="1" t="s">
        <v>101</v>
      </c>
      <c r="F109" s="1" t="s">
        <v>102</v>
      </c>
      <c r="G109" s="1" t="s">
        <v>103</v>
      </c>
    </row>
    <row r="110" spans="1:10" x14ac:dyDescent="0.25">
      <c r="A110" s="2"/>
      <c r="B110" s="2"/>
      <c r="C110" s="27">
        <f>AVERAGE(D71:I71)</f>
        <v>3809665.216481538</v>
      </c>
      <c r="D110" s="48">
        <f>C110/$C$116</f>
        <v>0.8161082290281958</v>
      </c>
      <c r="E110" s="48">
        <v>0.06</v>
      </c>
      <c r="F110" s="48">
        <f>E110*(1-0.3)</f>
        <v>4.1999999999999996E-2</v>
      </c>
      <c r="G110" s="48">
        <f>D110*F110</f>
        <v>3.4276545619184223E-2</v>
      </c>
    </row>
    <row r="111" spans="1:10" x14ac:dyDescent="0.25">
      <c r="A111" s="2"/>
      <c r="B111" s="2"/>
      <c r="C111" s="27">
        <f>AVERAGE(D72:I72)</f>
        <v>103082.27103501209</v>
      </c>
      <c r="D111" s="48">
        <f>C111/$C$116</f>
        <v>2.2082331354114117E-2</v>
      </c>
      <c r="E111" s="48">
        <v>0.05</v>
      </c>
      <c r="F111" s="48">
        <f>E111*(1-0.3)</f>
        <v>3.4999999999999996E-2</v>
      </c>
      <c r="G111" s="48">
        <f>D111*F111</f>
        <v>7.7288159739399398E-4</v>
      </c>
    </row>
    <row r="112" spans="1:10" x14ac:dyDescent="0.25">
      <c r="A112" s="2"/>
      <c r="B112" s="2"/>
      <c r="C112" s="27"/>
      <c r="D112" s="48"/>
      <c r="F112" s="48"/>
      <c r="G112" s="48"/>
    </row>
    <row r="113" spans="1:9" x14ac:dyDescent="0.25">
      <c r="A113" s="2"/>
      <c r="B113" s="2"/>
      <c r="C113" s="27">
        <f>AVERAGE(D74:I74)</f>
        <v>500000</v>
      </c>
      <c r="D113" s="48">
        <f>SUM(C113:C114)/C116</f>
        <v>0.16180943961768993</v>
      </c>
      <c r="E113" s="48">
        <f>F105</f>
        <v>0.28895848488634174</v>
      </c>
      <c r="F113" s="48">
        <f>E113</f>
        <v>0.28895848488634174</v>
      </c>
      <c r="G113" s="48">
        <f>D113*F113</f>
        <v>4.6756210512235684E-2</v>
      </c>
    </row>
    <row r="114" spans="1:9" x14ac:dyDescent="0.25">
      <c r="A114" s="2"/>
      <c r="B114" s="2"/>
      <c r="C114" s="27">
        <f>AVERAGE(D75:I75)</f>
        <v>255340.74021521179</v>
      </c>
    </row>
    <row r="115" spans="1:9" x14ac:dyDescent="0.25">
      <c r="A115" s="2"/>
      <c r="B115" s="2"/>
      <c r="C115" s="27"/>
      <c r="F115" s="1" t="s">
        <v>106</v>
      </c>
      <c r="G115" s="49">
        <f>G110+G113+G111</f>
        <v>8.1805637728813912E-2</v>
      </c>
    </row>
    <row r="116" spans="1:9" x14ac:dyDescent="0.25">
      <c r="A116" s="2"/>
      <c r="B116" s="2"/>
      <c r="C116" s="27">
        <f>SUM(C110:C114)</f>
        <v>4668088.2277317625</v>
      </c>
    </row>
    <row r="117" spans="1:9" x14ac:dyDescent="0.25">
      <c r="A117" s="70" t="s">
        <v>10</v>
      </c>
      <c r="B117" s="2"/>
    </row>
    <row r="118" spans="1:9" ht="15.75" x14ac:dyDescent="0.25">
      <c r="A118" s="2" t="s">
        <v>11</v>
      </c>
      <c r="B118" s="2"/>
      <c r="C118" s="71" t="s">
        <v>116</v>
      </c>
      <c r="D118" s="71" t="s">
        <v>117</v>
      </c>
      <c r="E118" s="71" t="s">
        <v>118</v>
      </c>
      <c r="F118" s="71"/>
      <c r="G118" s="71"/>
      <c r="H118" s="71"/>
      <c r="I118" s="71"/>
    </row>
    <row r="119" spans="1:9" ht="15.75" x14ac:dyDescent="0.25">
      <c r="A119" s="2" t="s">
        <v>12</v>
      </c>
      <c r="B119" s="2"/>
      <c r="C119" s="66">
        <v>1</v>
      </c>
      <c r="D119" s="68"/>
      <c r="E119" s="72">
        <f>+C119*I55</f>
        <v>10000</v>
      </c>
      <c r="F119" s="71"/>
      <c r="G119" s="71"/>
      <c r="H119" s="71"/>
      <c r="I119" s="71"/>
    </row>
    <row r="120" spans="1:9" ht="15.75" x14ac:dyDescent="0.25">
      <c r="A120" s="2" t="s">
        <v>13</v>
      </c>
      <c r="B120" s="2"/>
      <c r="C120" s="66">
        <v>1</v>
      </c>
      <c r="D120" s="72"/>
      <c r="E120" s="72">
        <f>+C120*I56</f>
        <v>21180</v>
      </c>
      <c r="F120" s="71"/>
      <c r="G120" s="71"/>
      <c r="H120" s="73"/>
      <c r="I120" s="71"/>
    </row>
    <row r="121" spans="1:9" ht="15.75" x14ac:dyDescent="0.25">
      <c r="A121" s="2" t="s">
        <v>14</v>
      </c>
      <c r="B121" s="2"/>
      <c r="C121" s="66">
        <v>0.5</v>
      </c>
      <c r="D121" s="68"/>
      <c r="E121" s="72">
        <f>+C121*I57</f>
        <v>66118.328214486202</v>
      </c>
      <c r="F121" s="71"/>
      <c r="G121" s="71"/>
      <c r="H121" s="71"/>
      <c r="I121" s="74"/>
    </row>
    <row r="122" spans="1:9" ht="15.75" x14ac:dyDescent="0.25">
      <c r="A122" s="2" t="s">
        <v>15</v>
      </c>
      <c r="B122" s="2"/>
      <c r="C122" s="66">
        <v>0.5</v>
      </c>
      <c r="D122" s="68"/>
      <c r="E122" s="72">
        <f>+C122*I58</f>
        <v>135525.96466312377</v>
      </c>
      <c r="F122" s="71"/>
      <c r="G122" s="71"/>
      <c r="H122" s="71"/>
      <c r="I122" s="75"/>
    </row>
    <row r="123" spans="1:9" ht="15.75" x14ac:dyDescent="0.25">
      <c r="A123" s="2"/>
      <c r="B123" s="2"/>
      <c r="C123" s="66"/>
      <c r="D123" s="72"/>
      <c r="E123" s="72"/>
      <c r="F123" s="71"/>
      <c r="G123" s="71"/>
      <c r="H123" s="71"/>
      <c r="I123" s="75"/>
    </row>
    <row r="124" spans="1:9" ht="15.75" x14ac:dyDescent="0.25">
      <c r="A124" s="2" t="s">
        <v>70</v>
      </c>
      <c r="B124" s="2"/>
      <c r="C124" s="66">
        <v>0.75</v>
      </c>
      <c r="D124" s="72">
        <f>+C124*I60</f>
        <v>2775000</v>
      </c>
      <c r="E124" s="72"/>
      <c r="F124" s="71"/>
      <c r="G124" s="71"/>
      <c r="H124" s="71"/>
      <c r="I124" s="71"/>
    </row>
    <row r="125" spans="1:9" ht="15.75" x14ac:dyDescent="0.25">
      <c r="A125" s="43" t="s">
        <v>92</v>
      </c>
      <c r="B125" s="2"/>
      <c r="C125" s="66">
        <v>0.2</v>
      </c>
      <c r="D125" s="72">
        <f>+C125*I61</f>
        <v>15000</v>
      </c>
      <c r="E125" s="72"/>
      <c r="F125" s="71"/>
      <c r="G125" s="71"/>
      <c r="H125" s="71"/>
      <c r="I125" s="76"/>
    </row>
    <row r="126" spans="1:9" ht="15.75" x14ac:dyDescent="0.25">
      <c r="A126" s="2" t="s">
        <v>16</v>
      </c>
      <c r="B126" s="2"/>
      <c r="C126" s="66">
        <v>0.5</v>
      </c>
      <c r="D126" s="72">
        <f>+C126*I62</f>
        <v>375000</v>
      </c>
      <c r="E126" s="72"/>
      <c r="F126" s="71"/>
      <c r="G126" s="71"/>
      <c r="H126" s="71"/>
      <c r="I126" s="71"/>
    </row>
    <row r="127" spans="1:9" ht="15.75" x14ac:dyDescent="0.25">
      <c r="A127" s="2" t="s">
        <v>17</v>
      </c>
      <c r="B127" s="2"/>
      <c r="C127" s="71"/>
      <c r="D127" s="72"/>
      <c r="E127" s="72"/>
      <c r="F127" s="71"/>
      <c r="G127" s="71"/>
      <c r="H127" s="71"/>
      <c r="I127" s="71"/>
    </row>
    <row r="128" spans="1:9" ht="15.75" x14ac:dyDescent="0.25">
      <c r="A128" s="2"/>
      <c r="B128" s="2"/>
      <c r="C128" s="72"/>
      <c r="D128" s="68"/>
      <c r="E128" s="72"/>
      <c r="F128" s="71"/>
      <c r="G128" s="71"/>
      <c r="H128" s="71"/>
      <c r="I128" s="71"/>
    </row>
    <row r="129" spans="1:9" ht="15.75" x14ac:dyDescent="0.25">
      <c r="A129" s="70" t="s">
        <v>18</v>
      </c>
      <c r="B129" s="2"/>
      <c r="C129" s="71"/>
      <c r="D129" s="72"/>
      <c r="E129" s="72"/>
      <c r="F129" s="71"/>
      <c r="G129" s="71"/>
      <c r="H129" s="71"/>
      <c r="I129" s="71"/>
    </row>
    <row r="130" spans="1:9" ht="15.75" x14ac:dyDescent="0.25">
      <c r="A130" s="2"/>
      <c r="B130" s="2"/>
      <c r="C130" s="71"/>
      <c r="D130" s="72"/>
      <c r="E130" s="72"/>
      <c r="F130" s="71"/>
      <c r="G130" s="71"/>
      <c r="H130" s="71"/>
      <c r="I130" s="71"/>
    </row>
    <row r="131" spans="1:9" ht="15.75" x14ac:dyDescent="0.25">
      <c r="A131" s="2" t="s">
        <v>19</v>
      </c>
      <c r="B131" s="2"/>
      <c r="C131" s="66">
        <v>1</v>
      </c>
      <c r="D131" s="68"/>
      <c r="E131" s="72">
        <f>+(I68+I69)*-C131</f>
        <v>-168357.76529592444</v>
      </c>
      <c r="F131" s="71"/>
      <c r="G131" s="71"/>
      <c r="H131" s="71"/>
      <c r="I131" s="71"/>
    </row>
    <row r="132" spans="1:9" ht="15.75" x14ac:dyDescent="0.25">
      <c r="A132" s="2" t="s">
        <v>20</v>
      </c>
      <c r="B132" s="2"/>
      <c r="C132" s="77"/>
      <c r="D132" s="78"/>
      <c r="E132" s="72"/>
      <c r="F132" s="71"/>
      <c r="G132" s="71"/>
      <c r="H132" s="71"/>
      <c r="I132" s="71"/>
    </row>
    <row r="133" spans="1:9" ht="15.75" x14ac:dyDescent="0.25">
      <c r="A133" s="2" t="s">
        <v>21</v>
      </c>
      <c r="B133" s="2"/>
      <c r="C133" s="77" t="s">
        <v>119</v>
      </c>
      <c r="D133" s="72">
        <f>SUM(D124:D126)</f>
        <v>3165000</v>
      </c>
      <c r="E133" s="72">
        <f>SUM(E119:E131)</f>
        <v>64466.527581685514</v>
      </c>
      <c r="F133" s="71"/>
      <c r="G133" s="71"/>
      <c r="H133" s="71"/>
      <c r="I133" s="71"/>
    </row>
    <row r="134" spans="1:9" ht="15.75" x14ac:dyDescent="0.25">
      <c r="A134" s="2"/>
      <c r="B134" s="2"/>
      <c r="C134" s="77"/>
      <c r="D134" s="72"/>
      <c r="E134" s="73"/>
      <c r="F134" s="73" t="s">
        <v>120</v>
      </c>
      <c r="G134" s="73" t="s">
        <v>121</v>
      </c>
      <c r="H134" s="73" t="s">
        <v>122</v>
      </c>
      <c r="I134" s="73" t="s">
        <v>123</v>
      </c>
    </row>
    <row r="135" spans="1:9" ht="15.75" x14ac:dyDescent="0.25">
      <c r="A135" s="2" t="s">
        <v>22</v>
      </c>
      <c r="B135" s="2"/>
      <c r="C135" s="77" t="s">
        <v>121</v>
      </c>
      <c r="D135" s="72">
        <f>+D133</f>
        <v>3165000</v>
      </c>
      <c r="E135" s="72">
        <f>+I71-D135</f>
        <v>492126.13790580072</v>
      </c>
      <c r="F135" s="79">
        <f>+E135/E137</f>
        <v>1</v>
      </c>
      <c r="G135" s="72">
        <f>+F135*E133</f>
        <v>64466.527581685514</v>
      </c>
      <c r="H135" s="72">
        <f>+D135+G135</f>
        <v>3229466.5275816857</v>
      </c>
      <c r="I135" s="80">
        <f>+H135/I71</f>
        <v>0.8830612906972336</v>
      </c>
    </row>
    <row r="136" spans="1:9" ht="15.75" x14ac:dyDescent="0.25">
      <c r="A136" s="2" t="s">
        <v>23</v>
      </c>
      <c r="B136" s="2"/>
      <c r="C136" s="77" t="s">
        <v>121</v>
      </c>
      <c r="D136" s="72">
        <v>0</v>
      </c>
      <c r="E136" s="72">
        <f>+J74-D136</f>
        <v>0</v>
      </c>
      <c r="F136" s="79">
        <f>+E136/E137</f>
        <v>0</v>
      </c>
      <c r="G136" s="72">
        <f>+F136*E133</f>
        <v>0</v>
      </c>
      <c r="H136" s="72">
        <f>+D136+G136</f>
        <v>0</v>
      </c>
      <c r="I136" s="81"/>
    </row>
    <row r="137" spans="1:9" ht="15.75" x14ac:dyDescent="0.25">
      <c r="A137" s="2"/>
      <c r="B137" s="2"/>
      <c r="C137" s="77"/>
      <c r="D137" s="72"/>
      <c r="E137" s="72">
        <f>+E135+E136</f>
        <v>492126.13790580072</v>
      </c>
      <c r="F137" s="79"/>
      <c r="G137" s="79"/>
      <c r="H137" s="72">
        <f>+H135+H136</f>
        <v>3229466.5275816857</v>
      </c>
      <c r="I137" s="71"/>
    </row>
    <row r="138" spans="1:9" x14ac:dyDescent="0.25">
      <c r="A138" s="2" t="s">
        <v>24</v>
      </c>
      <c r="B138" s="2"/>
      <c r="C138" s="68"/>
      <c r="D138" s="68"/>
      <c r="E138" s="68"/>
      <c r="F138" s="68"/>
      <c r="G138" s="68"/>
      <c r="H138" s="68"/>
      <c r="I138" s="68"/>
    </row>
    <row r="139" spans="1:9" x14ac:dyDescent="0.25">
      <c r="A139" s="2" t="s">
        <v>25</v>
      </c>
      <c r="B139" s="2"/>
    </row>
    <row r="140" spans="1:9" x14ac:dyDescent="0.25">
      <c r="A140" s="2"/>
      <c r="B140" s="2"/>
    </row>
    <row r="141" spans="1:9" x14ac:dyDescent="0.25">
      <c r="A141" s="70" t="s">
        <v>26</v>
      </c>
      <c r="B141" s="2"/>
    </row>
  </sheetData>
  <pageMargins left="0.25" right="0.25" top="0.75" bottom="0.75" header="0.3" footer="0.3"/>
  <pageSetup paperSize="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GunShop with Expansion Option</vt:lpstr>
      <vt:lpstr>Mortgage</vt:lpstr>
      <vt:lpstr>Bankruptcy</vt:lpstr>
      <vt:lpstr>Bankruptcy!Print_Area</vt:lpstr>
      <vt:lpstr>'GunShop with Expansion Option'!Print_Area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2013-12-20T15:36:07Z</dcterms:created>
  <dcterms:modified xsi:type="dcterms:W3CDTF">2019-07-31T21:34:04Z</dcterms:modified>
</cp:coreProperties>
</file>