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0490" windowHeight="7950" tabRatio="444" activeTab="1"/>
  </bookViews>
  <sheets>
    <sheet name="Stick It Shop" sheetId="1" r:id="rId1"/>
    <sheet name="Failure" sheetId="5" r:id="rId2"/>
    <sheet name="Mortgage" sheetId="2" r:id="rId3"/>
  </sheets>
  <calcPr calcId="152511"/>
</workbook>
</file>

<file path=xl/calcChain.xml><?xml version="1.0" encoding="utf-8"?>
<calcChain xmlns="http://schemas.openxmlformats.org/spreadsheetml/2006/main">
  <c r="G139" i="5" l="1"/>
  <c r="H116" i="5"/>
  <c r="D108" i="5"/>
  <c r="D111" i="5"/>
  <c r="E115" i="5"/>
  <c r="C95" i="1" l="1"/>
  <c r="C96" i="1"/>
  <c r="C99" i="1"/>
  <c r="Q53" i="1"/>
  <c r="M57" i="1"/>
  <c r="P60" i="1"/>
  <c r="Q67" i="1"/>
  <c r="E142" i="5" l="1"/>
  <c r="E138" i="5"/>
  <c r="F138" i="5"/>
  <c r="D138" i="5"/>
  <c r="C136" i="5"/>
  <c r="C140" i="5" s="1"/>
  <c r="F116" i="5"/>
  <c r="C116" i="5"/>
  <c r="C104" i="5"/>
  <c r="D104" i="5" s="1"/>
  <c r="G116" i="5" l="1"/>
  <c r="G115" i="5" l="1"/>
  <c r="C79" i="5" l="1"/>
  <c r="C95" i="5" s="1"/>
  <c r="C77" i="5"/>
  <c r="Q77" i="5" s="1"/>
  <c r="C75" i="5"/>
  <c r="Q68" i="5"/>
  <c r="R68" i="5" s="1"/>
  <c r="O68" i="5"/>
  <c r="Q67" i="5"/>
  <c r="R67" i="5" s="1"/>
  <c r="T64" i="5"/>
  <c r="P60" i="5" s="1"/>
  <c r="P64" i="5" s="1"/>
  <c r="Q70" i="5" s="1"/>
  <c r="R70" i="5" s="1"/>
  <c r="H57" i="5"/>
  <c r="C118" i="5" s="1"/>
  <c r="G57" i="5"/>
  <c r="F57" i="5"/>
  <c r="E57" i="5"/>
  <c r="D57" i="5"/>
  <c r="Q53" i="5"/>
  <c r="D42" i="5"/>
  <c r="Q78" i="5" s="1"/>
  <c r="D41" i="5"/>
  <c r="E41" i="5" s="1"/>
  <c r="F41" i="5" s="1"/>
  <c r="G41" i="5" s="1"/>
  <c r="H41" i="5" s="1"/>
  <c r="C110" i="5" s="1"/>
  <c r="D110" i="5" s="1"/>
  <c r="D40" i="5"/>
  <c r="R76" i="5" s="1"/>
  <c r="H27" i="5"/>
  <c r="G27" i="5"/>
  <c r="G137" i="5" s="1"/>
  <c r="F27" i="5"/>
  <c r="F137" i="5" s="1"/>
  <c r="F140" i="5" s="1"/>
  <c r="E27" i="5"/>
  <c r="E137" i="5" s="1"/>
  <c r="E140" i="5" s="1"/>
  <c r="D27" i="5"/>
  <c r="D137" i="5" s="1"/>
  <c r="D140" i="5" s="1"/>
  <c r="R23" i="5"/>
  <c r="E24" i="5" s="1"/>
  <c r="R22" i="5"/>
  <c r="H23" i="5" s="1"/>
  <c r="R8" i="5"/>
  <c r="D8" i="5"/>
  <c r="D13" i="5" s="1"/>
  <c r="R7" i="5"/>
  <c r="D7" i="5" s="1"/>
  <c r="E7" i="5" s="1"/>
  <c r="R6" i="5"/>
  <c r="D6" i="5"/>
  <c r="E6" i="5" s="1"/>
  <c r="E2" i="5"/>
  <c r="F2" i="5" s="1"/>
  <c r="G2" i="5" s="1"/>
  <c r="H2" i="5" s="1"/>
  <c r="I2" i="5" s="1"/>
  <c r="J2" i="5" s="1"/>
  <c r="K2" i="5" s="1"/>
  <c r="L2" i="5" s="1"/>
  <c r="M2" i="5" s="1"/>
  <c r="R7" i="1"/>
  <c r="R8" i="1"/>
  <c r="R6" i="1"/>
  <c r="D6" i="1" s="1"/>
  <c r="O70" i="5" l="1"/>
  <c r="E8" i="5"/>
  <c r="E13" i="5" s="1"/>
  <c r="D11" i="5"/>
  <c r="F23" i="5"/>
  <c r="D23" i="5"/>
  <c r="D43" i="5" s="1"/>
  <c r="E40" i="5"/>
  <c r="F40" i="5" s="1"/>
  <c r="G40" i="5" s="1"/>
  <c r="H40" i="5" s="1"/>
  <c r="C109" i="5" s="1"/>
  <c r="D109" i="5" s="1"/>
  <c r="E42" i="5"/>
  <c r="F42" i="5" s="1"/>
  <c r="G42" i="5" s="1"/>
  <c r="H42" i="5" s="1"/>
  <c r="E12" i="5"/>
  <c r="F7" i="5"/>
  <c r="D16" i="5"/>
  <c r="D12" i="5"/>
  <c r="D50" i="5" s="1"/>
  <c r="D37" i="5"/>
  <c r="D19" i="5"/>
  <c r="D18" i="5"/>
  <c r="D17" i="5"/>
  <c r="F6" i="5"/>
  <c r="E11" i="5"/>
  <c r="E16" i="5"/>
  <c r="H24" i="5"/>
  <c r="H67" i="5" s="1"/>
  <c r="F24" i="5"/>
  <c r="F67" i="5" s="1"/>
  <c r="F71" i="5" s="1"/>
  <c r="D24" i="5"/>
  <c r="D44" i="5" s="1"/>
  <c r="E44" i="5" s="1"/>
  <c r="G24" i="5"/>
  <c r="E23" i="5"/>
  <c r="E67" i="5" s="1"/>
  <c r="E71" i="5" s="1"/>
  <c r="G23" i="5"/>
  <c r="G67" i="5" s="1"/>
  <c r="G71" i="5" s="1"/>
  <c r="C96" i="5"/>
  <c r="Q76" i="5"/>
  <c r="E129" i="1"/>
  <c r="F129" i="1"/>
  <c r="G129" i="1"/>
  <c r="J129" i="1"/>
  <c r="K129" i="1"/>
  <c r="C129" i="1"/>
  <c r="D127" i="1"/>
  <c r="D129" i="1" s="1"/>
  <c r="E127" i="1"/>
  <c r="F127" i="1"/>
  <c r="G127" i="1"/>
  <c r="H127" i="1"/>
  <c r="H129" i="1" s="1"/>
  <c r="J127" i="1"/>
  <c r="K127" i="1"/>
  <c r="L127" i="1"/>
  <c r="L129" i="1" s="1"/>
  <c r="C127" i="1"/>
  <c r="M125" i="1"/>
  <c r="M127" i="1" s="1"/>
  <c r="M129" i="1" s="1"/>
  <c r="J125" i="1"/>
  <c r="K125" i="1"/>
  <c r="L125" i="1"/>
  <c r="I125" i="1"/>
  <c r="I127" i="1" s="1"/>
  <c r="I129" i="1" s="1"/>
  <c r="C110" i="1"/>
  <c r="D110" i="1"/>
  <c r="E110" i="1"/>
  <c r="F110" i="1"/>
  <c r="G110" i="1"/>
  <c r="H110" i="1"/>
  <c r="I110" i="1"/>
  <c r="J110" i="1"/>
  <c r="K110" i="1"/>
  <c r="L110" i="1"/>
  <c r="M110" i="1"/>
  <c r="C132" i="1" l="1"/>
  <c r="E37" i="5"/>
  <c r="F84" i="5" s="1"/>
  <c r="E19" i="5"/>
  <c r="H71" i="5"/>
  <c r="C111" i="5"/>
  <c r="F8" i="5"/>
  <c r="E18" i="5"/>
  <c r="E17" i="5"/>
  <c r="D67" i="5"/>
  <c r="D71" i="5" s="1"/>
  <c r="D86" i="5"/>
  <c r="G8" i="5"/>
  <c r="F13" i="5"/>
  <c r="D84" i="5"/>
  <c r="S76" i="5"/>
  <c r="F44" i="5"/>
  <c r="G44" i="5" s="1"/>
  <c r="H44" i="5" s="1"/>
  <c r="R78" i="5" s="1"/>
  <c r="S78" i="5" s="1"/>
  <c r="E50" i="5"/>
  <c r="E38" i="5"/>
  <c r="F37" i="5"/>
  <c r="F19" i="5"/>
  <c r="F18" i="5"/>
  <c r="F17" i="5"/>
  <c r="F11" i="5"/>
  <c r="F16" i="5"/>
  <c r="G6" i="5"/>
  <c r="D66" i="5"/>
  <c r="E43" i="5"/>
  <c r="F43" i="5" s="1"/>
  <c r="G43" i="5" s="1"/>
  <c r="H43" i="5" s="1"/>
  <c r="R77" i="5" s="1"/>
  <c r="S77" i="5" s="1"/>
  <c r="D38" i="5"/>
  <c r="D46" i="5" s="1"/>
  <c r="G7" i="5"/>
  <c r="F12" i="5"/>
  <c r="C113" i="1"/>
  <c r="C75" i="1"/>
  <c r="E84" i="5" l="1"/>
  <c r="E66" i="5"/>
  <c r="E68" i="5" s="1"/>
  <c r="E69" i="5" s="1"/>
  <c r="E70" i="5" s="1"/>
  <c r="E72" i="5" s="1"/>
  <c r="D68" i="5"/>
  <c r="D69" i="5" s="1"/>
  <c r="G12" i="5"/>
  <c r="H7" i="5"/>
  <c r="G13" i="5"/>
  <c r="H8" i="5"/>
  <c r="E85" i="5"/>
  <c r="D85" i="5"/>
  <c r="E46" i="5"/>
  <c r="D70" i="5"/>
  <c r="D72" i="5" s="1"/>
  <c r="D87" i="5"/>
  <c r="G37" i="5"/>
  <c r="G84" i="5" s="1"/>
  <c r="G19" i="5"/>
  <c r="G17" i="5"/>
  <c r="G16" i="5"/>
  <c r="G11" i="5"/>
  <c r="H6" i="5"/>
  <c r="G18" i="5"/>
  <c r="F50" i="5"/>
  <c r="F38" i="5"/>
  <c r="F46" i="5" s="1"/>
  <c r="F66" i="5"/>
  <c r="F68" i="5" s="1"/>
  <c r="F69" i="5" s="1"/>
  <c r="E86" i="5"/>
  <c r="T64" i="1"/>
  <c r="P64" i="1" s="1"/>
  <c r="Q70" i="1" s="1"/>
  <c r="R70" i="1" s="1"/>
  <c r="R67" i="1"/>
  <c r="Q68" i="1"/>
  <c r="R68" i="1" s="1"/>
  <c r="O68" i="1"/>
  <c r="D95" i="5" l="1"/>
  <c r="D96" i="5" s="1"/>
  <c r="E87" i="5"/>
  <c r="E95" i="5" s="1"/>
  <c r="E96" i="5" s="1"/>
  <c r="G66" i="5"/>
  <c r="G68" i="5" s="1"/>
  <c r="G69" i="5" s="1"/>
  <c r="G87" i="5" s="1"/>
  <c r="G70" i="5"/>
  <c r="G72" i="5" s="1"/>
  <c r="F70" i="5"/>
  <c r="F72" i="5" s="1"/>
  <c r="F87" i="5"/>
  <c r="H37" i="5"/>
  <c r="C106" i="5" s="1"/>
  <c r="D106" i="5" s="1"/>
  <c r="H19" i="5"/>
  <c r="H18" i="5"/>
  <c r="H17" i="5"/>
  <c r="H16" i="5"/>
  <c r="H11" i="5"/>
  <c r="H13" i="5"/>
  <c r="F86" i="5"/>
  <c r="G50" i="5"/>
  <c r="G38" i="5"/>
  <c r="G46" i="5" s="1"/>
  <c r="H84" i="5"/>
  <c r="H12" i="5"/>
  <c r="F85" i="5"/>
  <c r="E27" i="1"/>
  <c r="F27" i="1"/>
  <c r="G27" i="1"/>
  <c r="H27" i="1"/>
  <c r="I27" i="1"/>
  <c r="J27" i="1"/>
  <c r="K27" i="1"/>
  <c r="L27" i="1"/>
  <c r="M27" i="1"/>
  <c r="D27" i="1"/>
  <c r="J116" i="5" l="1"/>
  <c r="G85" i="5"/>
  <c r="G95" i="5" s="1"/>
  <c r="F95" i="5"/>
  <c r="F96" i="5" s="1"/>
  <c r="H50" i="5"/>
  <c r="C113" i="5" s="1"/>
  <c r="H115" i="5" s="1"/>
  <c r="J115" i="5" s="1"/>
  <c r="G127" i="5" s="1"/>
  <c r="H38" i="5"/>
  <c r="C107" i="5" s="1"/>
  <c r="D107" i="5" s="1"/>
  <c r="H66" i="5"/>
  <c r="H68" i="5" s="1"/>
  <c r="H69" i="5" s="1"/>
  <c r="G86" i="5"/>
  <c r="C79" i="1"/>
  <c r="C77" i="1"/>
  <c r="B4" i="2"/>
  <c r="B3" i="2"/>
  <c r="B2" i="2"/>
  <c r="E130" i="5" s="1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B5" i="2"/>
  <c r="F10" i="2" l="1"/>
  <c r="A11" i="2" s="1"/>
  <c r="C11" i="2" s="1"/>
  <c r="G11" i="2" s="1"/>
  <c r="C124" i="5"/>
  <c r="C128" i="5" s="1"/>
  <c r="K116" i="5"/>
  <c r="G140" i="5"/>
  <c r="C142" i="5" s="1"/>
  <c r="E143" i="5" s="1"/>
  <c r="C143" i="5" s="1"/>
  <c r="B6" i="2"/>
  <c r="G96" i="5"/>
  <c r="H70" i="5"/>
  <c r="H72" i="5" s="1"/>
  <c r="H87" i="5"/>
  <c r="H85" i="5"/>
  <c r="H46" i="5"/>
  <c r="H86" i="5"/>
  <c r="D11" i="2"/>
  <c r="H11" i="2" s="1"/>
  <c r="B11" i="2" l="1"/>
  <c r="F11" i="2" s="1"/>
  <c r="A12" i="2" s="1"/>
  <c r="C12" i="2" s="1"/>
  <c r="G12" i="2" s="1"/>
  <c r="H95" i="5"/>
  <c r="H96" i="5" s="1"/>
  <c r="B12" i="2" l="1"/>
  <c r="F12" i="2" s="1"/>
  <c r="A13" i="2" s="1"/>
  <c r="B13" i="2" s="1"/>
  <c r="D12" i="2"/>
  <c r="H12" i="2" s="1"/>
  <c r="C13" i="2" l="1"/>
  <c r="G13" i="2" s="1"/>
  <c r="D13" i="2"/>
  <c r="H13" i="2" s="1"/>
  <c r="F13" i="2" l="1"/>
  <c r="A14" i="2" s="1"/>
  <c r="D14" i="2" s="1"/>
  <c r="C14" i="2" l="1"/>
  <c r="G14" i="2" s="1"/>
  <c r="H14" i="2"/>
  <c r="B14" i="2"/>
  <c r="C98" i="5" l="1"/>
  <c r="C99" i="5"/>
  <c r="U72" i="5" s="1"/>
  <c r="F14" i="2"/>
  <c r="A15" i="2" s="1"/>
  <c r="D15" i="2" s="1"/>
  <c r="B15" i="2" l="1"/>
  <c r="C15" i="2"/>
  <c r="G15" i="2" s="1"/>
  <c r="H15" i="2"/>
  <c r="F15" i="2" l="1"/>
  <c r="A16" i="2" s="1"/>
  <c r="C16" i="2" s="1"/>
  <c r="G16" i="2" s="1"/>
  <c r="B16" i="2" l="1"/>
  <c r="F16" i="2" s="1"/>
  <c r="A17" i="2" s="1"/>
  <c r="B17" i="2" s="1"/>
  <c r="D16" i="2"/>
  <c r="H16" i="2" s="1"/>
  <c r="D17" i="2" l="1"/>
  <c r="H17" i="2" s="1"/>
  <c r="C17" i="2"/>
  <c r="G17" i="2" s="1"/>
  <c r="F17" i="2" l="1"/>
  <c r="A18" i="2" s="1"/>
  <c r="B18" i="2" s="1"/>
  <c r="C18" i="2" l="1"/>
  <c r="G18" i="2" s="1"/>
  <c r="D18" i="2"/>
  <c r="H18" i="2" s="1"/>
  <c r="F18" i="2" l="1"/>
  <c r="A19" i="2" s="1"/>
  <c r="D19" i="2" s="1"/>
  <c r="H19" i="2" s="1"/>
  <c r="C19" i="2" l="1"/>
  <c r="G19" i="2" s="1"/>
  <c r="B19" i="2"/>
  <c r="F19" i="2" l="1"/>
  <c r="A20" i="2" s="1"/>
  <c r="B20" i="2" s="1"/>
  <c r="D20" i="2" l="1"/>
  <c r="H20" i="2" s="1"/>
  <c r="C20" i="2"/>
  <c r="G20" i="2" s="1"/>
  <c r="F20" i="2" l="1"/>
  <c r="A21" i="2" s="1"/>
  <c r="C21" i="2" s="1"/>
  <c r="G21" i="2" s="1"/>
  <c r="D21" i="2" l="1"/>
  <c r="B21" i="2" s="1"/>
  <c r="F21" i="2" s="1"/>
  <c r="A22" i="2" s="1"/>
  <c r="D22" i="2" s="1"/>
  <c r="B22" i="2" l="1"/>
  <c r="C22" i="2"/>
  <c r="G22" i="2" s="1"/>
  <c r="H21" i="2"/>
  <c r="H22" i="2" s="1"/>
  <c r="K22" i="2" s="1"/>
  <c r="F22" i="2" l="1"/>
  <c r="J22" i="2" s="1"/>
  <c r="D53" i="5" s="1"/>
  <c r="D125" i="5"/>
  <c r="D128" i="5" s="1"/>
  <c r="D26" i="5"/>
  <c r="D29" i="5" s="1"/>
  <c r="D26" i="1"/>
  <c r="D126" i="5"/>
  <c r="A23" i="2"/>
  <c r="D23" i="2" s="1"/>
  <c r="H23" i="2" s="1"/>
  <c r="D53" i="1"/>
  <c r="D30" i="5" l="1"/>
  <c r="D51" i="5" s="1"/>
  <c r="C23" i="2"/>
  <c r="G23" i="2" s="1"/>
  <c r="B23" i="2"/>
  <c r="D31" i="5" l="1"/>
  <c r="D58" i="5" s="1"/>
  <c r="D60" i="5" s="1"/>
  <c r="D62" i="5" s="1"/>
  <c r="F23" i="2"/>
  <c r="A24" i="2" s="1"/>
  <c r="C24" i="2" s="1"/>
  <c r="G24" i="2" s="1"/>
  <c r="B24" i="2" l="1"/>
  <c r="F24" i="2" s="1"/>
  <c r="A25" i="2" s="1"/>
  <c r="C25" i="2" s="1"/>
  <c r="G25" i="2" s="1"/>
  <c r="D24" i="2"/>
  <c r="H24" i="2" s="1"/>
  <c r="B25" i="2" l="1"/>
  <c r="F25" i="2" s="1"/>
  <c r="A26" i="2" s="1"/>
  <c r="C26" i="2" s="1"/>
  <c r="G26" i="2" s="1"/>
  <c r="D25" i="2"/>
  <c r="H25" i="2" s="1"/>
  <c r="B26" i="2" l="1"/>
  <c r="F26" i="2" s="1"/>
  <c r="A27" i="2" s="1"/>
  <c r="C27" i="2" s="1"/>
  <c r="G27" i="2" s="1"/>
  <c r="D26" i="2"/>
  <c r="H26" i="2" s="1"/>
  <c r="D27" i="2" l="1"/>
  <c r="H27" i="2" s="1"/>
  <c r="B27" i="2"/>
  <c r="F27" i="2" s="1"/>
  <c r="A28" i="2" s="1"/>
  <c r="D28" i="2" s="1"/>
  <c r="H28" i="2" l="1"/>
  <c r="C28" i="2"/>
  <c r="B28" i="2"/>
  <c r="G28" i="2"/>
  <c r="F28" i="2" l="1"/>
  <c r="A29" i="2" s="1"/>
  <c r="D29" i="2" s="1"/>
  <c r="H29" i="2" s="1"/>
  <c r="C29" i="2" l="1"/>
  <c r="G29" i="2" s="1"/>
  <c r="B29" i="2"/>
  <c r="F29" i="2" l="1"/>
  <c r="A30" i="2" s="1"/>
  <c r="C30" i="2" s="1"/>
  <c r="G30" i="2" s="1"/>
  <c r="B30" i="2" l="1"/>
  <c r="F30" i="2" s="1"/>
  <c r="A31" i="2" s="1"/>
  <c r="B31" i="2" s="1"/>
  <c r="D30" i="2"/>
  <c r="H30" i="2" s="1"/>
  <c r="D31" i="2" l="1"/>
  <c r="H31" i="2" s="1"/>
  <c r="C31" i="2"/>
  <c r="G31" i="2" s="1"/>
  <c r="F31" i="2" l="1"/>
  <c r="A32" i="2" s="1"/>
  <c r="B32" i="2" s="1"/>
  <c r="D32" i="2" l="1"/>
  <c r="H32" i="2" s="1"/>
  <c r="C32" i="2"/>
  <c r="G32" i="2" s="1"/>
  <c r="F32" i="2"/>
  <c r="A33" i="2" s="1"/>
  <c r="B33" i="2" s="1"/>
  <c r="D33" i="2" l="1"/>
  <c r="H33" i="2" s="1"/>
  <c r="C33" i="2"/>
  <c r="G33" i="2" s="1"/>
  <c r="F33" i="2" l="1"/>
  <c r="A34" i="2" s="1"/>
  <c r="B34" i="2" s="1"/>
  <c r="D34" i="2" l="1"/>
  <c r="H34" i="2" s="1"/>
  <c r="K34" i="2" s="1"/>
  <c r="C34" i="2"/>
  <c r="E125" i="5" l="1"/>
  <c r="E26" i="5"/>
  <c r="E29" i="5" s="1"/>
  <c r="E26" i="1"/>
  <c r="G34" i="2"/>
  <c r="F34" i="2"/>
  <c r="E30" i="5" l="1"/>
  <c r="E51" i="5" s="1"/>
  <c r="A35" i="2"/>
  <c r="J34" i="2"/>
  <c r="E31" i="5" l="1"/>
  <c r="E58" i="5" s="1"/>
  <c r="E53" i="1"/>
  <c r="E53" i="5"/>
  <c r="D35" i="2"/>
  <c r="H35" i="2" s="1"/>
  <c r="C35" i="2"/>
  <c r="G35" i="2" s="1"/>
  <c r="B35" i="2"/>
  <c r="E60" i="5" l="1"/>
  <c r="E62" i="5" s="1"/>
  <c r="E126" i="5"/>
  <c r="E128" i="5" s="1"/>
  <c r="F35" i="2"/>
  <c r="A36" i="2" s="1"/>
  <c r="D36" i="2" l="1"/>
  <c r="H36" i="2" s="1"/>
  <c r="B36" i="2"/>
  <c r="C36" i="2"/>
  <c r="G36" i="2" s="1"/>
  <c r="F36" i="2" l="1"/>
  <c r="A37" i="2" s="1"/>
  <c r="D37" i="2" s="1"/>
  <c r="H37" i="2" s="1"/>
  <c r="C37" i="2" l="1"/>
  <c r="G37" i="2" s="1"/>
  <c r="B37" i="2"/>
  <c r="F37" i="2" l="1"/>
  <c r="A38" i="2" s="1"/>
  <c r="D38" i="2" s="1"/>
  <c r="H38" i="2" s="1"/>
  <c r="B38" i="2" l="1"/>
  <c r="C38" i="2"/>
  <c r="G38" i="2" s="1"/>
  <c r="F38" i="2" l="1"/>
  <c r="A39" i="2" s="1"/>
  <c r="C39" i="2" s="1"/>
  <c r="G39" i="2" s="1"/>
  <c r="B39" i="2"/>
  <c r="F39" i="2" s="1"/>
  <c r="A40" i="2" s="1"/>
  <c r="D39" i="2"/>
  <c r="H39" i="2" s="1"/>
  <c r="B40" i="2" l="1"/>
  <c r="D40" i="2"/>
  <c r="H40" i="2" s="1"/>
  <c r="C40" i="2"/>
  <c r="G40" i="2" s="1"/>
  <c r="F40" i="2" l="1"/>
  <c r="A41" i="2" s="1"/>
  <c r="C41" i="2" l="1"/>
  <c r="G41" i="2" s="1"/>
  <c r="B41" i="2"/>
  <c r="D41" i="2"/>
  <c r="H41" i="2" s="1"/>
  <c r="F41" i="2" l="1"/>
  <c r="A42" i="2" s="1"/>
  <c r="B42" i="2" s="1"/>
  <c r="D42" i="2" l="1"/>
  <c r="H42" i="2" s="1"/>
  <c r="C42" i="2"/>
  <c r="G42" i="2" s="1"/>
  <c r="F42" i="2" l="1"/>
  <c r="A43" i="2" s="1"/>
  <c r="B43" i="2" s="1"/>
  <c r="D43" i="2" l="1"/>
  <c r="H43" i="2" s="1"/>
  <c r="C43" i="2"/>
  <c r="G43" i="2" s="1"/>
  <c r="F43" i="2" l="1"/>
  <c r="A44" i="2" s="1"/>
  <c r="B44" i="2" s="1"/>
  <c r="D44" i="2" l="1"/>
  <c r="H44" i="2" s="1"/>
  <c r="C44" i="2"/>
  <c r="G44" i="2" s="1"/>
  <c r="F44" i="2" l="1"/>
  <c r="A45" i="2" s="1"/>
  <c r="B45" i="2" l="1"/>
  <c r="C45" i="2"/>
  <c r="G45" i="2" s="1"/>
  <c r="D45" i="2"/>
  <c r="H45" i="2" s="1"/>
  <c r="F45" i="2"/>
  <c r="A46" i="2" s="1"/>
  <c r="B46" i="2" s="1"/>
  <c r="D46" i="2" l="1"/>
  <c r="H46" i="2" s="1"/>
  <c r="C46" i="2"/>
  <c r="G46" i="2" s="1"/>
  <c r="F46" i="2" l="1"/>
  <c r="A47" i="2" s="1"/>
  <c r="C47" i="2" s="1"/>
  <c r="G47" i="2" s="1"/>
  <c r="B47" i="2" l="1"/>
  <c r="D47" i="2"/>
  <c r="H47" i="2" s="1"/>
  <c r="K47" i="2" s="1"/>
  <c r="F47" i="2"/>
  <c r="F125" i="5" l="1"/>
  <c r="F26" i="1"/>
  <c r="F26" i="5"/>
  <c r="F29" i="5" s="1"/>
  <c r="A48" i="2"/>
  <c r="J47" i="2"/>
  <c r="F30" i="5" l="1"/>
  <c r="F51" i="5" s="1"/>
  <c r="F31" i="5"/>
  <c r="F58" i="5" s="1"/>
  <c r="F53" i="1"/>
  <c r="F53" i="5"/>
  <c r="D48" i="2"/>
  <c r="H48" i="2" s="1"/>
  <c r="B48" i="2"/>
  <c r="C48" i="2"/>
  <c r="G48" i="2" s="1"/>
  <c r="F126" i="5" l="1"/>
  <c r="F128" i="5" s="1"/>
  <c r="F60" i="5"/>
  <c r="F62" i="5" s="1"/>
  <c r="F48" i="2"/>
  <c r="A49" i="2" s="1"/>
  <c r="D49" i="2" s="1"/>
  <c r="H49" i="2" s="1"/>
  <c r="C49" i="2" l="1"/>
  <c r="G49" i="2" s="1"/>
  <c r="B49" i="2"/>
  <c r="F49" i="2" s="1"/>
  <c r="A50" i="2" s="1"/>
  <c r="D50" i="2" l="1"/>
  <c r="H50" i="2" s="1"/>
  <c r="C50" i="2"/>
  <c r="G50" i="2" s="1"/>
  <c r="B50" i="2"/>
  <c r="F50" i="2" l="1"/>
  <c r="A51" i="2" s="1"/>
  <c r="B51" i="2" l="1"/>
  <c r="D51" i="2"/>
  <c r="H51" i="2" s="1"/>
  <c r="C51" i="2"/>
  <c r="F51" i="2" s="1"/>
  <c r="A52" i="2" s="1"/>
  <c r="G51" i="2" l="1"/>
  <c r="D52" i="2"/>
  <c r="H52" i="2" s="1"/>
  <c r="B52" i="2"/>
  <c r="C52" i="2"/>
  <c r="G52" i="2" s="1"/>
  <c r="F52" i="2" l="1"/>
  <c r="A53" i="2" s="1"/>
  <c r="B53" i="2" s="1"/>
  <c r="C53" i="2" l="1"/>
  <c r="G53" i="2" s="1"/>
  <c r="D53" i="2"/>
  <c r="H53" i="2" s="1"/>
  <c r="F53" i="2"/>
  <c r="A54" i="2" s="1"/>
  <c r="C54" i="2" s="1"/>
  <c r="G54" i="2" s="1"/>
  <c r="B54" i="2" l="1"/>
  <c r="F54" i="2" s="1"/>
  <c r="A55" i="2" s="1"/>
  <c r="B55" i="2" s="1"/>
  <c r="D54" i="2"/>
  <c r="H54" i="2" s="1"/>
  <c r="D55" i="2" l="1"/>
  <c r="H55" i="2" s="1"/>
  <c r="C55" i="2"/>
  <c r="G55" i="2" s="1"/>
  <c r="F55" i="2" l="1"/>
  <c r="A56" i="2" s="1"/>
  <c r="C56" i="2" l="1"/>
  <c r="G56" i="2" s="1"/>
  <c r="D56" i="2"/>
  <c r="H56" i="2" s="1"/>
  <c r="B56" i="2"/>
  <c r="F56" i="2" s="1"/>
  <c r="A57" i="2" s="1"/>
  <c r="B57" i="2" l="1"/>
  <c r="D57" i="2"/>
  <c r="H57" i="2" s="1"/>
  <c r="C57" i="2"/>
  <c r="G57" i="2" s="1"/>
  <c r="F57" i="2" l="1"/>
  <c r="A58" i="2" s="1"/>
  <c r="B58" i="2" s="1"/>
  <c r="C58" i="2"/>
  <c r="G58" i="2" s="1"/>
  <c r="D58" i="2"/>
  <c r="H58" i="2" s="1"/>
  <c r="F58" i="2" l="1"/>
  <c r="A59" i="2" s="1"/>
  <c r="B59" i="2"/>
  <c r="C59" i="2"/>
  <c r="G59" i="2" s="1"/>
  <c r="D59" i="2"/>
  <c r="H59" i="2" s="1"/>
  <c r="K59" i="2" s="1"/>
  <c r="G125" i="5" l="1"/>
  <c r="G128" i="5" s="1"/>
  <c r="G26" i="1"/>
  <c r="G26" i="5"/>
  <c r="G29" i="5" s="1"/>
  <c r="F59" i="2"/>
  <c r="C130" i="5" l="1"/>
  <c r="E131" i="5" s="1"/>
  <c r="C131" i="5" s="1"/>
  <c r="A60" i="2"/>
  <c r="J59" i="2"/>
  <c r="G30" i="5"/>
  <c r="G51" i="5" s="1"/>
  <c r="G31" i="5" l="1"/>
  <c r="G58" i="5" s="1"/>
  <c r="G53" i="1"/>
  <c r="G53" i="5"/>
  <c r="G60" i="5" s="1"/>
  <c r="G62" i="5" s="1"/>
  <c r="C60" i="2"/>
  <c r="G60" i="2" s="1"/>
  <c r="D60" i="2"/>
  <c r="H60" i="2" s="1"/>
  <c r="B60" i="2"/>
  <c r="F60" i="2" l="1"/>
  <c r="A61" i="2" s="1"/>
  <c r="D61" i="2" s="1"/>
  <c r="H61" i="2" s="1"/>
  <c r="B61" i="2"/>
  <c r="C61" i="2"/>
  <c r="G61" i="2" s="1"/>
  <c r="F61" i="2" l="1"/>
  <c r="A62" i="2" s="1"/>
  <c r="B62" i="2"/>
  <c r="D62" i="2"/>
  <c r="H62" i="2" s="1"/>
  <c r="C62" i="2"/>
  <c r="G62" i="2" s="1"/>
  <c r="F62" i="2" l="1"/>
  <c r="A63" i="2" s="1"/>
  <c r="C63" i="2"/>
  <c r="G63" i="2" s="1"/>
  <c r="D63" i="2"/>
  <c r="H63" i="2" s="1"/>
  <c r="B63" i="2"/>
  <c r="F63" i="2" s="1"/>
  <c r="A64" i="2" s="1"/>
  <c r="B64" i="2" l="1"/>
  <c r="D64" i="2"/>
  <c r="H64" i="2" s="1"/>
  <c r="C64" i="2"/>
  <c r="G64" i="2" s="1"/>
  <c r="F64" i="2" l="1"/>
  <c r="A65" i="2" s="1"/>
  <c r="B65" i="2" s="1"/>
  <c r="C65" i="2" l="1"/>
  <c r="G65" i="2" s="1"/>
  <c r="D65" i="2"/>
  <c r="H65" i="2" s="1"/>
  <c r="F65" i="2"/>
  <c r="A66" i="2" s="1"/>
  <c r="C66" i="2" s="1"/>
  <c r="G66" i="2" s="1"/>
  <c r="B66" i="2" l="1"/>
  <c r="D66" i="2"/>
  <c r="H66" i="2" s="1"/>
  <c r="F66" i="2"/>
  <c r="A67" i="2" s="1"/>
  <c r="D67" i="2" s="1"/>
  <c r="H67" i="2" s="1"/>
  <c r="C67" i="2" l="1"/>
  <c r="F67" i="2" s="1"/>
  <c r="A68" i="2" s="1"/>
  <c r="B67" i="2"/>
  <c r="G67" i="2" l="1"/>
  <c r="B68" i="2"/>
  <c r="C68" i="2"/>
  <c r="D68" i="2"/>
  <c r="H68" i="2" s="1"/>
  <c r="G68" i="2" l="1"/>
  <c r="F68" i="2"/>
  <c r="A69" i="2" s="1"/>
  <c r="D69" i="2" s="1"/>
  <c r="H69" i="2" s="1"/>
  <c r="B69" i="2" l="1"/>
  <c r="C69" i="2"/>
  <c r="F69" i="2" s="1"/>
  <c r="A70" i="2" s="1"/>
  <c r="G69" i="2" l="1"/>
  <c r="B70" i="2"/>
  <c r="D70" i="2"/>
  <c r="H70" i="2" s="1"/>
  <c r="C70" i="2"/>
  <c r="F70" i="2" s="1"/>
  <c r="A71" i="2" s="1"/>
  <c r="G70" i="2" l="1"/>
  <c r="C71" i="2"/>
  <c r="F71" i="2" s="1"/>
  <c r="B71" i="2"/>
  <c r="D71" i="2"/>
  <c r="H71" i="2" s="1"/>
  <c r="K71" i="2" s="1"/>
  <c r="H26" i="5" l="1"/>
  <c r="H29" i="5" s="1"/>
  <c r="H26" i="1"/>
  <c r="G71" i="2"/>
  <c r="J71" i="2"/>
  <c r="H53" i="5" s="1"/>
  <c r="A72" i="2"/>
  <c r="C115" i="5" l="1"/>
  <c r="K115" i="5" s="1"/>
  <c r="O67" i="5"/>
  <c r="H30" i="5"/>
  <c r="H51" i="5" s="1"/>
  <c r="H31" i="5"/>
  <c r="H58" i="5" s="1"/>
  <c r="H53" i="1"/>
  <c r="B72" i="2"/>
  <c r="D72" i="2"/>
  <c r="H72" i="2" s="1"/>
  <c r="C72" i="2"/>
  <c r="F72" i="2" s="1"/>
  <c r="A73" i="2" s="1"/>
  <c r="C119" i="5" l="1"/>
  <c r="O71" i="5"/>
  <c r="O73" i="5" s="1"/>
  <c r="P67" i="5" s="1"/>
  <c r="S67" i="5" s="1"/>
  <c r="H60" i="5"/>
  <c r="H62" i="5" s="1"/>
  <c r="C73" i="2"/>
  <c r="F73" i="2" s="1"/>
  <c r="A74" i="2" s="1"/>
  <c r="D73" i="2"/>
  <c r="H73" i="2" s="1"/>
  <c r="B73" i="2"/>
  <c r="G72" i="2"/>
  <c r="P68" i="5" l="1"/>
  <c r="S68" i="5" s="1"/>
  <c r="P70" i="5"/>
  <c r="S70" i="5" s="1"/>
  <c r="D74" i="2"/>
  <c r="H74" i="2" s="1"/>
  <c r="C74" i="2"/>
  <c r="F74" i="2" s="1"/>
  <c r="A75" i="2" s="1"/>
  <c r="B74" i="2"/>
  <c r="G73" i="2"/>
  <c r="S72" i="5" l="1"/>
  <c r="G74" i="2"/>
  <c r="D75" i="2"/>
  <c r="H75" i="2" s="1"/>
  <c r="B75" i="2"/>
  <c r="C75" i="2"/>
  <c r="G75" i="2" l="1"/>
  <c r="F75" i="2"/>
  <c r="A76" i="2" s="1"/>
  <c r="C76" i="2" l="1"/>
  <c r="F76" i="2" s="1"/>
  <c r="A77" i="2" s="1"/>
  <c r="B76" i="2"/>
  <c r="D76" i="2"/>
  <c r="H76" i="2" s="1"/>
  <c r="G76" i="2" l="1"/>
  <c r="D77" i="2"/>
  <c r="H77" i="2" s="1"/>
  <c r="B77" i="2"/>
  <c r="C77" i="2"/>
  <c r="G77" i="2" l="1"/>
  <c r="F77" i="2"/>
  <c r="A78" i="2" s="1"/>
  <c r="C78" i="2" l="1"/>
  <c r="F78" i="2" s="1"/>
  <c r="A79" i="2" s="1"/>
  <c r="D78" i="2"/>
  <c r="H78" i="2" s="1"/>
  <c r="B78" i="2"/>
  <c r="G78" i="2" l="1"/>
  <c r="B79" i="2"/>
  <c r="C79" i="2"/>
  <c r="D79" i="2"/>
  <c r="H79" i="2" s="1"/>
  <c r="G79" i="2" l="1"/>
  <c r="F79" i="2"/>
  <c r="A80" i="2" s="1"/>
  <c r="B80" i="2" s="1"/>
  <c r="D80" i="2" l="1"/>
  <c r="H80" i="2" s="1"/>
  <c r="C80" i="2"/>
  <c r="G80" i="2" s="1"/>
  <c r="F80" i="2" l="1"/>
  <c r="A81" i="2" s="1"/>
  <c r="C81" i="2" s="1"/>
  <c r="G81" i="2" s="1"/>
  <c r="D81" i="2" l="1"/>
  <c r="H81" i="2" s="1"/>
  <c r="B81" i="2"/>
  <c r="F81" i="2"/>
  <c r="A82" i="2" s="1"/>
  <c r="B82" i="2" l="1"/>
  <c r="D82" i="2"/>
  <c r="H82" i="2" s="1"/>
  <c r="C82" i="2"/>
  <c r="G82" i="2" s="1"/>
  <c r="F82" i="2" l="1"/>
  <c r="A83" i="2" s="1"/>
  <c r="B83" i="2" l="1"/>
  <c r="C83" i="2"/>
  <c r="G83" i="2" s="1"/>
  <c r="D83" i="2"/>
  <c r="H83" i="2" s="1"/>
  <c r="K83" i="2" s="1"/>
  <c r="I26" i="1" s="1"/>
  <c r="F83" i="2" l="1"/>
  <c r="A84" i="2" s="1"/>
  <c r="J83" i="2" l="1"/>
  <c r="I53" i="1" s="1"/>
  <c r="B84" i="2"/>
  <c r="D84" i="2"/>
  <c r="H84" i="2" s="1"/>
  <c r="C84" i="2"/>
  <c r="G84" i="2" s="1"/>
  <c r="F84" i="2" l="1"/>
  <c r="A85" i="2" s="1"/>
  <c r="C85" i="2" l="1"/>
  <c r="G85" i="2" s="1"/>
  <c r="D85" i="2"/>
  <c r="H85" i="2" s="1"/>
  <c r="B85" i="2"/>
  <c r="F85" i="2" l="1"/>
  <c r="A86" i="2" s="1"/>
  <c r="C86" i="2" l="1"/>
  <c r="F86" i="2" s="1"/>
  <c r="A87" i="2" s="1"/>
  <c r="D86" i="2"/>
  <c r="H86" i="2" s="1"/>
  <c r="B86" i="2"/>
  <c r="G86" i="2" l="1"/>
  <c r="D87" i="2"/>
  <c r="H87" i="2" s="1"/>
  <c r="B87" i="2"/>
  <c r="C87" i="2"/>
  <c r="F87" i="2" s="1"/>
  <c r="A88" i="2" s="1"/>
  <c r="G87" i="2" l="1"/>
  <c r="C88" i="2"/>
  <c r="F88" i="2" s="1"/>
  <c r="A89" i="2" s="1"/>
  <c r="B88" i="2"/>
  <c r="D88" i="2"/>
  <c r="H88" i="2" s="1"/>
  <c r="G88" i="2" l="1"/>
  <c r="D89" i="2"/>
  <c r="H89" i="2" s="1"/>
  <c r="B89" i="2"/>
  <c r="C89" i="2"/>
  <c r="G89" i="2" l="1"/>
  <c r="F89" i="2"/>
  <c r="A90" i="2" s="1"/>
  <c r="C90" i="2" l="1"/>
  <c r="F90" i="2" s="1"/>
  <c r="A91" i="2" s="1"/>
  <c r="D90" i="2"/>
  <c r="H90" i="2" s="1"/>
  <c r="B90" i="2"/>
  <c r="G90" i="2" l="1"/>
  <c r="B91" i="2"/>
  <c r="C91" i="2"/>
  <c r="D91" i="2"/>
  <c r="H91" i="2" s="1"/>
  <c r="G91" i="2" l="1"/>
  <c r="F91" i="2"/>
  <c r="A92" i="2" s="1"/>
  <c r="B92" i="2" s="1"/>
  <c r="D92" i="2" l="1"/>
  <c r="H92" i="2" s="1"/>
  <c r="C92" i="2"/>
  <c r="F92" i="2" l="1"/>
  <c r="A93" i="2" s="1"/>
  <c r="G92" i="2"/>
  <c r="C93" i="2" l="1"/>
  <c r="F93" i="2" s="1"/>
  <c r="A94" i="2" s="1"/>
  <c r="D93" i="2"/>
  <c r="H93" i="2" s="1"/>
  <c r="B93" i="2"/>
  <c r="C94" i="2" l="1"/>
  <c r="F94" i="2" s="1"/>
  <c r="A95" i="2" s="1"/>
  <c r="D94" i="2"/>
  <c r="H94" i="2" s="1"/>
  <c r="B94" i="2"/>
  <c r="G93" i="2"/>
  <c r="B95" i="2" l="1"/>
  <c r="D95" i="2"/>
  <c r="H95" i="2" s="1"/>
  <c r="K95" i="2" s="1"/>
  <c r="J26" i="1" s="1"/>
  <c r="C95" i="2"/>
  <c r="F95" i="2" s="1"/>
  <c r="G94" i="2"/>
  <c r="G95" i="2" l="1"/>
  <c r="J95" i="2"/>
  <c r="J53" i="1" s="1"/>
  <c r="A96" i="2"/>
  <c r="D96" i="2" l="1"/>
  <c r="H96" i="2" s="1"/>
  <c r="B96" i="2"/>
  <c r="C96" i="2"/>
  <c r="G96" i="2" s="1"/>
  <c r="F96" i="2" l="1"/>
  <c r="A97" i="2" s="1"/>
  <c r="D97" i="2" l="1"/>
  <c r="H97" i="2" s="1"/>
  <c r="B97" i="2"/>
  <c r="C97" i="2"/>
  <c r="G97" i="2" s="1"/>
  <c r="F97" i="2" l="1"/>
  <c r="A98" i="2" s="1"/>
  <c r="C98" i="2" l="1"/>
  <c r="F98" i="2" s="1"/>
  <c r="A99" i="2" s="1"/>
  <c r="D98" i="2"/>
  <c r="H98" i="2" s="1"/>
  <c r="B98" i="2"/>
  <c r="G98" i="2" l="1"/>
  <c r="C99" i="2"/>
  <c r="F99" i="2" s="1"/>
  <c r="A100" i="2" s="1"/>
  <c r="D99" i="2"/>
  <c r="H99" i="2" s="1"/>
  <c r="B99" i="2"/>
  <c r="D100" i="2" l="1"/>
  <c r="H100" i="2" s="1"/>
  <c r="C100" i="2"/>
  <c r="B100" i="2"/>
  <c r="G99" i="2"/>
  <c r="G100" i="2" l="1"/>
  <c r="F100" i="2"/>
  <c r="A101" i="2" s="1"/>
  <c r="C101" i="2" l="1"/>
  <c r="G101" i="2" s="1"/>
  <c r="B101" i="2"/>
  <c r="D101" i="2"/>
  <c r="H101" i="2" s="1"/>
  <c r="F101" i="2" l="1"/>
  <c r="A102" i="2" s="1"/>
  <c r="C102" i="2" s="1"/>
  <c r="F102" i="2" s="1"/>
  <c r="A103" i="2" s="1"/>
  <c r="D103" i="2" s="1"/>
  <c r="G102" i="2" l="1"/>
  <c r="B102" i="2"/>
  <c r="B103" i="2" s="1"/>
  <c r="D102" i="2"/>
  <c r="H102" i="2" s="1"/>
  <c r="H103" i="2" s="1"/>
  <c r="C103" i="2"/>
  <c r="F103" i="2" s="1"/>
  <c r="A104" i="2" s="1"/>
  <c r="B104" i="2" l="1"/>
  <c r="D104" i="2"/>
  <c r="H104" i="2" s="1"/>
  <c r="G103" i="2"/>
  <c r="C104" i="2"/>
  <c r="F104" i="2" s="1"/>
  <c r="A105" i="2" s="1"/>
  <c r="B105" i="2" l="1"/>
  <c r="G104" i="2"/>
  <c r="D105" i="2"/>
  <c r="H105" i="2" s="1"/>
  <c r="C105" i="2"/>
  <c r="F105" i="2" s="1"/>
  <c r="A106" i="2" s="1"/>
  <c r="G105" i="2" l="1"/>
  <c r="C106" i="2"/>
  <c r="F106" i="2" s="1"/>
  <c r="A107" i="2" s="1"/>
  <c r="C107" i="2" s="1"/>
  <c r="D106" i="2"/>
  <c r="H106" i="2" s="1"/>
  <c r="B106" i="2"/>
  <c r="F107" i="2" l="1"/>
  <c r="J107" i="2" s="1"/>
  <c r="D107" i="2"/>
  <c r="H107" i="2" s="1"/>
  <c r="K107" i="2" s="1"/>
  <c r="K26" i="1" s="1"/>
  <c r="G106" i="2"/>
  <c r="G107" i="2" s="1"/>
  <c r="B107" i="2"/>
  <c r="K53" i="1"/>
  <c r="A108" i="2" l="1"/>
  <c r="D108" i="2" s="1"/>
  <c r="C108" i="2" l="1"/>
  <c r="G108" i="2" s="1"/>
  <c r="B108" i="2"/>
  <c r="H108" i="2"/>
  <c r="F108" i="2" l="1"/>
  <c r="A109" i="2" s="1"/>
  <c r="B109" i="2" s="1"/>
  <c r="C109" i="2" l="1"/>
  <c r="F109" i="2" s="1"/>
  <c r="A110" i="2" s="1"/>
  <c r="D110" i="2" s="1"/>
  <c r="D109" i="2"/>
  <c r="H109" i="2" s="1"/>
  <c r="H110" i="2" s="1"/>
  <c r="C110" i="2" l="1"/>
  <c r="F110" i="2" s="1"/>
  <c r="A111" i="2" s="1"/>
  <c r="D111" i="2" s="1"/>
  <c r="G109" i="2"/>
  <c r="B110" i="2"/>
  <c r="H111" i="2"/>
  <c r="B111" i="2" l="1"/>
  <c r="C111" i="2"/>
  <c r="F111" i="2" s="1"/>
  <c r="A112" i="2" s="1"/>
  <c r="D112" i="2" s="1"/>
  <c r="G110" i="2"/>
  <c r="H112" i="2" l="1"/>
  <c r="G111" i="2"/>
  <c r="C112" i="2"/>
  <c r="G112" i="2" s="1"/>
  <c r="B112" i="2"/>
  <c r="F112" i="2" l="1"/>
  <c r="A113" i="2" s="1"/>
  <c r="D113" i="2" s="1"/>
  <c r="H113" i="2" s="1"/>
  <c r="C113" i="2"/>
  <c r="G113" i="2" s="1"/>
  <c r="B113" i="2"/>
  <c r="F113" i="2" l="1"/>
  <c r="A114" i="2" s="1"/>
  <c r="C114" i="2" s="1"/>
  <c r="F114" i="2" s="1"/>
  <c r="A115" i="2" s="1"/>
  <c r="D114" i="2" l="1"/>
  <c r="H114" i="2" s="1"/>
  <c r="B114" i="2"/>
  <c r="B115" i="2" s="1"/>
  <c r="G114" i="2"/>
  <c r="D115" i="2"/>
  <c r="C115" i="2"/>
  <c r="F115" i="2" s="1"/>
  <c r="A116" i="2" s="1"/>
  <c r="H115" i="2" l="1"/>
  <c r="G115" i="2"/>
  <c r="D116" i="2"/>
  <c r="C116" i="2"/>
  <c r="F116" i="2" s="1"/>
  <c r="A117" i="2" s="1"/>
  <c r="B116" i="2"/>
  <c r="H116" i="2" l="1"/>
  <c r="G116" i="2"/>
  <c r="B117" i="2"/>
  <c r="C117" i="2"/>
  <c r="D117" i="2"/>
  <c r="H117" i="2" s="1"/>
  <c r="G117" i="2" l="1"/>
  <c r="F117" i="2"/>
  <c r="A118" i="2" s="1"/>
  <c r="C118" i="2" s="1"/>
  <c r="F118" i="2" s="1"/>
  <c r="A119" i="2" s="1"/>
  <c r="B118" i="2" l="1"/>
  <c r="B119" i="2" s="1"/>
  <c r="D118" i="2"/>
  <c r="H118" i="2" s="1"/>
  <c r="G118" i="2"/>
  <c r="C119" i="2"/>
  <c r="D119" i="2"/>
  <c r="G119" i="2" l="1"/>
  <c r="H119" i="2"/>
  <c r="K119" i="2" s="1"/>
  <c r="L26" i="1" s="1"/>
  <c r="F119" i="2"/>
  <c r="J119" i="2" s="1"/>
  <c r="A120" i="2" l="1"/>
  <c r="B120" i="2" s="1"/>
  <c r="L53" i="1"/>
  <c r="C120" i="2" l="1"/>
  <c r="F120" i="2" s="1"/>
  <c r="A121" i="2" s="1"/>
  <c r="D121" i="2" s="1"/>
  <c r="D120" i="2"/>
  <c r="H120" i="2" s="1"/>
  <c r="G120" i="2" l="1"/>
  <c r="H121" i="2"/>
  <c r="C121" i="2"/>
  <c r="F121" i="2" s="1"/>
  <c r="A122" i="2" s="1"/>
  <c r="B121" i="2"/>
  <c r="G121" i="2" l="1"/>
  <c r="B122" i="2"/>
  <c r="D122" i="2"/>
  <c r="H122" i="2" s="1"/>
  <c r="C122" i="2"/>
  <c r="G122" i="2" l="1"/>
  <c r="F122" i="2"/>
  <c r="A123" i="2" s="1"/>
  <c r="B123" i="2" l="1"/>
  <c r="C123" i="2"/>
  <c r="G123" i="2" s="1"/>
  <c r="D123" i="2"/>
  <c r="H123" i="2" s="1"/>
  <c r="F123" i="2" l="1"/>
  <c r="A124" i="2" s="1"/>
  <c r="D124" i="2" s="1"/>
  <c r="H124" i="2" s="1"/>
  <c r="B124" i="2" l="1"/>
  <c r="C124" i="2"/>
  <c r="G124" i="2" s="1"/>
  <c r="F124" i="2" l="1"/>
  <c r="A125" i="2" s="1"/>
  <c r="C125" i="2" l="1"/>
  <c r="G125" i="2" s="1"/>
  <c r="D125" i="2"/>
  <c r="H125" i="2" s="1"/>
  <c r="B125" i="2"/>
  <c r="F125" i="2" l="1"/>
  <c r="A126" i="2" s="1"/>
  <c r="C126" i="2" l="1"/>
  <c r="F126" i="2" s="1"/>
  <c r="A127" i="2" s="1"/>
  <c r="B126" i="2"/>
  <c r="D126" i="2"/>
  <c r="H126" i="2" s="1"/>
  <c r="G126" i="2" l="1"/>
  <c r="C127" i="2"/>
  <c r="G127" i="2" s="1"/>
  <c r="D127" i="2"/>
  <c r="H127" i="2" s="1"/>
  <c r="B127" i="2"/>
  <c r="F127" i="2" l="1"/>
  <c r="A128" i="2" s="1"/>
  <c r="C128" i="2" l="1"/>
  <c r="F128" i="2" s="1"/>
  <c r="A129" i="2" s="1"/>
  <c r="D128" i="2"/>
  <c r="H128" i="2" s="1"/>
  <c r="B128" i="2"/>
  <c r="G128" i="2" l="1"/>
  <c r="B129" i="2"/>
  <c r="D129" i="2"/>
  <c r="H129" i="2" s="1"/>
  <c r="C129" i="2"/>
  <c r="G129" i="2" l="1"/>
  <c r="F129" i="2"/>
  <c r="A130" i="2" s="1"/>
  <c r="B130" i="2" l="1"/>
  <c r="D130" i="2"/>
  <c r="H130" i="2" s="1"/>
  <c r="C130" i="2"/>
  <c r="G130" i="2" s="1"/>
  <c r="F130" i="2" l="1"/>
  <c r="A131" i="2" s="1"/>
  <c r="D131" i="2" l="1"/>
  <c r="H131" i="2" s="1"/>
  <c r="K131" i="2" s="1"/>
  <c r="M26" i="1" s="1"/>
  <c r="B131" i="2"/>
  <c r="C131" i="2"/>
  <c r="G131" i="2" s="1"/>
  <c r="F131" i="2" l="1"/>
  <c r="A132" i="2" l="1"/>
  <c r="J131" i="2"/>
  <c r="M53" i="1" s="1"/>
  <c r="O67" i="1" s="1"/>
  <c r="D132" i="2" l="1"/>
  <c r="H132" i="2" s="1"/>
  <c r="B132" i="2"/>
  <c r="C132" i="2"/>
  <c r="F132" i="2" s="1"/>
  <c r="A133" i="2" s="1"/>
  <c r="G132" i="2" l="1"/>
  <c r="C133" i="2"/>
  <c r="F133" i="2" s="1"/>
  <c r="A134" i="2" s="1"/>
  <c r="D133" i="2"/>
  <c r="H133" i="2" s="1"/>
  <c r="B133" i="2"/>
  <c r="C134" i="2" l="1"/>
  <c r="F134" i="2" s="1"/>
  <c r="A135" i="2" s="1"/>
  <c r="B134" i="2"/>
  <c r="D134" i="2"/>
  <c r="H134" i="2" s="1"/>
  <c r="G133" i="2"/>
  <c r="G134" i="2" l="1"/>
  <c r="C135" i="2"/>
  <c r="F135" i="2" s="1"/>
  <c r="A136" i="2" s="1"/>
  <c r="B135" i="2"/>
  <c r="D135" i="2"/>
  <c r="H135" i="2" s="1"/>
  <c r="G135" i="2" l="1"/>
  <c r="D136" i="2"/>
  <c r="H136" i="2" s="1"/>
  <c r="B136" i="2"/>
  <c r="C136" i="2"/>
  <c r="F136" i="2" s="1"/>
  <c r="A137" i="2" s="1"/>
  <c r="D137" i="2" l="1"/>
  <c r="H137" i="2" s="1"/>
  <c r="C137" i="2"/>
  <c r="B137" i="2"/>
  <c r="G136" i="2"/>
  <c r="G137" i="2" l="1"/>
  <c r="F137" i="2"/>
  <c r="A138" i="2" s="1"/>
  <c r="B138" i="2" l="1"/>
  <c r="D138" i="2"/>
  <c r="H138" i="2" s="1"/>
  <c r="C138" i="2"/>
  <c r="F138" i="2" s="1"/>
  <c r="A139" i="2" s="1"/>
  <c r="G138" i="2" l="1"/>
  <c r="B139" i="2"/>
  <c r="D139" i="2"/>
  <c r="H139" i="2" s="1"/>
  <c r="C139" i="2"/>
  <c r="G139" i="2" l="1"/>
  <c r="F139" i="2"/>
  <c r="A140" i="2" s="1"/>
  <c r="C140" i="2" l="1"/>
  <c r="G140" i="2" s="1"/>
  <c r="B140" i="2"/>
  <c r="D140" i="2"/>
  <c r="H140" i="2" s="1"/>
  <c r="F140" i="2" l="1"/>
  <c r="A141" i="2" s="1"/>
  <c r="D141" i="2" l="1"/>
  <c r="H141" i="2" s="1"/>
  <c r="C141" i="2"/>
  <c r="G141" i="2" s="1"/>
  <c r="B141" i="2"/>
  <c r="F141" i="2" l="1"/>
  <c r="A142" i="2" s="1"/>
  <c r="C142" i="2" l="1"/>
  <c r="F142" i="2" s="1"/>
  <c r="A143" i="2" s="1"/>
  <c r="D142" i="2"/>
  <c r="H142" i="2" s="1"/>
  <c r="B142" i="2"/>
  <c r="G142" i="2" l="1"/>
  <c r="D143" i="2"/>
  <c r="H143" i="2" s="1"/>
  <c r="B143" i="2"/>
  <c r="C143" i="2"/>
  <c r="G143" i="2" l="1"/>
  <c r="F143" i="2"/>
  <c r="A144" i="2" s="1"/>
  <c r="C144" i="2" l="1"/>
  <c r="F144" i="2" s="1"/>
  <c r="A145" i="2" s="1"/>
  <c r="B144" i="2"/>
  <c r="D144" i="2"/>
  <c r="H144" i="2" s="1"/>
  <c r="G144" i="2" l="1"/>
  <c r="B145" i="2"/>
  <c r="D145" i="2"/>
  <c r="H145" i="2" s="1"/>
  <c r="C145" i="2"/>
  <c r="F145" i="2" s="1"/>
  <c r="A146" i="2" s="1"/>
  <c r="D146" i="2" l="1"/>
  <c r="H146" i="2" s="1"/>
  <c r="B146" i="2"/>
  <c r="C146" i="2"/>
  <c r="G145" i="2"/>
  <c r="G146" i="2" l="1"/>
  <c r="F146" i="2"/>
  <c r="A147" i="2" s="1"/>
  <c r="B147" i="2" l="1"/>
  <c r="D147" i="2"/>
  <c r="H147" i="2" s="1"/>
  <c r="C147" i="2"/>
  <c r="G147" i="2" s="1"/>
  <c r="F147" i="2" l="1"/>
  <c r="A148" i="2" s="1"/>
  <c r="B148" i="2" l="1"/>
  <c r="D148" i="2"/>
  <c r="H148" i="2" s="1"/>
  <c r="C148" i="2"/>
  <c r="G148" i="2" s="1"/>
  <c r="F148" i="2" l="1"/>
  <c r="A149" i="2" s="1"/>
  <c r="C149" i="2" l="1"/>
  <c r="G149" i="2" s="1"/>
  <c r="B149" i="2"/>
  <c r="D149" i="2"/>
  <c r="H149" i="2" s="1"/>
  <c r="F149" i="2" l="1"/>
  <c r="A150" i="2" s="1"/>
  <c r="D150" i="2" s="1"/>
  <c r="H150" i="2" s="1"/>
  <c r="C150" i="2" l="1"/>
  <c r="F150" i="2" s="1"/>
  <c r="A151" i="2" s="1"/>
  <c r="D151" i="2" s="1"/>
  <c r="H151" i="2" s="1"/>
  <c r="B150" i="2"/>
  <c r="B151" i="2" l="1"/>
  <c r="C151" i="2"/>
  <c r="G150" i="2"/>
  <c r="G151" i="2" l="1"/>
  <c r="F151" i="2"/>
  <c r="A152" i="2" s="1"/>
  <c r="D152" i="2" s="1"/>
  <c r="H152" i="2" s="1"/>
  <c r="C152" i="2" l="1"/>
  <c r="F152" i="2" s="1"/>
  <c r="A153" i="2" s="1"/>
  <c r="D153" i="2" s="1"/>
  <c r="H153" i="2" s="1"/>
  <c r="B152" i="2"/>
  <c r="B153" i="2" l="1"/>
  <c r="C153" i="2"/>
  <c r="F153" i="2" s="1"/>
  <c r="A154" i="2" s="1"/>
  <c r="D154" i="2" s="1"/>
  <c r="H154" i="2" s="1"/>
  <c r="G152" i="2"/>
  <c r="C154" i="2" l="1"/>
  <c r="F154" i="2" s="1"/>
  <c r="A155" i="2" s="1"/>
  <c r="C155" i="2" s="1"/>
  <c r="F155" i="2" s="1"/>
  <c r="A156" i="2" s="1"/>
  <c r="B154" i="2"/>
  <c r="G153" i="2"/>
  <c r="G154" i="2" l="1"/>
  <c r="G155" i="2" s="1"/>
  <c r="B155" i="2"/>
  <c r="B156" i="2" s="1"/>
  <c r="D155" i="2"/>
  <c r="H155" i="2" s="1"/>
  <c r="D156" i="2"/>
  <c r="C156" i="2"/>
  <c r="H156" i="2" l="1"/>
  <c r="G156" i="2"/>
  <c r="F156" i="2"/>
  <c r="A157" i="2" s="1"/>
  <c r="C157" i="2" l="1"/>
  <c r="F157" i="2" s="1"/>
  <c r="A158" i="2" s="1"/>
  <c r="D157" i="2"/>
  <c r="H157" i="2" s="1"/>
  <c r="B157" i="2"/>
  <c r="B158" i="2" l="1"/>
  <c r="C158" i="2"/>
  <c r="F158" i="2" s="1"/>
  <c r="A159" i="2" s="1"/>
  <c r="D158" i="2"/>
  <c r="H158" i="2" s="1"/>
  <c r="G157" i="2"/>
  <c r="B159" i="2" l="1"/>
  <c r="C159" i="2"/>
  <c r="D159" i="2"/>
  <c r="H159" i="2" s="1"/>
  <c r="G158" i="2"/>
  <c r="G159" i="2" l="1"/>
  <c r="F159" i="2"/>
  <c r="A160" i="2" s="1"/>
  <c r="B160" i="2" l="1"/>
  <c r="D160" i="2"/>
  <c r="H160" i="2" s="1"/>
  <c r="C160" i="2"/>
  <c r="F160" i="2" s="1"/>
  <c r="A161" i="2" s="1"/>
  <c r="B161" i="2" l="1"/>
  <c r="C161" i="2"/>
  <c r="F161" i="2" s="1"/>
  <c r="A162" i="2" s="1"/>
  <c r="D161" i="2"/>
  <c r="H161" i="2" s="1"/>
  <c r="G160" i="2"/>
  <c r="G161" i="2" l="1"/>
  <c r="D162" i="2"/>
  <c r="H162" i="2" s="1"/>
  <c r="B162" i="2"/>
  <c r="C162" i="2"/>
  <c r="F162" i="2" s="1"/>
  <c r="A163" i="2" s="1"/>
  <c r="B163" i="2" l="1"/>
  <c r="C163" i="2"/>
  <c r="F163" i="2" s="1"/>
  <c r="A164" i="2" s="1"/>
  <c r="D163" i="2"/>
  <c r="H163" i="2" s="1"/>
  <c r="G162" i="2"/>
  <c r="G163" i="2" l="1"/>
  <c r="C164" i="2"/>
  <c r="D164" i="2"/>
  <c r="H164" i="2" s="1"/>
  <c r="B164" i="2"/>
  <c r="G164" i="2" l="1"/>
  <c r="F164" i="2"/>
  <c r="A165" i="2" s="1"/>
  <c r="B165" i="2" l="1"/>
  <c r="D165" i="2"/>
  <c r="H165" i="2" s="1"/>
  <c r="C165" i="2"/>
  <c r="G165" i="2" s="1"/>
  <c r="F165" i="2" l="1"/>
  <c r="A166" i="2" s="1"/>
  <c r="B166" i="2" l="1"/>
  <c r="C166" i="2"/>
  <c r="F166" i="2" s="1"/>
  <c r="A167" i="2" s="1"/>
  <c r="D166" i="2"/>
  <c r="H166" i="2" s="1"/>
  <c r="G166" i="2" l="1"/>
  <c r="D167" i="2"/>
  <c r="H167" i="2" s="1"/>
  <c r="C167" i="2"/>
  <c r="B167" i="2"/>
  <c r="G167" i="2" l="1"/>
  <c r="F167" i="2"/>
  <c r="A168" i="2" s="1"/>
  <c r="C168" i="2" s="1"/>
  <c r="G168" i="2" l="1"/>
  <c r="F168" i="2"/>
  <c r="A169" i="2" s="1"/>
  <c r="B168" i="2"/>
  <c r="B169" i="2" s="1"/>
  <c r="D168" i="2"/>
  <c r="H168" i="2" s="1"/>
  <c r="C169" i="2" l="1"/>
  <c r="D169" i="2"/>
  <c r="H169" i="2" s="1"/>
  <c r="G169" i="2" l="1"/>
  <c r="F169" i="2"/>
  <c r="A170" i="2" s="1"/>
  <c r="C170" i="2" l="1"/>
  <c r="G170" i="2" s="1"/>
  <c r="B170" i="2"/>
  <c r="D170" i="2"/>
  <c r="H170" i="2" s="1"/>
  <c r="F170" i="2" l="1"/>
  <c r="A171" i="2" s="1"/>
  <c r="B171" i="2" l="1"/>
  <c r="C171" i="2"/>
  <c r="G171" i="2" s="1"/>
  <c r="D171" i="2"/>
  <c r="H171" i="2" s="1"/>
  <c r="F171" i="2" l="1"/>
  <c r="A172" i="2" s="1"/>
  <c r="D172" i="2" l="1"/>
  <c r="H172" i="2" s="1"/>
  <c r="B172" i="2"/>
  <c r="C172" i="2"/>
  <c r="F172" i="2" l="1"/>
  <c r="A173" i="2" s="1"/>
  <c r="G172" i="2"/>
  <c r="B173" i="2" l="1"/>
  <c r="C173" i="2"/>
  <c r="F173" i="2" s="1"/>
  <c r="A174" i="2" s="1"/>
  <c r="D173" i="2"/>
  <c r="H173" i="2" s="1"/>
  <c r="D174" i="2" l="1"/>
  <c r="H174" i="2" s="1"/>
  <c r="B174" i="2"/>
  <c r="C174" i="2"/>
  <c r="F174" i="2" s="1"/>
  <c r="A175" i="2" s="1"/>
  <c r="G173" i="2"/>
  <c r="G174" i="2" l="1"/>
  <c r="C175" i="2"/>
  <c r="D175" i="2"/>
  <c r="H175" i="2" s="1"/>
  <c r="B175" i="2"/>
  <c r="G175" i="2" l="1"/>
  <c r="F175" i="2"/>
  <c r="A176" i="2" s="1"/>
  <c r="C176" i="2" s="1"/>
  <c r="F176" i="2" s="1"/>
  <c r="A177" i="2" s="1"/>
  <c r="D176" i="2" l="1"/>
  <c r="H176" i="2" s="1"/>
  <c r="B176" i="2"/>
  <c r="B177" i="2" s="1"/>
  <c r="G176" i="2"/>
  <c r="D177" i="2"/>
  <c r="C177" i="2"/>
  <c r="G177" i="2" l="1"/>
  <c r="H177" i="2"/>
  <c r="F177" i="2"/>
  <c r="A178" i="2" s="1"/>
  <c r="D178" i="2" l="1"/>
  <c r="H178" i="2" s="1"/>
  <c r="C178" i="2"/>
  <c r="B178" i="2"/>
  <c r="F178" i="2" l="1"/>
  <c r="A179" i="2" s="1"/>
  <c r="G178" i="2"/>
  <c r="C179" i="2" l="1"/>
  <c r="F179" i="2" s="1"/>
  <c r="A180" i="2" s="1"/>
  <c r="B179" i="2"/>
  <c r="D179" i="2"/>
  <c r="H179" i="2" s="1"/>
  <c r="G179" i="2" l="1"/>
  <c r="D180" i="2"/>
  <c r="H180" i="2" s="1"/>
  <c r="C180" i="2"/>
  <c r="F180" i="2" s="1"/>
  <c r="A181" i="2" s="1"/>
  <c r="B180" i="2"/>
  <c r="G180" i="2" l="1"/>
  <c r="D181" i="2"/>
  <c r="H181" i="2" s="1"/>
  <c r="B181" i="2"/>
  <c r="C181" i="2"/>
  <c r="G181" i="2" l="1"/>
  <c r="F181" i="2"/>
  <c r="A182" i="2" s="1"/>
  <c r="D182" i="2" s="1"/>
  <c r="H182" i="2" s="1"/>
  <c r="B182" i="2" l="1"/>
  <c r="C182" i="2"/>
  <c r="F182" i="2" s="1"/>
  <c r="A183" i="2" s="1"/>
  <c r="D183" i="2" s="1"/>
  <c r="H183" i="2" s="1"/>
  <c r="B183" i="2" l="1"/>
  <c r="C183" i="2"/>
  <c r="F183" i="2" s="1"/>
  <c r="A184" i="2" s="1"/>
  <c r="G182" i="2"/>
  <c r="B184" i="2" l="1"/>
  <c r="G183" i="2"/>
  <c r="D184" i="2"/>
  <c r="H184" i="2" s="1"/>
  <c r="C184" i="2"/>
  <c r="G184" i="2" l="1"/>
  <c r="F184" i="2"/>
  <c r="A185" i="2" s="1"/>
  <c r="B185" i="2" l="1"/>
  <c r="C185" i="2"/>
  <c r="G185" i="2" s="1"/>
  <c r="D185" i="2"/>
  <c r="H185" i="2" s="1"/>
  <c r="F185" i="2" l="1"/>
  <c r="A186" i="2" s="1"/>
  <c r="D186" i="2" s="1"/>
  <c r="H186" i="2" s="1"/>
  <c r="B186" i="2" l="1"/>
  <c r="C186" i="2"/>
  <c r="G186" i="2" s="1"/>
  <c r="F186" i="2" l="1"/>
  <c r="A187" i="2" s="1"/>
  <c r="B187" i="2" l="1"/>
  <c r="C187" i="2"/>
  <c r="F187" i="2" s="1"/>
  <c r="A188" i="2" s="1"/>
  <c r="D187" i="2"/>
  <c r="H187" i="2" s="1"/>
  <c r="G187" i="2" l="1"/>
  <c r="D188" i="2"/>
  <c r="H188" i="2" s="1"/>
  <c r="C188" i="2"/>
  <c r="F188" i="2" s="1"/>
  <c r="A189" i="2" s="1"/>
  <c r="B188" i="2"/>
  <c r="B189" i="2" l="1"/>
  <c r="C189" i="2"/>
  <c r="F189" i="2" s="1"/>
  <c r="A190" i="2" s="1"/>
  <c r="D189" i="2"/>
  <c r="H189" i="2" s="1"/>
  <c r="G188" i="2"/>
  <c r="B190" i="2" l="1"/>
  <c r="C190" i="2"/>
  <c r="D190" i="2"/>
  <c r="H190" i="2" s="1"/>
  <c r="G189" i="2"/>
  <c r="G190" i="2" l="1"/>
  <c r="F190" i="2"/>
  <c r="A191" i="2" s="1"/>
  <c r="C191" i="2" l="1"/>
  <c r="G191" i="2" s="1"/>
  <c r="D191" i="2"/>
  <c r="H191" i="2" s="1"/>
  <c r="B191" i="2"/>
  <c r="F191" i="2" l="1"/>
  <c r="A192" i="2" s="1"/>
  <c r="D192" i="2" s="1"/>
  <c r="H192" i="2" s="1"/>
  <c r="C192" i="2" l="1"/>
  <c r="F192" i="2" s="1"/>
  <c r="A193" i="2" s="1"/>
  <c r="D193" i="2" s="1"/>
  <c r="H193" i="2" s="1"/>
  <c r="B192" i="2"/>
  <c r="B193" i="2" l="1"/>
  <c r="G192" i="2"/>
  <c r="C193" i="2"/>
  <c r="F193" i="2" s="1"/>
  <c r="A194" i="2" s="1"/>
  <c r="D194" i="2" s="1"/>
  <c r="H194" i="2" s="1"/>
  <c r="C194" i="2" l="1"/>
  <c r="F194" i="2" s="1"/>
  <c r="A195" i="2" s="1"/>
  <c r="B194" i="2"/>
  <c r="G193" i="2"/>
  <c r="B195" i="2" l="1"/>
  <c r="C195" i="2"/>
  <c r="F195" i="2" s="1"/>
  <c r="A196" i="2" s="1"/>
  <c r="D195" i="2"/>
  <c r="H195" i="2" s="1"/>
  <c r="G194" i="2"/>
  <c r="G195" i="2" s="1"/>
  <c r="C196" i="2" l="1"/>
  <c r="G196" i="2" s="1"/>
  <c r="B196" i="2"/>
  <c r="D196" i="2"/>
  <c r="H196" i="2" s="1"/>
  <c r="F196" i="2" l="1"/>
  <c r="A197" i="2" s="1"/>
  <c r="C197" i="2" s="1"/>
  <c r="G197" i="2" s="1"/>
  <c r="D197" i="2" l="1"/>
  <c r="H197" i="2" s="1"/>
  <c r="B197" i="2"/>
  <c r="F197" i="2"/>
  <c r="A198" i="2" s="1"/>
  <c r="B198" i="2" l="1"/>
  <c r="D198" i="2"/>
  <c r="H198" i="2" s="1"/>
  <c r="C198" i="2"/>
  <c r="G198" i="2" s="1"/>
  <c r="F198" i="2" l="1"/>
  <c r="A199" i="2" s="1"/>
  <c r="C199" i="2" l="1"/>
  <c r="G199" i="2" s="1"/>
  <c r="D199" i="2"/>
  <c r="H199" i="2" s="1"/>
  <c r="B199" i="2"/>
  <c r="F199" i="2" l="1"/>
  <c r="A200" i="2" s="1"/>
  <c r="D200" i="2" s="1"/>
  <c r="H200" i="2" s="1"/>
  <c r="C200" i="2" l="1"/>
  <c r="F200" i="2" s="1"/>
  <c r="A201" i="2" s="1"/>
  <c r="C201" i="2" s="1"/>
  <c r="B200" i="2"/>
  <c r="B201" i="2" l="1"/>
  <c r="D201" i="2"/>
  <c r="H201" i="2" s="1"/>
  <c r="G200" i="2"/>
  <c r="G201" i="2" s="1"/>
  <c r="F201" i="2"/>
  <c r="A202" i="2" s="1"/>
  <c r="C202" i="2" l="1"/>
  <c r="F202" i="2" s="1"/>
  <c r="A203" i="2" s="1"/>
  <c r="D202" i="2"/>
  <c r="H202" i="2" s="1"/>
  <c r="B202" i="2"/>
  <c r="G202" i="2" l="1"/>
  <c r="D203" i="2"/>
  <c r="H203" i="2" s="1"/>
  <c r="B203" i="2"/>
  <c r="C203" i="2"/>
  <c r="G203" i="2" l="1"/>
  <c r="F203" i="2"/>
  <c r="A204" i="2" s="1"/>
  <c r="C204" i="2" l="1"/>
  <c r="G204" i="2" s="1"/>
  <c r="D204" i="2"/>
  <c r="H204" i="2" s="1"/>
  <c r="B204" i="2"/>
  <c r="F204" i="2" l="1"/>
  <c r="A205" i="2" s="1"/>
  <c r="D205" i="2" l="1"/>
  <c r="H205" i="2" s="1"/>
  <c r="C205" i="2"/>
  <c r="G205" i="2" s="1"/>
  <c r="B205" i="2"/>
  <c r="F205" i="2" l="1"/>
  <c r="A206" i="2" s="1"/>
  <c r="C206" i="2" l="1"/>
  <c r="F206" i="2" s="1"/>
  <c r="A207" i="2" s="1"/>
  <c r="B206" i="2"/>
  <c r="D206" i="2"/>
  <c r="H206" i="2" s="1"/>
  <c r="G206" i="2" l="1"/>
  <c r="D207" i="2"/>
  <c r="H207" i="2" s="1"/>
  <c r="B207" i="2"/>
  <c r="C207" i="2"/>
  <c r="G207" i="2" l="1"/>
  <c r="F207" i="2"/>
  <c r="A208" i="2" s="1"/>
  <c r="C208" i="2" l="1"/>
  <c r="F208" i="2" s="1"/>
  <c r="A209" i="2" s="1"/>
  <c r="B208" i="2"/>
  <c r="D208" i="2"/>
  <c r="H208" i="2" s="1"/>
  <c r="G208" i="2" l="1"/>
  <c r="B209" i="2"/>
  <c r="C209" i="2"/>
  <c r="F209" i="2" s="1"/>
  <c r="A210" i="2" s="1"/>
  <c r="D209" i="2"/>
  <c r="H209" i="2" s="1"/>
  <c r="B210" i="2" l="1"/>
  <c r="D210" i="2"/>
  <c r="H210" i="2" s="1"/>
  <c r="C210" i="2"/>
  <c r="F210" i="2" s="1"/>
  <c r="A211" i="2" s="1"/>
  <c r="G209" i="2"/>
  <c r="C211" i="2" l="1"/>
  <c r="D211" i="2"/>
  <c r="H211" i="2" s="1"/>
  <c r="B211" i="2"/>
  <c r="G210" i="2"/>
  <c r="G211" i="2" l="1"/>
  <c r="F211" i="2"/>
  <c r="A212" i="2" s="1"/>
  <c r="C212" i="2" l="1"/>
  <c r="F212" i="2" s="1"/>
  <c r="A213" i="2" s="1"/>
  <c r="B212" i="2"/>
  <c r="D212" i="2"/>
  <c r="H212" i="2" s="1"/>
  <c r="B213" i="2" l="1"/>
  <c r="D213" i="2"/>
  <c r="H213" i="2" s="1"/>
  <c r="C213" i="2"/>
  <c r="G212" i="2"/>
  <c r="G213" i="2" l="1"/>
  <c r="F213" i="2"/>
  <c r="A214" i="2" s="1"/>
  <c r="D214" i="2" l="1"/>
  <c r="H214" i="2" s="1"/>
  <c r="C214" i="2"/>
  <c r="F214" i="2" s="1"/>
  <c r="A215" i="2" s="1"/>
  <c r="B214" i="2"/>
  <c r="G214" i="2" l="1"/>
  <c r="B215" i="2"/>
  <c r="D215" i="2"/>
  <c r="H215" i="2" s="1"/>
  <c r="C215" i="2"/>
  <c r="F215" i="2" s="1"/>
  <c r="A216" i="2" s="1"/>
  <c r="C216" i="2" l="1"/>
  <c r="F216" i="2" s="1"/>
  <c r="A217" i="2" s="1"/>
  <c r="D216" i="2"/>
  <c r="H216" i="2" s="1"/>
  <c r="B216" i="2"/>
  <c r="G215" i="2"/>
  <c r="G216" i="2" l="1"/>
  <c r="B217" i="2"/>
  <c r="C217" i="2"/>
  <c r="D217" i="2"/>
  <c r="H217" i="2" s="1"/>
  <c r="G217" i="2" l="1"/>
  <c r="F217" i="2"/>
  <c r="A218" i="2" s="1"/>
  <c r="B218" i="2" l="1"/>
  <c r="D218" i="2"/>
  <c r="H218" i="2" s="1"/>
  <c r="C218" i="2"/>
  <c r="F218" i="2" s="1"/>
  <c r="A219" i="2" s="1"/>
  <c r="C219" i="2" l="1"/>
  <c r="D219" i="2"/>
  <c r="H219" i="2" s="1"/>
  <c r="B219" i="2"/>
  <c r="G218" i="2"/>
  <c r="G219" i="2" l="1"/>
  <c r="F219" i="2"/>
  <c r="A220" i="2" s="1"/>
  <c r="C220" i="2" l="1"/>
  <c r="F220" i="2" s="1"/>
  <c r="A221" i="2" s="1"/>
  <c r="B220" i="2"/>
  <c r="D220" i="2"/>
  <c r="H220" i="2" s="1"/>
  <c r="B221" i="2" l="1"/>
  <c r="D221" i="2"/>
  <c r="H221" i="2" s="1"/>
  <c r="C221" i="2"/>
  <c r="F221" i="2" s="1"/>
  <c r="A222" i="2" s="1"/>
  <c r="G220" i="2"/>
  <c r="C222" i="2" l="1"/>
  <c r="F222" i="2" s="1"/>
  <c r="A223" i="2" s="1"/>
  <c r="B222" i="2"/>
  <c r="D222" i="2"/>
  <c r="H222" i="2" s="1"/>
  <c r="G221" i="2"/>
  <c r="B223" i="2" l="1"/>
  <c r="D223" i="2"/>
  <c r="H223" i="2" s="1"/>
  <c r="C223" i="2"/>
  <c r="G222" i="2"/>
  <c r="G223" i="2" l="1"/>
  <c r="F223" i="2"/>
  <c r="A224" i="2" s="1"/>
  <c r="B224" i="2" l="1"/>
  <c r="C224" i="2"/>
  <c r="F224" i="2" s="1"/>
  <c r="A225" i="2" s="1"/>
  <c r="D224" i="2"/>
  <c r="H224" i="2" s="1"/>
  <c r="G224" i="2" l="1"/>
  <c r="B225" i="2"/>
  <c r="C225" i="2"/>
  <c r="F225" i="2" s="1"/>
  <c r="A226" i="2" s="1"/>
  <c r="D225" i="2"/>
  <c r="H225" i="2" s="1"/>
  <c r="C226" i="2" l="1"/>
  <c r="F226" i="2" s="1"/>
  <c r="A227" i="2" s="1"/>
  <c r="B226" i="2"/>
  <c r="D226" i="2"/>
  <c r="H226" i="2" s="1"/>
  <c r="G225" i="2"/>
  <c r="D227" i="2" l="1"/>
  <c r="H227" i="2" s="1"/>
  <c r="B227" i="2"/>
  <c r="C227" i="2"/>
  <c r="F227" i="2" s="1"/>
  <c r="A228" i="2" s="1"/>
  <c r="G226" i="2"/>
  <c r="B228" i="2" l="1"/>
  <c r="D228" i="2"/>
  <c r="H228" i="2" s="1"/>
  <c r="C228" i="2"/>
  <c r="F228" i="2" s="1"/>
  <c r="A229" i="2" s="1"/>
  <c r="G227" i="2"/>
  <c r="B229" i="2" l="1"/>
  <c r="D229" i="2"/>
  <c r="H229" i="2" s="1"/>
  <c r="C229" i="2"/>
  <c r="G228" i="2"/>
  <c r="G229" i="2" l="1"/>
  <c r="F229" i="2"/>
  <c r="A230" i="2" s="1"/>
  <c r="C230" i="2" l="1"/>
  <c r="G230" i="2" s="1"/>
  <c r="B230" i="2"/>
  <c r="D230" i="2"/>
  <c r="H230" i="2" s="1"/>
  <c r="F230" i="2" l="1"/>
  <c r="A231" i="2" s="1"/>
  <c r="C231" i="2" s="1"/>
  <c r="F231" i="2" s="1"/>
  <c r="A232" i="2" s="1"/>
  <c r="B231" i="2" l="1"/>
  <c r="B232" i="2" s="1"/>
  <c r="G231" i="2"/>
  <c r="D231" i="2"/>
  <c r="H231" i="2" s="1"/>
  <c r="D232" i="2"/>
  <c r="C232" i="2"/>
  <c r="F232" i="2" s="1"/>
  <c r="A233" i="2" s="1"/>
  <c r="H232" i="2" l="1"/>
  <c r="C233" i="2"/>
  <c r="F233" i="2" s="1"/>
  <c r="A234" i="2" s="1"/>
  <c r="B233" i="2"/>
  <c r="D233" i="2"/>
  <c r="G232" i="2"/>
  <c r="H233" i="2" l="1"/>
  <c r="D234" i="2"/>
  <c r="B234" i="2"/>
  <c r="C234" i="2"/>
  <c r="G233" i="2"/>
  <c r="H234" i="2" l="1"/>
  <c r="G234" i="2"/>
  <c r="F234" i="2"/>
  <c r="A235" i="2" s="1"/>
  <c r="C235" i="2" l="1"/>
  <c r="G235" i="2" s="1"/>
  <c r="B235" i="2"/>
  <c r="D235" i="2"/>
  <c r="H235" i="2" s="1"/>
  <c r="F235" i="2" l="1"/>
  <c r="A236" i="2" s="1"/>
  <c r="D236" i="2" s="1"/>
  <c r="H236" i="2" s="1"/>
  <c r="B236" i="2" l="1"/>
  <c r="C236" i="2"/>
  <c r="G236" i="2" l="1"/>
  <c r="F236" i="2"/>
  <c r="A237" i="2" s="1"/>
  <c r="B237" i="2" l="1"/>
  <c r="C237" i="2"/>
  <c r="G237" i="2" s="1"/>
  <c r="D237" i="2"/>
  <c r="H237" i="2" s="1"/>
  <c r="F237" i="2" l="1"/>
  <c r="A238" i="2" s="1"/>
  <c r="D238" i="2" l="1"/>
  <c r="H238" i="2" s="1"/>
  <c r="B238" i="2"/>
  <c r="C238" i="2"/>
  <c r="F238" i="2" s="1"/>
  <c r="A239" i="2" s="1"/>
  <c r="G238" i="2" l="1"/>
  <c r="B239" i="2"/>
  <c r="D239" i="2"/>
  <c r="H239" i="2" s="1"/>
  <c r="C239" i="2"/>
  <c r="G239" i="2" l="1"/>
  <c r="F239" i="2"/>
  <c r="A240" i="2" s="1"/>
  <c r="B240" i="2" s="1"/>
  <c r="D240" i="2" l="1"/>
  <c r="H240" i="2" s="1"/>
  <c r="C240" i="2"/>
  <c r="F240" i="2" s="1"/>
  <c r="A241" i="2" s="1"/>
  <c r="D241" i="2" s="1"/>
  <c r="G240" i="2" l="1"/>
  <c r="H241" i="2"/>
  <c r="B241" i="2"/>
  <c r="C241" i="2"/>
  <c r="F241" i="2" s="1"/>
  <c r="A242" i="2" s="1"/>
  <c r="C242" i="2" s="1"/>
  <c r="F242" i="2" s="1"/>
  <c r="A243" i="2" s="1"/>
  <c r="G241" i="2" l="1"/>
  <c r="G242" i="2" s="1"/>
  <c r="D242" i="2"/>
  <c r="H242" i="2" s="1"/>
  <c r="B242" i="2"/>
  <c r="B243" i="2" s="1"/>
  <c r="C243" i="2"/>
  <c r="D243" i="2"/>
  <c r="H243" i="2" l="1"/>
  <c r="G243" i="2"/>
  <c r="F243" i="2"/>
  <c r="A244" i="2" s="1"/>
  <c r="D244" i="2" l="1"/>
  <c r="H244" i="2" s="1"/>
  <c r="B244" i="2"/>
  <c r="C244" i="2"/>
  <c r="F244" i="2" s="1"/>
  <c r="A245" i="2" s="1"/>
  <c r="D245" i="2" l="1"/>
  <c r="H245" i="2" s="1"/>
  <c r="C245" i="2"/>
  <c r="B245" i="2"/>
  <c r="G244" i="2"/>
  <c r="G245" i="2" l="1"/>
  <c r="F245" i="2"/>
  <c r="A246" i="2" s="1"/>
  <c r="C246" i="2" l="1"/>
  <c r="F246" i="2" s="1"/>
  <c r="A247" i="2" s="1"/>
  <c r="D246" i="2"/>
  <c r="H246" i="2" s="1"/>
  <c r="B246" i="2"/>
  <c r="B247" i="2" l="1"/>
  <c r="D247" i="2"/>
  <c r="H247" i="2" s="1"/>
  <c r="C247" i="2"/>
  <c r="F247" i="2" s="1"/>
  <c r="A248" i="2" s="1"/>
  <c r="C248" i="2" s="1"/>
  <c r="F248" i="2" s="1"/>
  <c r="A249" i="2" s="1"/>
  <c r="D249" i="2" s="1"/>
  <c r="G246" i="2"/>
  <c r="C249" i="2" l="1"/>
  <c r="D248" i="2"/>
  <c r="H248" i="2" s="1"/>
  <c r="H249" i="2" s="1"/>
  <c r="B248" i="2"/>
  <c r="B249" i="2" s="1"/>
  <c r="G247" i="2"/>
  <c r="G248" i="2" s="1"/>
  <c r="F249" i="2"/>
  <c r="A250" i="2" s="1"/>
  <c r="G249" i="2" l="1"/>
  <c r="C250" i="2"/>
  <c r="F250" i="2" s="1"/>
  <c r="A251" i="2" s="1"/>
  <c r="B250" i="2"/>
  <c r="D250" i="2"/>
  <c r="H250" i="2" s="1"/>
  <c r="G250" i="2" l="1"/>
  <c r="C251" i="2"/>
  <c r="F251" i="2" s="1"/>
  <c r="A252" i="2" s="1"/>
  <c r="B251" i="2"/>
  <c r="D251" i="2"/>
  <c r="H251" i="2" s="1"/>
  <c r="G251" i="2" l="1"/>
  <c r="C252" i="2"/>
  <c r="F252" i="2" s="1"/>
  <c r="A253" i="2" s="1"/>
  <c r="D252" i="2"/>
  <c r="H252" i="2" s="1"/>
  <c r="B252" i="2"/>
  <c r="G252" i="2" l="1"/>
  <c r="C253" i="2"/>
  <c r="B253" i="2"/>
  <c r="D253" i="2"/>
  <c r="H253" i="2" s="1"/>
  <c r="G253" i="2" l="1"/>
  <c r="F253" i="2"/>
  <c r="A254" i="2" s="1"/>
  <c r="C254" i="2" l="1"/>
  <c r="G254" i="2" s="1"/>
  <c r="D254" i="2"/>
  <c r="H254" i="2" s="1"/>
  <c r="B254" i="2"/>
  <c r="F254" i="2" l="1"/>
  <c r="A255" i="2" s="1"/>
  <c r="B255" i="2" l="1"/>
  <c r="C255" i="2"/>
  <c r="G255" i="2" s="1"/>
  <c r="D255" i="2"/>
  <c r="H255" i="2" s="1"/>
  <c r="F255" i="2" l="1"/>
  <c r="A256" i="2" s="1"/>
  <c r="C256" i="2" s="1"/>
  <c r="F256" i="2" s="1"/>
  <c r="A257" i="2" s="1"/>
  <c r="B256" i="2" l="1"/>
  <c r="B257" i="2" s="1"/>
  <c r="D256" i="2"/>
  <c r="H256" i="2" s="1"/>
  <c r="G256" i="2"/>
  <c r="D257" i="2"/>
  <c r="C257" i="2"/>
  <c r="G257" i="2" l="1"/>
  <c r="H257" i="2"/>
  <c r="F257" i="2"/>
  <c r="A258" i="2" s="1"/>
  <c r="C258" i="2" l="1"/>
  <c r="F258" i="2" s="1"/>
  <c r="A259" i="2" s="1"/>
  <c r="B258" i="2"/>
  <c r="D258" i="2"/>
  <c r="H258" i="2" s="1"/>
  <c r="G258" i="2" l="1"/>
  <c r="B259" i="2"/>
  <c r="D259" i="2"/>
  <c r="H259" i="2" s="1"/>
  <c r="C259" i="2"/>
  <c r="F259" i="2" s="1"/>
  <c r="A260" i="2" s="1"/>
  <c r="G259" i="2" l="1"/>
  <c r="B260" i="2"/>
  <c r="D260" i="2"/>
  <c r="H260" i="2" s="1"/>
  <c r="C260" i="2"/>
  <c r="F260" i="2" s="1"/>
  <c r="A261" i="2" s="1"/>
  <c r="G260" i="2" l="1"/>
  <c r="C261" i="2"/>
  <c r="B261" i="2"/>
  <c r="D261" i="2"/>
  <c r="H261" i="2" s="1"/>
  <c r="G261" i="2" l="1"/>
  <c r="F261" i="2"/>
  <c r="A262" i="2" s="1"/>
  <c r="B262" i="2" l="1"/>
  <c r="C262" i="2"/>
  <c r="G262" i="2" s="1"/>
  <c r="D262" i="2"/>
  <c r="H262" i="2" s="1"/>
  <c r="F262" i="2" l="1"/>
  <c r="A263" i="2" s="1"/>
  <c r="C263" i="2" s="1"/>
  <c r="G263" i="2" s="1"/>
  <c r="D263" i="2" l="1"/>
  <c r="H263" i="2" s="1"/>
  <c r="B263" i="2"/>
  <c r="F263" i="2"/>
  <c r="A264" i="2" s="1"/>
  <c r="B264" i="2" l="1"/>
  <c r="D264" i="2"/>
  <c r="H264" i="2" s="1"/>
  <c r="C264" i="2"/>
  <c r="G264" i="2" s="1"/>
  <c r="F264" i="2" l="1"/>
  <c r="A265" i="2" s="1"/>
  <c r="D265" i="2" l="1"/>
  <c r="H265" i="2" s="1"/>
  <c r="C265" i="2"/>
  <c r="G265" i="2" s="1"/>
  <c r="B265" i="2"/>
  <c r="F265" i="2" l="1"/>
  <c r="A266" i="2" s="1"/>
  <c r="C266" i="2" s="1"/>
  <c r="D266" i="2" l="1"/>
  <c r="H266" i="2" s="1"/>
  <c r="B266" i="2"/>
  <c r="G266" i="2"/>
  <c r="F266" i="2"/>
  <c r="A267" i="2" s="1"/>
  <c r="B267" i="2" l="1"/>
  <c r="C267" i="2"/>
  <c r="F267" i="2" s="1"/>
  <c r="A268" i="2" s="1"/>
  <c r="D267" i="2"/>
  <c r="H267" i="2" s="1"/>
  <c r="B268" i="2" l="1"/>
  <c r="D268" i="2"/>
  <c r="H268" i="2" s="1"/>
  <c r="C268" i="2"/>
  <c r="F268" i="2" s="1"/>
  <c r="A269" i="2" s="1"/>
  <c r="C269" i="2" s="1"/>
  <c r="G267" i="2"/>
  <c r="G268" i="2" l="1"/>
  <c r="G269" i="2" s="1"/>
  <c r="B269" i="2"/>
  <c r="D269" i="2"/>
  <c r="H269" i="2" s="1"/>
  <c r="F269" i="2"/>
  <c r="A270" i="2" s="1"/>
  <c r="B270" i="2" l="1"/>
  <c r="D270" i="2"/>
  <c r="H270" i="2" s="1"/>
  <c r="C270" i="2"/>
  <c r="G270" i="2" l="1"/>
  <c r="F270" i="2"/>
  <c r="A271" i="2" s="1"/>
  <c r="B271" i="2" l="1"/>
  <c r="C271" i="2"/>
  <c r="G271" i="2" s="1"/>
  <c r="D271" i="2"/>
  <c r="H271" i="2" s="1"/>
  <c r="F271" i="2" l="1"/>
  <c r="A272" i="2" s="1"/>
  <c r="B272" i="2" s="1"/>
  <c r="D272" i="2" l="1"/>
  <c r="H272" i="2" s="1"/>
  <c r="C272" i="2"/>
  <c r="F272" i="2" s="1"/>
  <c r="A273" i="2" s="1"/>
  <c r="C273" i="2" s="1"/>
  <c r="G272" i="2" l="1"/>
  <c r="G273" i="2" s="1"/>
  <c r="B273" i="2"/>
  <c r="D273" i="2"/>
  <c r="H273" i="2" s="1"/>
  <c r="F273" i="2"/>
  <c r="A274" i="2" s="1"/>
  <c r="B274" i="2" l="1"/>
  <c r="C274" i="2"/>
  <c r="G274" i="2" s="1"/>
  <c r="D274" i="2"/>
  <c r="H274" i="2" s="1"/>
  <c r="F274" i="2" l="1"/>
  <c r="A275" i="2" s="1"/>
  <c r="D275" i="2" s="1"/>
  <c r="H275" i="2" s="1"/>
  <c r="C275" i="2" l="1"/>
  <c r="G275" i="2" s="1"/>
  <c r="B275" i="2"/>
  <c r="F275" i="2" l="1"/>
  <c r="A276" i="2" s="1"/>
  <c r="D276" i="2" s="1"/>
  <c r="H276" i="2" s="1"/>
  <c r="B276" i="2" l="1"/>
  <c r="C276" i="2"/>
  <c r="G276" i="2" s="1"/>
  <c r="F276" i="2" l="1"/>
  <c r="A277" i="2" s="1"/>
  <c r="C277" i="2" s="1"/>
  <c r="B277" i="2" l="1"/>
  <c r="D277" i="2"/>
  <c r="H277" i="2" s="1"/>
  <c r="G277" i="2"/>
  <c r="F277" i="2"/>
  <c r="A278" i="2" s="1"/>
  <c r="D278" i="2" l="1"/>
  <c r="H278" i="2" s="1"/>
  <c r="B278" i="2"/>
  <c r="C278" i="2"/>
  <c r="G278" i="2" s="1"/>
  <c r="F278" i="2" l="1"/>
  <c r="A279" i="2" s="1"/>
  <c r="B279" i="2" l="1"/>
  <c r="C279" i="2"/>
  <c r="G279" i="2" s="1"/>
  <c r="D279" i="2"/>
  <c r="H279" i="2" s="1"/>
  <c r="F279" i="2" l="1"/>
  <c r="A280" i="2" s="1"/>
  <c r="C280" i="2" l="1"/>
  <c r="F280" i="2" s="1"/>
  <c r="A281" i="2" s="1"/>
  <c r="B280" i="2"/>
  <c r="D280" i="2"/>
  <c r="H280" i="2" s="1"/>
  <c r="G280" i="2" l="1"/>
  <c r="B281" i="2"/>
  <c r="C281" i="2"/>
  <c r="D281" i="2"/>
  <c r="H281" i="2" s="1"/>
  <c r="G281" i="2" l="1"/>
  <c r="F281" i="2"/>
  <c r="A282" i="2" s="1"/>
  <c r="C282" i="2" l="1"/>
  <c r="G282" i="2" s="1"/>
  <c r="D282" i="2"/>
  <c r="H282" i="2" s="1"/>
  <c r="B282" i="2"/>
  <c r="F282" i="2" l="1"/>
  <c r="A283" i="2" s="1"/>
  <c r="B283" i="2" l="1"/>
  <c r="C283" i="2"/>
  <c r="G283" i="2" s="1"/>
  <c r="D283" i="2"/>
  <c r="H283" i="2" s="1"/>
  <c r="F283" i="2" l="1"/>
  <c r="A284" i="2" s="1"/>
  <c r="C284" i="2" s="1"/>
  <c r="F284" i="2" s="1"/>
  <c r="A285" i="2" s="1"/>
  <c r="B284" i="2" l="1"/>
  <c r="B285" i="2" s="1"/>
  <c r="D284" i="2"/>
  <c r="H284" i="2" s="1"/>
  <c r="G284" i="2"/>
  <c r="C285" i="2"/>
  <c r="D285" i="2"/>
  <c r="G285" i="2" l="1"/>
  <c r="H285" i="2"/>
  <c r="F285" i="2"/>
  <c r="A286" i="2" s="1"/>
  <c r="D286" i="2" l="1"/>
  <c r="H286" i="2" s="1"/>
  <c r="B286" i="2"/>
  <c r="C286" i="2"/>
  <c r="F286" i="2" s="1"/>
  <c r="A287" i="2" s="1"/>
  <c r="G286" i="2" l="1"/>
  <c r="C287" i="2"/>
  <c r="F287" i="2" s="1"/>
  <c r="A288" i="2" s="1"/>
  <c r="B287" i="2"/>
  <c r="D287" i="2"/>
  <c r="H287" i="2" s="1"/>
  <c r="G287" i="2" l="1"/>
  <c r="C288" i="2"/>
  <c r="B288" i="2"/>
  <c r="D288" i="2"/>
  <c r="H288" i="2" s="1"/>
  <c r="G288" i="2" l="1"/>
  <c r="F288" i="2"/>
  <c r="A289" i="2" s="1"/>
  <c r="B289" i="2" l="1"/>
  <c r="D289" i="2"/>
  <c r="H289" i="2" s="1"/>
  <c r="C289" i="2"/>
  <c r="G289" i="2" s="1"/>
  <c r="F289" i="2" l="1"/>
  <c r="A290" i="2" s="1"/>
  <c r="D290" i="2" l="1"/>
  <c r="H290" i="2" s="1"/>
  <c r="B290" i="2"/>
  <c r="C290" i="2"/>
  <c r="G290" i="2" s="1"/>
  <c r="F290" i="2" l="1"/>
  <c r="A291" i="2" s="1"/>
  <c r="B291" i="2" l="1"/>
  <c r="C291" i="2"/>
  <c r="G291" i="2" s="1"/>
  <c r="D291" i="2"/>
  <c r="H291" i="2" s="1"/>
  <c r="F291" i="2" l="1"/>
  <c r="A292" i="2" s="1"/>
  <c r="B292" i="2" s="1"/>
  <c r="C292" i="2" l="1"/>
  <c r="F292" i="2" s="1"/>
  <c r="A293" i="2" s="1"/>
  <c r="B293" i="2" s="1"/>
  <c r="D292" i="2"/>
  <c r="H292" i="2" s="1"/>
  <c r="C293" i="2" l="1"/>
  <c r="D293" i="2"/>
  <c r="H293" i="2" s="1"/>
  <c r="G292" i="2"/>
  <c r="G293" i="2" l="1"/>
  <c r="F293" i="2"/>
  <c r="A294" i="2" s="1"/>
  <c r="B294" i="2" s="1"/>
  <c r="C294" i="2" l="1"/>
  <c r="G294" i="2" s="1"/>
  <c r="D294" i="2"/>
  <c r="H294" i="2" s="1"/>
  <c r="F294" i="2" l="1"/>
  <c r="A295" i="2" s="1"/>
  <c r="D295" i="2" s="1"/>
  <c r="H295" i="2" s="1"/>
  <c r="B295" i="2" l="1"/>
  <c r="C295" i="2"/>
  <c r="G295" i="2" s="1"/>
  <c r="F295" i="2" l="1"/>
  <c r="A296" i="2" s="1"/>
  <c r="D296" i="2" s="1"/>
  <c r="H296" i="2" s="1"/>
  <c r="C296" i="2" l="1"/>
  <c r="G296" i="2" s="1"/>
  <c r="B296" i="2"/>
  <c r="F296" i="2" l="1"/>
  <c r="A297" i="2" s="1"/>
  <c r="C297" i="2" s="1"/>
  <c r="G297" i="2" s="1"/>
  <c r="B297" i="2" l="1"/>
  <c r="D297" i="2"/>
  <c r="H297" i="2" s="1"/>
  <c r="F297" i="2"/>
  <c r="A298" i="2" s="1"/>
  <c r="C298" i="2" l="1"/>
  <c r="G298" i="2" s="1"/>
  <c r="D298" i="2"/>
  <c r="H298" i="2" s="1"/>
  <c r="B298" i="2"/>
  <c r="F298" i="2" l="1"/>
  <c r="A299" i="2" s="1"/>
  <c r="B299" i="2" s="1"/>
  <c r="C299" i="2" l="1"/>
  <c r="G299" i="2" s="1"/>
  <c r="D299" i="2"/>
  <c r="H299" i="2" s="1"/>
  <c r="F299" i="2" l="1"/>
  <c r="A300" i="2" s="1"/>
  <c r="C300" i="2" s="1"/>
  <c r="F300" i="2" s="1"/>
  <c r="A301" i="2" s="1"/>
  <c r="D301" i="2" s="1"/>
  <c r="D300" i="2" l="1"/>
  <c r="H300" i="2" s="1"/>
  <c r="H301" i="2" s="1"/>
  <c r="C301" i="2"/>
  <c r="F301" i="2" s="1"/>
  <c r="A302" i="2" s="1"/>
  <c r="G300" i="2"/>
  <c r="B300" i="2"/>
  <c r="B301" i="2" s="1"/>
  <c r="G301" i="2" l="1"/>
  <c r="D302" i="2"/>
  <c r="H302" i="2" s="1"/>
  <c r="C302" i="2"/>
  <c r="F302" i="2" s="1"/>
  <c r="A303" i="2" s="1"/>
  <c r="B302" i="2"/>
  <c r="C303" i="2" l="1"/>
  <c r="F303" i="2" s="1"/>
  <c r="A304" i="2" s="1"/>
  <c r="D303" i="2"/>
  <c r="H303" i="2" s="1"/>
  <c r="B303" i="2"/>
  <c r="G302" i="2"/>
  <c r="G303" i="2" l="1"/>
  <c r="B304" i="2"/>
  <c r="C304" i="2"/>
  <c r="D304" i="2"/>
  <c r="H304" i="2" s="1"/>
  <c r="G304" i="2" l="1"/>
  <c r="F304" i="2"/>
  <c r="A305" i="2" s="1"/>
  <c r="D305" i="2" l="1"/>
  <c r="H305" i="2" s="1"/>
  <c r="C305" i="2"/>
  <c r="G305" i="2" s="1"/>
  <c r="B305" i="2"/>
  <c r="F305" i="2" l="1"/>
  <c r="A306" i="2" s="1"/>
  <c r="C306" i="2" l="1"/>
  <c r="F306" i="2" s="1"/>
  <c r="A307" i="2" s="1"/>
  <c r="D306" i="2"/>
  <c r="H306" i="2" s="1"/>
  <c r="B306" i="2"/>
  <c r="B307" i="2" l="1"/>
  <c r="D307" i="2"/>
  <c r="H307" i="2" s="1"/>
  <c r="C307" i="2"/>
  <c r="F307" i="2" s="1"/>
  <c r="A308" i="2" s="1"/>
  <c r="G306" i="2"/>
  <c r="B308" i="2" l="1"/>
  <c r="G307" i="2"/>
  <c r="D308" i="2"/>
  <c r="H308" i="2" s="1"/>
  <c r="C308" i="2"/>
  <c r="F308" i="2" s="1"/>
  <c r="A309" i="2" s="1"/>
  <c r="C309" i="2" s="1"/>
  <c r="B309" i="2" l="1"/>
  <c r="D309" i="2"/>
  <c r="H309" i="2" s="1"/>
  <c r="G308" i="2"/>
  <c r="G309" i="2" s="1"/>
  <c r="F309" i="2"/>
  <c r="A310" i="2" s="1"/>
  <c r="C310" i="2" l="1"/>
  <c r="F310" i="2" s="1"/>
  <c r="A311" i="2" s="1"/>
  <c r="B310" i="2"/>
  <c r="D310" i="2"/>
  <c r="H310" i="2" s="1"/>
  <c r="G310" i="2" l="1"/>
  <c r="C311" i="2"/>
  <c r="F311" i="2" s="1"/>
  <c r="A312" i="2" s="1"/>
  <c r="D311" i="2"/>
  <c r="H311" i="2" s="1"/>
  <c r="B311" i="2"/>
  <c r="G311" i="2" l="1"/>
  <c r="B312" i="2"/>
  <c r="D312" i="2"/>
  <c r="H312" i="2" s="1"/>
  <c r="C312" i="2"/>
  <c r="G312" i="2" l="1"/>
  <c r="F312" i="2"/>
  <c r="A313" i="2" s="1"/>
  <c r="B313" i="2" l="1"/>
  <c r="C313" i="2"/>
  <c r="G313" i="2" s="1"/>
  <c r="D313" i="2"/>
  <c r="H313" i="2" s="1"/>
  <c r="F313" i="2" l="1"/>
  <c r="A314" i="2" s="1"/>
  <c r="D314" i="2" s="1"/>
  <c r="H314" i="2" s="1"/>
  <c r="C314" i="2" l="1"/>
  <c r="F314" i="2" s="1"/>
  <c r="A315" i="2" s="1"/>
  <c r="B314" i="2"/>
  <c r="G314" i="2" l="1"/>
  <c r="B315" i="2"/>
  <c r="D315" i="2"/>
  <c r="H315" i="2" s="1"/>
  <c r="C315" i="2"/>
  <c r="G315" i="2" l="1"/>
  <c r="F315" i="2"/>
  <c r="A316" i="2" s="1"/>
  <c r="C316" i="2" l="1"/>
  <c r="G316" i="2" s="1"/>
  <c r="B316" i="2"/>
  <c r="D316" i="2"/>
  <c r="H316" i="2" s="1"/>
  <c r="F316" i="2" l="1"/>
  <c r="A317" i="2" s="1"/>
  <c r="B317" i="2" l="1"/>
  <c r="D317" i="2"/>
  <c r="H317" i="2" s="1"/>
  <c r="C317" i="2"/>
  <c r="F317" i="2" s="1"/>
  <c r="A318" i="2" s="1"/>
  <c r="D318" i="2" l="1"/>
  <c r="H318" i="2" s="1"/>
  <c r="B318" i="2"/>
  <c r="C318" i="2"/>
  <c r="F318" i="2" s="1"/>
  <c r="A319" i="2" s="1"/>
  <c r="G317" i="2"/>
  <c r="G318" i="2" l="1"/>
  <c r="D319" i="2"/>
  <c r="H319" i="2" s="1"/>
  <c r="B319" i="2"/>
  <c r="C319" i="2"/>
  <c r="F319" i="2" s="1"/>
  <c r="A320" i="2" s="1"/>
  <c r="C320" i="2" l="1"/>
  <c r="F320" i="2" s="1"/>
  <c r="A321" i="2" s="1"/>
  <c r="D320" i="2"/>
  <c r="H320" i="2" s="1"/>
  <c r="B320" i="2"/>
  <c r="G319" i="2"/>
  <c r="G320" i="2" l="1"/>
  <c r="D321" i="2"/>
  <c r="H321" i="2" s="1"/>
  <c r="B321" i="2"/>
  <c r="C321" i="2"/>
  <c r="G321" i="2" l="1"/>
  <c r="F321" i="2"/>
  <c r="A322" i="2" s="1"/>
  <c r="B322" i="2" l="1"/>
  <c r="D322" i="2"/>
  <c r="H322" i="2" s="1"/>
  <c r="C322" i="2"/>
  <c r="G322" i="2" s="1"/>
  <c r="F322" i="2" l="1"/>
  <c r="A323" i="2" s="1"/>
  <c r="B323" i="2" l="1"/>
  <c r="C323" i="2"/>
  <c r="F323" i="2" s="1"/>
  <c r="A324" i="2" s="1"/>
  <c r="D323" i="2"/>
  <c r="H323" i="2" s="1"/>
  <c r="G323" i="2" l="1"/>
  <c r="D324" i="2"/>
  <c r="H324" i="2" s="1"/>
  <c r="C324" i="2"/>
  <c r="F324" i="2" s="1"/>
  <c r="A325" i="2" s="1"/>
  <c r="B324" i="2"/>
  <c r="G324" i="2" l="1"/>
  <c r="C325" i="2"/>
  <c r="D325" i="2"/>
  <c r="H325" i="2" s="1"/>
  <c r="B325" i="2"/>
  <c r="G325" i="2" l="1"/>
  <c r="F325" i="2"/>
  <c r="A326" i="2" s="1"/>
  <c r="B326" i="2" s="1"/>
  <c r="C326" i="2" l="1"/>
  <c r="G326" i="2" s="1"/>
  <c r="D326" i="2"/>
  <c r="H326" i="2" s="1"/>
  <c r="F326" i="2" l="1"/>
  <c r="A327" i="2" s="1"/>
  <c r="D327" i="2" s="1"/>
  <c r="H327" i="2" s="1"/>
  <c r="B327" i="2" l="1"/>
  <c r="C327" i="2"/>
  <c r="G327" i="2" s="1"/>
  <c r="F327" i="2" l="1"/>
  <c r="A328" i="2" s="1"/>
  <c r="B328" i="2" s="1"/>
  <c r="D328" i="2" l="1"/>
  <c r="H328" i="2" s="1"/>
  <c r="C328" i="2"/>
  <c r="G328" i="2" s="1"/>
  <c r="F328" i="2" l="1"/>
  <c r="A329" i="2" s="1"/>
  <c r="B329" i="2" s="1"/>
  <c r="D329" i="2" l="1"/>
  <c r="H329" i="2" s="1"/>
  <c r="C329" i="2"/>
  <c r="F329" i="2" s="1"/>
  <c r="A330" i="2" s="1"/>
  <c r="B330" i="2" s="1"/>
  <c r="C330" i="2" l="1"/>
  <c r="F330" i="2" s="1"/>
  <c r="A331" i="2" s="1"/>
  <c r="C331" i="2" s="1"/>
  <c r="F331" i="2" s="1"/>
  <c r="A332" i="2" s="1"/>
  <c r="D330" i="2"/>
  <c r="H330" i="2" s="1"/>
  <c r="G329" i="2"/>
  <c r="B331" i="2" l="1"/>
  <c r="B332" i="2" s="1"/>
  <c r="D331" i="2"/>
  <c r="H331" i="2" s="1"/>
  <c r="G330" i="2"/>
  <c r="G331" i="2" s="1"/>
  <c r="D332" i="2"/>
  <c r="C332" i="2"/>
  <c r="G332" i="2" l="1"/>
  <c r="H332" i="2"/>
  <c r="F332" i="2"/>
  <c r="A333" i="2" s="1"/>
  <c r="B333" i="2" s="1"/>
  <c r="C333" i="2" l="1"/>
  <c r="F333" i="2" s="1"/>
  <c r="A334" i="2" s="1"/>
  <c r="D334" i="2" s="1"/>
  <c r="D333" i="2"/>
  <c r="H333" i="2" s="1"/>
  <c r="H334" i="2" l="1"/>
  <c r="C334" i="2"/>
  <c r="B334" i="2"/>
  <c r="G333" i="2"/>
  <c r="G334" i="2" l="1"/>
  <c r="F334" i="2"/>
  <c r="A335" i="2" s="1"/>
  <c r="C335" i="2" s="1"/>
  <c r="G335" i="2" l="1"/>
  <c r="B335" i="2"/>
  <c r="D335" i="2"/>
  <c r="H335" i="2" s="1"/>
  <c r="F335" i="2"/>
  <c r="A336" i="2" s="1"/>
  <c r="C336" i="2" l="1"/>
  <c r="G336" i="2" s="1"/>
  <c r="B336" i="2"/>
  <c r="D336" i="2"/>
  <c r="H336" i="2" s="1"/>
  <c r="F336" i="2" l="1"/>
  <c r="A337" i="2" s="1"/>
  <c r="C337" i="2" l="1"/>
  <c r="G337" i="2" s="1"/>
  <c r="D337" i="2"/>
  <c r="H337" i="2" s="1"/>
  <c r="B337" i="2"/>
  <c r="F337" i="2" l="1"/>
  <c r="A338" i="2" s="1"/>
  <c r="B338" i="2" s="1"/>
  <c r="D338" i="2" l="1"/>
  <c r="H338" i="2" s="1"/>
  <c r="C338" i="2"/>
  <c r="G338" i="2" s="1"/>
  <c r="F338" i="2" l="1"/>
  <c r="A339" i="2" s="1"/>
  <c r="C339" i="2" s="1"/>
  <c r="G339" i="2" s="1"/>
  <c r="B339" i="2" l="1"/>
  <c r="D339" i="2"/>
  <c r="H339" i="2" s="1"/>
  <c r="F339" i="2"/>
  <c r="A340" i="2" s="1"/>
  <c r="B340" i="2" l="1"/>
  <c r="C340" i="2"/>
  <c r="F340" i="2" s="1"/>
  <c r="A341" i="2" s="1"/>
  <c r="D340" i="2"/>
  <c r="H340" i="2" s="1"/>
  <c r="G340" i="2" l="1"/>
  <c r="D341" i="2"/>
  <c r="H341" i="2" s="1"/>
  <c r="C341" i="2"/>
  <c r="F341" i="2" s="1"/>
  <c r="A342" i="2" s="1"/>
  <c r="B341" i="2"/>
  <c r="B342" i="2" l="1"/>
  <c r="G341" i="2"/>
  <c r="C342" i="2"/>
  <c r="D342" i="2"/>
  <c r="H342" i="2" s="1"/>
  <c r="G342" i="2" l="1"/>
  <c r="F342" i="2"/>
  <c r="A343" i="2" s="1"/>
  <c r="B343" i="2" l="1"/>
  <c r="D343" i="2"/>
  <c r="H343" i="2" s="1"/>
  <c r="C343" i="2"/>
  <c r="F343" i="2" l="1"/>
  <c r="A344" i="2" s="1"/>
  <c r="G343" i="2"/>
  <c r="B344" i="2" l="1"/>
  <c r="C344" i="2"/>
  <c r="D344" i="2"/>
  <c r="H344" i="2" s="1"/>
  <c r="G344" i="2" l="1"/>
  <c r="F344" i="2"/>
  <c r="A345" i="2" s="1"/>
  <c r="C345" i="2" l="1"/>
  <c r="F345" i="2" s="1"/>
  <c r="A346" i="2" s="1"/>
  <c r="D345" i="2"/>
  <c r="H345" i="2" s="1"/>
  <c r="B345" i="2"/>
  <c r="G345" i="2" l="1"/>
  <c r="B346" i="2"/>
  <c r="C346" i="2"/>
  <c r="D346" i="2"/>
  <c r="H346" i="2" s="1"/>
  <c r="G346" i="2" l="1"/>
  <c r="F346" i="2"/>
  <c r="A347" i="2" s="1"/>
  <c r="D347" i="2" l="1"/>
  <c r="H347" i="2" s="1"/>
  <c r="B347" i="2"/>
  <c r="C347" i="2"/>
  <c r="F347" i="2" l="1"/>
  <c r="A348" i="2" s="1"/>
  <c r="G347" i="2"/>
  <c r="B348" i="2" l="1"/>
  <c r="C348" i="2"/>
  <c r="G348" i="2" s="1"/>
  <c r="D348" i="2"/>
  <c r="H348" i="2" s="1"/>
  <c r="F348" i="2" l="1"/>
  <c r="A349" i="2" s="1"/>
  <c r="C349" i="2" s="1"/>
  <c r="D349" i="2" l="1"/>
  <c r="H349" i="2" s="1"/>
  <c r="B349" i="2"/>
  <c r="F349" i="2"/>
  <c r="A350" i="2" s="1"/>
  <c r="G349" i="2"/>
  <c r="D350" i="2" l="1"/>
  <c r="H350" i="2" s="1"/>
  <c r="B350" i="2"/>
  <c r="C350" i="2"/>
  <c r="G350" i="2" s="1"/>
  <c r="F350" i="2" l="1"/>
  <c r="A351" i="2" s="1"/>
  <c r="B351" i="2" l="1"/>
  <c r="C351" i="2"/>
  <c r="G351" i="2" s="1"/>
  <c r="D351" i="2"/>
  <c r="H351" i="2" s="1"/>
  <c r="F351" i="2" l="1"/>
  <c r="A352" i="2" s="1"/>
  <c r="C352" i="2" l="1"/>
  <c r="G352" i="2" s="1"/>
  <c r="D352" i="2"/>
  <c r="H352" i="2" s="1"/>
  <c r="B352" i="2"/>
  <c r="F352" i="2" l="1"/>
  <c r="A353" i="2" s="1"/>
  <c r="C353" i="2" s="1"/>
  <c r="D353" i="2" l="1"/>
  <c r="H353" i="2" s="1"/>
  <c r="B353" i="2"/>
  <c r="F353" i="2"/>
  <c r="A354" i="2" s="1"/>
  <c r="D354" i="2" s="1"/>
  <c r="G353" i="2"/>
  <c r="H354" i="2" l="1"/>
  <c r="B354" i="2"/>
  <c r="C354" i="2"/>
  <c r="G354" i="2" s="1"/>
  <c r="F354" i="2" l="1"/>
  <c r="A355" i="2" s="1"/>
  <c r="D355" i="2" s="1"/>
  <c r="H355" i="2" s="1"/>
  <c r="C355" i="2" l="1"/>
  <c r="G355" i="2" s="1"/>
  <c r="B355" i="2"/>
  <c r="F355" i="2" l="1"/>
  <c r="A356" i="2" s="1"/>
  <c r="C356" i="2" s="1"/>
  <c r="G356" i="2" s="1"/>
  <c r="B356" i="2" l="1"/>
  <c r="F356" i="2"/>
  <c r="A357" i="2" s="1"/>
  <c r="C357" i="2" s="1"/>
  <c r="F357" i="2" s="1"/>
  <c r="A358" i="2" s="1"/>
  <c r="D356" i="2"/>
  <c r="H356" i="2" s="1"/>
  <c r="B357" i="2" l="1"/>
  <c r="B358" i="2" s="1"/>
  <c r="D357" i="2"/>
  <c r="H357" i="2" s="1"/>
  <c r="G357" i="2"/>
  <c r="D358" i="2"/>
  <c r="C358" i="2"/>
  <c r="G358" i="2" l="1"/>
  <c r="H358" i="2"/>
  <c r="F358" i="2"/>
  <c r="A359" i="2" s="1"/>
  <c r="B359" i="2" l="1"/>
  <c r="D359" i="2"/>
  <c r="H359" i="2" s="1"/>
  <c r="C359" i="2"/>
  <c r="F359" i="2" s="1"/>
  <c r="A360" i="2" s="1"/>
  <c r="D360" i="2" l="1"/>
  <c r="H360" i="2" s="1"/>
  <c r="C360" i="2"/>
  <c r="F360" i="2" s="1"/>
  <c r="A361" i="2" s="1"/>
  <c r="B360" i="2"/>
  <c r="G359" i="2"/>
  <c r="G360" i="2" l="1"/>
  <c r="C361" i="2"/>
  <c r="F361" i="2" s="1"/>
  <c r="A362" i="2" s="1"/>
  <c r="B361" i="2"/>
  <c r="D361" i="2"/>
  <c r="H361" i="2" s="1"/>
  <c r="B362" i="2" l="1"/>
  <c r="D362" i="2"/>
  <c r="H362" i="2" s="1"/>
  <c r="C362" i="2"/>
  <c r="F362" i="2" s="1"/>
  <c r="A363" i="2" s="1"/>
  <c r="G361" i="2"/>
  <c r="G362" i="2" l="1"/>
  <c r="B363" i="2"/>
  <c r="C363" i="2"/>
  <c r="F363" i="2" s="1"/>
  <c r="A364" i="2" s="1"/>
  <c r="D363" i="2"/>
  <c r="H363" i="2" s="1"/>
  <c r="G363" i="2" l="1"/>
  <c r="C364" i="2"/>
  <c r="B364" i="2"/>
  <c r="D364" i="2"/>
  <c r="H364" i="2" s="1"/>
  <c r="G364" i="2" l="1"/>
  <c r="F364" i="2"/>
  <c r="A365" i="2" s="1"/>
  <c r="D365" i="2" s="1"/>
  <c r="H365" i="2" s="1"/>
  <c r="B365" i="2" l="1"/>
  <c r="C365" i="2"/>
  <c r="G365" i="2" s="1"/>
  <c r="F365" i="2" l="1"/>
  <c r="A366" i="2" s="1"/>
  <c r="D366" i="2" l="1"/>
  <c r="H366" i="2" s="1"/>
  <c r="B366" i="2"/>
  <c r="C366" i="2"/>
  <c r="G366" i="2" s="1"/>
  <c r="F366" i="2" l="1"/>
  <c r="A367" i="2" s="1"/>
  <c r="D367" i="2" l="1"/>
  <c r="H367" i="2" s="1"/>
  <c r="C367" i="2"/>
  <c r="G367" i="2" s="1"/>
  <c r="B367" i="2"/>
  <c r="F367" i="2" l="1"/>
  <c r="A368" i="2" s="1"/>
  <c r="C368" i="2" s="1"/>
  <c r="F368" i="2" s="1"/>
  <c r="A369" i="2" s="1"/>
  <c r="D368" i="2" l="1"/>
  <c r="B368" i="2" s="1"/>
  <c r="B369" i="2" s="1"/>
  <c r="D369" i="2"/>
  <c r="C369" i="2"/>
  <c r="F369" i="2" s="1"/>
  <c r="A370" i="2" s="1"/>
  <c r="G368" i="2"/>
  <c r="H368" i="2" l="1"/>
  <c r="H369" i="2" s="1"/>
  <c r="C370" i="2"/>
  <c r="F370" i="2" s="1"/>
  <c r="A371" i="2" s="1"/>
  <c r="D370" i="2"/>
  <c r="G369" i="2"/>
  <c r="H370" i="2" l="1"/>
  <c r="B370" i="2"/>
  <c r="D371" i="2"/>
  <c r="F371" i="2"/>
  <c r="A372" i="2" s="1"/>
  <c r="H371" i="2"/>
  <c r="B371" i="2"/>
  <c r="C371" i="2"/>
  <c r="G371" i="2"/>
  <c r="G370" i="2"/>
  <c r="B372" i="2" l="1"/>
  <c r="D372" i="2"/>
  <c r="G372" i="2"/>
  <c r="C372" i="2"/>
  <c r="H372" i="2"/>
  <c r="F372" i="2"/>
  <c r="A373" i="2" s="1"/>
  <c r="C373" i="2" l="1"/>
  <c r="H373" i="2"/>
  <c r="B373" i="2"/>
  <c r="D373" i="2"/>
  <c r="G373" i="2"/>
  <c r="F373" i="2"/>
  <c r="A374" i="2" s="1"/>
  <c r="F374" i="2" l="1"/>
  <c r="A375" i="2" s="1"/>
  <c r="G374" i="2"/>
  <c r="C374" i="2"/>
  <c r="H374" i="2"/>
  <c r="B374" i="2"/>
  <c r="D374" i="2"/>
  <c r="H375" i="2" l="1"/>
  <c r="C375" i="2"/>
  <c r="F375" i="2"/>
  <c r="A376" i="2" s="1"/>
  <c r="G375" i="2"/>
  <c r="D375" i="2"/>
  <c r="B375" i="2"/>
  <c r="F376" i="2" l="1"/>
  <c r="A377" i="2" s="1"/>
  <c r="C376" i="2"/>
  <c r="B376" i="2"/>
  <c r="D376" i="2"/>
  <c r="H376" i="2"/>
  <c r="G376" i="2"/>
  <c r="F377" i="2" l="1"/>
  <c r="A378" i="2" s="1"/>
  <c r="B377" i="2"/>
  <c r="G377" i="2"/>
  <c r="D377" i="2"/>
  <c r="H377" i="2"/>
  <c r="C377" i="2"/>
  <c r="C378" i="2" l="1"/>
  <c r="B378" i="2"/>
  <c r="D378" i="2"/>
  <c r="H378" i="2"/>
  <c r="G378" i="2"/>
  <c r="F378" i="2"/>
  <c r="A379" i="2" s="1"/>
  <c r="H379" i="2" l="1"/>
  <c r="F379" i="2"/>
  <c r="A380" i="2" s="1"/>
  <c r="B379" i="2"/>
  <c r="C379" i="2"/>
  <c r="G379" i="2"/>
  <c r="D379" i="2"/>
  <c r="B380" i="2" l="1"/>
  <c r="G380" i="2"/>
  <c r="H380" i="2"/>
  <c r="F380" i="2"/>
  <c r="A381" i="2" s="1"/>
  <c r="C380" i="2"/>
  <c r="D380" i="2"/>
  <c r="G381" i="2" l="1"/>
  <c r="D381" i="2"/>
  <c r="F381" i="2"/>
  <c r="A382" i="2" s="1"/>
  <c r="H381" i="2"/>
  <c r="B381" i="2"/>
  <c r="C381" i="2"/>
  <c r="E57" i="1"/>
  <c r="F57" i="1"/>
  <c r="G57" i="1"/>
  <c r="H57" i="1"/>
  <c r="I57" i="1"/>
  <c r="J57" i="1"/>
  <c r="K57" i="1"/>
  <c r="L57" i="1"/>
  <c r="D57" i="1"/>
  <c r="D42" i="1"/>
  <c r="E42" i="1" s="1"/>
  <c r="F42" i="1" s="1"/>
  <c r="G42" i="1" s="1"/>
  <c r="H42" i="1" s="1"/>
  <c r="I42" i="1" s="1"/>
  <c r="J42" i="1" s="1"/>
  <c r="K42" i="1" s="1"/>
  <c r="L42" i="1" s="1"/>
  <c r="M42" i="1" s="1"/>
  <c r="D41" i="1"/>
  <c r="E41" i="1" s="1"/>
  <c r="F41" i="1" s="1"/>
  <c r="G41" i="1" s="1"/>
  <c r="H41" i="1" s="1"/>
  <c r="I41" i="1" s="1"/>
  <c r="J41" i="1" s="1"/>
  <c r="K41" i="1" s="1"/>
  <c r="L41" i="1" s="1"/>
  <c r="M41" i="1" s="1"/>
  <c r="D40" i="1"/>
  <c r="D7" i="1"/>
  <c r="D8" i="1"/>
  <c r="E2" i="1"/>
  <c r="F2" i="1" s="1"/>
  <c r="G2" i="1" s="1"/>
  <c r="H2" i="1" s="1"/>
  <c r="I2" i="1" s="1"/>
  <c r="J2" i="1" s="1"/>
  <c r="K2" i="1" s="1"/>
  <c r="L2" i="1" s="1"/>
  <c r="M2" i="1" s="1"/>
  <c r="O70" i="1" l="1"/>
  <c r="E6" i="1"/>
  <c r="D19" i="1"/>
  <c r="D18" i="1"/>
  <c r="D17" i="1"/>
  <c r="D16" i="1"/>
  <c r="D11" i="1"/>
  <c r="E8" i="1"/>
  <c r="D13" i="1"/>
  <c r="B382" i="2"/>
  <c r="H382" i="2"/>
  <c r="D382" i="2"/>
  <c r="F382" i="2"/>
  <c r="A383" i="2" s="1"/>
  <c r="G382" i="2"/>
  <c r="C382" i="2"/>
  <c r="E7" i="1"/>
  <c r="D12" i="1"/>
  <c r="E40" i="1"/>
  <c r="F40" i="1" s="1"/>
  <c r="G40" i="1" s="1"/>
  <c r="H40" i="1" s="1"/>
  <c r="I40" i="1" s="1"/>
  <c r="J40" i="1" s="1"/>
  <c r="K40" i="1" s="1"/>
  <c r="L40" i="1" s="1"/>
  <c r="M40" i="1" s="1"/>
  <c r="R76" i="1"/>
  <c r="D37" i="1"/>
  <c r="R23" i="1"/>
  <c r="R22" i="1"/>
  <c r="Q78" i="1"/>
  <c r="M80" i="1" s="1"/>
  <c r="E37" i="1" l="1"/>
  <c r="D383" i="2"/>
  <c r="C383" i="2"/>
  <c r="B383" i="2"/>
  <c r="G383" i="2"/>
  <c r="H383" i="2"/>
  <c r="F383" i="2"/>
  <c r="A384" i="2" s="1"/>
  <c r="D38" i="1"/>
  <c r="D50" i="1"/>
  <c r="D86" i="1" s="1"/>
  <c r="H24" i="1"/>
  <c r="L24" i="1"/>
  <c r="E24" i="1"/>
  <c r="I24" i="1"/>
  <c r="M24" i="1"/>
  <c r="F24" i="1"/>
  <c r="J24" i="1"/>
  <c r="D24" i="1"/>
  <c r="D44" i="1" s="1"/>
  <c r="G24" i="1"/>
  <c r="K24" i="1"/>
  <c r="F7" i="1"/>
  <c r="E12" i="1"/>
  <c r="F8" i="1"/>
  <c r="E13" i="1"/>
  <c r="D66" i="1"/>
  <c r="E23" i="1"/>
  <c r="I23" i="1"/>
  <c r="M23" i="1"/>
  <c r="M67" i="1" s="1"/>
  <c r="M71" i="1" s="1"/>
  <c r="F23" i="1"/>
  <c r="J23" i="1"/>
  <c r="G23" i="1"/>
  <c r="G67" i="1" s="1"/>
  <c r="G71" i="1" s="1"/>
  <c r="K23" i="1"/>
  <c r="K67" i="1" s="1"/>
  <c r="K71" i="1" s="1"/>
  <c r="H23" i="1"/>
  <c r="L23" i="1"/>
  <c r="D23" i="1"/>
  <c r="D43" i="1" s="1"/>
  <c r="E43" i="1" s="1"/>
  <c r="F6" i="1"/>
  <c r="E16" i="1"/>
  <c r="E11" i="1"/>
  <c r="E17" i="1"/>
  <c r="E18" i="1"/>
  <c r="E19" i="1"/>
  <c r="J67" i="1" l="1"/>
  <c r="J71" i="1" s="1"/>
  <c r="E67" i="1"/>
  <c r="E71" i="1" s="1"/>
  <c r="E44" i="1"/>
  <c r="F44" i="1" s="1"/>
  <c r="G44" i="1" s="1"/>
  <c r="H44" i="1" s="1"/>
  <c r="I44" i="1" s="1"/>
  <c r="J44" i="1" s="1"/>
  <c r="K44" i="1" s="1"/>
  <c r="L44" i="1" s="1"/>
  <c r="M44" i="1" s="1"/>
  <c r="F43" i="1"/>
  <c r="G43" i="1" s="1"/>
  <c r="H43" i="1" s="1"/>
  <c r="I43" i="1" s="1"/>
  <c r="J43" i="1" s="1"/>
  <c r="K43" i="1" s="1"/>
  <c r="L43" i="1" s="1"/>
  <c r="M43" i="1" s="1"/>
  <c r="L67" i="1"/>
  <c r="L71" i="1" s="1"/>
  <c r="H67" i="1"/>
  <c r="H71" i="1" s="1"/>
  <c r="F67" i="1"/>
  <c r="F71" i="1" s="1"/>
  <c r="E29" i="1"/>
  <c r="G7" i="1"/>
  <c r="F12" i="1"/>
  <c r="D46" i="1"/>
  <c r="G6" i="1"/>
  <c r="F19" i="1"/>
  <c r="F16" i="1"/>
  <c r="F17" i="1"/>
  <c r="F18" i="1"/>
  <c r="F11" i="1"/>
  <c r="F37" i="1"/>
  <c r="B384" i="2"/>
  <c r="D384" i="2"/>
  <c r="H384" i="2"/>
  <c r="F384" i="2"/>
  <c r="A385" i="2" s="1"/>
  <c r="F385" i="2" s="1"/>
  <c r="A386" i="2" s="1"/>
  <c r="F386" i="2" s="1"/>
  <c r="A387" i="2" s="1"/>
  <c r="F387" i="2" s="1"/>
  <c r="A388" i="2" s="1"/>
  <c r="F388" i="2" s="1"/>
  <c r="A389" i="2" s="1"/>
  <c r="F389" i="2" s="1"/>
  <c r="A390" i="2" s="1"/>
  <c r="F390" i="2" s="1"/>
  <c r="A391" i="2" s="1"/>
  <c r="F391" i="2" s="1"/>
  <c r="A392" i="2" s="1"/>
  <c r="F392" i="2" s="1"/>
  <c r="A393" i="2" s="1"/>
  <c r="F393" i="2" s="1"/>
  <c r="A394" i="2" s="1"/>
  <c r="F394" i="2" s="1"/>
  <c r="A395" i="2" s="1"/>
  <c r="F395" i="2" s="1"/>
  <c r="A396" i="2" s="1"/>
  <c r="F396" i="2" s="1"/>
  <c r="A397" i="2" s="1"/>
  <c r="F397" i="2" s="1"/>
  <c r="A398" i="2" s="1"/>
  <c r="F398" i="2" s="1"/>
  <c r="A399" i="2" s="1"/>
  <c r="F399" i="2" s="1"/>
  <c r="A400" i="2" s="1"/>
  <c r="F400" i="2" s="1"/>
  <c r="A401" i="2" s="1"/>
  <c r="F401" i="2" s="1"/>
  <c r="A402" i="2" s="1"/>
  <c r="F402" i="2" s="1"/>
  <c r="A403" i="2" s="1"/>
  <c r="F403" i="2" s="1"/>
  <c r="A404" i="2" s="1"/>
  <c r="F404" i="2" s="1"/>
  <c r="A405" i="2" s="1"/>
  <c r="F405" i="2" s="1"/>
  <c r="A406" i="2" s="1"/>
  <c r="F406" i="2" s="1"/>
  <c r="A407" i="2" s="1"/>
  <c r="F407" i="2" s="1"/>
  <c r="A408" i="2" s="1"/>
  <c r="F408" i="2" s="1"/>
  <c r="A409" i="2" s="1"/>
  <c r="F409" i="2" s="1"/>
  <c r="A410" i="2" s="1"/>
  <c r="F410" i="2" s="1"/>
  <c r="A411" i="2" s="1"/>
  <c r="F411" i="2" s="1"/>
  <c r="A412" i="2" s="1"/>
  <c r="F412" i="2" s="1"/>
  <c r="A413" i="2" s="1"/>
  <c r="F413" i="2" s="1"/>
  <c r="A414" i="2" s="1"/>
  <c r="F414" i="2" s="1"/>
  <c r="A415" i="2" s="1"/>
  <c r="F415" i="2" s="1"/>
  <c r="A416" i="2" s="1"/>
  <c r="F416" i="2" s="1"/>
  <c r="A417" i="2" s="1"/>
  <c r="F417" i="2" s="1"/>
  <c r="A418" i="2" s="1"/>
  <c r="F418" i="2" s="1"/>
  <c r="A419" i="2" s="1"/>
  <c r="F419" i="2" s="1"/>
  <c r="A420" i="2" s="1"/>
  <c r="F420" i="2" s="1"/>
  <c r="A421" i="2" s="1"/>
  <c r="F421" i="2" s="1"/>
  <c r="A422" i="2" s="1"/>
  <c r="F422" i="2" s="1"/>
  <c r="A423" i="2" s="1"/>
  <c r="F423" i="2" s="1"/>
  <c r="A424" i="2" s="1"/>
  <c r="F424" i="2" s="1"/>
  <c r="A425" i="2" s="1"/>
  <c r="F425" i="2" s="1"/>
  <c r="A426" i="2" s="1"/>
  <c r="F426" i="2" s="1"/>
  <c r="A427" i="2" s="1"/>
  <c r="F427" i="2" s="1"/>
  <c r="A428" i="2" s="1"/>
  <c r="F428" i="2" s="1"/>
  <c r="A429" i="2" s="1"/>
  <c r="F429" i="2" s="1"/>
  <c r="A430" i="2" s="1"/>
  <c r="F430" i="2" s="1"/>
  <c r="A431" i="2" s="1"/>
  <c r="F431" i="2" s="1"/>
  <c r="A432" i="2" s="1"/>
  <c r="F432" i="2" s="1"/>
  <c r="A433" i="2" s="1"/>
  <c r="F433" i="2" s="1"/>
  <c r="A434" i="2" s="1"/>
  <c r="F434" i="2" s="1"/>
  <c r="A435" i="2" s="1"/>
  <c r="F435" i="2" s="1"/>
  <c r="A436" i="2" s="1"/>
  <c r="F436" i="2" s="1"/>
  <c r="A437" i="2" s="1"/>
  <c r="F437" i="2" s="1"/>
  <c r="A438" i="2" s="1"/>
  <c r="F438" i="2" s="1"/>
  <c r="A439" i="2" s="1"/>
  <c r="F439" i="2" s="1"/>
  <c r="A440" i="2" s="1"/>
  <c r="F440" i="2" s="1"/>
  <c r="A441" i="2" s="1"/>
  <c r="F441" i="2" s="1"/>
  <c r="A442" i="2" s="1"/>
  <c r="F442" i="2" s="1"/>
  <c r="A443" i="2" s="1"/>
  <c r="F443" i="2" s="1"/>
  <c r="A444" i="2" s="1"/>
  <c r="F444" i="2" s="1"/>
  <c r="A445" i="2" s="1"/>
  <c r="F445" i="2" s="1"/>
  <c r="A446" i="2" s="1"/>
  <c r="F446" i="2" s="1"/>
  <c r="A447" i="2" s="1"/>
  <c r="F447" i="2" s="1"/>
  <c r="A448" i="2" s="1"/>
  <c r="F448" i="2" s="1"/>
  <c r="A449" i="2" s="1"/>
  <c r="F449" i="2" s="1"/>
  <c r="A450" i="2" s="1"/>
  <c r="F450" i="2" s="1"/>
  <c r="A451" i="2" s="1"/>
  <c r="F451" i="2" s="1"/>
  <c r="A452" i="2" s="1"/>
  <c r="F452" i="2" s="1"/>
  <c r="A453" i="2" s="1"/>
  <c r="F453" i="2" s="1"/>
  <c r="A454" i="2" s="1"/>
  <c r="F454" i="2" s="1"/>
  <c r="A455" i="2" s="1"/>
  <c r="F455" i="2" s="1"/>
  <c r="A456" i="2" s="1"/>
  <c r="F456" i="2" s="1"/>
  <c r="A457" i="2" s="1"/>
  <c r="F457" i="2" s="1"/>
  <c r="A458" i="2" s="1"/>
  <c r="F458" i="2" s="1"/>
  <c r="A459" i="2" s="1"/>
  <c r="F459" i="2" s="1"/>
  <c r="A460" i="2" s="1"/>
  <c r="F460" i="2" s="1"/>
  <c r="A461" i="2" s="1"/>
  <c r="F461" i="2" s="1"/>
  <c r="A462" i="2" s="1"/>
  <c r="F462" i="2" s="1"/>
  <c r="A463" i="2" s="1"/>
  <c r="F463" i="2" s="1"/>
  <c r="A464" i="2" s="1"/>
  <c r="F464" i="2" s="1"/>
  <c r="A465" i="2" s="1"/>
  <c r="F465" i="2" s="1"/>
  <c r="A466" i="2" s="1"/>
  <c r="F466" i="2" s="1"/>
  <c r="A467" i="2" s="1"/>
  <c r="F467" i="2" s="1"/>
  <c r="A468" i="2" s="1"/>
  <c r="F468" i="2" s="1"/>
  <c r="A469" i="2" s="1"/>
  <c r="F469" i="2" s="1"/>
  <c r="A470" i="2" s="1"/>
  <c r="F470" i="2" s="1"/>
  <c r="A471" i="2" s="1"/>
  <c r="F471" i="2" s="1"/>
  <c r="A472" i="2" s="1"/>
  <c r="F472" i="2" s="1"/>
  <c r="A473" i="2" s="1"/>
  <c r="F473" i="2" s="1"/>
  <c r="A474" i="2" s="1"/>
  <c r="F474" i="2" s="1"/>
  <c r="A475" i="2" s="1"/>
  <c r="F475" i="2" s="1"/>
  <c r="A476" i="2" s="1"/>
  <c r="F476" i="2" s="1"/>
  <c r="A477" i="2" s="1"/>
  <c r="F477" i="2" s="1"/>
  <c r="A478" i="2" s="1"/>
  <c r="F478" i="2" s="1"/>
  <c r="A479" i="2" s="1"/>
  <c r="F479" i="2" s="1"/>
  <c r="A480" i="2" s="1"/>
  <c r="F480" i="2" s="1"/>
  <c r="A481" i="2" s="1"/>
  <c r="F481" i="2" s="1"/>
  <c r="A482" i="2" s="1"/>
  <c r="F482" i="2" s="1"/>
  <c r="A483" i="2" s="1"/>
  <c r="F483" i="2" s="1"/>
  <c r="A484" i="2" s="1"/>
  <c r="F484" i="2" s="1"/>
  <c r="A485" i="2" s="1"/>
  <c r="F485" i="2" s="1"/>
  <c r="G384" i="2"/>
  <c r="C384" i="2"/>
  <c r="R77" i="1"/>
  <c r="E38" i="1"/>
  <c r="E50" i="1"/>
  <c r="E66" i="1"/>
  <c r="E68" i="1" s="1"/>
  <c r="E69" i="1" s="1"/>
  <c r="E70" i="1" s="1"/>
  <c r="D67" i="1"/>
  <c r="D71" i="1" s="1"/>
  <c r="D29" i="1"/>
  <c r="D30" i="1" s="1"/>
  <c r="D51" i="1" s="1"/>
  <c r="I67" i="1"/>
  <c r="I71" i="1" s="1"/>
  <c r="G8" i="1"/>
  <c r="F13" i="1"/>
  <c r="E46" i="1" l="1"/>
  <c r="E30" i="1"/>
  <c r="E51" i="1" s="1"/>
  <c r="F66" i="1"/>
  <c r="F68" i="1" s="1"/>
  <c r="F69" i="1" s="1"/>
  <c r="F87" i="1" s="1"/>
  <c r="F29" i="1"/>
  <c r="F30" i="1" s="1"/>
  <c r="H6" i="1"/>
  <c r="G18" i="1"/>
  <c r="G19" i="1"/>
  <c r="G16" i="1"/>
  <c r="G11" i="1"/>
  <c r="G17" i="1"/>
  <c r="G37" i="1"/>
  <c r="D68" i="1"/>
  <c r="D69" i="1" s="1"/>
  <c r="D70" i="1" s="1"/>
  <c r="R78" i="1"/>
  <c r="S78" i="1" s="1"/>
  <c r="H7" i="1"/>
  <c r="G12" i="1"/>
  <c r="H8" i="1"/>
  <c r="G13" i="1"/>
  <c r="F38" i="1"/>
  <c r="F46" i="1" s="1"/>
  <c r="F50" i="1"/>
  <c r="D84" i="1"/>
  <c r="E31" i="1" l="1"/>
  <c r="F70" i="1"/>
  <c r="F51" i="1"/>
  <c r="F31" i="1"/>
  <c r="G29" i="1"/>
  <c r="D31" i="1"/>
  <c r="D58" i="1" s="1"/>
  <c r="I7" i="1"/>
  <c r="H12" i="1"/>
  <c r="G38" i="1"/>
  <c r="G50" i="1"/>
  <c r="G66" i="1"/>
  <c r="G68" i="1" s="1"/>
  <c r="G69" i="1" s="1"/>
  <c r="E87" i="1"/>
  <c r="D87" i="1"/>
  <c r="I8" i="1"/>
  <c r="H13" i="1"/>
  <c r="I6" i="1"/>
  <c r="H17" i="1"/>
  <c r="H18" i="1"/>
  <c r="H19" i="1"/>
  <c r="H16" i="1"/>
  <c r="H11" i="1"/>
  <c r="H37" i="1"/>
  <c r="D85" i="1"/>
  <c r="E84" i="1"/>
  <c r="E86" i="1"/>
  <c r="H29" i="1" l="1"/>
  <c r="H30" i="1" s="1"/>
  <c r="H51" i="1" s="1"/>
  <c r="G30" i="1"/>
  <c r="G51" i="1" s="1"/>
  <c r="D60" i="1"/>
  <c r="D62" i="1" s="1"/>
  <c r="E58" i="1"/>
  <c r="J8" i="1"/>
  <c r="I13" i="1"/>
  <c r="G87" i="1"/>
  <c r="G70" i="1"/>
  <c r="J7" i="1"/>
  <c r="I12" i="1"/>
  <c r="J6" i="1"/>
  <c r="I16" i="1"/>
  <c r="I11" i="1"/>
  <c r="I17" i="1"/>
  <c r="I18" i="1"/>
  <c r="I19" i="1"/>
  <c r="I37" i="1"/>
  <c r="H50" i="1"/>
  <c r="H38" i="1"/>
  <c r="H46" i="1" s="1"/>
  <c r="H66" i="1"/>
  <c r="H68" i="1" s="1"/>
  <c r="H69" i="1" s="1"/>
  <c r="E85" i="1"/>
  <c r="F84" i="1"/>
  <c r="F86" i="1"/>
  <c r="G31" i="1" l="1"/>
  <c r="I66" i="1"/>
  <c r="I68" i="1" s="1"/>
  <c r="I69" i="1" s="1"/>
  <c r="I87" i="1" s="1"/>
  <c r="F58" i="1"/>
  <c r="K8" i="1"/>
  <c r="J13" i="1"/>
  <c r="K6" i="1"/>
  <c r="J19" i="1"/>
  <c r="J16" i="1"/>
  <c r="J17" i="1"/>
  <c r="J18" i="1"/>
  <c r="J11" i="1"/>
  <c r="J37" i="1"/>
  <c r="I29" i="1"/>
  <c r="I30" i="1" s="1"/>
  <c r="I38" i="1"/>
  <c r="I46" i="1" s="1"/>
  <c r="I50" i="1"/>
  <c r="K7" i="1"/>
  <c r="J12" i="1"/>
  <c r="H87" i="1"/>
  <c r="H70" i="1"/>
  <c r="H31" i="1"/>
  <c r="G85" i="1"/>
  <c r="F85" i="1"/>
  <c r="G86" i="1"/>
  <c r="G84" i="1"/>
  <c r="G58" i="1" l="1"/>
  <c r="H58" i="1" s="1"/>
  <c r="I70" i="1"/>
  <c r="J66" i="1"/>
  <c r="J68" i="1" s="1"/>
  <c r="J69" i="1" s="1"/>
  <c r="J87" i="1" s="1"/>
  <c r="J29" i="1"/>
  <c r="J30" i="1" s="1"/>
  <c r="I51" i="1"/>
  <c r="L7" i="1"/>
  <c r="K12" i="1"/>
  <c r="L8" i="1"/>
  <c r="K13" i="1"/>
  <c r="L6" i="1"/>
  <c r="K18" i="1"/>
  <c r="K19" i="1"/>
  <c r="K16" i="1"/>
  <c r="K11" i="1"/>
  <c r="K17" i="1"/>
  <c r="K37" i="1"/>
  <c r="J38" i="1"/>
  <c r="J46" i="1" s="1"/>
  <c r="J50" i="1"/>
  <c r="H84" i="1"/>
  <c r="H86" i="1"/>
  <c r="I84" i="1"/>
  <c r="J70" i="1" l="1"/>
  <c r="J51" i="1"/>
  <c r="J31" i="1"/>
  <c r="K29" i="1"/>
  <c r="I31" i="1"/>
  <c r="I58" i="1" s="1"/>
  <c r="K38" i="1"/>
  <c r="K46" i="1" s="1"/>
  <c r="K50" i="1"/>
  <c r="M8" i="1"/>
  <c r="M13" i="1" s="1"/>
  <c r="L13" i="1"/>
  <c r="M6" i="1"/>
  <c r="L17" i="1"/>
  <c r="L18" i="1"/>
  <c r="L19" i="1"/>
  <c r="L16" i="1"/>
  <c r="L11" i="1"/>
  <c r="L37" i="1"/>
  <c r="M7" i="1"/>
  <c r="M12" i="1" s="1"/>
  <c r="L12" i="1"/>
  <c r="K66" i="1"/>
  <c r="K68" i="1" s="1"/>
  <c r="K69" i="1" s="1"/>
  <c r="H85" i="1"/>
  <c r="I86" i="1"/>
  <c r="I85" i="1"/>
  <c r="K30" i="1" l="1"/>
  <c r="K51" i="1" s="1"/>
  <c r="L29" i="1"/>
  <c r="J58" i="1"/>
  <c r="K87" i="1"/>
  <c r="K70" i="1"/>
  <c r="L66" i="1"/>
  <c r="L68" i="1" s="1"/>
  <c r="L69" i="1" s="1"/>
  <c r="M16" i="1"/>
  <c r="M11" i="1"/>
  <c r="M17" i="1"/>
  <c r="M18" i="1"/>
  <c r="M19" i="1"/>
  <c r="M37" i="1"/>
  <c r="L50" i="1"/>
  <c r="L38" i="1"/>
  <c r="L46" i="1" s="1"/>
  <c r="J84" i="1"/>
  <c r="J86" i="1"/>
  <c r="L30" i="1" l="1"/>
  <c r="L51" i="1" s="1"/>
  <c r="K31" i="1"/>
  <c r="K58" i="1" s="1"/>
  <c r="M29" i="1"/>
  <c r="M38" i="1"/>
  <c r="M46" i="1" s="1"/>
  <c r="M50" i="1"/>
  <c r="M66" i="1"/>
  <c r="M68" i="1" s="1"/>
  <c r="M69" i="1" s="1"/>
  <c r="L87" i="1"/>
  <c r="L70" i="1"/>
  <c r="K84" i="1"/>
  <c r="J85" i="1"/>
  <c r="K86" i="1"/>
  <c r="K85" i="1"/>
  <c r="M30" i="1" l="1"/>
  <c r="M51" i="1" s="1"/>
  <c r="L31" i="1"/>
  <c r="L58" i="1" s="1"/>
  <c r="M93" i="1"/>
  <c r="M87" i="1"/>
  <c r="M70" i="1"/>
  <c r="M90" i="1"/>
  <c r="L84" i="1"/>
  <c r="L86" i="1"/>
  <c r="L85" i="1"/>
  <c r="M31" i="1" l="1"/>
  <c r="M58" i="1" s="1"/>
  <c r="O71" i="1" s="1"/>
  <c r="O73" i="1" s="1"/>
  <c r="P67" i="1" s="1"/>
  <c r="S67" i="1" s="1"/>
  <c r="M84" i="1"/>
  <c r="M91" i="1"/>
  <c r="Q77" i="1"/>
  <c r="P68" i="1" l="1"/>
  <c r="S68" i="1" s="1"/>
  <c r="P70" i="1"/>
  <c r="S70" i="1" s="1"/>
  <c r="M78" i="1"/>
  <c r="S77" i="1"/>
  <c r="M92" i="1"/>
  <c r="M86" i="1"/>
  <c r="M85" i="1"/>
  <c r="Q76" i="1"/>
  <c r="S72" i="1" l="1"/>
  <c r="S76" i="1"/>
  <c r="M81" i="1" s="1"/>
  <c r="M76" i="1"/>
  <c r="C112" i="1" l="1"/>
  <c r="C131" i="1"/>
  <c r="D72" i="1"/>
  <c r="D95" i="1" s="1"/>
  <c r="D96" i="1" s="1"/>
  <c r="J72" i="1"/>
  <c r="F72" i="1"/>
  <c r="K72" i="1"/>
  <c r="G72" i="1"/>
  <c r="G95" i="1" s="1"/>
  <c r="L72" i="1"/>
  <c r="H72" i="1"/>
  <c r="H95" i="1" s="1"/>
  <c r="M72" i="1"/>
  <c r="I72" i="1"/>
  <c r="I95" i="1" s="1"/>
  <c r="I96" i="1" s="1"/>
  <c r="E72" i="1"/>
  <c r="E95" i="1" s="1"/>
  <c r="F95" i="1" l="1"/>
  <c r="F96" i="1" s="1"/>
  <c r="E96" i="1"/>
  <c r="L95" i="1"/>
  <c r="L96" i="1" s="1"/>
  <c r="K95" i="1"/>
  <c r="K96" i="1" s="1"/>
  <c r="J95" i="1"/>
  <c r="J96" i="1" s="1"/>
  <c r="H96" i="1"/>
  <c r="G96" i="1"/>
  <c r="M95" i="1" l="1"/>
  <c r="U72" i="1" l="1"/>
  <c r="M96" i="1"/>
  <c r="C98" i="1" s="1"/>
  <c r="E60" i="1" l="1"/>
  <c r="E62" i="1" s="1"/>
  <c r="F60" i="1" l="1"/>
  <c r="F62" i="1" s="1"/>
  <c r="G60" i="1" l="1"/>
  <c r="H60" i="1" l="1"/>
  <c r="H62" i="1" s="1"/>
  <c r="I60" i="1" l="1"/>
  <c r="I62" i="1" s="1"/>
  <c r="J60" i="1" l="1"/>
  <c r="J62" i="1" s="1"/>
  <c r="K60" i="1" l="1"/>
  <c r="K62" i="1" s="1"/>
  <c r="L60" i="1" l="1"/>
  <c r="L62" i="1" s="1"/>
  <c r="M60" i="1"/>
  <c r="M62" i="1" s="1"/>
  <c r="G46" i="1" l="1"/>
  <c r="G62" i="1" s="1"/>
</calcChain>
</file>

<file path=xl/sharedStrings.xml><?xml version="1.0" encoding="utf-8"?>
<sst xmlns="http://schemas.openxmlformats.org/spreadsheetml/2006/main" count="425" uniqueCount="187">
  <si>
    <t>FORECAST</t>
  </si>
  <si>
    <t>INCOME STATEMENT</t>
  </si>
  <si>
    <t>Cost of Goods Sold</t>
  </si>
  <si>
    <t>Operating Expenses</t>
  </si>
  <si>
    <t>Marketing</t>
  </si>
  <si>
    <t>General and Administrative</t>
  </si>
  <si>
    <t>Depreciation</t>
  </si>
  <si>
    <t>BALANCE SHEET</t>
  </si>
  <si>
    <t>Assets</t>
  </si>
  <si>
    <t>Accounts Receivable</t>
  </si>
  <si>
    <t>Inventory</t>
  </si>
  <si>
    <t>Buildings</t>
  </si>
  <si>
    <t>Liabilities and Equity</t>
  </si>
  <si>
    <t>Income Tax Payable</t>
  </si>
  <si>
    <t>Retained Earnings</t>
  </si>
  <si>
    <t>Liaiblities</t>
  </si>
  <si>
    <t>Equity</t>
  </si>
  <si>
    <t>Common Stock</t>
  </si>
  <si>
    <t>Mortgage Debt</t>
  </si>
  <si>
    <t>Mortgage Debt Interest Expense</t>
  </si>
  <si>
    <t>Extra Loan Interest Expense</t>
  </si>
  <si>
    <t>Taxable Income</t>
  </si>
  <si>
    <t>Income Tax Expense</t>
  </si>
  <si>
    <t>Net Income</t>
  </si>
  <si>
    <t>Accounts Payable</t>
  </si>
  <si>
    <t>Minimum Cash Inventory</t>
  </si>
  <si>
    <t>DFN</t>
  </si>
  <si>
    <t>Land</t>
  </si>
  <si>
    <t xml:space="preserve">Extra Bank Loan </t>
  </si>
  <si>
    <t>Extra Cash</t>
  </si>
  <si>
    <t>FREE CASH FLOWS</t>
  </si>
  <si>
    <t>Cash from Operations</t>
  </si>
  <si>
    <t>Cash in/out from Captial Expenditures</t>
  </si>
  <si>
    <t>Buy Land</t>
  </si>
  <si>
    <t>Sell Land</t>
  </si>
  <si>
    <t>Buy Buildings</t>
  </si>
  <si>
    <t>Sell Buildings</t>
  </si>
  <si>
    <t>Tax on Sales</t>
  </si>
  <si>
    <t>Operating Income</t>
  </si>
  <si>
    <t>Less: Depreciation</t>
  </si>
  <si>
    <t>Taxable Operating Income</t>
  </si>
  <si>
    <t>Tax on Operations ONLY (= Payable)</t>
  </si>
  <si>
    <t>After tax Operating Income</t>
  </si>
  <si>
    <t>Add: Deprecation</t>
  </si>
  <si>
    <t>Cash From Operations</t>
  </si>
  <si>
    <t>Cash in/out from Changes in Working Capital</t>
  </si>
  <si>
    <t>Cash in/out from Liquidation of Working Capital</t>
  </si>
  <si>
    <t>Total Free Cash Flows</t>
  </si>
  <si>
    <t>Total Assets</t>
  </si>
  <si>
    <t>-</t>
  </si>
  <si>
    <t>+</t>
  </si>
  <si>
    <t>Income Tax Payable (OPERATIONS ONLY)</t>
  </si>
  <si>
    <t>Sale Price</t>
  </si>
  <si>
    <t>Sales Revenue</t>
  </si>
  <si>
    <t>Building Maintenance Exp</t>
  </si>
  <si>
    <t>Revenue</t>
  </si>
  <si>
    <t>Equipment</t>
  </si>
  <si>
    <t>Building</t>
  </si>
  <si>
    <t>Stick It Shop</t>
  </si>
  <si>
    <t>Net Present Value of Free Cash Flows</t>
  </si>
  <si>
    <t>Capital %</t>
  </si>
  <si>
    <t>NPV of Free Cash Flows</t>
  </si>
  <si>
    <t>IRR</t>
  </si>
  <si>
    <t>Sales Price</t>
  </si>
  <si>
    <t>Gain</t>
  </si>
  <si>
    <t>Purchased Price</t>
  </si>
  <si>
    <t>Years</t>
  </si>
  <si>
    <t>Yearly Depre</t>
  </si>
  <si>
    <t>Wages</t>
  </si>
  <si>
    <t>Total Liabilities and Stockholder's Equity</t>
  </si>
  <si>
    <t>Vehicle</t>
  </si>
  <si>
    <t>Apparel</t>
  </si>
  <si>
    <t>Other</t>
  </si>
  <si>
    <t># Sold/year</t>
  </si>
  <si>
    <t>Average Price/Unit</t>
  </si>
  <si>
    <t>Inflation/Year</t>
  </si>
  <si>
    <t>% of Revenue</t>
  </si>
  <si>
    <t>Vehicle Jobs</t>
  </si>
  <si>
    <t>Apparel Designs</t>
  </si>
  <si>
    <t>Other Signs Designs</t>
  </si>
  <si>
    <t>Vehicle jobs</t>
  </si>
  <si>
    <t>Other Sign Designs</t>
  </si>
  <si>
    <t>Expenses</t>
  </si>
  <si>
    <t>GS&amp;A</t>
  </si>
  <si>
    <t>Building Maintenance</t>
  </si>
  <si>
    <t>Days</t>
  </si>
  <si>
    <t>Recievables</t>
  </si>
  <si>
    <t>Less: A/D Equiment</t>
  </si>
  <si>
    <t>Less:  A/D Building</t>
  </si>
  <si>
    <t>Payables</t>
  </si>
  <si>
    <t>Liabilities</t>
  </si>
  <si>
    <t>Stock</t>
  </si>
  <si>
    <t># of Shares</t>
  </si>
  <si>
    <t>Price/Share</t>
  </si>
  <si>
    <t>Mortgage</t>
  </si>
  <si>
    <t>%</t>
  </si>
  <si>
    <t>Loan Amount</t>
  </si>
  <si>
    <t>Loan Length</t>
  </si>
  <si>
    <t>Year 1</t>
  </si>
  <si>
    <t>Amortization Table</t>
  </si>
  <si>
    <t>Annual interest rate</t>
  </si>
  <si>
    <t>Loan amount</t>
  </si>
  <si>
    <t>Length of loan (years)</t>
  </si>
  <si>
    <t>Length of Loan (months)</t>
  </si>
  <si>
    <t>Periodic Rate</t>
  </si>
  <si>
    <t>Payments/Year</t>
  </si>
  <si>
    <t>Payment Number</t>
  </si>
  <si>
    <t>Payment Amount</t>
  </si>
  <si>
    <t>Pmt. To Principle</t>
  </si>
  <si>
    <t>Pmt. To Interest</t>
  </si>
  <si>
    <t>Extra payment</t>
  </si>
  <si>
    <t>Total Principle Remaining</t>
  </si>
  <si>
    <t>Total Principle Paid</t>
  </si>
  <si>
    <t>Total Interest Paid</t>
  </si>
  <si>
    <t>Principle Remaining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</si>
  <si>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</si>
  <si>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</si>
  <si>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</si>
  <si>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</si>
  <si>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</si>
  <si>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</si>
  <si>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</si>
  <si>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</si>
  <si>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</si>
  <si>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Extra Loan</t>
  </si>
  <si>
    <t>Interest Expense</t>
  </si>
  <si>
    <t>Buy Equipment</t>
  </si>
  <si>
    <t>Sell Equipmnt</t>
  </si>
  <si>
    <t>% of Purchase Price</t>
  </si>
  <si>
    <t>Book Value</t>
  </si>
  <si>
    <t>% of Land and Buildings</t>
  </si>
  <si>
    <t>Return Equity Holders Want (CAPM)</t>
  </si>
  <si>
    <t>Beta</t>
  </si>
  <si>
    <t>T-Bill rate</t>
  </si>
  <si>
    <t>S&amp;P 500 rate</t>
  </si>
  <si>
    <t>Equity Holders want</t>
  </si>
  <si>
    <t>Average</t>
  </si>
  <si>
    <t>Proportion</t>
  </si>
  <si>
    <t>Rate</t>
  </si>
  <si>
    <t>After Tax</t>
  </si>
  <si>
    <t>Weighted</t>
  </si>
  <si>
    <t>WACC</t>
  </si>
  <si>
    <t>Link to T-Bill Rate</t>
  </si>
  <si>
    <t>Link to rate</t>
  </si>
  <si>
    <t>Advertising</t>
  </si>
  <si>
    <t>Retail</t>
  </si>
  <si>
    <t>Link to Beta rates</t>
  </si>
  <si>
    <t>Total Free Cash Flows (Bad)</t>
  </si>
  <si>
    <t>Total Free Cash Flows (Good)</t>
  </si>
  <si>
    <t>Expected Free Cash Flows</t>
  </si>
  <si>
    <t>For the Bad Total Free Cash Flows we decrease the sales of vehical wraps, apparel, and other. This lowered our total free cash flows.</t>
  </si>
  <si>
    <t>For the Good Total Free Cash Flows we increased the sales of vehical wraps, apparel, and other. This raised our total free cash flows.</t>
  </si>
  <si>
    <t>Expected NPV</t>
  </si>
  <si>
    <t>Expected IRR</t>
  </si>
  <si>
    <t xml:space="preserve">We used the WAC to compute the Expected NPV. Our Expected IRR is higher than our WAC. </t>
  </si>
  <si>
    <t>Option</t>
  </si>
  <si>
    <t>Expected Free Cash Flows (Good)</t>
  </si>
  <si>
    <t>Expected Free Cash Flows (w/option)</t>
  </si>
  <si>
    <t>Without Option</t>
  </si>
  <si>
    <t>With Option</t>
  </si>
  <si>
    <t>Minimum Cash:</t>
  </si>
  <si>
    <t xml:space="preserve">Accounts Receivable: </t>
  </si>
  <si>
    <t>Left to split between</t>
  </si>
  <si>
    <t xml:space="preserve">Inventory: </t>
  </si>
  <si>
    <t xml:space="preserve">Land: </t>
  </si>
  <si>
    <t>Put toward Mortgage</t>
  </si>
  <si>
    <t xml:space="preserve">Buildings and Furn.: </t>
  </si>
  <si>
    <t>Accumulated Depr.:</t>
  </si>
  <si>
    <t xml:space="preserve">Accounts Payable: </t>
  </si>
  <si>
    <t>Secured</t>
  </si>
  <si>
    <t>Left</t>
  </si>
  <si>
    <t>Unsecured</t>
  </si>
  <si>
    <t>Total</t>
  </si>
  <si>
    <t>Percent</t>
  </si>
  <si>
    <t xml:space="preserve">Mortgage Loan: </t>
  </si>
  <si>
    <t xml:space="preserve">Extra Bank Loan: </t>
  </si>
  <si>
    <t xml:space="preserve">Common Stock: </t>
  </si>
  <si>
    <t xml:space="preserve">Retained Earnings: </t>
  </si>
  <si>
    <t>Loan  Amount</t>
  </si>
  <si>
    <t>Interest income</t>
  </si>
  <si>
    <t>Payment</t>
  </si>
  <si>
    <t>Payoff</t>
  </si>
  <si>
    <t>Cash/Payables</t>
  </si>
  <si>
    <t>Liquidation</t>
  </si>
  <si>
    <t>Mortgage Debt Payoff</t>
  </si>
  <si>
    <t>Extra Loan Payoff</t>
  </si>
  <si>
    <t>IRR in Bankruptcy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</si>
</sst>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0.0"/>
    <numFmt numFmtId="167" formatCode="&quot;$&quot;#,##0"/>
    <numFmt numFmtId="168" formatCode="_(&quot;$&quot;* #,##0_);_(&quot;$&quot;* \(#,##0\);_(&quot;$&quot;* &quot;-&quot;??_);_(@_)"/>
    <numFmt numFmtId="169" formatCode="0.0%"/>
    <numFmt numFmtId="170" formatCode="0.000%"/>
    <numFmt numFmtId="171" formatCode="0.0000%"/>
  </numFmts>
  <fonts count="2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  <font>
      <b/>
      <sz val="14"/>
      <color indexed="8"/>
      <name val="Calibri"/>
      <family val="2"/>
      <charset val="1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  <charset val="1"/>
    </font>
    <font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1" fillId="0" borderId="0"/>
    <xf numFmtId="9" fontId="1" fillId="0" borderId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9" fontId="1" fillId="0" borderId="0" xfId="2" applyNumberFormat="1"/>
    <xf numFmtId="0" fontId="1" fillId="0" borderId="0" xfId="2" applyFont="1"/>
    <xf numFmtId="166" fontId="1" fillId="0" borderId="0" xfId="2" applyNumberFormat="1"/>
    <xf numFmtId="165" fontId="1" fillId="0" borderId="0" xfId="1" applyNumberFormat="1" applyFont="1" applyFill="1" applyBorder="1" applyAlignment="1" applyProtection="1"/>
    <xf numFmtId="0" fontId="5" fillId="0" borderId="0" xfId="2" applyFont="1"/>
    <xf numFmtId="0" fontId="4" fillId="0" borderId="0" xfId="2" applyFont="1"/>
    <xf numFmtId="0" fontId="7" fillId="0" borderId="0" xfId="2" applyFont="1"/>
    <xf numFmtId="165" fontId="7" fillId="0" borderId="0" xfId="1" applyNumberFormat="1" applyFont="1" applyFill="1" applyBorder="1" applyAlignment="1" applyProtection="1"/>
    <xf numFmtId="165" fontId="7" fillId="0" borderId="0" xfId="2" applyNumberFormat="1" applyFont="1"/>
    <xf numFmtId="167" fontId="7" fillId="0" borderId="0" xfId="1" applyNumberFormat="1" applyFont="1" applyFill="1" applyBorder="1" applyAlignment="1" applyProtection="1"/>
    <xf numFmtId="167" fontId="1" fillId="0" borderId="0" xfId="2" applyNumberFormat="1"/>
    <xf numFmtId="167" fontId="7" fillId="0" borderId="0" xfId="2" applyNumberFormat="1" applyFont="1"/>
    <xf numFmtId="0" fontId="6" fillId="0" borderId="1" xfId="2" applyFont="1" applyBorder="1"/>
    <xf numFmtId="165" fontId="8" fillId="0" borderId="0" xfId="1" applyNumberFormat="1" applyFont="1"/>
    <xf numFmtId="44" fontId="8" fillId="0" borderId="0" xfId="2" applyNumberFormat="1" applyFont="1"/>
    <xf numFmtId="165" fontId="1" fillId="0" borderId="0" xfId="2" applyNumberFormat="1"/>
    <xf numFmtId="165" fontId="1" fillId="0" borderId="0" xfId="1" applyNumberFormat="1"/>
    <xf numFmtId="164" fontId="1" fillId="0" borderId="0" xfId="1" applyAlignment="1">
      <alignment horizontal="left"/>
    </xf>
    <xf numFmtId="1" fontId="1" fillId="0" borderId="0" xfId="2" applyNumberFormat="1"/>
    <xf numFmtId="0" fontId="10" fillId="0" borderId="0" xfId="2" applyFont="1"/>
    <xf numFmtId="0" fontId="12" fillId="0" borderId="0" xfId="2" applyFont="1"/>
    <xf numFmtId="0" fontId="13" fillId="0" borderId="0" xfId="2" applyFont="1"/>
    <xf numFmtId="0" fontId="4" fillId="0" borderId="1" xfId="2" applyFont="1" applyBorder="1"/>
    <xf numFmtId="0" fontId="1" fillId="2" borderId="0" xfId="2" applyFill="1"/>
    <xf numFmtId="165" fontId="1" fillId="2" borderId="0" xfId="1" applyNumberFormat="1" applyFill="1"/>
    <xf numFmtId="9" fontId="1" fillId="2" borderId="0" xfId="2" applyNumberFormat="1" applyFill="1"/>
    <xf numFmtId="0" fontId="14" fillId="0" borderId="0" xfId="2" applyFont="1"/>
    <xf numFmtId="0" fontId="1" fillId="0" borderId="0" xfId="2" applyFill="1"/>
    <xf numFmtId="10" fontId="1" fillId="2" borderId="0" xfId="2" applyNumberFormat="1" applyFill="1"/>
    <xf numFmtId="44" fontId="8" fillId="0" borderId="0" xfId="1" applyNumberFormat="1" applyFont="1" applyFill="1" applyBorder="1" applyAlignment="1" applyProtection="1"/>
    <xf numFmtId="168" fontId="7" fillId="0" borderId="0" xfId="2" applyNumberFormat="1" applyFont="1"/>
    <xf numFmtId="168" fontId="8" fillId="0" borderId="0" xfId="1" applyNumberFormat="1" applyFont="1"/>
    <xf numFmtId="168" fontId="8" fillId="0" borderId="0" xfId="1" applyNumberFormat="1" applyFont="1" applyFill="1" applyBorder="1" applyAlignment="1" applyProtection="1"/>
    <xf numFmtId="165" fontId="4" fillId="0" borderId="2" xfId="1" applyNumberFormat="1" applyFont="1" applyBorder="1"/>
    <xf numFmtId="165" fontId="1" fillId="0" borderId="1" xfId="2" applyNumberFormat="1" applyBorder="1"/>
    <xf numFmtId="165" fontId="8" fillId="0" borderId="0" xfId="1" applyNumberFormat="1" applyFont="1" applyFill="1" applyBorder="1" applyAlignment="1" applyProtection="1"/>
    <xf numFmtId="165" fontId="7" fillId="0" borderId="0" xfId="3" applyNumberFormat="1" applyFont="1"/>
    <xf numFmtId="165" fontId="8" fillId="0" borderId="0" xfId="2" applyNumberFormat="1" applyFont="1"/>
    <xf numFmtId="3" fontId="1" fillId="2" borderId="0" xfId="2" applyNumberFormat="1" applyFill="1"/>
    <xf numFmtId="168" fontId="8" fillId="0" borderId="0" xfId="2" applyNumberFormat="1" applyFont="1"/>
    <xf numFmtId="168" fontId="15" fillId="0" borderId="0" xfId="2" applyNumberFormat="1" applyFont="1"/>
    <xf numFmtId="168" fontId="15" fillId="0" borderId="6" xfId="2" applyNumberFormat="1" applyFont="1" applyBorder="1"/>
    <xf numFmtId="168" fontId="15" fillId="0" borderId="4" xfId="2" applyNumberFormat="1" applyFont="1" applyBorder="1"/>
    <xf numFmtId="165" fontId="11" fillId="0" borderId="4" xfId="1" applyNumberFormat="1" applyFont="1" applyBorder="1"/>
    <xf numFmtId="43" fontId="0" fillId="0" borderId="0" xfId="4" applyFont="1"/>
    <xf numFmtId="1" fontId="0" fillId="0" borderId="0" xfId="4" applyNumberFormat="1" applyFont="1"/>
    <xf numFmtId="43" fontId="0" fillId="2" borderId="0" xfId="4" applyFont="1" applyFill="1"/>
    <xf numFmtId="1" fontId="0" fillId="2" borderId="0" xfId="4" applyNumberFormat="1" applyFont="1" applyFill="1"/>
    <xf numFmtId="10" fontId="0" fillId="2" borderId="0" xfId="3" applyNumberFormat="1" applyFont="1" applyFill="1"/>
    <xf numFmtId="1" fontId="0" fillId="4" borderId="0" xfId="4" applyNumberFormat="1" applyFont="1" applyFill="1"/>
    <xf numFmtId="43" fontId="0" fillId="4" borderId="0" xfId="4" applyFont="1" applyFill="1"/>
    <xf numFmtId="8" fontId="0" fillId="0" borderId="0" xfId="4" applyNumberFormat="1" applyFont="1"/>
    <xf numFmtId="43" fontId="3" fillId="0" borderId="0" xfId="4" applyFont="1"/>
    <xf numFmtId="1" fontId="3" fillId="0" borderId="0" xfId="4" applyNumberFormat="1" applyFont="1"/>
    <xf numFmtId="8" fontId="3" fillId="0" borderId="0" xfId="4" applyNumberFormat="1" applyFont="1"/>
    <xf numFmtId="169" fontId="1" fillId="2" borderId="0" xfId="2" applyNumberFormat="1" applyFill="1"/>
    <xf numFmtId="9" fontId="4" fillId="0" borderId="0" xfId="2" applyNumberFormat="1" applyFont="1"/>
    <xf numFmtId="44" fontId="15" fillId="0" borderId="4" xfId="1" applyNumberFormat="1" applyFont="1" applyFill="1" applyBorder="1" applyAlignment="1" applyProtection="1"/>
    <xf numFmtId="168" fontId="8" fillId="0" borderId="6" xfId="2" applyNumberFormat="1" applyFont="1" applyBorder="1"/>
    <xf numFmtId="168" fontId="8" fillId="0" borderId="5" xfId="2" applyNumberFormat="1" applyFont="1" applyBorder="1"/>
    <xf numFmtId="168" fontId="1" fillId="0" borderId="0" xfId="2" applyNumberFormat="1"/>
    <xf numFmtId="168" fontId="8" fillId="0" borderId="3" xfId="2" applyNumberFormat="1" applyFont="1" applyBorder="1"/>
    <xf numFmtId="10" fontId="1" fillId="0" borderId="3" xfId="2" applyNumberFormat="1" applyBorder="1"/>
    <xf numFmtId="43" fontId="8" fillId="0" borderId="0" xfId="1" applyNumberFormat="1" applyFont="1"/>
    <xf numFmtId="0" fontId="1" fillId="5" borderId="7" xfId="2" applyFill="1" applyBorder="1"/>
    <xf numFmtId="0" fontId="1" fillId="5" borderId="6" xfId="2" applyFill="1" applyBorder="1"/>
    <xf numFmtId="0" fontId="1" fillId="5" borderId="8" xfId="2" applyFill="1" applyBorder="1"/>
    <xf numFmtId="0" fontId="4" fillId="5" borderId="9" xfId="2" applyFont="1" applyFill="1" applyBorder="1"/>
    <xf numFmtId="0" fontId="1" fillId="5" borderId="0" xfId="2" applyFill="1" applyBorder="1"/>
    <xf numFmtId="0" fontId="1" fillId="5" borderId="10" xfId="2" applyFill="1" applyBorder="1"/>
    <xf numFmtId="0" fontId="1" fillId="5" borderId="9" xfId="2" applyFill="1" applyBorder="1"/>
    <xf numFmtId="0" fontId="1" fillId="5" borderId="11" xfId="2" applyFill="1" applyBorder="1"/>
    <xf numFmtId="0" fontId="1" fillId="5" borderId="2" xfId="2" applyFill="1" applyBorder="1"/>
    <xf numFmtId="0" fontId="1" fillId="5" borderId="12" xfId="2" applyFill="1" applyBorder="1"/>
    <xf numFmtId="0" fontId="4" fillId="5" borderId="9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/>
    </xf>
    <xf numFmtId="169" fontId="4" fillId="5" borderId="0" xfId="2" applyNumberFormat="1" applyFont="1" applyFill="1" applyBorder="1"/>
    <xf numFmtId="0" fontId="4" fillId="5" borderId="10" xfId="2" applyFont="1" applyFill="1" applyBorder="1"/>
    <xf numFmtId="165" fontId="1" fillId="5" borderId="11" xfId="2" applyNumberFormat="1" applyFill="1" applyBorder="1"/>
    <xf numFmtId="169" fontId="0" fillId="2" borderId="0" xfId="3" applyNumberFormat="1" applyFont="1" applyFill="1"/>
    <xf numFmtId="0" fontId="17" fillId="5" borderId="0" xfId="5" applyFill="1" applyBorder="1"/>
    <xf numFmtId="165" fontId="1" fillId="5" borderId="9" xfId="2" applyNumberFormat="1" applyFill="1" applyBorder="1" applyAlignment="1">
      <alignment horizontal="center"/>
    </xf>
    <xf numFmtId="43" fontId="1" fillId="5" borderId="0" xfId="4" applyFont="1" applyFill="1" applyBorder="1" applyAlignment="1">
      <alignment horizontal="center"/>
    </xf>
    <xf numFmtId="10" fontId="16" fillId="5" borderId="0" xfId="2" applyNumberFormat="1" applyFont="1" applyFill="1" applyBorder="1" applyAlignment="1">
      <alignment horizontal="center"/>
    </xf>
    <xf numFmtId="10" fontId="1" fillId="5" borderId="0" xfId="3" applyNumberFormat="1" applyFill="1" applyBorder="1" applyAlignment="1">
      <alignment horizontal="center"/>
    </xf>
    <xf numFmtId="0" fontId="16" fillId="5" borderId="0" xfId="2" applyFont="1" applyFill="1" applyBorder="1" applyAlignment="1">
      <alignment horizontal="center"/>
    </xf>
    <xf numFmtId="0" fontId="1" fillId="5" borderId="0" xfId="2" applyFill="1" applyBorder="1" applyAlignment="1">
      <alignment horizontal="center"/>
    </xf>
    <xf numFmtId="10" fontId="8" fillId="5" borderId="0" xfId="3" applyNumberFormat="1" applyFont="1" applyFill="1" applyBorder="1" applyAlignment="1">
      <alignment horizontal="center"/>
    </xf>
    <xf numFmtId="10" fontId="1" fillId="5" borderId="0" xfId="2" applyNumberFormat="1" applyFill="1" applyBorder="1" applyAlignment="1">
      <alignment horizontal="center"/>
    </xf>
    <xf numFmtId="2" fontId="16" fillId="5" borderId="0" xfId="2" applyNumberFormat="1" applyFont="1" applyFill="1" applyBorder="1" applyAlignment="1">
      <alignment horizontal="center"/>
    </xf>
    <xf numFmtId="10" fontId="16" fillId="5" borderId="0" xfId="3" applyNumberFormat="1" applyFont="1" applyFill="1" applyBorder="1" applyAlignment="1" applyProtection="1">
      <alignment horizontal="center"/>
    </xf>
    <xf numFmtId="170" fontId="1" fillId="5" borderId="0" xfId="2" applyNumberFormat="1" applyFill="1" applyBorder="1" applyAlignment="1">
      <alignment horizontal="center"/>
    </xf>
    <xf numFmtId="2" fontId="1" fillId="5" borderId="10" xfId="2" applyNumberFormat="1" applyFill="1" applyBorder="1"/>
    <xf numFmtId="0" fontId="4" fillId="5" borderId="0" xfId="2" applyFont="1" applyFill="1" applyBorder="1"/>
    <xf numFmtId="0" fontId="4" fillId="0" borderId="0" xfId="4" applyNumberFormat="1" applyFont="1" applyAlignment="1">
      <alignment horizontal="center"/>
    </xf>
    <xf numFmtId="44" fontId="16" fillId="0" borderId="0" xfId="2" applyNumberFormat="1" applyFont="1"/>
    <xf numFmtId="10" fontId="1" fillId="0" borderId="0" xfId="2" applyNumberFormat="1"/>
    <xf numFmtId="0" fontId="4" fillId="0" borderId="0" xfId="2" applyFont="1" applyAlignment="1">
      <alignment horizontal="center"/>
    </xf>
    <xf numFmtId="44" fontId="1" fillId="0" borderId="0" xfId="2" applyNumberFormat="1"/>
    <xf numFmtId="9" fontId="1" fillId="0" borderId="0" xfId="3"/>
    <xf numFmtId="0" fontId="18" fillId="0" borderId="0" xfId="2" applyFont="1"/>
    <xf numFmtId="9" fontId="0" fillId="0" borderId="0" xfId="0" applyNumberFormat="1"/>
    <xf numFmtId="6" fontId="0" fillId="0" borderId="0" xfId="0" applyNumberFormat="1"/>
    <xf numFmtId="0" fontId="19" fillId="0" borderId="13" xfId="0" applyFont="1" applyBorder="1" applyAlignment="1">
      <alignment horizontal="center"/>
    </xf>
    <xf numFmtId="6" fontId="0" fillId="0" borderId="13" xfId="0" applyNumberFormat="1" applyBorder="1" applyAlignment="1">
      <alignment horizontal="center"/>
    </xf>
    <xf numFmtId="9" fontId="0" fillId="0" borderId="13" xfId="3" applyFont="1" applyBorder="1" applyAlignment="1">
      <alignment horizontal="center"/>
    </xf>
    <xf numFmtId="168" fontId="0" fillId="0" borderId="13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0" xfId="0" applyNumberFormat="1"/>
    <xf numFmtId="168" fontId="0" fillId="0" borderId="0" xfId="0" applyNumberFormat="1"/>
    <xf numFmtId="44" fontId="0" fillId="0" borderId="0" xfId="0" applyNumberFormat="1"/>
    <xf numFmtId="44" fontId="0" fillId="0" borderId="13" xfId="0" applyNumberFormat="1" applyBorder="1" applyAlignment="1">
      <alignment horizontal="center"/>
    </xf>
    <xf numFmtId="6" fontId="0" fillId="0" borderId="13" xfId="1" applyNumberFormat="1" applyFont="1" applyBorder="1" applyAlignment="1">
      <alignment horizontal="center"/>
    </xf>
    <xf numFmtId="43" fontId="0" fillId="0" borderId="0" xfId="0" applyNumberFormat="1"/>
    <xf numFmtId="169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1" fontId="3" fillId="0" borderId="0" xfId="0" applyNumberFormat="1" applyFont="1"/>
    <xf numFmtId="168" fontId="15" fillId="0" borderId="4" xfId="1" applyNumberFormat="1" applyFont="1" applyFill="1" applyBorder="1" applyAlignment="1" applyProtection="1"/>
    <xf numFmtId="0" fontId="0" fillId="0" borderId="0" xfId="0" applyAlignment="1">
      <alignment horizontal="center" wrapText="1"/>
    </xf>
    <xf numFmtId="1" fontId="0" fillId="3" borderId="0" xfId="4" applyNumberFormat="1" applyFont="1" applyFill="1" applyAlignment="1">
      <alignment horizontal="center" vertical="center"/>
    </xf>
  </cellXfs>
  <cellStyles count="6">
    <cellStyle name="Comma" xfId="4" builtinId="3"/>
    <cellStyle name="Currency" xfId="1" builtinId="4"/>
    <cellStyle name="Excel Built-in Normal" xfId="2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799630</xdr:colOff>
      <xdr:row>62</xdr:row>
      <xdr:rowOff>58797</xdr:rowOff>
    </xdr:from>
    <xdr:to>
      <xdr:col>8</xdr:col>
      <xdr:colOff>129352</xdr:colOff>
      <xdr:row>63</xdr:row>
      <xdr:rowOff>141112</xdr:rowOff>
    </xdr:to>
    <xdr:sp macro="[0]!GoalSeekIt" textlink="">
      <xdr:nvSpPr>
        <xdr:cNvPr id="2" name="Rectangle 1"/>
        <xdr:cNvSpPr/>
      </xdr:nvSpPr>
      <xdr:spPr bwMode="auto">
        <a:xfrm>
          <a:off x="7137871" y="11888612"/>
          <a:ext cx="1152407" cy="270463"/>
        </a:xfrm>
        <a:prstGeom prst="rect">
          <a:avLst/>
        </a:prstGeom>
        <a:solidFill>
          <a:srgbClr val="0000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600" b="1">
              <a:solidFill>
                <a:schemeClr val="bg1"/>
              </a:solidFill>
            </a:rPr>
            <a:t>Balance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stern.nyu.edu/~adamodar/New_Home_Page/datafile/Betas.html" TargetMode="External"/><Relationship Id="rId2" Type="http://schemas.openxmlformats.org/officeDocument/2006/relationships/hyperlink" Target="http://finance.yahoo.com/q;_ylt=AlBhx40OvUXcrdug7JQI8maiuYdG;_ylu=X3oDMTBwdm1qNzVjBHNlYwNVSCAzIERlc2t0b3AgU2VhcmNoIDI-;_ylg=X3oDMTBucmRhZWhqBGxhbmcDZW4tVVMEcHQDcG1oBHRlc3QD;_ylv=3?uhb=uhb2&amp;fr=uh3_finance_vert&amp;type=2button&amp;s=VFINX%2C" TargetMode="External"/><Relationship Id="rId1" Type="http://schemas.openxmlformats.org/officeDocument/2006/relationships/hyperlink" Target="http://www.bankrate.com/rates/interest-rates/treasury.aspx?ec_id=m1104712&amp;ef_id=YiFOStJEIFwAAEI6:20131015141308: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stern.nyu.edu/~adamodar/New_Home_Page/datafile/Betas.html" TargetMode="External"/><Relationship Id="rId2" Type="http://schemas.openxmlformats.org/officeDocument/2006/relationships/hyperlink" Target="http://finance.yahoo.com/q;_ylt=AlBhx40OvUXcrdug7JQI8maiuYdG;_ylu=X3oDMTBwdm1qNzVjBHNlYwNVSCAzIERlc2t0b3AgU2VhcmNoIDI-;_ylg=X3oDMTBucmRhZWhqBGxhbmcDZW4tVVMEcHQDcG1oBHRlc3QD;_ylv=3?uhb=uhb2&amp;fr=uh3_finance_vert&amp;type=2button&amp;s=VFINX%2C" TargetMode="External"/><Relationship Id="rId1" Type="http://schemas.openxmlformats.org/officeDocument/2006/relationships/hyperlink" Target="http://www.bankrate.com/rates/interest-rates/treasury.aspx?ec_id=m1104712&amp;ef_id=YiFOStJEIFwAAEI6:20131015141308: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32"/>
  <sheetViews>
    <sheetView topLeftCell="A36" zoomScale="81" zoomScaleNormal="81" workbookViewId="0">
      <selection activeCell="C50" sqref="C50"/>
    </sheetView>
  </sheetViews>
  <sheetFormatPr defaultColWidth="9.42578125" defaultRowHeight="15" x14ac:dyDescent="0.25"/>
  <cols>
    <col min="1" max="1" width="4.85546875" style="1" customWidth="1"/>
    <col min="2" max="2" width="36" style="1" customWidth="1"/>
    <col min="3" max="3" width="13.5703125" style="1" customWidth="1"/>
    <col min="4" max="4" width="14.140625" style="1" bestFit="1" customWidth="1"/>
    <col min="5" max="7" width="13.140625" style="1" bestFit="1" customWidth="1"/>
    <col min="8" max="8" width="14.140625" style="1" bestFit="1" customWidth="1"/>
    <col min="9" max="9" width="13.140625" style="1" customWidth="1"/>
    <col min="10" max="13" width="13.140625" style="1" bestFit="1" customWidth="1"/>
    <col min="14" max="14" width="9.42578125" style="1" customWidth="1"/>
    <col min="15" max="15" width="20.7109375" style="1" bestFit="1" customWidth="1"/>
    <col min="16" max="16" width="19.85546875" style="1" bestFit="1" customWidth="1"/>
    <col min="17" max="17" width="18.140625" style="1" bestFit="1" customWidth="1"/>
    <col min="18" max="18" width="13.42578125" style="1" bestFit="1" customWidth="1"/>
    <col min="19" max="19" width="15.85546875" style="1" bestFit="1" customWidth="1"/>
    <col min="20" max="20" width="15.28515625" style="1" bestFit="1" customWidth="1"/>
    <col min="21" max="23" width="9.42578125" style="1"/>
    <col min="24" max="24" width="13.5703125" style="1" bestFit="1" customWidth="1"/>
    <col min="25" max="25" width="12" style="1" bestFit="1" customWidth="1"/>
    <col min="26" max="26" width="18.140625" style="1" bestFit="1" customWidth="1"/>
    <col min="27" max="27" width="10.5703125" style="1" bestFit="1" customWidth="1"/>
    <col min="28" max="16384" width="9.42578125" style="1"/>
  </cols>
  <sheetData>
    <row r="1" spans="1:21" s="3" customFormat="1" x14ac:dyDescent="0.25">
      <c r="A1" s="2" t="s">
        <v>58</v>
      </c>
      <c r="C1" s="17" t="s">
        <v>52</v>
      </c>
      <c r="D1" s="38">
        <v>79000</v>
      </c>
      <c r="E1" s="39"/>
      <c r="F1" s="39"/>
      <c r="G1" s="39"/>
      <c r="H1" s="39"/>
      <c r="I1" s="39"/>
      <c r="J1" s="39"/>
      <c r="K1" s="39"/>
      <c r="L1" s="39"/>
      <c r="M1" s="39"/>
      <c r="O1" s="27"/>
    </row>
    <row r="2" spans="1:21" x14ac:dyDescent="0.25">
      <c r="A2" s="4" t="s">
        <v>0</v>
      </c>
      <c r="D2" s="99">
        <v>2014</v>
      </c>
      <c r="E2" s="99">
        <f>D2+1</f>
        <v>2015</v>
      </c>
      <c r="F2" s="99">
        <f t="shared" ref="F2:M2" si="0">E2+1</f>
        <v>2016</v>
      </c>
      <c r="G2" s="99">
        <f t="shared" si="0"/>
        <v>2017</v>
      </c>
      <c r="H2" s="99">
        <f t="shared" si="0"/>
        <v>2018</v>
      </c>
      <c r="I2" s="99">
        <f t="shared" si="0"/>
        <v>2019</v>
      </c>
      <c r="J2" s="99">
        <f t="shared" si="0"/>
        <v>2020</v>
      </c>
      <c r="K2" s="99">
        <f t="shared" si="0"/>
        <v>2021</v>
      </c>
      <c r="L2" s="99">
        <f t="shared" si="0"/>
        <v>2022</v>
      </c>
      <c r="M2" s="99">
        <f t="shared" si="0"/>
        <v>2023</v>
      </c>
      <c r="O2" s="10" t="s">
        <v>75</v>
      </c>
      <c r="P2" s="30">
        <v>0.01</v>
      </c>
      <c r="Q2" s="32"/>
    </row>
    <row r="3" spans="1:21" x14ac:dyDescent="0.25">
      <c r="C3" s="11"/>
      <c r="D3" s="13"/>
      <c r="E3" s="13"/>
      <c r="F3" s="13"/>
      <c r="G3" s="13"/>
      <c r="H3" s="20"/>
      <c r="I3" s="20"/>
      <c r="J3" s="20"/>
      <c r="K3" s="20"/>
      <c r="L3" s="20"/>
      <c r="M3" s="20"/>
    </row>
    <row r="4" spans="1:21" ht="18.75" x14ac:dyDescent="0.3">
      <c r="A4" s="24" t="s">
        <v>1</v>
      </c>
      <c r="C4" s="11"/>
      <c r="D4" s="13"/>
      <c r="E4" s="13"/>
      <c r="F4" s="13"/>
      <c r="G4" s="13"/>
      <c r="H4" s="20"/>
      <c r="I4" s="20"/>
      <c r="J4" s="20"/>
      <c r="K4" s="20"/>
      <c r="L4" s="20"/>
      <c r="M4" s="20"/>
    </row>
    <row r="5" spans="1:21" x14ac:dyDescent="0.25">
      <c r="A5" s="10" t="s">
        <v>53</v>
      </c>
      <c r="C5" s="11"/>
      <c r="D5" s="18"/>
      <c r="E5" s="18"/>
      <c r="F5" s="18"/>
      <c r="G5" s="18"/>
      <c r="H5" s="18"/>
      <c r="I5" s="18"/>
      <c r="J5" s="18"/>
      <c r="K5" s="18"/>
      <c r="L5" s="18"/>
      <c r="M5" s="18"/>
      <c r="N5" s="7"/>
      <c r="O5" s="31" t="s">
        <v>55</v>
      </c>
      <c r="P5" s="10" t="s">
        <v>73</v>
      </c>
      <c r="Q5" s="10" t="s">
        <v>74</v>
      </c>
      <c r="R5" s="10" t="s">
        <v>55</v>
      </c>
    </row>
    <row r="6" spans="1:21" x14ac:dyDescent="0.25">
      <c r="A6" s="6"/>
      <c r="B6" s="1" t="s">
        <v>77</v>
      </c>
      <c r="C6" s="11"/>
      <c r="D6" s="18">
        <f>R6</f>
        <v>120000</v>
      </c>
      <c r="E6" s="18">
        <f t="shared" ref="E6:M6" si="1">D6*(1+$P$2)</f>
        <v>121200</v>
      </c>
      <c r="F6" s="18">
        <f t="shared" si="1"/>
        <v>122412</v>
      </c>
      <c r="G6" s="18">
        <f t="shared" si="1"/>
        <v>123636.12</v>
      </c>
      <c r="H6" s="18">
        <f t="shared" si="1"/>
        <v>124872.48119999999</v>
      </c>
      <c r="I6" s="18">
        <f t="shared" si="1"/>
        <v>126121.206012</v>
      </c>
      <c r="J6" s="18">
        <f t="shared" si="1"/>
        <v>127382.41807212</v>
      </c>
      <c r="K6" s="18">
        <f t="shared" si="1"/>
        <v>128656.2422528412</v>
      </c>
      <c r="L6" s="18">
        <f t="shared" si="1"/>
        <v>129942.80467536961</v>
      </c>
      <c r="M6" s="18">
        <f t="shared" si="1"/>
        <v>131242.2327221233</v>
      </c>
      <c r="N6" s="7"/>
      <c r="O6" s="10" t="s">
        <v>70</v>
      </c>
      <c r="P6" s="28">
        <v>200</v>
      </c>
      <c r="Q6" s="29">
        <v>600</v>
      </c>
      <c r="R6" s="20">
        <f>P6*Q6</f>
        <v>120000</v>
      </c>
    </row>
    <row r="7" spans="1:21" x14ac:dyDescent="0.25">
      <c r="A7" s="6"/>
      <c r="B7" s="1" t="s">
        <v>78</v>
      </c>
      <c r="C7" s="11"/>
      <c r="D7" s="18">
        <f>R7</f>
        <v>40000</v>
      </c>
      <c r="E7" s="18">
        <f t="shared" ref="E7:M7" si="2">D7*(1+$P$2)</f>
        <v>40400</v>
      </c>
      <c r="F7" s="18">
        <f t="shared" si="2"/>
        <v>40804</v>
      </c>
      <c r="G7" s="18">
        <f t="shared" si="2"/>
        <v>41212.04</v>
      </c>
      <c r="H7" s="18">
        <f t="shared" si="2"/>
        <v>41624.160400000001</v>
      </c>
      <c r="I7" s="18">
        <f t="shared" si="2"/>
        <v>42040.402004000003</v>
      </c>
      <c r="J7" s="18">
        <f t="shared" si="2"/>
        <v>42460.806024040001</v>
      </c>
      <c r="K7" s="18">
        <f t="shared" si="2"/>
        <v>42885.414084280404</v>
      </c>
      <c r="L7" s="18">
        <f t="shared" si="2"/>
        <v>43314.268225123211</v>
      </c>
      <c r="M7" s="18">
        <f t="shared" si="2"/>
        <v>43747.41090737444</v>
      </c>
      <c r="N7" s="7"/>
      <c r="O7" s="10" t="s">
        <v>71</v>
      </c>
      <c r="P7" s="28">
        <v>2000</v>
      </c>
      <c r="Q7" s="29">
        <v>20</v>
      </c>
      <c r="R7" s="20">
        <f t="shared" ref="R7:R8" si="3">P7*Q7</f>
        <v>40000</v>
      </c>
    </row>
    <row r="8" spans="1:21" x14ac:dyDescent="0.25">
      <c r="B8" s="1" t="s">
        <v>79</v>
      </c>
      <c r="C8" s="11"/>
      <c r="D8" s="20">
        <f>R8</f>
        <v>30000</v>
      </c>
      <c r="E8" s="18">
        <f t="shared" ref="E8:M8" si="4">D8*(1+$P$2)</f>
        <v>30300</v>
      </c>
      <c r="F8" s="18">
        <f t="shared" si="4"/>
        <v>30603</v>
      </c>
      <c r="G8" s="18">
        <f t="shared" si="4"/>
        <v>30909.03</v>
      </c>
      <c r="H8" s="18">
        <f t="shared" si="4"/>
        <v>31218.120299999999</v>
      </c>
      <c r="I8" s="18">
        <f t="shared" si="4"/>
        <v>31530.301502999999</v>
      </c>
      <c r="J8" s="18">
        <f t="shared" si="4"/>
        <v>31845.604518029999</v>
      </c>
      <c r="K8" s="18">
        <f t="shared" si="4"/>
        <v>32164.0605632103</v>
      </c>
      <c r="L8" s="18">
        <f t="shared" si="4"/>
        <v>32485.701168842403</v>
      </c>
      <c r="M8" s="18">
        <f t="shared" si="4"/>
        <v>32810.558180530825</v>
      </c>
      <c r="O8" s="10" t="s">
        <v>72</v>
      </c>
      <c r="P8" s="28">
        <v>500</v>
      </c>
      <c r="Q8" s="29">
        <v>60</v>
      </c>
      <c r="R8" s="20">
        <f t="shared" si="3"/>
        <v>30000</v>
      </c>
    </row>
    <row r="9" spans="1:21" x14ac:dyDescent="0.25">
      <c r="C9" s="11"/>
      <c r="D9" s="20"/>
      <c r="E9" s="18"/>
      <c r="F9" s="18"/>
      <c r="G9" s="18"/>
      <c r="H9" s="18"/>
      <c r="I9" s="18"/>
      <c r="J9" s="18"/>
      <c r="K9" s="18"/>
      <c r="L9" s="18"/>
      <c r="M9" s="18"/>
      <c r="R9" s="20"/>
    </row>
    <row r="10" spans="1:21" x14ac:dyDescent="0.25">
      <c r="A10" s="10" t="s">
        <v>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O10" s="31" t="s">
        <v>2</v>
      </c>
      <c r="P10" s="10" t="s">
        <v>76</v>
      </c>
    </row>
    <row r="11" spans="1:21" x14ac:dyDescent="0.25">
      <c r="A11" s="10"/>
      <c r="B11" s="1" t="s">
        <v>80</v>
      </c>
      <c r="D11" s="40">
        <f>D6*$P$11</f>
        <v>18000</v>
      </c>
      <c r="E11" s="40">
        <f t="shared" ref="E11:M11" si="5">E6*$P$11</f>
        <v>18180</v>
      </c>
      <c r="F11" s="40">
        <f t="shared" si="5"/>
        <v>18361.8</v>
      </c>
      <c r="G11" s="40">
        <f t="shared" si="5"/>
        <v>18545.417999999998</v>
      </c>
      <c r="H11" s="40">
        <f t="shared" si="5"/>
        <v>18730.872179999998</v>
      </c>
      <c r="I11" s="40">
        <f t="shared" si="5"/>
        <v>18918.180901799999</v>
      </c>
      <c r="J11" s="40">
        <f t="shared" si="5"/>
        <v>19107.362710817997</v>
      </c>
      <c r="K11" s="40">
        <f t="shared" si="5"/>
        <v>19298.436337926178</v>
      </c>
      <c r="L11" s="40">
        <f t="shared" si="5"/>
        <v>19491.42070130544</v>
      </c>
      <c r="M11" s="40">
        <f t="shared" si="5"/>
        <v>19686.334908318495</v>
      </c>
      <c r="O11" s="10" t="s">
        <v>70</v>
      </c>
      <c r="P11" s="30">
        <v>0.15</v>
      </c>
    </row>
    <row r="12" spans="1:21" x14ac:dyDescent="0.25">
      <c r="A12" s="10"/>
      <c r="B12" s="1" t="s">
        <v>78</v>
      </c>
      <c r="D12" s="40">
        <f>D7*$P$12</f>
        <v>10000</v>
      </c>
      <c r="E12" s="40">
        <f t="shared" ref="E12:M12" si="6">E7*$P$12</f>
        <v>10100</v>
      </c>
      <c r="F12" s="40">
        <f t="shared" si="6"/>
        <v>10201</v>
      </c>
      <c r="G12" s="40">
        <f t="shared" si="6"/>
        <v>10303.01</v>
      </c>
      <c r="H12" s="40">
        <f t="shared" si="6"/>
        <v>10406.0401</v>
      </c>
      <c r="I12" s="40">
        <f t="shared" si="6"/>
        <v>10510.100501000001</v>
      </c>
      <c r="J12" s="40">
        <f t="shared" si="6"/>
        <v>10615.20150601</v>
      </c>
      <c r="K12" s="40">
        <f t="shared" si="6"/>
        <v>10721.353521070101</v>
      </c>
      <c r="L12" s="40">
        <f t="shared" si="6"/>
        <v>10828.567056280803</v>
      </c>
      <c r="M12" s="40">
        <f t="shared" si="6"/>
        <v>10936.85272684361</v>
      </c>
      <c r="O12" s="10" t="s">
        <v>71</v>
      </c>
      <c r="P12" s="30">
        <v>0.25</v>
      </c>
    </row>
    <row r="13" spans="1:21" x14ac:dyDescent="0.25">
      <c r="A13" s="10"/>
      <c r="B13" s="1" t="s">
        <v>81</v>
      </c>
      <c r="D13" s="40">
        <f>D8*$P$13</f>
        <v>6000</v>
      </c>
      <c r="E13" s="40">
        <f t="shared" ref="E13:M13" si="7">E8*$P$13</f>
        <v>6060</v>
      </c>
      <c r="F13" s="40">
        <f t="shared" si="7"/>
        <v>6120.6</v>
      </c>
      <c r="G13" s="40">
        <f t="shared" si="7"/>
        <v>6181.8060000000005</v>
      </c>
      <c r="H13" s="40">
        <f t="shared" si="7"/>
        <v>6243.6240600000001</v>
      </c>
      <c r="I13" s="40">
        <f t="shared" si="7"/>
        <v>6306.0603006000001</v>
      </c>
      <c r="J13" s="40">
        <f t="shared" si="7"/>
        <v>6369.120903606</v>
      </c>
      <c r="K13" s="40">
        <f t="shared" si="7"/>
        <v>6432.8121126420601</v>
      </c>
      <c r="L13" s="40">
        <f t="shared" si="7"/>
        <v>6497.1402337684813</v>
      </c>
      <c r="M13" s="40">
        <f t="shared" si="7"/>
        <v>6562.111636106165</v>
      </c>
      <c r="O13" s="10" t="s">
        <v>72</v>
      </c>
      <c r="P13" s="30">
        <v>0.2</v>
      </c>
    </row>
    <row r="14" spans="1:21" x14ac:dyDescent="0.25">
      <c r="A14" s="6"/>
      <c r="C14" s="11"/>
      <c r="D14" s="40"/>
      <c r="E14" s="40"/>
      <c r="F14" s="40"/>
      <c r="G14" s="40"/>
      <c r="H14" s="42"/>
      <c r="I14" s="42"/>
      <c r="J14" s="42"/>
      <c r="K14" s="42"/>
      <c r="L14" s="42"/>
      <c r="M14" s="42"/>
    </row>
    <row r="15" spans="1:21" x14ac:dyDescent="0.25">
      <c r="A15" s="10" t="s">
        <v>3</v>
      </c>
      <c r="C15" s="11"/>
      <c r="D15" s="40"/>
      <c r="E15" s="40"/>
      <c r="F15" s="40"/>
      <c r="G15" s="40"/>
      <c r="H15" s="42"/>
      <c r="I15" s="42"/>
      <c r="J15" s="42"/>
      <c r="K15" s="42"/>
      <c r="L15" s="42"/>
      <c r="M15" s="42"/>
      <c r="O15" s="31" t="s">
        <v>82</v>
      </c>
      <c r="P15" s="10" t="s">
        <v>76</v>
      </c>
      <c r="R15" s="31" t="s">
        <v>68</v>
      </c>
      <c r="S15" s="10" t="s">
        <v>76</v>
      </c>
      <c r="T15" s="10"/>
      <c r="U15" s="10"/>
    </row>
    <row r="16" spans="1:21" x14ac:dyDescent="0.25">
      <c r="B16" s="1" t="s">
        <v>4</v>
      </c>
      <c r="C16" s="11"/>
      <c r="D16" s="40">
        <f>(D6+D7+D8)*$P$16</f>
        <v>9500</v>
      </c>
      <c r="E16" s="40">
        <f t="shared" ref="E16:M16" si="8">(E6+E7+E8)*$P$16</f>
        <v>9595</v>
      </c>
      <c r="F16" s="40">
        <f t="shared" si="8"/>
        <v>9690.9500000000007</v>
      </c>
      <c r="G16" s="40">
        <f t="shared" si="8"/>
        <v>9787.8595000000005</v>
      </c>
      <c r="H16" s="40">
        <f t="shared" si="8"/>
        <v>9885.7380950000006</v>
      </c>
      <c r="I16" s="40">
        <f t="shared" si="8"/>
        <v>9984.5954759500019</v>
      </c>
      <c r="J16" s="40">
        <f t="shared" si="8"/>
        <v>10084.441430709499</v>
      </c>
      <c r="K16" s="40">
        <f t="shared" si="8"/>
        <v>10185.285845016597</v>
      </c>
      <c r="L16" s="40">
        <f t="shared" si="8"/>
        <v>10287.138703466762</v>
      </c>
      <c r="M16" s="40">
        <f t="shared" si="8"/>
        <v>10390.010090501428</v>
      </c>
      <c r="O16" s="10" t="s">
        <v>4</v>
      </c>
      <c r="P16" s="30">
        <v>0.05</v>
      </c>
      <c r="R16" s="10" t="s">
        <v>70</v>
      </c>
      <c r="S16" s="30">
        <v>0.35</v>
      </c>
    </row>
    <row r="17" spans="1:19" x14ac:dyDescent="0.25">
      <c r="B17" s="1" t="s">
        <v>5</v>
      </c>
      <c r="C17" s="11"/>
      <c r="D17" s="40">
        <f>(D6+D7+D8)*$P$17</f>
        <v>38000</v>
      </c>
      <c r="E17" s="40">
        <f t="shared" ref="E17:M17" si="9">(E6+E7+E8)*$P$17</f>
        <v>38380</v>
      </c>
      <c r="F17" s="40">
        <f t="shared" si="9"/>
        <v>38763.800000000003</v>
      </c>
      <c r="G17" s="40">
        <f t="shared" si="9"/>
        <v>39151.438000000002</v>
      </c>
      <c r="H17" s="40">
        <f t="shared" si="9"/>
        <v>39542.952380000002</v>
      </c>
      <c r="I17" s="40">
        <f t="shared" si="9"/>
        <v>39938.381903800007</v>
      </c>
      <c r="J17" s="40">
        <f t="shared" si="9"/>
        <v>40337.765722837998</v>
      </c>
      <c r="K17" s="40">
        <f t="shared" si="9"/>
        <v>40741.143380066387</v>
      </c>
      <c r="L17" s="40">
        <f t="shared" si="9"/>
        <v>41148.554813867049</v>
      </c>
      <c r="M17" s="40">
        <f t="shared" si="9"/>
        <v>41560.040362005711</v>
      </c>
      <c r="O17" s="10" t="s">
        <v>83</v>
      </c>
      <c r="P17" s="30">
        <v>0.2</v>
      </c>
      <c r="R17" s="10" t="s">
        <v>71</v>
      </c>
      <c r="S17" s="30">
        <v>0.15</v>
      </c>
    </row>
    <row r="18" spans="1:19" x14ac:dyDescent="0.25">
      <c r="B18" s="1" t="s">
        <v>54</v>
      </c>
      <c r="C18" s="11"/>
      <c r="D18" s="40">
        <f>(D6+D7+D8)*$P$18</f>
        <v>6650.0000000000009</v>
      </c>
      <c r="E18" s="40">
        <f t="shared" ref="E18:M18" si="10">(E6+E7+E8)*$P$18</f>
        <v>6716.5000000000009</v>
      </c>
      <c r="F18" s="40">
        <f t="shared" si="10"/>
        <v>6783.6650000000009</v>
      </c>
      <c r="G18" s="40">
        <f t="shared" si="10"/>
        <v>6851.5016500000011</v>
      </c>
      <c r="H18" s="40">
        <f t="shared" si="10"/>
        <v>6920.0166665000015</v>
      </c>
      <c r="I18" s="40">
        <f t="shared" si="10"/>
        <v>6989.2168331650009</v>
      </c>
      <c r="J18" s="40">
        <f t="shared" si="10"/>
        <v>7059.1090014966503</v>
      </c>
      <c r="K18" s="40">
        <f t="shared" si="10"/>
        <v>7129.7000915116178</v>
      </c>
      <c r="L18" s="40">
        <f t="shared" si="10"/>
        <v>7200.9970924267336</v>
      </c>
      <c r="M18" s="40">
        <f t="shared" si="10"/>
        <v>7273.0070633509995</v>
      </c>
      <c r="O18" s="10" t="s">
        <v>84</v>
      </c>
      <c r="P18" s="33">
        <v>3.5000000000000003E-2</v>
      </c>
      <c r="R18" s="10" t="s">
        <v>72</v>
      </c>
      <c r="S18" s="30">
        <v>0.2</v>
      </c>
    </row>
    <row r="19" spans="1:19" x14ac:dyDescent="0.25">
      <c r="B19" s="1" t="s">
        <v>68</v>
      </c>
      <c r="C19" s="11"/>
      <c r="D19" s="40">
        <f>((D6*$S$16)+(D7*$S$17)+(D8*$S$18))</f>
        <v>54000</v>
      </c>
      <c r="E19" s="40">
        <f t="shared" ref="E19:M19" si="11">((E6*$S$16)+(E7*$S$17)+(E8*$S$18))</f>
        <v>54540</v>
      </c>
      <c r="F19" s="40">
        <f t="shared" si="11"/>
        <v>55085.399999999994</v>
      </c>
      <c r="G19" s="40">
        <f t="shared" si="11"/>
        <v>55636.253999999986</v>
      </c>
      <c r="H19" s="40">
        <f t="shared" si="11"/>
        <v>56192.616540000003</v>
      </c>
      <c r="I19" s="40">
        <f t="shared" si="11"/>
        <v>56754.542705400003</v>
      </c>
      <c r="J19" s="40">
        <f t="shared" si="11"/>
        <v>57322.088132454002</v>
      </c>
      <c r="K19" s="40">
        <f t="shared" si="11"/>
        <v>57895.309013778533</v>
      </c>
      <c r="L19" s="40">
        <f t="shared" si="11"/>
        <v>58474.26210391632</v>
      </c>
      <c r="M19" s="40">
        <f t="shared" si="11"/>
        <v>59059.004724955485</v>
      </c>
      <c r="O19" s="31"/>
    </row>
    <row r="20" spans="1:19" x14ac:dyDescent="0.25">
      <c r="C20" s="11"/>
      <c r="D20" s="12"/>
      <c r="E20" s="12"/>
      <c r="F20" s="12"/>
      <c r="G20" s="12"/>
      <c r="H20" s="13"/>
      <c r="I20" s="13"/>
      <c r="J20" s="13"/>
      <c r="K20" s="13"/>
      <c r="L20" s="13"/>
      <c r="M20" s="13"/>
    </row>
    <row r="21" spans="1:19" x14ac:dyDescent="0.25">
      <c r="C21" s="11"/>
      <c r="D21" s="12"/>
      <c r="E21" s="12"/>
      <c r="F21" s="12"/>
      <c r="G21" s="12"/>
      <c r="H21" s="13"/>
      <c r="I21" s="13"/>
      <c r="J21" s="13"/>
      <c r="K21" s="13"/>
      <c r="L21" s="13"/>
      <c r="M21" s="13"/>
      <c r="O21" s="31" t="s">
        <v>6</v>
      </c>
      <c r="P21" s="1" t="s">
        <v>65</v>
      </c>
      <c r="Q21" s="1" t="s">
        <v>66</v>
      </c>
      <c r="R21" s="1" t="s">
        <v>67</v>
      </c>
    </row>
    <row r="22" spans="1:19" x14ac:dyDescent="0.25">
      <c r="A22" s="1" t="s">
        <v>6</v>
      </c>
      <c r="C22" s="11"/>
      <c r="D22" s="18"/>
      <c r="E22" s="18"/>
      <c r="F22" s="18"/>
      <c r="G22" s="18"/>
      <c r="H22" s="18"/>
      <c r="I22" s="18"/>
      <c r="J22" s="18"/>
      <c r="K22" s="18"/>
      <c r="L22" s="18"/>
      <c r="M22" s="18"/>
      <c r="O22" s="1" t="s">
        <v>57</v>
      </c>
      <c r="P22" s="43">
        <v>150000</v>
      </c>
      <c r="Q22" s="28">
        <v>30</v>
      </c>
      <c r="R22" s="23">
        <f>P22/Q22</f>
        <v>5000</v>
      </c>
    </row>
    <row r="23" spans="1:19" x14ac:dyDescent="0.25">
      <c r="B23" s="1" t="s">
        <v>57</v>
      </c>
      <c r="C23" s="11"/>
      <c r="D23" s="18">
        <f>$R$22</f>
        <v>5000</v>
      </c>
      <c r="E23" s="18">
        <f t="shared" ref="E23:M23" si="12">$R$22</f>
        <v>5000</v>
      </c>
      <c r="F23" s="18">
        <f t="shared" si="12"/>
        <v>5000</v>
      </c>
      <c r="G23" s="18">
        <f t="shared" si="12"/>
        <v>5000</v>
      </c>
      <c r="H23" s="18">
        <f t="shared" si="12"/>
        <v>5000</v>
      </c>
      <c r="I23" s="18">
        <f t="shared" si="12"/>
        <v>5000</v>
      </c>
      <c r="J23" s="18">
        <f t="shared" si="12"/>
        <v>5000</v>
      </c>
      <c r="K23" s="18">
        <f t="shared" si="12"/>
        <v>5000</v>
      </c>
      <c r="L23" s="18">
        <f t="shared" si="12"/>
        <v>5000</v>
      </c>
      <c r="M23" s="18">
        <f t="shared" si="12"/>
        <v>5000</v>
      </c>
      <c r="O23" s="1" t="s">
        <v>56</v>
      </c>
      <c r="P23" s="43">
        <v>70000</v>
      </c>
      <c r="Q23" s="28">
        <v>10</v>
      </c>
      <c r="R23" s="23">
        <f>P23/Q23</f>
        <v>7000</v>
      </c>
    </row>
    <row r="24" spans="1:19" x14ac:dyDescent="0.25">
      <c r="B24" s="1" t="s">
        <v>56</v>
      </c>
      <c r="C24" s="11"/>
      <c r="D24" s="18">
        <f>$R$23</f>
        <v>7000</v>
      </c>
      <c r="E24" s="18">
        <f t="shared" ref="E24:M24" si="13">$R$23</f>
        <v>7000</v>
      </c>
      <c r="F24" s="18">
        <f t="shared" si="13"/>
        <v>7000</v>
      </c>
      <c r="G24" s="18">
        <f t="shared" si="13"/>
        <v>7000</v>
      </c>
      <c r="H24" s="18">
        <f t="shared" si="13"/>
        <v>7000</v>
      </c>
      <c r="I24" s="18">
        <f t="shared" si="13"/>
        <v>7000</v>
      </c>
      <c r="J24" s="18">
        <f t="shared" si="13"/>
        <v>7000</v>
      </c>
      <c r="K24" s="18">
        <f t="shared" si="13"/>
        <v>7000</v>
      </c>
      <c r="L24" s="18">
        <f t="shared" si="13"/>
        <v>7000</v>
      </c>
      <c r="M24" s="18">
        <f t="shared" si="13"/>
        <v>7000</v>
      </c>
      <c r="O24" s="1" t="s">
        <v>27</v>
      </c>
      <c r="P24" s="43">
        <v>200000</v>
      </c>
      <c r="R24" s="23"/>
    </row>
    <row r="25" spans="1:19" x14ac:dyDescent="0.25">
      <c r="C25" s="11"/>
      <c r="D25" s="12"/>
      <c r="E25" s="12"/>
      <c r="F25" s="12"/>
      <c r="G25" s="12"/>
      <c r="H25" s="41"/>
      <c r="I25" s="13"/>
      <c r="J25" s="13"/>
      <c r="K25" s="13"/>
      <c r="L25" s="13"/>
      <c r="M25" s="13"/>
    </row>
    <row r="26" spans="1:19" x14ac:dyDescent="0.25">
      <c r="A26" s="1" t="s">
        <v>19</v>
      </c>
      <c r="C26" s="11"/>
      <c r="D26" s="18">
        <f>Mortgage!K22</f>
        <v>9714.3431045911511</v>
      </c>
      <c r="E26" s="18">
        <f>Mortgage!K34</f>
        <v>9523.2220056201568</v>
      </c>
      <c r="F26" s="18">
        <f>Mortgage!K47</f>
        <v>9308.4957334350693</v>
      </c>
      <c r="G26" s="18">
        <f>Mortgage!K59</f>
        <v>9102.9398801109237</v>
      </c>
      <c r="H26" s="18">
        <f>Mortgage!K71</f>
        <v>8890.0730314238317</v>
      </c>
      <c r="I26" s="18">
        <f>Mortgage!K83</f>
        <v>8669.6351575457302</v>
      </c>
      <c r="J26" s="18">
        <f>Mortgage!K95</f>
        <v>8441.3569801798731</v>
      </c>
      <c r="K26" s="18">
        <f>Mortgage!K107</f>
        <v>8204.959643621085</v>
      </c>
      <c r="L26" s="18">
        <f>Mortgage!K119</f>
        <v>7960.1543741163769</v>
      </c>
      <c r="M26" s="18">
        <f>Mortgage!K131</f>
        <v>7706.6421271102154</v>
      </c>
    </row>
    <row r="27" spans="1:19" x14ac:dyDescent="0.25">
      <c r="A27" s="1" t="s">
        <v>20</v>
      </c>
      <c r="C27" s="11"/>
      <c r="D27" s="40">
        <f>D54*$P$54</f>
        <v>13063.11733859776</v>
      </c>
      <c r="E27" s="40">
        <f t="shared" ref="E27:M27" si="14">E54*$P$54</f>
        <v>11404.169132521656</v>
      </c>
      <c r="F27" s="40">
        <f t="shared" si="14"/>
        <v>9643.7567051375463</v>
      </c>
      <c r="G27" s="40">
        <f t="shared" si="14"/>
        <v>7675.6040441807527</v>
      </c>
      <c r="H27" s="40">
        <f t="shared" si="14"/>
        <v>5533.4079853507201</v>
      </c>
      <c r="I27" s="40">
        <f t="shared" si="14"/>
        <v>3204.25098473566</v>
      </c>
      <c r="J27" s="40">
        <f t="shared" si="14"/>
        <v>674.27090796359755</v>
      </c>
      <c r="K27" s="40">
        <f t="shared" si="14"/>
        <v>0</v>
      </c>
      <c r="L27" s="40">
        <f t="shared" si="14"/>
        <v>0</v>
      </c>
      <c r="M27" s="40">
        <f t="shared" si="14"/>
        <v>0</v>
      </c>
    </row>
    <row r="28" spans="1:19" x14ac:dyDescent="0.25">
      <c r="C28" s="11"/>
      <c r="D28" s="12"/>
      <c r="E28" s="12"/>
      <c r="F28" s="12"/>
      <c r="G28" s="12"/>
      <c r="H28" s="13"/>
      <c r="I28" s="13"/>
      <c r="J28" s="13"/>
      <c r="K28" s="13"/>
      <c r="L28" s="13"/>
      <c r="M28" s="13"/>
    </row>
    <row r="29" spans="1:19" x14ac:dyDescent="0.25">
      <c r="A29" s="1" t="s">
        <v>21</v>
      </c>
      <c r="C29" s="11"/>
      <c r="D29" s="18">
        <f>D6+D7+D8-D11-D12-D13-D16-D17-D18-D19-D23-D24-D26-D27</f>
        <v>13072.539556811091</v>
      </c>
      <c r="E29" s="18">
        <f t="shared" ref="E29:M29" si="15">E6+E7+E8-E11-E12-E13-E16-E17-E18-E19-E23-E24-E26-E27</f>
        <v>15401.108861858189</v>
      </c>
      <c r="F29" s="18">
        <f t="shared" si="15"/>
        <v>17859.53256142739</v>
      </c>
      <c r="G29" s="18">
        <f t="shared" si="15"/>
        <v>20521.358925708322</v>
      </c>
      <c r="H29" s="18">
        <f t="shared" si="15"/>
        <v>23369.420861725426</v>
      </c>
      <c r="I29" s="18">
        <f t="shared" si="15"/>
        <v>26416.944755003631</v>
      </c>
      <c r="J29" s="18">
        <f t="shared" si="15"/>
        <v>29678.111318114366</v>
      </c>
      <c r="K29" s="18">
        <f t="shared" si="15"/>
        <v>31096.716954699383</v>
      </c>
      <c r="L29" s="18">
        <f t="shared" si="15"/>
        <v>31854.538990187255</v>
      </c>
      <c r="M29" s="18">
        <f t="shared" si="15"/>
        <v>32626.19817083644</v>
      </c>
    </row>
    <row r="30" spans="1:19" x14ac:dyDescent="0.25">
      <c r="A30" s="9" t="s">
        <v>22</v>
      </c>
      <c r="C30" s="11"/>
      <c r="D30" s="68">
        <f>IF(D29*$P$30&lt;0,0,(D29*$P$30))</f>
        <v>3921.7618670433271</v>
      </c>
      <c r="E30" s="68">
        <f t="shared" ref="E30:M30" si="16">IF(E29*$P$30&lt;0,0,(E29*$P$30))</f>
        <v>4620.3326585574569</v>
      </c>
      <c r="F30" s="68">
        <f t="shared" si="16"/>
        <v>5357.8597684282167</v>
      </c>
      <c r="G30" s="68">
        <f t="shared" si="16"/>
        <v>6156.4076777124965</v>
      </c>
      <c r="H30" s="68">
        <f t="shared" si="16"/>
        <v>7010.826258517628</v>
      </c>
      <c r="I30" s="68">
        <f t="shared" si="16"/>
        <v>7925.083426501089</v>
      </c>
      <c r="J30" s="68">
        <f t="shared" si="16"/>
        <v>8903.4333954343092</v>
      </c>
      <c r="K30" s="68">
        <f t="shared" si="16"/>
        <v>9329.0150864098141</v>
      </c>
      <c r="L30" s="68">
        <f t="shared" si="16"/>
        <v>9556.3616970561761</v>
      </c>
      <c r="M30" s="68">
        <f t="shared" si="16"/>
        <v>9787.8594512509317</v>
      </c>
      <c r="O30" s="10" t="s">
        <v>22</v>
      </c>
      <c r="P30" s="30">
        <v>0.3</v>
      </c>
    </row>
    <row r="31" spans="1:19" ht="15.75" thickBot="1" x14ac:dyDescent="0.3">
      <c r="A31" s="10" t="s">
        <v>23</v>
      </c>
      <c r="C31" s="11"/>
      <c r="D31" s="48">
        <f>D29-D30</f>
        <v>9150.7776897677631</v>
      </c>
      <c r="E31" s="48">
        <f t="shared" ref="E31:M31" si="17">E29-E30</f>
        <v>10780.776203300731</v>
      </c>
      <c r="F31" s="48">
        <f t="shared" si="17"/>
        <v>12501.672792999172</v>
      </c>
      <c r="G31" s="48">
        <f t="shared" si="17"/>
        <v>14364.951247995825</v>
      </c>
      <c r="H31" s="48">
        <f t="shared" si="17"/>
        <v>16358.594603207799</v>
      </c>
      <c r="I31" s="48">
        <f t="shared" si="17"/>
        <v>18491.861328502542</v>
      </c>
      <c r="J31" s="48">
        <f t="shared" si="17"/>
        <v>20774.677922680057</v>
      </c>
      <c r="K31" s="48">
        <f t="shared" si="17"/>
        <v>21767.701868289569</v>
      </c>
      <c r="L31" s="48">
        <f t="shared" si="17"/>
        <v>22298.177293131077</v>
      </c>
      <c r="M31" s="48">
        <f t="shared" si="17"/>
        <v>22838.33871958551</v>
      </c>
    </row>
    <row r="32" spans="1:19" ht="15.75" thickTop="1" x14ac:dyDescent="0.25"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6" ht="18.75" x14ac:dyDescent="0.3">
      <c r="A33" s="24" t="s">
        <v>7</v>
      </c>
      <c r="C33" s="11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6" x14ac:dyDescent="0.25">
      <c r="A34" s="4" t="s">
        <v>8</v>
      </c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6" x14ac:dyDescent="0.25">
      <c r="B35" s="1" t="s">
        <v>25</v>
      </c>
      <c r="C35" s="11"/>
      <c r="D35" s="37">
        <v>2000</v>
      </c>
      <c r="E35" s="37">
        <v>2000</v>
      </c>
      <c r="F35" s="37">
        <v>2000</v>
      </c>
      <c r="G35" s="37">
        <v>2000</v>
      </c>
      <c r="H35" s="37">
        <v>2000</v>
      </c>
      <c r="I35" s="37">
        <v>2000</v>
      </c>
      <c r="J35" s="37">
        <v>2000</v>
      </c>
      <c r="K35" s="37">
        <v>2000</v>
      </c>
      <c r="L35" s="37">
        <v>2000</v>
      </c>
      <c r="M35" s="37">
        <v>2000</v>
      </c>
    </row>
    <row r="36" spans="1:16" x14ac:dyDescent="0.25">
      <c r="B36" s="1" t="s">
        <v>29</v>
      </c>
      <c r="C36" s="11"/>
      <c r="D36" s="37"/>
      <c r="E36" s="37"/>
      <c r="F36" s="37"/>
      <c r="G36" s="37"/>
      <c r="H36" s="36"/>
      <c r="I36" s="44"/>
      <c r="J36" s="44"/>
      <c r="K36" s="44">
        <v>19732.89</v>
      </c>
      <c r="L36" s="44">
        <v>46646</v>
      </c>
      <c r="M36" s="44">
        <v>73845.070000000007</v>
      </c>
      <c r="O36" s="31" t="s">
        <v>8</v>
      </c>
      <c r="P36" s="10" t="s">
        <v>85</v>
      </c>
    </row>
    <row r="37" spans="1:16" x14ac:dyDescent="0.25">
      <c r="B37" s="1" t="s">
        <v>9</v>
      </c>
      <c r="C37" s="11"/>
      <c r="D37" s="36">
        <f>(D6+D7+D8)/365*$P$37</f>
        <v>31232.876712328765</v>
      </c>
      <c r="E37" s="36">
        <f t="shared" ref="E37:M37" si="18">(E6+E7+E8)/365*$P$37</f>
        <v>31545.205479452052</v>
      </c>
      <c r="F37" s="36">
        <f t="shared" si="18"/>
        <v>31860.657534246573</v>
      </c>
      <c r="G37" s="36">
        <f t="shared" si="18"/>
        <v>32179.264109589043</v>
      </c>
      <c r="H37" s="36">
        <f t="shared" si="18"/>
        <v>32501.056750684933</v>
      </c>
      <c r="I37" s="36">
        <f t="shared" si="18"/>
        <v>32826.067318191781</v>
      </c>
      <c r="J37" s="36">
        <f t="shared" si="18"/>
        <v>33154.327991373691</v>
      </c>
      <c r="K37" s="36">
        <f t="shared" si="18"/>
        <v>33485.87127128744</v>
      </c>
      <c r="L37" s="36">
        <f t="shared" si="18"/>
        <v>33820.729984000311</v>
      </c>
      <c r="M37" s="36">
        <f t="shared" si="18"/>
        <v>34158.937283840314</v>
      </c>
      <c r="O37" s="10" t="s">
        <v>86</v>
      </c>
      <c r="P37" s="28">
        <v>60</v>
      </c>
    </row>
    <row r="38" spans="1:16" x14ac:dyDescent="0.25">
      <c r="B38" s="1" t="s">
        <v>10</v>
      </c>
      <c r="C38" s="11"/>
      <c r="D38" s="36">
        <f>(D11+D12+D13)/365*$P$38</f>
        <v>16767.123287671231</v>
      </c>
      <c r="E38" s="36">
        <f t="shared" ref="E38:M38" si="19">(E11+E12+E13)/365*$P$38</f>
        <v>16934.794520547945</v>
      </c>
      <c r="F38" s="36">
        <f t="shared" si="19"/>
        <v>17104.142465753426</v>
      </c>
      <c r="G38" s="36">
        <f t="shared" si="19"/>
        <v>17275.183890410957</v>
      </c>
      <c r="H38" s="36">
        <f t="shared" si="19"/>
        <v>17447.935729315068</v>
      </c>
      <c r="I38" s="36">
        <f t="shared" si="19"/>
        <v>17622.41508660822</v>
      </c>
      <c r="J38" s="36">
        <f t="shared" si="19"/>
        <v>17798.639237474301</v>
      </c>
      <c r="K38" s="36">
        <f t="shared" si="19"/>
        <v>17976.625629849044</v>
      </c>
      <c r="L38" s="36">
        <f t="shared" si="19"/>
        <v>18156.391886147532</v>
      </c>
      <c r="M38" s="36">
        <f t="shared" si="19"/>
        <v>18337.955805009009</v>
      </c>
      <c r="O38" s="10" t="s">
        <v>10</v>
      </c>
      <c r="P38" s="28">
        <v>180</v>
      </c>
    </row>
    <row r="39" spans="1:16" x14ac:dyDescent="0.25">
      <c r="C39" s="11"/>
      <c r="D39" s="44"/>
      <c r="E39" s="44"/>
      <c r="F39" s="44"/>
      <c r="G39" s="44"/>
      <c r="H39" s="44"/>
      <c r="I39" s="44"/>
      <c r="J39" s="44"/>
      <c r="K39" s="44"/>
      <c r="L39" s="44"/>
      <c r="M39" s="44"/>
      <c r="O39" s="10"/>
    </row>
    <row r="40" spans="1:16" x14ac:dyDescent="0.25">
      <c r="B40" s="1" t="s">
        <v>27</v>
      </c>
      <c r="C40" s="11"/>
      <c r="D40" s="36">
        <f>P24</f>
        <v>200000</v>
      </c>
      <c r="E40" s="36">
        <f>D40</f>
        <v>200000</v>
      </c>
      <c r="F40" s="36">
        <f t="shared" ref="F40:M40" si="20">E40</f>
        <v>200000</v>
      </c>
      <c r="G40" s="36">
        <f t="shared" si="20"/>
        <v>200000</v>
      </c>
      <c r="H40" s="36">
        <f t="shared" si="20"/>
        <v>200000</v>
      </c>
      <c r="I40" s="36">
        <f t="shared" si="20"/>
        <v>200000</v>
      </c>
      <c r="J40" s="36">
        <f t="shared" si="20"/>
        <v>200000</v>
      </c>
      <c r="K40" s="36">
        <f t="shared" si="20"/>
        <v>200000</v>
      </c>
      <c r="L40" s="36">
        <f t="shared" si="20"/>
        <v>200000</v>
      </c>
      <c r="M40" s="36">
        <f t="shared" si="20"/>
        <v>200000</v>
      </c>
      <c r="N40" s="5"/>
    </row>
    <row r="41" spans="1:16" x14ac:dyDescent="0.25">
      <c r="B41" s="1" t="s">
        <v>11</v>
      </c>
      <c r="C41" s="11"/>
      <c r="D41" s="37">
        <f>P22</f>
        <v>150000</v>
      </c>
      <c r="E41" s="37">
        <f>D41</f>
        <v>150000</v>
      </c>
      <c r="F41" s="37">
        <f t="shared" ref="F41:M41" si="21">E41</f>
        <v>150000</v>
      </c>
      <c r="G41" s="37">
        <f t="shared" si="21"/>
        <v>150000</v>
      </c>
      <c r="H41" s="37">
        <f t="shared" si="21"/>
        <v>150000</v>
      </c>
      <c r="I41" s="37">
        <f t="shared" si="21"/>
        <v>150000</v>
      </c>
      <c r="J41" s="37">
        <f t="shared" si="21"/>
        <v>150000</v>
      </c>
      <c r="K41" s="37">
        <f t="shared" si="21"/>
        <v>150000</v>
      </c>
      <c r="L41" s="37">
        <f t="shared" si="21"/>
        <v>150000</v>
      </c>
      <c r="M41" s="37">
        <f t="shared" si="21"/>
        <v>150000</v>
      </c>
      <c r="N41" s="5"/>
    </row>
    <row r="42" spans="1:16" x14ac:dyDescent="0.25">
      <c r="B42" s="1" t="s">
        <v>56</v>
      </c>
      <c r="C42" s="11"/>
      <c r="D42" s="37">
        <f>P23</f>
        <v>70000</v>
      </c>
      <c r="E42" s="37">
        <f>D42</f>
        <v>70000</v>
      </c>
      <c r="F42" s="37">
        <f t="shared" ref="F42:M42" si="22">E42</f>
        <v>70000</v>
      </c>
      <c r="G42" s="37">
        <f t="shared" si="22"/>
        <v>70000</v>
      </c>
      <c r="H42" s="37">
        <f t="shared" si="22"/>
        <v>70000</v>
      </c>
      <c r="I42" s="37">
        <f t="shared" si="22"/>
        <v>70000</v>
      </c>
      <c r="J42" s="37">
        <f t="shared" si="22"/>
        <v>70000</v>
      </c>
      <c r="K42" s="37">
        <f t="shared" si="22"/>
        <v>70000</v>
      </c>
      <c r="L42" s="37">
        <f t="shared" si="22"/>
        <v>70000</v>
      </c>
      <c r="M42" s="37">
        <f t="shared" si="22"/>
        <v>70000</v>
      </c>
      <c r="N42" s="5"/>
    </row>
    <row r="43" spans="1:16" x14ac:dyDescent="0.25">
      <c r="B43" s="1" t="s">
        <v>88</v>
      </c>
      <c r="C43" s="11"/>
      <c r="D43" s="37">
        <f>C43+D23</f>
        <v>5000</v>
      </c>
      <c r="E43" s="37">
        <f t="shared" ref="E43:M43" si="23">D43+E23</f>
        <v>10000</v>
      </c>
      <c r="F43" s="37">
        <f t="shared" si="23"/>
        <v>15000</v>
      </c>
      <c r="G43" s="37">
        <f t="shared" si="23"/>
        <v>20000</v>
      </c>
      <c r="H43" s="37">
        <f t="shared" si="23"/>
        <v>25000</v>
      </c>
      <c r="I43" s="37">
        <f t="shared" si="23"/>
        <v>30000</v>
      </c>
      <c r="J43" s="37">
        <f t="shared" si="23"/>
        <v>35000</v>
      </c>
      <c r="K43" s="37">
        <f t="shared" si="23"/>
        <v>40000</v>
      </c>
      <c r="L43" s="37">
        <f t="shared" si="23"/>
        <v>45000</v>
      </c>
      <c r="M43" s="37">
        <f t="shared" si="23"/>
        <v>50000</v>
      </c>
    </row>
    <row r="44" spans="1:16" x14ac:dyDescent="0.25">
      <c r="B44" s="1" t="s">
        <v>87</v>
      </c>
      <c r="C44" s="11"/>
      <c r="D44" s="44">
        <f>C44+D24</f>
        <v>7000</v>
      </c>
      <c r="E44" s="44">
        <f t="shared" ref="E44:M44" si="24">D44+E24</f>
        <v>14000</v>
      </c>
      <c r="F44" s="44">
        <f t="shared" si="24"/>
        <v>21000</v>
      </c>
      <c r="G44" s="44">
        <f t="shared" si="24"/>
        <v>28000</v>
      </c>
      <c r="H44" s="44">
        <f t="shared" si="24"/>
        <v>35000</v>
      </c>
      <c r="I44" s="44">
        <f t="shared" si="24"/>
        <v>42000</v>
      </c>
      <c r="J44" s="44">
        <f t="shared" si="24"/>
        <v>49000</v>
      </c>
      <c r="K44" s="44">
        <f t="shared" si="24"/>
        <v>56000</v>
      </c>
      <c r="L44" s="44">
        <f t="shared" si="24"/>
        <v>63000</v>
      </c>
      <c r="M44" s="44">
        <f t="shared" si="24"/>
        <v>70000</v>
      </c>
    </row>
    <row r="45" spans="1:16" x14ac:dyDescent="0.25">
      <c r="C45" s="11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6" ht="15.75" thickBot="1" x14ac:dyDescent="0.3">
      <c r="A46" s="4" t="s">
        <v>48</v>
      </c>
      <c r="C46" s="11"/>
      <c r="D46" s="47">
        <f>D35+D36+D37+D38+D40+D41+D42-D43-D44</f>
        <v>458000</v>
      </c>
      <c r="E46" s="47">
        <f t="shared" ref="E46:M46" si="25">E35+E36+E37+E38+E40+E41+E42-E43-E44</f>
        <v>446480</v>
      </c>
      <c r="F46" s="47">
        <f t="shared" si="25"/>
        <v>434964.8</v>
      </c>
      <c r="G46" s="47">
        <f t="shared" si="25"/>
        <v>423454.44799999997</v>
      </c>
      <c r="H46" s="47">
        <f t="shared" si="25"/>
        <v>411948.99248000002</v>
      </c>
      <c r="I46" s="47">
        <f t="shared" si="25"/>
        <v>400448.48240480002</v>
      </c>
      <c r="J46" s="47">
        <f t="shared" si="25"/>
        <v>388952.96722884802</v>
      </c>
      <c r="K46" s="47">
        <f t="shared" si="25"/>
        <v>397195.38690113649</v>
      </c>
      <c r="L46" s="47">
        <f t="shared" si="25"/>
        <v>412623.12187014788</v>
      </c>
      <c r="M46" s="47">
        <f t="shared" si="25"/>
        <v>428341.96308884933</v>
      </c>
    </row>
    <row r="47" spans="1:16" ht="15.75" thickTop="1" x14ac:dyDescent="0.25">
      <c r="A47" s="4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6" x14ac:dyDescent="0.25">
      <c r="A48" s="4" t="s">
        <v>12</v>
      </c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20" x14ac:dyDescent="0.25">
      <c r="A49" s="1" t="s">
        <v>15</v>
      </c>
      <c r="C49" s="11"/>
      <c r="D49" s="14"/>
      <c r="E49" s="14"/>
      <c r="F49" s="14"/>
      <c r="G49" s="14"/>
      <c r="H49" s="16"/>
      <c r="I49" s="16"/>
      <c r="J49" s="16"/>
      <c r="K49" s="16"/>
      <c r="L49" s="16"/>
      <c r="M49" s="16"/>
      <c r="O49" s="31" t="s">
        <v>90</v>
      </c>
      <c r="P49" s="10" t="s">
        <v>85</v>
      </c>
    </row>
    <row r="50" spans="1:20" x14ac:dyDescent="0.25">
      <c r="B50" s="1" t="s">
        <v>24</v>
      </c>
      <c r="C50" s="11"/>
      <c r="D50" s="19">
        <f>(D11+D12+D13)/365*$P$50</f>
        <v>2794.5205479452052</v>
      </c>
      <c r="E50" s="19">
        <f t="shared" ref="E50:M50" si="26">(E11+E12+E13)/365*$P$50</f>
        <v>2822.4657534246576</v>
      </c>
      <c r="F50" s="19">
        <f t="shared" si="26"/>
        <v>2850.6904109589041</v>
      </c>
      <c r="G50" s="19">
        <f t="shared" si="26"/>
        <v>2879.197315068493</v>
      </c>
      <c r="H50" s="19">
        <f t="shared" si="26"/>
        <v>2907.989288219178</v>
      </c>
      <c r="I50" s="19">
        <f t="shared" si="26"/>
        <v>2937.0691811013698</v>
      </c>
      <c r="J50" s="19">
        <f t="shared" si="26"/>
        <v>2966.4398729123832</v>
      </c>
      <c r="K50" s="19">
        <f t="shared" si="26"/>
        <v>2996.1042716415072</v>
      </c>
      <c r="L50" s="19">
        <f t="shared" si="26"/>
        <v>3026.065314357922</v>
      </c>
      <c r="M50" s="19">
        <f t="shared" si="26"/>
        <v>3056.3259675015015</v>
      </c>
      <c r="O50" s="10" t="s">
        <v>89</v>
      </c>
      <c r="P50" s="28">
        <v>30</v>
      </c>
    </row>
    <row r="51" spans="1:20" x14ac:dyDescent="0.25">
      <c r="B51" s="1" t="s">
        <v>13</v>
      </c>
      <c r="C51" s="11"/>
      <c r="D51" s="34">
        <f>D30</f>
        <v>3921.7618670433271</v>
      </c>
      <c r="E51" s="34">
        <f t="shared" ref="E51:M51" si="27">E30</f>
        <v>4620.3326585574569</v>
      </c>
      <c r="F51" s="34">
        <f t="shared" si="27"/>
        <v>5357.8597684282167</v>
      </c>
      <c r="G51" s="34">
        <f t="shared" si="27"/>
        <v>6156.4076777124965</v>
      </c>
      <c r="H51" s="34">
        <f t="shared" si="27"/>
        <v>7010.826258517628</v>
      </c>
      <c r="I51" s="34">
        <f t="shared" si="27"/>
        <v>7925.083426501089</v>
      </c>
      <c r="J51" s="34">
        <f t="shared" si="27"/>
        <v>8903.4333954343092</v>
      </c>
      <c r="K51" s="34">
        <f t="shared" si="27"/>
        <v>9329.0150864098141</v>
      </c>
      <c r="L51" s="34">
        <f t="shared" si="27"/>
        <v>9556.3616970561761</v>
      </c>
      <c r="M51" s="34">
        <f t="shared" si="27"/>
        <v>9787.8594512509317</v>
      </c>
    </row>
    <row r="52" spans="1:20" x14ac:dyDescent="0.25">
      <c r="C52" s="11"/>
      <c r="D52" s="34"/>
      <c r="E52" s="34"/>
      <c r="F52" s="34"/>
      <c r="G52" s="34"/>
      <c r="H52" s="19"/>
      <c r="I52" s="19"/>
      <c r="J52" s="19"/>
      <c r="K52" s="19"/>
      <c r="L52" s="19"/>
      <c r="M52" s="19"/>
      <c r="O52" s="31"/>
      <c r="P52" s="10" t="s">
        <v>95</v>
      </c>
      <c r="Q52" s="1" t="s">
        <v>96</v>
      </c>
      <c r="R52" s="1" t="s">
        <v>97</v>
      </c>
      <c r="S52" s="1" t="s">
        <v>130</v>
      </c>
    </row>
    <row r="53" spans="1:20" x14ac:dyDescent="0.25">
      <c r="B53" s="1" t="s">
        <v>18</v>
      </c>
      <c r="C53" s="11"/>
      <c r="D53" s="34">
        <f>Mortgage!J22</f>
        <v>274626.4415942147</v>
      </c>
      <c r="E53" s="34">
        <f>Mortgage!J34</f>
        <v>269061.76208945829</v>
      </c>
      <c r="F53" s="34">
        <f>Mortgage!J47</f>
        <v>262809.79465941311</v>
      </c>
      <c r="G53" s="34">
        <f>Mortgage!J59</f>
        <v>256824.83302914756</v>
      </c>
      <c r="H53" s="34">
        <f>Mortgage!J71</f>
        <v>250627.00455019489</v>
      </c>
      <c r="I53" s="34">
        <f>Mortgage!J83</f>
        <v>244208.73819736412</v>
      </c>
      <c r="J53" s="34">
        <f>Mortgage!J95</f>
        <v>237562.19366716751</v>
      </c>
      <c r="K53" s="34">
        <f>Mortgage!J107</f>
        <v>230679.25180041205</v>
      </c>
      <c r="L53" s="34">
        <f>Mortgage!J119</f>
        <v>223551.50466415193</v>
      </c>
      <c r="M53" s="34">
        <f>Mortgage!J131</f>
        <v>216170.2452808856</v>
      </c>
      <c r="O53" s="10" t="s">
        <v>94</v>
      </c>
      <c r="P53" s="60">
        <v>3.5000000000000003E-2</v>
      </c>
      <c r="Q53" s="29">
        <f>(P22+P24)*S53</f>
        <v>280000</v>
      </c>
      <c r="R53" s="28">
        <v>30</v>
      </c>
      <c r="S53" s="5">
        <v>0.8</v>
      </c>
    </row>
    <row r="54" spans="1:20" x14ac:dyDescent="0.25">
      <c r="B54" s="1" t="s">
        <v>28</v>
      </c>
      <c r="C54" s="11"/>
      <c r="D54" s="34">
        <v>137506.49830102906</v>
      </c>
      <c r="E54" s="34">
        <v>120043.88560549112</v>
      </c>
      <c r="F54" s="34">
        <v>101513.22847513207</v>
      </c>
      <c r="G54" s="34">
        <v>80795.832044007926</v>
      </c>
      <c r="H54" s="19">
        <v>58246.399845797052</v>
      </c>
      <c r="I54" s="19">
        <v>33728.957734059579</v>
      </c>
      <c r="J54" s="19">
        <v>7097.5885048799737</v>
      </c>
      <c r="K54" s="19"/>
      <c r="L54" s="19"/>
      <c r="M54" s="19"/>
      <c r="O54" s="10" t="s">
        <v>124</v>
      </c>
      <c r="P54" s="60">
        <v>9.5000000000000001E-2</v>
      </c>
      <c r="Q54" s="32"/>
      <c r="R54" s="32"/>
    </row>
    <row r="55" spans="1:20" x14ac:dyDescent="0.25">
      <c r="C55" s="11"/>
      <c r="D55" s="34"/>
      <c r="E55" s="34"/>
      <c r="F55" s="34"/>
      <c r="G55" s="34"/>
      <c r="H55" s="19"/>
      <c r="I55" s="19"/>
      <c r="J55" s="19"/>
      <c r="K55" s="19"/>
      <c r="L55" s="19"/>
      <c r="M55" s="19"/>
    </row>
    <row r="56" spans="1:20" x14ac:dyDescent="0.25">
      <c r="A56" s="1" t="s">
        <v>16</v>
      </c>
      <c r="C56" s="11"/>
      <c r="D56" s="34"/>
      <c r="E56" s="34"/>
      <c r="F56" s="34"/>
      <c r="G56" s="34"/>
      <c r="H56" s="19"/>
      <c r="I56" s="19"/>
      <c r="J56" s="19"/>
      <c r="K56" s="19"/>
      <c r="L56" s="19"/>
      <c r="M56" s="19"/>
      <c r="P56" s="10" t="s">
        <v>92</v>
      </c>
      <c r="Q56" s="10" t="s">
        <v>93</v>
      </c>
    </row>
    <row r="57" spans="1:20" x14ac:dyDescent="0.25">
      <c r="B57" s="1" t="s">
        <v>17</v>
      </c>
      <c r="C57" s="11"/>
      <c r="D57" s="34">
        <f>$P$57*$Q$57</f>
        <v>30000</v>
      </c>
      <c r="E57" s="34">
        <f t="shared" ref="E57:L57" si="28">$P$57*$Q$57</f>
        <v>30000</v>
      </c>
      <c r="F57" s="34">
        <f t="shared" si="28"/>
        <v>30000</v>
      </c>
      <c r="G57" s="34">
        <f t="shared" si="28"/>
        <v>30000</v>
      </c>
      <c r="H57" s="34">
        <f t="shared" si="28"/>
        <v>30000</v>
      </c>
      <c r="I57" s="34">
        <f t="shared" si="28"/>
        <v>30000</v>
      </c>
      <c r="J57" s="34">
        <f t="shared" si="28"/>
        <v>30000</v>
      </c>
      <c r="K57" s="34">
        <f t="shared" si="28"/>
        <v>30000</v>
      </c>
      <c r="L57" s="34">
        <f t="shared" si="28"/>
        <v>30000</v>
      </c>
      <c r="M57" s="34">
        <f>$P$57*$Q$57</f>
        <v>30000</v>
      </c>
      <c r="N57" s="5"/>
      <c r="O57" s="10" t="s">
        <v>91</v>
      </c>
      <c r="P57" s="28">
        <v>1000</v>
      </c>
      <c r="Q57" s="28">
        <v>30</v>
      </c>
    </row>
    <row r="58" spans="1:20" x14ac:dyDescent="0.25">
      <c r="B58" s="8" t="s">
        <v>14</v>
      </c>
      <c r="C58" s="11"/>
      <c r="D58" s="34">
        <f>C58+D31</f>
        <v>9150.7776897677631</v>
      </c>
      <c r="E58" s="34">
        <f t="shared" ref="E58:M58" si="29">D58+E31</f>
        <v>19931.553893068492</v>
      </c>
      <c r="F58" s="34">
        <f t="shared" si="29"/>
        <v>32433.226686067665</v>
      </c>
      <c r="G58" s="34">
        <f t="shared" si="29"/>
        <v>46798.177934063489</v>
      </c>
      <c r="H58" s="34">
        <f t="shared" si="29"/>
        <v>63156.772537271288</v>
      </c>
      <c r="I58" s="34">
        <f t="shared" si="29"/>
        <v>81648.633865773823</v>
      </c>
      <c r="J58" s="34">
        <f t="shared" si="29"/>
        <v>102423.31178845388</v>
      </c>
      <c r="K58" s="34">
        <f t="shared" si="29"/>
        <v>124191.01365674345</v>
      </c>
      <c r="L58" s="34">
        <f t="shared" si="29"/>
        <v>146489.19094987452</v>
      </c>
      <c r="M58" s="34">
        <f t="shared" si="29"/>
        <v>169327.52966946003</v>
      </c>
      <c r="O58" s="10"/>
    </row>
    <row r="59" spans="1:20" x14ac:dyDescent="0.25">
      <c r="C59" s="12"/>
      <c r="D59" s="34"/>
      <c r="E59" s="34"/>
      <c r="F59" s="34"/>
      <c r="G59" s="34"/>
      <c r="H59" s="19"/>
      <c r="I59" s="19"/>
      <c r="J59" s="19"/>
      <c r="K59" s="19"/>
      <c r="L59" s="19"/>
      <c r="M59" s="19"/>
      <c r="O59" s="69" t="s">
        <v>131</v>
      </c>
      <c r="P59" s="70"/>
      <c r="Q59" s="70"/>
      <c r="R59" s="70"/>
      <c r="S59" s="70"/>
      <c r="T59" s="71"/>
    </row>
    <row r="60" spans="1:20" ht="15.75" thickBot="1" x14ac:dyDescent="0.3">
      <c r="A60" s="10" t="s">
        <v>69</v>
      </c>
      <c r="B60" s="10"/>
      <c r="C60" s="25"/>
      <c r="D60" s="124">
        <f>SUM(D50:D58)</f>
        <v>458000.00000000012</v>
      </c>
      <c r="E60" s="124">
        <f>SUM(E50:E58)</f>
        <v>446480.00000000006</v>
      </c>
      <c r="F60" s="124">
        <f>SUM(F50:F58)</f>
        <v>434964.79999999993</v>
      </c>
      <c r="G60" s="124">
        <f>SUM(G50:G58)</f>
        <v>423454.44799999997</v>
      </c>
      <c r="H60" s="124">
        <f t="shared" ref="H60:M60" si="30">SUM(H50:H58)</f>
        <v>411948.99248000002</v>
      </c>
      <c r="I60" s="124">
        <f t="shared" si="30"/>
        <v>400448.48240480002</v>
      </c>
      <c r="J60" s="124">
        <f t="shared" si="30"/>
        <v>388952.96722884808</v>
      </c>
      <c r="K60" s="124">
        <f t="shared" si="30"/>
        <v>397195.38481520681</v>
      </c>
      <c r="L60" s="124">
        <f t="shared" si="30"/>
        <v>412623.12262544053</v>
      </c>
      <c r="M60" s="124">
        <f t="shared" si="30"/>
        <v>428341.96036909806</v>
      </c>
      <c r="O60" s="72" t="s">
        <v>132</v>
      </c>
      <c r="P60" s="94">
        <f>T64</f>
        <v>1.4433333333333334</v>
      </c>
      <c r="Q60" s="85" t="s">
        <v>146</v>
      </c>
      <c r="R60" s="73"/>
      <c r="S60" s="73" t="s">
        <v>144</v>
      </c>
      <c r="T60" s="74">
        <v>1.68</v>
      </c>
    </row>
    <row r="61" spans="1:20" ht="15.75" thickTop="1" x14ac:dyDescent="0.25">
      <c r="A61" s="1" t="s">
        <v>69</v>
      </c>
      <c r="C61" s="11"/>
      <c r="D61" s="19"/>
      <c r="E61" s="19"/>
      <c r="F61" s="19"/>
      <c r="G61" s="19"/>
      <c r="H61" s="19"/>
      <c r="I61" s="19"/>
      <c r="J61" s="19"/>
      <c r="K61" s="19"/>
      <c r="L61" s="19"/>
      <c r="M61" s="19"/>
      <c r="O61" s="72" t="s">
        <v>133</v>
      </c>
      <c r="P61" s="95">
        <v>1.3899999999999999E-2</v>
      </c>
      <c r="Q61" s="85" t="s">
        <v>142</v>
      </c>
      <c r="R61" s="73"/>
      <c r="S61" s="73" t="s">
        <v>71</v>
      </c>
      <c r="T61" s="74">
        <v>1.36</v>
      </c>
    </row>
    <row r="62" spans="1:20" x14ac:dyDescent="0.25">
      <c r="A62" s="10" t="s">
        <v>26</v>
      </c>
      <c r="C62" s="11"/>
      <c r="D62" s="100">
        <f>D46-D60</f>
        <v>0</v>
      </c>
      <c r="E62" s="100">
        <f t="shared" ref="E62:M62" si="31">E46-E60</f>
        <v>0</v>
      </c>
      <c r="F62" s="100">
        <f t="shared" si="31"/>
        <v>0</v>
      </c>
      <c r="G62" s="100">
        <f t="shared" si="31"/>
        <v>0</v>
      </c>
      <c r="H62" s="100">
        <f t="shared" si="31"/>
        <v>0</v>
      </c>
      <c r="I62" s="100">
        <f t="shared" si="31"/>
        <v>0</v>
      </c>
      <c r="J62" s="100">
        <f t="shared" si="31"/>
        <v>0</v>
      </c>
      <c r="K62" s="100">
        <f t="shared" si="31"/>
        <v>2.0859296782873571E-3</v>
      </c>
      <c r="L62" s="100">
        <f t="shared" si="31"/>
        <v>-7.5529265450313687E-4</v>
      </c>
      <c r="M62" s="100">
        <f t="shared" si="31"/>
        <v>2.7197512681595981E-3</v>
      </c>
      <c r="O62" s="72" t="s">
        <v>134</v>
      </c>
      <c r="P62" s="95">
        <v>9.9000000000000005E-2</v>
      </c>
      <c r="Q62" s="85" t="s">
        <v>143</v>
      </c>
      <c r="R62" s="73"/>
      <c r="S62" s="73" t="s">
        <v>145</v>
      </c>
      <c r="T62" s="74">
        <v>1.29</v>
      </c>
    </row>
    <row r="63" spans="1:20" x14ac:dyDescent="0.25">
      <c r="C63" s="11"/>
      <c r="D63" s="19"/>
      <c r="E63" s="19"/>
      <c r="F63" s="19"/>
      <c r="G63" s="19"/>
      <c r="H63" s="19"/>
      <c r="I63" s="19"/>
      <c r="J63" s="19"/>
      <c r="K63" s="19"/>
      <c r="L63" s="19"/>
      <c r="M63" s="19"/>
      <c r="O63" s="75"/>
      <c r="P63" s="91"/>
      <c r="Q63" s="73"/>
      <c r="R63" s="73"/>
      <c r="S63" s="73"/>
      <c r="T63" s="74"/>
    </row>
    <row r="64" spans="1:20" ht="18.75" x14ac:dyDescent="0.3">
      <c r="A64" s="26" t="s">
        <v>30</v>
      </c>
      <c r="C64" s="11"/>
      <c r="D64" s="19"/>
      <c r="E64" s="19"/>
      <c r="F64" s="19"/>
      <c r="G64" s="19"/>
      <c r="H64" s="19"/>
      <c r="I64" s="19"/>
      <c r="J64" s="19"/>
      <c r="K64" s="19"/>
      <c r="L64" s="19"/>
      <c r="M64" s="19"/>
      <c r="O64" s="72" t="s">
        <v>135</v>
      </c>
      <c r="P64" s="96">
        <f>P60*(P62-P61)+P61</f>
        <v>0.13672766666666669</v>
      </c>
      <c r="Q64" s="73"/>
      <c r="R64" s="73"/>
      <c r="S64" s="98" t="s">
        <v>136</v>
      </c>
      <c r="T64" s="97">
        <f>AVERAGE(T60:T62)</f>
        <v>1.4433333333333334</v>
      </c>
    </row>
    <row r="65" spans="1:22" x14ac:dyDescent="0.25">
      <c r="A65" s="10" t="s">
        <v>31</v>
      </c>
      <c r="C65" s="35"/>
      <c r="D65" s="44"/>
      <c r="E65" s="44"/>
      <c r="F65" s="44"/>
      <c r="G65" s="44"/>
      <c r="H65" s="44"/>
      <c r="I65" s="44"/>
      <c r="J65" s="44"/>
      <c r="K65" s="44"/>
      <c r="L65" s="44"/>
      <c r="M65" s="44"/>
      <c r="O65" s="76"/>
      <c r="P65" s="77"/>
      <c r="Q65" s="77"/>
      <c r="R65" s="77"/>
      <c r="S65" s="77"/>
      <c r="T65" s="78"/>
    </row>
    <row r="66" spans="1:22" x14ac:dyDescent="0.25">
      <c r="B66" s="1" t="s">
        <v>38</v>
      </c>
      <c r="C66" s="44"/>
      <c r="D66" s="44">
        <f>D6+D7+D8-D11-D12-D13-D16-D17-D18-D19</f>
        <v>47850</v>
      </c>
      <c r="E66" s="44">
        <f t="shared" ref="E66:M66" si="32">E6+E7+E8-E11-E12-E13-E16-E17-E18-E19</f>
        <v>48328.5</v>
      </c>
      <c r="F66" s="44">
        <f t="shared" si="32"/>
        <v>48811.785000000003</v>
      </c>
      <c r="G66" s="44">
        <f t="shared" si="32"/>
        <v>49299.902849999999</v>
      </c>
      <c r="H66" s="44">
        <f t="shared" si="32"/>
        <v>49792.901878499979</v>
      </c>
      <c r="I66" s="44">
        <f t="shared" si="32"/>
        <v>50290.830897285021</v>
      </c>
      <c r="J66" s="44">
        <f t="shared" si="32"/>
        <v>50793.739206257836</v>
      </c>
      <c r="K66" s="44">
        <f t="shared" si="32"/>
        <v>51301.676598320468</v>
      </c>
      <c r="L66" s="44">
        <f t="shared" si="32"/>
        <v>51814.693364303632</v>
      </c>
      <c r="M66" s="44">
        <f t="shared" si="32"/>
        <v>52332.840297946655</v>
      </c>
      <c r="O66" s="79" t="s">
        <v>136</v>
      </c>
      <c r="P66" s="80" t="s">
        <v>137</v>
      </c>
      <c r="Q66" s="80" t="s">
        <v>138</v>
      </c>
      <c r="R66" s="80" t="s">
        <v>139</v>
      </c>
      <c r="S66" s="80" t="s">
        <v>140</v>
      </c>
      <c r="T66" s="74"/>
    </row>
    <row r="67" spans="1:22" x14ac:dyDescent="0.25">
      <c r="B67" s="1" t="s">
        <v>39</v>
      </c>
      <c r="C67" s="44"/>
      <c r="D67" s="44">
        <f>SUM(D23:D24)</f>
        <v>12000</v>
      </c>
      <c r="E67" s="44">
        <f t="shared" ref="E67:M67" si="33">SUM(E23:E24)</f>
        <v>12000</v>
      </c>
      <c r="F67" s="44">
        <f t="shared" si="33"/>
        <v>12000</v>
      </c>
      <c r="G67" s="44">
        <f t="shared" si="33"/>
        <v>12000</v>
      </c>
      <c r="H67" s="44">
        <f t="shared" si="33"/>
        <v>12000</v>
      </c>
      <c r="I67" s="44">
        <f t="shared" si="33"/>
        <v>12000</v>
      </c>
      <c r="J67" s="44">
        <f t="shared" si="33"/>
        <v>12000</v>
      </c>
      <c r="K67" s="44">
        <f t="shared" si="33"/>
        <v>12000</v>
      </c>
      <c r="L67" s="44">
        <f t="shared" si="33"/>
        <v>12000</v>
      </c>
      <c r="M67" s="44">
        <f t="shared" si="33"/>
        <v>12000</v>
      </c>
      <c r="O67" s="86">
        <f>AVERAGE(D53:M53)</f>
        <v>246612.176953241</v>
      </c>
      <c r="P67" s="87">
        <f>O67/O73</f>
        <v>0.56933599373116683</v>
      </c>
      <c r="Q67" s="88">
        <f>P53</f>
        <v>3.5000000000000003E-2</v>
      </c>
      <c r="R67" s="89">
        <f>Q67*(1-$P$30)</f>
        <v>2.4500000000000001E-2</v>
      </c>
      <c r="S67" s="89">
        <f>P67*R67</f>
        <v>1.3948731846413587E-2</v>
      </c>
      <c r="T67" s="74"/>
    </row>
    <row r="68" spans="1:22" x14ac:dyDescent="0.25">
      <c r="B68" s="1" t="s">
        <v>40</v>
      </c>
      <c r="C68" s="44"/>
      <c r="D68" s="63">
        <f>D66-D67</f>
        <v>35850</v>
      </c>
      <c r="E68" s="63">
        <f t="shared" ref="E68:M68" si="34">E66-E67</f>
        <v>36328.5</v>
      </c>
      <c r="F68" s="63">
        <f t="shared" si="34"/>
        <v>36811.785000000003</v>
      </c>
      <c r="G68" s="63">
        <f t="shared" si="34"/>
        <v>37299.902849999999</v>
      </c>
      <c r="H68" s="63">
        <f t="shared" si="34"/>
        <v>37792.901878499979</v>
      </c>
      <c r="I68" s="63">
        <f t="shared" si="34"/>
        <v>38290.830897285021</v>
      </c>
      <c r="J68" s="63">
        <f t="shared" si="34"/>
        <v>38793.739206257836</v>
      </c>
      <c r="K68" s="63">
        <f t="shared" si="34"/>
        <v>39301.676598320468</v>
      </c>
      <c r="L68" s="63">
        <f t="shared" si="34"/>
        <v>39814.693364303632</v>
      </c>
      <c r="M68" s="63">
        <f t="shared" si="34"/>
        <v>40332.840297946655</v>
      </c>
      <c r="O68" s="86">
        <f>AVERAGE(D54:M54)</f>
        <v>76990.341501485251</v>
      </c>
      <c r="P68" s="87">
        <f>O68/O73</f>
        <v>0.17774212582682422</v>
      </c>
      <c r="Q68" s="88">
        <f>P54</f>
        <v>9.5000000000000001E-2</v>
      </c>
      <c r="R68" s="89">
        <f>Q68*(1-$P$30)</f>
        <v>6.649999999999999E-2</v>
      </c>
      <c r="S68" s="89">
        <f>P68*R68</f>
        <v>1.1819851367483808E-2</v>
      </c>
      <c r="T68" s="74"/>
    </row>
    <row r="69" spans="1:22" x14ac:dyDescent="0.25">
      <c r="B69" s="1" t="s">
        <v>41</v>
      </c>
      <c r="C69" s="44"/>
      <c r="D69" s="44">
        <f>-D68*$P$30</f>
        <v>-10755</v>
      </c>
      <c r="E69" s="44">
        <f t="shared" ref="E69:M69" si="35">-E68*$P$30</f>
        <v>-10898.55</v>
      </c>
      <c r="F69" s="44">
        <f t="shared" si="35"/>
        <v>-11043.5355</v>
      </c>
      <c r="G69" s="44">
        <f t="shared" si="35"/>
        <v>-11189.970855</v>
      </c>
      <c r="H69" s="44">
        <f t="shared" si="35"/>
        <v>-11337.870563549994</v>
      </c>
      <c r="I69" s="44">
        <f t="shared" si="35"/>
        <v>-11487.249269185506</v>
      </c>
      <c r="J69" s="44">
        <f t="shared" si="35"/>
        <v>-11638.12176187735</v>
      </c>
      <c r="K69" s="44">
        <f t="shared" si="35"/>
        <v>-11790.502979496139</v>
      </c>
      <c r="L69" s="44">
        <f t="shared" si="35"/>
        <v>-11944.40800929109</v>
      </c>
      <c r="M69" s="44">
        <f t="shared" si="35"/>
        <v>-12099.852089383996</v>
      </c>
      <c r="O69" s="86"/>
      <c r="P69" s="87"/>
      <c r="Q69" s="90"/>
      <c r="R69" s="91"/>
      <c r="S69" s="91"/>
      <c r="T69" s="74"/>
    </row>
    <row r="70" spans="1:22" x14ac:dyDescent="0.25">
      <c r="B70" s="1" t="s">
        <v>42</v>
      </c>
      <c r="C70" s="44"/>
      <c r="D70" s="63">
        <f>D69+D68</f>
        <v>25095</v>
      </c>
      <c r="E70" s="63">
        <f t="shared" ref="E70:M70" si="36">E69+E68</f>
        <v>25429.95</v>
      </c>
      <c r="F70" s="63">
        <f t="shared" si="36"/>
        <v>25768.249500000005</v>
      </c>
      <c r="G70" s="63">
        <f t="shared" si="36"/>
        <v>26109.931994999999</v>
      </c>
      <c r="H70" s="63">
        <f t="shared" si="36"/>
        <v>26455.031314949985</v>
      </c>
      <c r="I70" s="63">
        <f t="shared" si="36"/>
        <v>26803.581628099513</v>
      </c>
      <c r="J70" s="63">
        <f t="shared" si="36"/>
        <v>27155.617444380485</v>
      </c>
      <c r="K70" s="63">
        <f t="shared" si="36"/>
        <v>27511.17361882433</v>
      </c>
      <c r="L70" s="63">
        <f t="shared" si="36"/>
        <v>27870.285355012544</v>
      </c>
      <c r="M70" s="63">
        <f t="shared" si="36"/>
        <v>28232.98820856266</v>
      </c>
      <c r="O70" s="86">
        <f>AVERAGE(D57:M57)</f>
        <v>30000</v>
      </c>
      <c r="P70" s="87">
        <f>SUM(O70:O71)/O73</f>
        <v>0.25292188044200897</v>
      </c>
      <c r="Q70" s="92">
        <f>P64</f>
        <v>0.13672766666666669</v>
      </c>
      <c r="R70" s="93">
        <f>Q70</f>
        <v>0.13672766666666669</v>
      </c>
      <c r="S70" s="89">
        <f>P70*R70</f>
        <v>3.4581418561781527E-2</v>
      </c>
      <c r="T70" s="74"/>
    </row>
    <row r="71" spans="1:22" x14ac:dyDescent="0.25">
      <c r="B71" s="1" t="s">
        <v>43</v>
      </c>
      <c r="C71" s="44"/>
      <c r="D71" s="44">
        <f>D67</f>
        <v>12000</v>
      </c>
      <c r="E71" s="44">
        <f t="shared" ref="E71:M71" si="37">E67</f>
        <v>12000</v>
      </c>
      <c r="F71" s="44">
        <f t="shared" si="37"/>
        <v>12000</v>
      </c>
      <c r="G71" s="44">
        <f t="shared" si="37"/>
        <v>12000</v>
      </c>
      <c r="H71" s="44">
        <f t="shared" si="37"/>
        <v>12000</v>
      </c>
      <c r="I71" s="44">
        <f t="shared" si="37"/>
        <v>12000</v>
      </c>
      <c r="J71" s="44">
        <f t="shared" si="37"/>
        <v>12000</v>
      </c>
      <c r="K71" s="44">
        <f t="shared" si="37"/>
        <v>12000</v>
      </c>
      <c r="L71" s="44">
        <f t="shared" si="37"/>
        <v>12000</v>
      </c>
      <c r="M71" s="44">
        <f t="shared" si="37"/>
        <v>12000</v>
      </c>
      <c r="O71" s="86">
        <f>AVERAGE(D58:M58)</f>
        <v>79555.018867054445</v>
      </c>
      <c r="P71" s="89"/>
      <c r="Q71" s="91"/>
      <c r="R71" s="91"/>
      <c r="S71" s="91"/>
      <c r="T71" s="74"/>
      <c r="U71" s="102" t="s">
        <v>62</v>
      </c>
    </row>
    <row r="72" spans="1:22" x14ac:dyDescent="0.25">
      <c r="B72" s="10" t="s">
        <v>44</v>
      </c>
      <c r="C72" s="45"/>
      <c r="D72" s="46">
        <f>D70+D71</f>
        <v>37095</v>
      </c>
      <c r="E72" s="46">
        <f t="shared" ref="E72:M72" si="38">E70+E71</f>
        <v>37429.949999999997</v>
      </c>
      <c r="F72" s="46">
        <f t="shared" si="38"/>
        <v>37768.249500000005</v>
      </c>
      <c r="G72" s="46">
        <f t="shared" si="38"/>
        <v>38109.931994999999</v>
      </c>
      <c r="H72" s="46">
        <f t="shared" si="38"/>
        <v>38455.031314949985</v>
      </c>
      <c r="I72" s="46">
        <f t="shared" si="38"/>
        <v>38803.581628099513</v>
      </c>
      <c r="J72" s="46">
        <f t="shared" si="38"/>
        <v>39155.617444380485</v>
      </c>
      <c r="K72" s="46">
        <f t="shared" si="38"/>
        <v>39511.17361882433</v>
      </c>
      <c r="L72" s="46">
        <f t="shared" si="38"/>
        <v>39870.285355012544</v>
      </c>
      <c r="M72" s="46">
        <f t="shared" si="38"/>
        <v>40232.98820856266</v>
      </c>
      <c r="O72" s="75"/>
      <c r="P72" s="73"/>
      <c r="Q72" s="73"/>
      <c r="R72" s="73"/>
      <c r="S72" s="81">
        <f>SUM(S67:S70)</f>
        <v>6.0350001775678924E-2</v>
      </c>
      <c r="T72" s="82" t="s">
        <v>141</v>
      </c>
      <c r="U72" s="101">
        <f>C99</f>
        <v>7.5822615785433367E-2</v>
      </c>
      <c r="V72" s="10"/>
    </row>
    <row r="73" spans="1:22" x14ac:dyDescent="0.25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O73" s="83">
        <f>SUM(O67:O71)</f>
        <v>433157.53732178069</v>
      </c>
      <c r="P73" s="77"/>
      <c r="Q73" s="77"/>
      <c r="R73" s="77"/>
      <c r="S73" s="77"/>
      <c r="T73" s="78"/>
    </row>
    <row r="74" spans="1:22" x14ac:dyDescent="0.25">
      <c r="A74" s="10" t="s">
        <v>32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U74" s="101"/>
    </row>
    <row r="75" spans="1:22" x14ac:dyDescent="0.25">
      <c r="B75" s="1" t="s">
        <v>33</v>
      </c>
      <c r="C75" s="44">
        <f>-P24</f>
        <v>-200000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P75" s="10" t="s">
        <v>128</v>
      </c>
      <c r="Q75" s="10" t="s">
        <v>63</v>
      </c>
      <c r="R75" s="10" t="s">
        <v>129</v>
      </c>
      <c r="S75" s="10" t="s">
        <v>64</v>
      </c>
    </row>
    <row r="76" spans="1:22" x14ac:dyDescent="0.25">
      <c r="B76" s="1" t="s">
        <v>34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>
        <f>Q76</f>
        <v>200000</v>
      </c>
      <c r="O76" s="10" t="s">
        <v>27</v>
      </c>
      <c r="P76" s="30">
        <v>1</v>
      </c>
      <c r="Q76" s="21">
        <f>P76*-C75</f>
        <v>200000</v>
      </c>
      <c r="R76" s="20">
        <f>D40</f>
        <v>200000</v>
      </c>
      <c r="S76" s="20">
        <f t="shared" ref="S76:S77" si="39">Q76-R76</f>
        <v>0</v>
      </c>
    </row>
    <row r="77" spans="1:22" x14ac:dyDescent="0.25">
      <c r="B77" s="1" t="s">
        <v>35</v>
      </c>
      <c r="C77" s="44">
        <f>-P22</f>
        <v>-150000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O77" s="10" t="s">
        <v>57</v>
      </c>
      <c r="P77" s="30">
        <v>1</v>
      </c>
      <c r="Q77" s="21">
        <f>P77*-C77</f>
        <v>150000</v>
      </c>
      <c r="R77" s="15">
        <f>M41-M43</f>
        <v>100000</v>
      </c>
      <c r="S77" s="20">
        <f t="shared" si="39"/>
        <v>50000</v>
      </c>
    </row>
    <row r="78" spans="1:22" x14ac:dyDescent="0.25">
      <c r="B78" s="1" t="s">
        <v>36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>
        <f>Q77</f>
        <v>150000</v>
      </c>
      <c r="O78" s="10" t="s">
        <v>56</v>
      </c>
      <c r="P78" s="30">
        <v>0.5</v>
      </c>
      <c r="Q78" s="21">
        <f>D42*P78</f>
        <v>35000</v>
      </c>
      <c r="R78" s="65">
        <f>M42-M44</f>
        <v>0</v>
      </c>
      <c r="S78" s="20">
        <f>Q78-R78</f>
        <v>35000</v>
      </c>
    </row>
    <row r="79" spans="1:22" x14ac:dyDescent="0.25">
      <c r="B79" s="1" t="s">
        <v>126</v>
      </c>
      <c r="C79" s="44">
        <f>-P23</f>
        <v>-70000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O79" s="61"/>
      <c r="P79" s="21"/>
    </row>
    <row r="80" spans="1:22" x14ac:dyDescent="0.25">
      <c r="B80" s="1" t="s">
        <v>127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>
        <f>Q78</f>
        <v>35000</v>
      </c>
      <c r="O80" s="5"/>
      <c r="P80" s="104"/>
    </row>
    <row r="81" spans="1:17" x14ac:dyDescent="0.25">
      <c r="B81" s="1" t="s">
        <v>37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>
        <f>-(S78+S77+S76)*$P$30</f>
        <v>-25500</v>
      </c>
    </row>
    <row r="82" spans="1:17" x14ac:dyDescent="0.25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P82" s="15"/>
      <c r="Q82" s="15"/>
    </row>
    <row r="83" spans="1:17" x14ac:dyDescent="0.25">
      <c r="A83" s="10" t="s">
        <v>45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7" x14ac:dyDescent="0.25">
      <c r="A84" s="1" t="s">
        <v>49</v>
      </c>
      <c r="B84" s="1" t="s">
        <v>9</v>
      </c>
      <c r="C84" s="44"/>
      <c r="D84" s="44">
        <f>C37-D37</f>
        <v>-31232.876712328765</v>
      </c>
      <c r="E84" s="44">
        <f t="shared" ref="E84:M84" si="40">D37-E37</f>
        <v>-312.32876712328653</v>
      </c>
      <c r="F84" s="44">
        <f t="shared" si="40"/>
        <v>-315.45205479452125</v>
      </c>
      <c r="G84" s="44">
        <f t="shared" si="40"/>
        <v>-318.60657534247002</v>
      </c>
      <c r="H84" s="44">
        <f t="shared" si="40"/>
        <v>-321.79264109588985</v>
      </c>
      <c r="I84" s="44">
        <f t="shared" si="40"/>
        <v>-325.01056750684802</v>
      </c>
      <c r="J84" s="44">
        <f t="shared" si="40"/>
        <v>-328.26067318191053</v>
      </c>
      <c r="K84" s="44">
        <f t="shared" si="40"/>
        <v>-331.54327991374885</v>
      </c>
      <c r="L84" s="44">
        <f t="shared" si="40"/>
        <v>-334.85871271287033</v>
      </c>
      <c r="M84" s="44">
        <f t="shared" si="40"/>
        <v>-338.20729984000354</v>
      </c>
    </row>
    <row r="85" spans="1:17" x14ac:dyDescent="0.25">
      <c r="A85" s="1" t="s">
        <v>49</v>
      </c>
      <c r="B85" s="1" t="s">
        <v>10</v>
      </c>
      <c r="C85" s="44"/>
      <c r="D85" s="44">
        <f>C38-D38</f>
        <v>-16767.123287671231</v>
      </c>
      <c r="E85" s="44">
        <f t="shared" ref="E85:M85" si="41">D38-E38</f>
        <v>-167.67123287671347</v>
      </c>
      <c r="F85" s="44">
        <f t="shared" si="41"/>
        <v>-169.34794520548166</v>
      </c>
      <c r="G85" s="44">
        <f t="shared" si="41"/>
        <v>-171.04142465753102</v>
      </c>
      <c r="H85" s="44">
        <f t="shared" si="41"/>
        <v>-172.75183890411063</v>
      </c>
      <c r="I85" s="44">
        <f t="shared" si="41"/>
        <v>-174.47935729315213</v>
      </c>
      <c r="J85" s="44">
        <f t="shared" si="41"/>
        <v>-176.22415086608089</v>
      </c>
      <c r="K85" s="44">
        <f t="shared" si="41"/>
        <v>-177.98639237474345</v>
      </c>
      <c r="L85" s="44">
        <f t="shared" si="41"/>
        <v>-179.76625629848786</v>
      </c>
      <c r="M85" s="44">
        <f t="shared" si="41"/>
        <v>-181.56391886147685</v>
      </c>
    </row>
    <row r="86" spans="1:17" x14ac:dyDescent="0.25">
      <c r="A86" s="1" t="s">
        <v>50</v>
      </c>
      <c r="B86" s="1" t="s">
        <v>24</v>
      </c>
      <c r="C86" s="44"/>
      <c r="D86" s="36">
        <f>D50-C50</f>
        <v>2794.5205479452052</v>
      </c>
      <c r="E86" s="36">
        <f t="shared" ref="E86:M86" si="42">E50-D50</f>
        <v>27.945205479452397</v>
      </c>
      <c r="F86" s="36">
        <f t="shared" si="42"/>
        <v>28.224657534246489</v>
      </c>
      <c r="G86" s="36">
        <f t="shared" si="42"/>
        <v>28.506904109588959</v>
      </c>
      <c r="H86" s="36">
        <f t="shared" si="42"/>
        <v>28.791973150684953</v>
      </c>
      <c r="I86" s="36">
        <f t="shared" si="42"/>
        <v>29.079892882191871</v>
      </c>
      <c r="J86" s="36">
        <f t="shared" si="42"/>
        <v>29.37069181101333</v>
      </c>
      <c r="K86" s="36">
        <f t="shared" si="42"/>
        <v>29.664398729124059</v>
      </c>
      <c r="L86" s="36">
        <f t="shared" si="42"/>
        <v>29.961042716414795</v>
      </c>
      <c r="M86" s="36">
        <f t="shared" si="42"/>
        <v>30.260653143579475</v>
      </c>
    </row>
    <row r="87" spans="1:17" x14ac:dyDescent="0.25">
      <c r="A87" s="1" t="s">
        <v>50</v>
      </c>
      <c r="B87" s="1" t="s">
        <v>51</v>
      </c>
      <c r="C87" s="44"/>
      <c r="D87" s="36">
        <f>-D69+C69</f>
        <v>10755</v>
      </c>
      <c r="E87" s="36">
        <f t="shared" ref="E87:M87" si="43">-E69+D69</f>
        <v>143.54999999999927</v>
      </c>
      <c r="F87" s="36">
        <f t="shared" si="43"/>
        <v>144.98550000000068</v>
      </c>
      <c r="G87" s="36">
        <f t="shared" si="43"/>
        <v>146.43535499999962</v>
      </c>
      <c r="H87" s="36">
        <f t="shared" si="43"/>
        <v>147.8997085499941</v>
      </c>
      <c r="I87" s="36">
        <f t="shared" si="43"/>
        <v>149.37870563551223</v>
      </c>
      <c r="J87" s="36">
        <f t="shared" si="43"/>
        <v>150.87249269184395</v>
      </c>
      <c r="K87" s="36">
        <f t="shared" si="43"/>
        <v>152.38121761878938</v>
      </c>
      <c r="L87" s="36">
        <f t="shared" si="43"/>
        <v>153.90502979495068</v>
      </c>
      <c r="M87" s="36">
        <f t="shared" si="43"/>
        <v>155.44408009290601</v>
      </c>
    </row>
    <row r="88" spans="1:17" x14ac:dyDescent="0.25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7" x14ac:dyDescent="0.25">
      <c r="A89" s="10" t="s">
        <v>46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</row>
    <row r="90" spans="1:17" x14ac:dyDescent="0.25">
      <c r="A90" s="1" t="s">
        <v>50</v>
      </c>
      <c r="B90" s="1" t="s">
        <v>9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>
        <f>M37</f>
        <v>34158.937283840314</v>
      </c>
    </row>
    <row r="91" spans="1:17" x14ac:dyDescent="0.25">
      <c r="A91" s="1" t="s">
        <v>50</v>
      </c>
      <c r="B91" s="1" t="s">
        <v>10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>
        <f>M38</f>
        <v>18337.955805009009</v>
      </c>
    </row>
    <row r="92" spans="1:17" x14ac:dyDescent="0.25">
      <c r="A92" s="1" t="s">
        <v>49</v>
      </c>
      <c r="B92" s="1" t="s">
        <v>24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>
        <f>-M50</f>
        <v>-3056.3259675015015</v>
      </c>
    </row>
    <row r="93" spans="1:17" x14ac:dyDescent="0.25">
      <c r="A93" s="1" t="s">
        <v>49</v>
      </c>
      <c r="B93" s="1" t="s">
        <v>51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>
        <f>M69</f>
        <v>-12099.852089383996</v>
      </c>
    </row>
    <row r="94" spans="1:17" x14ac:dyDescent="0.25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7" x14ac:dyDescent="0.25">
      <c r="A95" s="10" t="s">
        <v>47</v>
      </c>
      <c r="B95" s="10" t="s">
        <v>47</v>
      </c>
      <c r="C95" s="64">
        <f>SUM(C72:C93)</f>
        <v>-420000</v>
      </c>
      <c r="D95" s="64">
        <f t="shared" ref="D95:M95" si="44">SUM(D72:D93)</f>
        <v>2644.5205479452088</v>
      </c>
      <c r="E95" s="64">
        <f>SUM(E72:E93)</f>
        <v>37121.445205479453</v>
      </c>
      <c r="F95" s="64">
        <f>SUM(F72:F93)</f>
        <v>37456.659657534248</v>
      </c>
      <c r="G95" s="64">
        <f>SUM(G72:G93)</f>
        <v>37795.226254109592</v>
      </c>
      <c r="H95" s="64">
        <f>SUM(H72:H93)</f>
        <v>38137.178516650667</v>
      </c>
      <c r="I95" s="64">
        <f t="shared" si="44"/>
        <v>38482.550301817217</v>
      </c>
      <c r="J95" s="64">
        <f t="shared" si="44"/>
        <v>38831.375804835348</v>
      </c>
      <c r="K95" s="64">
        <f t="shared" si="44"/>
        <v>39183.689562883752</v>
      </c>
      <c r="L95" s="64">
        <f t="shared" si="44"/>
        <v>39539.526458512548</v>
      </c>
      <c r="M95" s="64">
        <f t="shared" si="44"/>
        <v>436739.63675506145</v>
      </c>
    </row>
    <row r="96" spans="1:17" x14ac:dyDescent="0.25">
      <c r="A96" s="10" t="s">
        <v>59</v>
      </c>
      <c r="C96" s="64">
        <f>C95</f>
        <v>-420000</v>
      </c>
      <c r="D96" s="64">
        <f>-PV($P$96,1,0,D95)</f>
        <v>2448.6301369863045</v>
      </c>
      <c r="E96" s="64">
        <f>-PV($P$96,2,0,E95)</f>
        <v>31825.656040363039</v>
      </c>
      <c r="F96" s="64">
        <f>-PV($P$96,3,0,F95)</f>
        <v>29734.304077070192</v>
      </c>
      <c r="G96" s="64">
        <f>-PV($P$96,4,0,G95)</f>
        <v>27780.61958996682</v>
      </c>
      <c r="H96" s="64">
        <f>-PV($P$96,5,0,H95)</f>
        <v>25955.522880709072</v>
      </c>
      <c r="I96" s="64">
        <f>-PV($P$96,6,0,I95)</f>
        <v>24250.534365206458</v>
      </c>
      <c r="J96" s="64">
        <f>-PV($P$96,7,0,J95)</f>
        <v>22657.734816935837</v>
      </c>
      <c r="K96" s="64">
        <f>-PV($P$96,8,0,K95)</f>
        <v>21169.728250810917</v>
      </c>
      <c r="L96" s="64">
        <f>-PV($P$96,9,0,L95)</f>
        <v>19779.607271737896</v>
      </c>
      <c r="M96" s="64">
        <f>-PV($P$96,10,0,M95)</f>
        <v>202294.95573341488</v>
      </c>
      <c r="O96" s="10" t="s">
        <v>60</v>
      </c>
      <c r="P96" s="30">
        <v>0.08</v>
      </c>
    </row>
    <row r="97" spans="1:14" ht="15.75" thickBot="1" x14ac:dyDescent="0.3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4" ht="15.75" thickBot="1" x14ac:dyDescent="0.3">
      <c r="A98" s="10" t="s">
        <v>61</v>
      </c>
      <c r="C98" s="66">
        <f>C96+D96+E96+F96+G96+H96+I96+J96+K96+L96+M96</f>
        <v>-12102.706836798578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4" ht="15.75" thickBot="1" x14ac:dyDescent="0.3">
      <c r="A99" s="10" t="s">
        <v>62</v>
      </c>
      <c r="C99" s="67">
        <f>IRR(C95:M95)</f>
        <v>7.5822615785433367E-2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4" x14ac:dyDescent="0.25"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4" x14ac:dyDescent="0.25"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4" x14ac:dyDescent="0.25"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4" x14ac:dyDescent="0.25"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4" x14ac:dyDescent="0.25"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4" x14ac:dyDescent="0.25"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4" x14ac:dyDescent="0.25"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4" x14ac:dyDescent="0.25">
      <c r="A107" s="10" t="s">
        <v>158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4" x14ac:dyDescent="0.25">
      <c r="B108" s="1" t="s">
        <v>147</v>
      </c>
      <c r="C108" s="64">
        <v>-420000</v>
      </c>
      <c r="D108" s="15">
        <v>963.28767123287662</v>
      </c>
      <c r="E108" s="15">
        <v>10497.632876712329</v>
      </c>
      <c r="F108" s="15">
        <v>10566.60920547945</v>
      </c>
      <c r="G108" s="15">
        <v>10636.275297534245</v>
      </c>
      <c r="H108" s="15">
        <v>10706.638050509584</v>
      </c>
      <c r="I108" s="15">
        <v>10777.704431014687</v>
      </c>
      <c r="J108" s="15">
        <v>10849.48147532483</v>
      </c>
      <c r="K108" s="15">
        <v>10921.976290078077</v>
      </c>
      <c r="L108" s="15">
        <v>10995.196052978861</v>
      </c>
      <c r="M108" s="15">
        <v>405148.91863237269</v>
      </c>
      <c r="N108" s="5">
        <v>0.5</v>
      </c>
    </row>
    <row r="109" spans="1:14" x14ac:dyDescent="0.25">
      <c r="B109" s="1" t="s">
        <v>148</v>
      </c>
      <c r="C109" s="64">
        <v>-420000</v>
      </c>
      <c r="D109" s="64">
        <v>3419.1780821917819</v>
      </c>
      <c r="E109" s="64">
        <v>52774.191780821915</v>
      </c>
      <c r="F109" s="64">
        <v>53265.93369863012</v>
      </c>
      <c r="G109" s="64">
        <v>53762.593035616454</v>
      </c>
      <c r="H109" s="64">
        <v>54264.218965972643</v>
      </c>
      <c r="I109" s="64">
        <v>54770.861155632352</v>
      </c>
      <c r="J109" s="64">
        <v>55282.569767188717</v>
      </c>
      <c r="K109" s="64">
        <v>55799.39546486047</v>
      </c>
      <c r="L109" s="64">
        <v>56321.389419509156</v>
      </c>
      <c r="M109" s="64">
        <v>494452.79290023539</v>
      </c>
      <c r="N109" s="5">
        <v>0.5</v>
      </c>
    </row>
    <row r="110" spans="1:14" x14ac:dyDescent="0.25">
      <c r="B110" s="1" t="s">
        <v>149</v>
      </c>
      <c r="C110" s="65">
        <f>C108*$N$108+C109*$N$109</f>
        <v>-420000</v>
      </c>
      <c r="D110" s="65">
        <f>D108*$N$108+D109*$N$109</f>
        <v>2191.232876712329</v>
      </c>
      <c r="E110" s="65">
        <f t="shared" ref="E110:M110" si="45">E108*$N$108+E109*$N$109</f>
        <v>31635.912328767121</v>
      </c>
      <c r="F110" s="65">
        <f t="shared" si="45"/>
        <v>31916.271452054785</v>
      </c>
      <c r="G110" s="65">
        <f t="shared" si="45"/>
        <v>32199.434166575349</v>
      </c>
      <c r="H110" s="65">
        <f t="shared" si="45"/>
        <v>32485.428508241115</v>
      </c>
      <c r="I110" s="65">
        <f t="shared" si="45"/>
        <v>32774.282793323517</v>
      </c>
      <c r="J110" s="65">
        <f t="shared" si="45"/>
        <v>33066.025621256777</v>
      </c>
      <c r="K110" s="65">
        <f t="shared" si="45"/>
        <v>33360.685877469274</v>
      </c>
      <c r="L110" s="65">
        <f t="shared" si="45"/>
        <v>33658.29273624401</v>
      </c>
      <c r="M110" s="65">
        <f t="shared" si="45"/>
        <v>449800.85576630407</v>
      </c>
    </row>
    <row r="111" spans="1:14" x14ac:dyDescent="0.25"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4" x14ac:dyDescent="0.25">
      <c r="B112" s="1" t="s">
        <v>152</v>
      </c>
      <c r="C112" s="103">
        <f>NPV(S72,D110:M110)+C110</f>
        <v>22757.448427557421</v>
      </c>
    </row>
    <row r="113" spans="1:14" x14ac:dyDescent="0.25">
      <c r="B113" s="1" t="s">
        <v>153</v>
      </c>
      <c r="C113" s="5">
        <f>IRR(C110:M110)</f>
        <v>6.7470314358557104E-2</v>
      </c>
    </row>
    <row r="117" spans="1:14" x14ac:dyDescent="0.25">
      <c r="B117" s="1" t="s">
        <v>150</v>
      </c>
    </row>
    <row r="118" spans="1:14" x14ac:dyDescent="0.25">
      <c r="B118" s="1" t="s">
        <v>151</v>
      </c>
    </row>
    <row r="119" spans="1:14" x14ac:dyDescent="0.25">
      <c r="B119" s="1" t="s">
        <v>154</v>
      </c>
    </row>
    <row r="123" spans="1:14" x14ac:dyDescent="0.25">
      <c r="A123" s="105" t="s">
        <v>159</v>
      </c>
      <c r="C123" s="1">
        <v>0</v>
      </c>
      <c r="D123" s="1">
        <v>1</v>
      </c>
      <c r="E123" s="1">
        <v>2</v>
      </c>
      <c r="F123" s="1">
        <v>3</v>
      </c>
      <c r="G123" s="1">
        <v>4</v>
      </c>
      <c r="H123" s="1">
        <v>5</v>
      </c>
      <c r="I123" s="1">
        <v>6</v>
      </c>
      <c r="J123" s="1">
        <v>7</v>
      </c>
      <c r="K123" s="1">
        <v>8</v>
      </c>
      <c r="L123" s="1">
        <v>9</v>
      </c>
      <c r="M123" s="1">
        <v>10</v>
      </c>
    </row>
    <row r="124" spans="1:14" x14ac:dyDescent="0.25">
      <c r="B124" s="1" t="s">
        <v>148</v>
      </c>
      <c r="C124" s="64">
        <v>-420000</v>
      </c>
      <c r="D124" s="64">
        <v>3419.1780821917819</v>
      </c>
      <c r="E124" s="64">
        <v>52774.191780821915</v>
      </c>
      <c r="F124" s="64">
        <v>53265.93369863012</v>
      </c>
      <c r="G124" s="64">
        <v>53762.593035616454</v>
      </c>
      <c r="H124" s="64">
        <v>54264.218965972643</v>
      </c>
      <c r="I124" s="64">
        <v>54770.861155632352</v>
      </c>
      <c r="J124" s="64">
        <v>55282.569767188717</v>
      </c>
      <c r="K124" s="64">
        <v>55799.39546486047</v>
      </c>
      <c r="L124" s="64">
        <v>56321.389419509156</v>
      </c>
      <c r="M124" s="64">
        <v>494452.79290023539</v>
      </c>
    </row>
    <row r="125" spans="1:14" x14ac:dyDescent="0.25">
      <c r="B125" s="1" t="s">
        <v>155</v>
      </c>
      <c r="H125" s="21">
        <v>-250000</v>
      </c>
      <c r="I125" s="65">
        <f>I124</f>
        <v>54770.861155632352</v>
      </c>
      <c r="J125" s="65">
        <f t="shared" ref="J125:L125" si="46">J124</f>
        <v>55282.569767188717</v>
      </c>
      <c r="K125" s="65">
        <f t="shared" si="46"/>
        <v>55799.39546486047</v>
      </c>
      <c r="L125" s="65">
        <f t="shared" si="46"/>
        <v>56321.389419509156</v>
      </c>
      <c r="M125" s="21">
        <f>M124+(-H125*0.9)</f>
        <v>719452.79290023539</v>
      </c>
    </row>
    <row r="126" spans="1:14" x14ac:dyDescent="0.25">
      <c r="H126" s="21"/>
      <c r="I126" s="65"/>
      <c r="J126" s="65"/>
      <c r="K126" s="65"/>
      <c r="L126" s="65"/>
      <c r="M126" s="21"/>
    </row>
    <row r="127" spans="1:14" x14ac:dyDescent="0.25">
      <c r="B127" s="1" t="s">
        <v>156</v>
      </c>
      <c r="C127" s="65">
        <f>SUM(C124:C125)</f>
        <v>-420000</v>
      </c>
      <c r="D127" s="65">
        <f t="shared" ref="D127:M127" si="47">SUM(D124:D125)</f>
        <v>3419.1780821917819</v>
      </c>
      <c r="E127" s="65">
        <f t="shared" si="47"/>
        <v>52774.191780821915</v>
      </c>
      <c r="F127" s="65">
        <f t="shared" si="47"/>
        <v>53265.93369863012</v>
      </c>
      <c r="G127" s="65">
        <f t="shared" si="47"/>
        <v>53762.593035616454</v>
      </c>
      <c r="H127" s="65">
        <f t="shared" si="47"/>
        <v>-195735.78103402734</v>
      </c>
      <c r="I127" s="65">
        <f t="shared" si="47"/>
        <v>109541.7223112647</v>
      </c>
      <c r="J127" s="65">
        <f t="shared" si="47"/>
        <v>110565.13953437743</v>
      </c>
      <c r="K127" s="65">
        <f t="shared" si="47"/>
        <v>111598.79092972094</v>
      </c>
      <c r="L127" s="65">
        <f t="shared" si="47"/>
        <v>112642.77883901831</v>
      </c>
      <c r="M127" s="65">
        <f t="shared" si="47"/>
        <v>1213905.5858004708</v>
      </c>
      <c r="N127" s="5">
        <v>0.5</v>
      </c>
    </row>
    <row r="128" spans="1:14" x14ac:dyDescent="0.25">
      <c r="B128" s="1" t="s">
        <v>147</v>
      </c>
      <c r="C128" s="1">
        <v>-420000</v>
      </c>
      <c r="D128" s="15">
        <v>963.28767123287662</v>
      </c>
      <c r="E128" s="15">
        <v>10497.632876712329</v>
      </c>
      <c r="F128" s="15">
        <v>10566.60920547945</v>
      </c>
      <c r="G128" s="15">
        <v>10636.275297534245</v>
      </c>
      <c r="H128" s="15">
        <v>10706.638050509584</v>
      </c>
      <c r="I128" s="15">
        <v>10777.704431014687</v>
      </c>
      <c r="J128" s="15">
        <v>10849.48147532483</v>
      </c>
      <c r="K128" s="15">
        <v>10921.976290078077</v>
      </c>
      <c r="L128" s="15">
        <v>10995.196052978861</v>
      </c>
      <c r="M128" s="15">
        <v>405148.91863237269</v>
      </c>
      <c r="N128" s="5">
        <v>0.5</v>
      </c>
    </row>
    <row r="129" spans="2:13" x14ac:dyDescent="0.25">
      <c r="B129" s="1" t="s">
        <v>157</v>
      </c>
      <c r="C129" s="65">
        <f>C127*$N$127+C128*$N$128</f>
        <v>-420000</v>
      </c>
      <c r="D129" s="65">
        <f t="shared" ref="D129:M129" si="48">D127*$N$127+D128*$N$128</f>
        <v>2191.232876712329</v>
      </c>
      <c r="E129" s="65">
        <f t="shared" si="48"/>
        <v>31635.912328767121</v>
      </c>
      <c r="F129" s="65">
        <f t="shared" si="48"/>
        <v>31916.271452054785</v>
      </c>
      <c r="G129" s="65">
        <f t="shared" si="48"/>
        <v>32199.434166575349</v>
      </c>
      <c r="H129" s="65">
        <f t="shared" si="48"/>
        <v>-92514.571491758878</v>
      </c>
      <c r="I129" s="65">
        <f t="shared" si="48"/>
        <v>60159.713371139696</v>
      </c>
      <c r="J129" s="65">
        <f t="shared" si="48"/>
        <v>60707.310504851135</v>
      </c>
      <c r="K129" s="65">
        <f t="shared" si="48"/>
        <v>61260.383609899509</v>
      </c>
      <c r="L129" s="65">
        <f t="shared" si="48"/>
        <v>61818.987445998588</v>
      </c>
      <c r="M129" s="65">
        <f t="shared" si="48"/>
        <v>809527.25221642177</v>
      </c>
    </row>
    <row r="131" spans="2:13" x14ac:dyDescent="0.25">
      <c r="B131" s="1" t="s">
        <v>152</v>
      </c>
      <c r="C131" s="103">
        <f>NPV(S72,D129:M129)+C129</f>
        <v>201396.83805352473</v>
      </c>
    </row>
    <row r="132" spans="2:13" x14ac:dyDescent="0.25">
      <c r="B132" s="1" t="s">
        <v>153</v>
      </c>
      <c r="C132" s="5">
        <f>IRR(C129:M129)</f>
        <v>0.1083388402550538</v>
      </c>
    </row>
  </sheetData>
  <sheetProtection selectLockedCells="1" selectUnlockedCells="1"/>
  <hyperlinks>
    <hyperlink ref="Q61" r:id="rId1"/>
    <hyperlink ref="Q62" r:id="rId2"/>
    <hyperlink ref="Q60" r:id="rId3"/>
  </hyperlinks>
  <pageMargins left="0.7" right="0.7" top="0.75" bottom="0.75" header="0.51180555555555551" footer="0.51180555555555551"/>
  <pageSetup firstPageNumber="0" fitToHeight="0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44"/>
  <sheetViews>
    <sheetView tabSelected="1" zoomScale="81" zoomScaleNormal="81" workbookViewId="0">
      <selection activeCell="G140" sqref="G140"/>
    </sheetView>
  </sheetViews>
  <sheetFormatPr defaultColWidth="9.42578125" defaultRowHeight="15" x14ac:dyDescent="0.25"/>
  <cols>
    <col min="1" max="1" width="4.85546875" style="1" customWidth="1"/>
    <col min="2" max="2" width="36" style="1" customWidth="1"/>
    <col min="3" max="3" width="13.5703125" style="1" customWidth="1"/>
    <col min="4" max="5" width="13.140625" style="1" bestFit="1" customWidth="1"/>
    <col min="6" max="6" width="14.42578125" style="1" customWidth="1"/>
    <col min="7" max="7" width="13.140625" style="1" bestFit="1" customWidth="1"/>
    <col min="8" max="8" width="14.140625" style="1" bestFit="1" customWidth="1"/>
    <col min="9" max="9" width="13.140625" style="1" customWidth="1"/>
    <col min="10" max="13" width="13.140625" style="1" bestFit="1" customWidth="1"/>
    <col min="14" max="14" width="9.42578125" style="1" customWidth="1"/>
    <col min="15" max="15" width="20.7109375" style="1" bestFit="1" customWidth="1"/>
    <col min="16" max="16" width="19.85546875" style="1" bestFit="1" customWidth="1"/>
    <col min="17" max="17" width="18.140625" style="1" bestFit="1" customWidth="1"/>
    <col min="18" max="18" width="13.42578125" style="1" bestFit="1" customWidth="1"/>
    <col min="19" max="19" width="15.85546875" style="1" bestFit="1" customWidth="1"/>
    <col min="20" max="20" width="15.28515625" style="1" bestFit="1" customWidth="1"/>
    <col min="21" max="23" width="9.42578125" style="1"/>
    <col min="24" max="24" width="13.5703125" style="1" bestFit="1" customWidth="1"/>
    <col min="25" max="25" width="12" style="1" bestFit="1" customWidth="1"/>
    <col min="26" max="26" width="18.140625" style="1" bestFit="1" customWidth="1"/>
    <col min="27" max="27" width="10.5703125" style="1" bestFit="1" customWidth="1"/>
    <col min="28" max="16384" width="9.42578125" style="1"/>
  </cols>
  <sheetData>
    <row r="1" spans="1:21" s="3" customFormat="1" x14ac:dyDescent="0.25">
      <c r="A1" s="2" t="s">
        <v>58</v>
      </c>
      <c r="C1" s="17" t="s">
        <v>52</v>
      </c>
      <c r="D1" s="38">
        <v>79000</v>
      </c>
      <c r="E1" s="39"/>
      <c r="F1" s="39"/>
      <c r="G1" s="39"/>
      <c r="H1" s="39"/>
      <c r="I1" s="39"/>
      <c r="J1" s="39"/>
      <c r="K1" s="39"/>
      <c r="L1" s="39"/>
      <c r="M1" s="39"/>
      <c r="O1" s="27"/>
    </row>
    <row r="2" spans="1:21" x14ac:dyDescent="0.25">
      <c r="A2" s="4" t="s">
        <v>0</v>
      </c>
      <c r="D2" s="99">
        <v>2014</v>
      </c>
      <c r="E2" s="99">
        <f>D2+1</f>
        <v>2015</v>
      </c>
      <c r="F2" s="99">
        <f t="shared" ref="F2:M2" si="0">E2+1</f>
        <v>2016</v>
      </c>
      <c r="G2" s="99">
        <f t="shared" si="0"/>
        <v>2017</v>
      </c>
      <c r="H2" s="99">
        <f t="shared" si="0"/>
        <v>2018</v>
      </c>
      <c r="I2" s="99">
        <f t="shared" si="0"/>
        <v>2019</v>
      </c>
      <c r="J2" s="99">
        <f t="shared" si="0"/>
        <v>2020</v>
      </c>
      <c r="K2" s="99">
        <f t="shared" si="0"/>
        <v>2021</v>
      </c>
      <c r="L2" s="99">
        <f t="shared" si="0"/>
        <v>2022</v>
      </c>
      <c r="M2" s="99">
        <f t="shared" si="0"/>
        <v>2023</v>
      </c>
      <c r="O2" s="10" t="s">
        <v>75</v>
      </c>
      <c r="P2" s="30">
        <v>0.01</v>
      </c>
      <c r="Q2" s="32"/>
    </row>
    <row r="3" spans="1:21" x14ac:dyDescent="0.25">
      <c r="C3" s="11"/>
      <c r="D3" s="13"/>
      <c r="E3" s="13"/>
      <c r="F3" s="13"/>
      <c r="G3" s="13"/>
      <c r="H3" s="20"/>
      <c r="I3" s="20"/>
      <c r="J3" s="20"/>
      <c r="K3" s="20"/>
      <c r="L3" s="20"/>
      <c r="M3" s="20"/>
    </row>
    <row r="4" spans="1:21" ht="18.75" x14ac:dyDescent="0.3">
      <c r="A4" s="24" t="s">
        <v>1</v>
      </c>
      <c r="C4" s="11"/>
      <c r="D4" s="13"/>
      <c r="E4" s="13"/>
      <c r="F4" s="13"/>
      <c r="G4" s="13"/>
      <c r="H4" s="20"/>
      <c r="I4" s="20"/>
      <c r="J4" s="20"/>
      <c r="K4" s="20"/>
      <c r="L4" s="20"/>
      <c r="M4" s="20"/>
    </row>
    <row r="5" spans="1:21" x14ac:dyDescent="0.25">
      <c r="A5" s="10" t="s">
        <v>53</v>
      </c>
      <c r="C5" s="11"/>
      <c r="D5" s="18"/>
      <c r="E5" s="18"/>
      <c r="F5" s="18"/>
      <c r="G5" s="18"/>
      <c r="H5" s="18"/>
      <c r="I5" s="18"/>
      <c r="J5" s="18"/>
      <c r="K5" s="18"/>
      <c r="L5" s="18"/>
      <c r="M5" s="18"/>
      <c r="N5" s="7"/>
      <c r="O5" s="31" t="s">
        <v>55</v>
      </c>
      <c r="P5" s="10" t="s">
        <v>73</v>
      </c>
      <c r="Q5" s="10" t="s">
        <v>74</v>
      </c>
      <c r="R5" s="10" t="s">
        <v>55</v>
      </c>
    </row>
    <row r="6" spans="1:21" x14ac:dyDescent="0.25">
      <c r="A6" s="6"/>
      <c r="B6" s="1" t="s">
        <v>77</v>
      </c>
      <c r="C6" s="11"/>
      <c r="D6" s="18">
        <f>R6</f>
        <v>45000</v>
      </c>
      <c r="E6" s="18">
        <f t="shared" ref="E6:H8" si="1">D6*(1+$P$2)</f>
        <v>45450</v>
      </c>
      <c r="F6" s="18">
        <f t="shared" si="1"/>
        <v>45904.5</v>
      </c>
      <c r="G6" s="18">
        <f t="shared" si="1"/>
        <v>46363.544999999998</v>
      </c>
      <c r="H6" s="18">
        <f t="shared" si="1"/>
        <v>46827.18045</v>
      </c>
      <c r="I6" s="18"/>
      <c r="J6" s="18"/>
      <c r="K6" s="18"/>
      <c r="L6" s="18"/>
      <c r="M6" s="18"/>
      <c r="N6" s="7"/>
      <c r="O6" s="10" t="s">
        <v>70</v>
      </c>
      <c r="P6" s="28">
        <v>75</v>
      </c>
      <c r="Q6" s="29">
        <v>600</v>
      </c>
      <c r="R6" s="20">
        <f>P6*Q6</f>
        <v>45000</v>
      </c>
    </row>
    <row r="7" spans="1:21" x14ac:dyDescent="0.25">
      <c r="A7" s="6"/>
      <c r="B7" s="1" t="s">
        <v>78</v>
      </c>
      <c r="C7" s="11"/>
      <c r="D7" s="18">
        <f>R7</f>
        <v>15000</v>
      </c>
      <c r="E7" s="18">
        <f t="shared" si="1"/>
        <v>15150</v>
      </c>
      <c r="F7" s="18">
        <f t="shared" si="1"/>
        <v>15301.5</v>
      </c>
      <c r="G7" s="18">
        <f t="shared" si="1"/>
        <v>15454.514999999999</v>
      </c>
      <c r="H7" s="18">
        <f t="shared" si="1"/>
        <v>15609.060149999999</v>
      </c>
      <c r="I7" s="18"/>
      <c r="J7" s="18"/>
      <c r="K7" s="18"/>
      <c r="L7" s="18"/>
      <c r="M7" s="18"/>
      <c r="N7" s="7"/>
      <c r="O7" s="10" t="s">
        <v>71</v>
      </c>
      <c r="P7" s="28">
        <v>750</v>
      </c>
      <c r="Q7" s="29">
        <v>20</v>
      </c>
      <c r="R7" s="20">
        <f t="shared" ref="R7:R8" si="2">P7*Q7</f>
        <v>15000</v>
      </c>
    </row>
    <row r="8" spans="1:21" x14ac:dyDescent="0.25">
      <c r="B8" s="1" t="s">
        <v>79</v>
      </c>
      <c r="C8" s="11"/>
      <c r="D8" s="20">
        <f>R8</f>
        <v>6000</v>
      </c>
      <c r="E8" s="18">
        <f t="shared" si="1"/>
        <v>6060</v>
      </c>
      <c r="F8" s="18">
        <f t="shared" si="1"/>
        <v>6120.6</v>
      </c>
      <c r="G8" s="18">
        <f t="shared" si="1"/>
        <v>6181.8060000000005</v>
      </c>
      <c r="H8" s="18">
        <f t="shared" si="1"/>
        <v>6243.624060000001</v>
      </c>
      <c r="I8" s="18"/>
      <c r="J8" s="18"/>
      <c r="K8" s="18"/>
      <c r="L8" s="18"/>
      <c r="M8" s="18"/>
      <c r="O8" s="10" t="s">
        <v>72</v>
      </c>
      <c r="P8" s="28">
        <v>100</v>
      </c>
      <c r="Q8" s="29">
        <v>60</v>
      </c>
      <c r="R8" s="20">
        <f t="shared" si="2"/>
        <v>6000</v>
      </c>
    </row>
    <row r="9" spans="1:21" x14ac:dyDescent="0.25">
      <c r="C9" s="11"/>
      <c r="D9" s="20"/>
      <c r="E9" s="18"/>
      <c r="F9" s="18"/>
      <c r="G9" s="18"/>
      <c r="H9" s="18"/>
      <c r="I9" s="18"/>
      <c r="J9" s="18"/>
      <c r="K9" s="18"/>
      <c r="L9" s="18"/>
      <c r="M9" s="18"/>
      <c r="R9" s="20"/>
    </row>
    <row r="10" spans="1:21" x14ac:dyDescent="0.25">
      <c r="A10" s="10" t="s">
        <v>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O10" s="31" t="s">
        <v>2</v>
      </c>
      <c r="P10" s="10" t="s">
        <v>76</v>
      </c>
    </row>
    <row r="11" spans="1:21" x14ac:dyDescent="0.25">
      <c r="A11" s="10"/>
      <c r="B11" s="1" t="s">
        <v>80</v>
      </c>
      <c r="D11" s="40">
        <f>D6*$P$11</f>
        <v>6750</v>
      </c>
      <c r="E11" s="40">
        <f t="shared" ref="E11:H11" si="3">E6*$P$11</f>
        <v>6817.5</v>
      </c>
      <c r="F11" s="40">
        <f t="shared" si="3"/>
        <v>6885.6750000000002</v>
      </c>
      <c r="G11" s="40">
        <f t="shared" si="3"/>
        <v>6954.5317499999992</v>
      </c>
      <c r="H11" s="40">
        <f t="shared" si="3"/>
        <v>7024.0770674999994</v>
      </c>
      <c r="I11" s="40"/>
      <c r="J11" s="40"/>
      <c r="K11" s="40"/>
      <c r="L11" s="40"/>
      <c r="M11" s="40"/>
      <c r="O11" s="10" t="s">
        <v>70</v>
      </c>
      <c r="P11" s="30">
        <v>0.15</v>
      </c>
    </row>
    <row r="12" spans="1:21" x14ac:dyDescent="0.25">
      <c r="A12" s="10"/>
      <c r="B12" s="1" t="s">
        <v>78</v>
      </c>
      <c r="D12" s="40">
        <f>D7*$P$12</f>
        <v>3750</v>
      </c>
      <c r="E12" s="40">
        <f t="shared" ref="E12:H12" si="4">E7*$P$12</f>
        <v>3787.5</v>
      </c>
      <c r="F12" s="40">
        <f t="shared" si="4"/>
        <v>3825.375</v>
      </c>
      <c r="G12" s="40">
        <f t="shared" si="4"/>
        <v>3863.6287499999999</v>
      </c>
      <c r="H12" s="40">
        <f t="shared" si="4"/>
        <v>3902.2650374999998</v>
      </c>
      <c r="I12" s="40"/>
      <c r="J12" s="40"/>
      <c r="K12" s="40"/>
      <c r="L12" s="40"/>
      <c r="M12" s="40"/>
      <c r="O12" s="10" t="s">
        <v>71</v>
      </c>
      <c r="P12" s="30">
        <v>0.25</v>
      </c>
    </row>
    <row r="13" spans="1:21" x14ac:dyDescent="0.25">
      <c r="A13" s="10"/>
      <c r="B13" s="1" t="s">
        <v>81</v>
      </c>
      <c r="D13" s="40">
        <f>D8*$P$13</f>
        <v>1200</v>
      </c>
      <c r="E13" s="40">
        <f t="shared" ref="E13:H13" si="5">E8*$P$13</f>
        <v>1212</v>
      </c>
      <c r="F13" s="40">
        <f t="shared" si="5"/>
        <v>1224.1200000000001</v>
      </c>
      <c r="G13" s="40">
        <f t="shared" si="5"/>
        <v>1236.3612000000003</v>
      </c>
      <c r="H13" s="40">
        <f t="shared" si="5"/>
        <v>1248.7248120000004</v>
      </c>
      <c r="I13" s="40"/>
      <c r="J13" s="40"/>
      <c r="K13" s="40"/>
      <c r="L13" s="40"/>
      <c r="M13" s="40"/>
      <c r="O13" s="10" t="s">
        <v>72</v>
      </c>
      <c r="P13" s="30">
        <v>0.2</v>
      </c>
    </row>
    <row r="14" spans="1:21" x14ac:dyDescent="0.25">
      <c r="A14" s="6"/>
      <c r="C14" s="11"/>
      <c r="D14" s="40"/>
      <c r="E14" s="40"/>
      <c r="F14" s="40"/>
      <c r="G14" s="40"/>
      <c r="H14" s="42"/>
      <c r="I14" s="42"/>
      <c r="J14" s="42"/>
      <c r="K14" s="42"/>
      <c r="L14" s="42"/>
      <c r="M14" s="42"/>
    </row>
    <row r="15" spans="1:21" x14ac:dyDescent="0.25">
      <c r="A15" s="10" t="s">
        <v>3</v>
      </c>
      <c r="C15" s="11"/>
      <c r="D15" s="40"/>
      <c r="E15" s="40"/>
      <c r="F15" s="40"/>
      <c r="G15" s="40"/>
      <c r="H15" s="42"/>
      <c r="I15" s="42"/>
      <c r="J15" s="42"/>
      <c r="K15" s="42"/>
      <c r="L15" s="42"/>
      <c r="M15" s="42"/>
      <c r="O15" s="31" t="s">
        <v>82</v>
      </c>
      <c r="P15" s="10" t="s">
        <v>76</v>
      </c>
      <c r="R15" s="31" t="s">
        <v>68</v>
      </c>
      <c r="S15" s="10" t="s">
        <v>76</v>
      </c>
      <c r="T15" s="10"/>
      <c r="U15" s="10"/>
    </row>
    <row r="16" spans="1:21" x14ac:dyDescent="0.25">
      <c r="B16" s="1" t="s">
        <v>4</v>
      </c>
      <c r="C16" s="11"/>
      <c r="D16" s="40">
        <f>(D6+D7+D8)*$P$16</f>
        <v>3300</v>
      </c>
      <c r="E16" s="40">
        <f t="shared" ref="E16:H16" si="6">(E6+E7+E8)*$P$16</f>
        <v>3333</v>
      </c>
      <c r="F16" s="40">
        <f t="shared" si="6"/>
        <v>3366.3300000000004</v>
      </c>
      <c r="G16" s="40">
        <f t="shared" si="6"/>
        <v>3399.9933000000001</v>
      </c>
      <c r="H16" s="40">
        <f t="shared" si="6"/>
        <v>3433.9932329999997</v>
      </c>
      <c r="I16" s="40"/>
      <c r="J16" s="40"/>
      <c r="K16" s="40"/>
      <c r="L16" s="40"/>
      <c r="M16" s="40"/>
      <c r="O16" s="10" t="s">
        <v>4</v>
      </c>
      <c r="P16" s="30">
        <v>0.05</v>
      </c>
      <c r="R16" s="10" t="s">
        <v>70</v>
      </c>
      <c r="S16" s="30">
        <v>0.35</v>
      </c>
    </row>
    <row r="17" spans="1:19" x14ac:dyDescent="0.25">
      <c r="B17" s="1" t="s">
        <v>5</v>
      </c>
      <c r="C17" s="11"/>
      <c r="D17" s="40">
        <f>(D6+D7+D8)*$P$17</f>
        <v>13200</v>
      </c>
      <c r="E17" s="40">
        <f t="shared" ref="E17:H17" si="7">(E6+E7+E8)*$P$17</f>
        <v>13332</v>
      </c>
      <c r="F17" s="40">
        <f t="shared" si="7"/>
        <v>13465.320000000002</v>
      </c>
      <c r="G17" s="40">
        <f t="shared" si="7"/>
        <v>13599.9732</v>
      </c>
      <c r="H17" s="40">
        <f t="shared" si="7"/>
        <v>13735.972931999999</v>
      </c>
      <c r="I17" s="40"/>
      <c r="J17" s="40"/>
      <c r="K17" s="40"/>
      <c r="L17" s="40"/>
      <c r="M17" s="40"/>
      <c r="O17" s="10" t="s">
        <v>83</v>
      </c>
      <c r="P17" s="30">
        <v>0.2</v>
      </c>
      <c r="R17" s="10" t="s">
        <v>71</v>
      </c>
      <c r="S17" s="30">
        <v>0.15</v>
      </c>
    </row>
    <row r="18" spans="1:19" x14ac:dyDescent="0.25">
      <c r="B18" s="1" t="s">
        <v>54</v>
      </c>
      <c r="C18" s="11"/>
      <c r="D18" s="40">
        <f>(D6+D7+D8)*$P$18</f>
        <v>2310</v>
      </c>
      <c r="E18" s="40">
        <f t="shared" ref="E18:H18" si="8">(E6+E7+E8)*$P$18</f>
        <v>2333.1000000000004</v>
      </c>
      <c r="F18" s="40">
        <f t="shared" si="8"/>
        <v>2356.4310000000005</v>
      </c>
      <c r="G18" s="40">
        <f t="shared" si="8"/>
        <v>2379.9953100000002</v>
      </c>
      <c r="H18" s="40">
        <f t="shared" si="8"/>
        <v>2403.7952630999998</v>
      </c>
      <c r="I18" s="40"/>
      <c r="J18" s="40"/>
      <c r="K18" s="40"/>
      <c r="L18" s="40"/>
      <c r="M18" s="40"/>
      <c r="O18" s="10" t="s">
        <v>84</v>
      </c>
      <c r="P18" s="33">
        <v>3.5000000000000003E-2</v>
      </c>
      <c r="R18" s="10" t="s">
        <v>72</v>
      </c>
      <c r="S18" s="30">
        <v>0.2</v>
      </c>
    </row>
    <row r="19" spans="1:19" x14ac:dyDescent="0.25">
      <c r="B19" s="1" t="s">
        <v>68</v>
      </c>
      <c r="C19" s="11"/>
      <c r="D19" s="40">
        <f>((D6*$S$16)+(D7*$S$17)+(D8*$S$18))</f>
        <v>19200</v>
      </c>
      <c r="E19" s="40">
        <f t="shared" ref="E19:H19" si="9">((E6*$S$16)+(E7*$S$17)+(E8*$S$18))</f>
        <v>19392</v>
      </c>
      <c r="F19" s="40">
        <f t="shared" si="9"/>
        <v>19585.919999999998</v>
      </c>
      <c r="G19" s="40">
        <f t="shared" si="9"/>
        <v>19781.779199999997</v>
      </c>
      <c r="H19" s="40">
        <f t="shared" si="9"/>
        <v>19979.596991999999</v>
      </c>
      <c r="I19" s="40"/>
      <c r="J19" s="40"/>
      <c r="K19" s="40"/>
      <c r="L19" s="40"/>
      <c r="M19" s="40"/>
      <c r="O19" s="31"/>
    </row>
    <row r="20" spans="1:19" x14ac:dyDescent="0.25">
      <c r="C20" s="11"/>
      <c r="D20" s="12"/>
      <c r="E20" s="12"/>
      <c r="F20" s="12"/>
      <c r="G20" s="12"/>
      <c r="H20" s="13"/>
      <c r="I20" s="13"/>
      <c r="J20" s="13"/>
      <c r="K20" s="13"/>
      <c r="L20" s="13"/>
      <c r="M20" s="13"/>
    </row>
    <row r="21" spans="1:19" x14ac:dyDescent="0.25">
      <c r="C21" s="11"/>
      <c r="D21" s="12"/>
      <c r="E21" s="12"/>
      <c r="F21" s="12"/>
      <c r="G21" s="12"/>
      <c r="H21" s="13"/>
      <c r="I21" s="13"/>
      <c r="J21" s="13"/>
      <c r="K21" s="13"/>
      <c r="L21" s="13"/>
      <c r="M21" s="13"/>
      <c r="O21" s="31" t="s">
        <v>6</v>
      </c>
      <c r="P21" s="1" t="s">
        <v>65</v>
      </c>
      <c r="Q21" s="1" t="s">
        <v>66</v>
      </c>
      <c r="R21" s="1" t="s">
        <v>67</v>
      </c>
    </row>
    <row r="22" spans="1:19" x14ac:dyDescent="0.25">
      <c r="A22" s="1" t="s">
        <v>6</v>
      </c>
      <c r="C22" s="11"/>
      <c r="D22" s="18"/>
      <c r="E22" s="18"/>
      <c r="F22" s="18"/>
      <c r="G22" s="18"/>
      <c r="H22" s="18"/>
      <c r="I22" s="18"/>
      <c r="J22" s="18"/>
      <c r="K22" s="18"/>
      <c r="L22" s="18"/>
      <c r="M22" s="18"/>
      <c r="O22" s="22" t="s">
        <v>57</v>
      </c>
      <c r="P22" s="43">
        <v>150000</v>
      </c>
      <c r="Q22" s="28">
        <v>30</v>
      </c>
      <c r="R22" s="23">
        <f>P22/Q22</f>
        <v>5000</v>
      </c>
    </row>
    <row r="23" spans="1:19" x14ac:dyDescent="0.25">
      <c r="B23" s="1" t="s">
        <v>57</v>
      </c>
      <c r="C23" s="11"/>
      <c r="D23" s="18">
        <f>$R$22</f>
        <v>5000</v>
      </c>
      <c r="E23" s="18">
        <f t="shared" ref="E23:H23" si="10">$R$22</f>
        <v>5000</v>
      </c>
      <c r="F23" s="18">
        <f t="shared" si="10"/>
        <v>5000</v>
      </c>
      <c r="G23" s="18">
        <f t="shared" si="10"/>
        <v>5000</v>
      </c>
      <c r="H23" s="18">
        <f t="shared" si="10"/>
        <v>5000</v>
      </c>
      <c r="I23" s="18"/>
      <c r="J23" s="18"/>
      <c r="K23" s="18"/>
      <c r="L23" s="18"/>
      <c r="M23" s="18"/>
      <c r="O23" s="1" t="s">
        <v>56</v>
      </c>
      <c r="P23" s="43">
        <v>70000</v>
      </c>
      <c r="Q23" s="28">
        <v>10</v>
      </c>
      <c r="R23" s="23">
        <f>P23/Q23</f>
        <v>7000</v>
      </c>
    </row>
    <row r="24" spans="1:19" x14ac:dyDescent="0.25">
      <c r="B24" s="1" t="s">
        <v>56</v>
      </c>
      <c r="C24" s="11"/>
      <c r="D24" s="18">
        <f>$R$23</f>
        <v>7000</v>
      </c>
      <c r="E24" s="18">
        <f t="shared" ref="E24:H24" si="11">$R$23</f>
        <v>7000</v>
      </c>
      <c r="F24" s="18">
        <f t="shared" si="11"/>
        <v>7000</v>
      </c>
      <c r="G24" s="18">
        <f t="shared" si="11"/>
        <v>7000</v>
      </c>
      <c r="H24" s="18">
        <f t="shared" si="11"/>
        <v>7000</v>
      </c>
      <c r="I24" s="18"/>
      <c r="J24" s="18"/>
      <c r="K24" s="18"/>
      <c r="L24" s="18"/>
      <c r="M24" s="18"/>
      <c r="O24" s="1" t="s">
        <v>27</v>
      </c>
      <c r="P24" s="43">
        <v>200000</v>
      </c>
      <c r="R24" s="23"/>
    </row>
    <row r="25" spans="1:19" x14ac:dyDescent="0.25">
      <c r="C25" s="11"/>
      <c r="D25" s="12"/>
      <c r="E25" s="12"/>
      <c r="F25" s="12"/>
      <c r="G25" s="12"/>
      <c r="H25" s="41"/>
      <c r="I25" s="13"/>
      <c r="J25" s="13"/>
      <c r="K25" s="13"/>
      <c r="L25" s="13"/>
      <c r="M25" s="13"/>
    </row>
    <row r="26" spans="1:19" x14ac:dyDescent="0.25">
      <c r="A26" s="1" t="s">
        <v>19</v>
      </c>
      <c r="C26" s="11"/>
      <c r="D26" s="18">
        <f>Mortgage!K22</f>
        <v>9714.3431045911511</v>
      </c>
      <c r="E26" s="18">
        <f>Mortgage!K34</f>
        <v>9523.2220056201568</v>
      </c>
      <c r="F26" s="18">
        <f>Mortgage!K47</f>
        <v>9308.4957334350693</v>
      </c>
      <c r="G26" s="18">
        <f>Mortgage!K59</f>
        <v>9102.9398801109237</v>
      </c>
      <c r="H26" s="18">
        <f>Mortgage!K71</f>
        <v>8890.0730314238317</v>
      </c>
      <c r="I26" s="18"/>
      <c r="J26" s="18"/>
      <c r="K26" s="18"/>
      <c r="L26" s="18"/>
      <c r="M26" s="18"/>
    </row>
    <row r="27" spans="1:19" x14ac:dyDescent="0.25">
      <c r="A27" s="1" t="s">
        <v>20</v>
      </c>
      <c r="C27" s="11"/>
      <c r="D27" s="40">
        <f>D54*$P$54</f>
        <v>13274.327510398256</v>
      </c>
      <c r="E27" s="40">
        <f t="shared" ref="E27:H27" si="12">E54*$P$54</f>
        <v>14540.914156263292</v>
      </c>
      <c r="F27" s="40">
        <f t="shared" si="12"/>
        <v>15972.956691606087</v>
      </c>
      <c r="G27" s="40">
        <f t="shared" si="12"/>
        <v>17488.440509052518</v>
      </c>
      <c r="H27" s="40">
        <f t="shared" si="12"/>
        <v>19145.557780546937</v>
      </c>
      <c r="I27" s="40"/>
      <c r="J27" s="40"/>
      <c r="K27" s="40"/>
      <c r="L27" s="40"/>
      <c r="M27" s="40"/>
    </row>
    <row r="28" spans="1:19" x14ac:dyDescent="0.25">
      <c r="C28" s="11"/>
      <c r="D28" s="12"/>
      <c r="E28" s="12"/>
      <c r="F28" s="12"/>
      <c r="G28" s="12"/>
      <c r="H28" s="13"/>
      <c r="I28" s="13"/>
      <c r="J28" s="13"/>
      <c r="K28" s="13"/>
      <c r="L28" s="13"/>
      <c r="M28" s="13"/>
    </row>
    <row r="29" spans="1:19" x14ac:dyDescent="0.25">
      <c r="A29" s="1" t="s">
        <v>21</v>
      </c>
      <c r="C29" s="11"/>
      <c r="D29" s="18">
        <f>D6+D7+D8-D11-D12-D13-D16-D17-D18-D19-D23-D24-D26-D27</f>
        <v>-18698.670614989409</v>
      </c>
      <c r="E29" s="18">
        <f t="shared" ref="E29:H29" si="13">E6+E7+E8-E11-E12-E13-E16-E17-E18-E19-E23-E24-E26-E27</f>
        <v>-19611.236161883447</v>
      </c>
      <c r="F29" s="18">
        <f t="shared" si="13"/>
        <v>-20664.023425041152</v>
      </c>
      <c r="G29" s="18">
        <f t="shared" si="13"/>
        <v>-21807.777099163442</v>
      </c>
      <c r="H29" s="18">
        <f t="shared" si="13"/>
        <v>-23084.191489070778</v>
      </c>
      <c r="I29" s="18"/>
      <c r="J29" s="18"/>
      <c r="K29" s="18"/>
      <c r="L29" s="18"/>
      <c r="M29" s="18"/>
    </row>
    <row r="30" spans="1:19" x14ac:dyDescent="0.25">
      <c r="A30" s="9" t="s">
        <v>22</v>
      </c>
      <c r="C30" s="11"/>
      <c r="D30" s="68">
        <f>IF(D29*$P$30&lt;0,0,(D29*$P$30))</f>
        <v>0</v>
      </c>
      <c r="E30" s="68">
        <f t="shared" ref="E30:H30" si="14">IF(E29*$P$30&lt;0,0,(E29*$P$30))</f>
        <v>0</v>
      </c>
      <c r="F30" s="68">
        <f t="shared" si="14"/>
        <v>0</v>
      </c>
      <c r="G30" s="68">
        <f t="shared" si="14"/>
        <v>0</v>
      </c>
      <c r="H30" s="68">
        <f t="shared" si="14"/>
        <v>0</v>
      </c>
      <c r="I30" s="68"/>
      <c r="J30" s="68"/>
      <c r="K30" s="68"/>
      <c r="L30" s="68"/>
      <c r="M30" s="68"/>
      <c r="O30" s="10" t="s">
        <v>22</v>
      </c>
      <c r="P30" s="30">
        <v>0.3</v>
      </c>
    </row>
    <row r="31" spans="1:19" ht="15.75" thickBot="1" x14ac:dyDescent="0.3">
      <c r="A31" s="10" t="s">
        <v>23</v>
      </c>
      <c r="C31" s="11"/>
      <c r="D31" s="48">
        <f>D29-D30</f>
        <v>-18698.670614989409</v>
      </c>
      <c r="E31" s="48">
        <f t="shared" ref="E31:H31" si="15">E29-E30</f>
        <v>-19611.236161883447</v>
      </c>
      <c r="F31" s="48">
        <f t="shared" si="15"/>
        <v>-20664.023425041152</v>
      </c>
      <c r="G31" s="48">
        <f t="shared" si="15"/>
        <v>-21807.777099163442</v>
      </c>
      <c r="H31" s="48">
        <f t="shared" si="15"/>
        <v>-23084.191489070778</v>
      </c>
      <c r="I31" s="48"/>
      <c r="J31" s="48"/>
      <c r="K31" s="48"/>
      <c r="L31" s="48"/>
      <c r="M31" s="48"/>
    </row>
    <row r="32" spans="1:19" ht="15.75" thickTop="1" x14ac:dyDescent="0.25"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6" ht="18.75" x14ac:dyDescent="0.3">
      <c r="A33" s="24" t="s">
        <v>7</v>
      </c>
      <c r="C33" s="11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6" x14ac:dyDescent="0.25">
      <c r="A34" s="4" t="s">
        <v>8</v>
      </c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6" x14ac:dyDescent="0.25">
      <c r="B35" s="1" t="s">
        <v>25</v>
      </c>
      <c r="C35" s="11"/>
      <c r="D35" s="37">
        <v>2000</v>
      </c>
      <c r="E35" s="37">
        <v>2000</v>
      </c>
      <c r="F35" s="37">
        <v>2000</v>
      </c>
      <c r="G35" s="37">
        <v>2000</v>
      </c>
      <c r="H35" s="37">
        <v>2000</v>
      </c>
      <c r="I35" s="37"/>
      <c r="J35" s="37"/>
      <c r="K35" s="37"/>
      <c r="L35" s="37"/>
      <c r="M35" s="37"/>
    </row>
    <row r="36" spans="1:16" x14ac:dyDescent="0.25">
      <c r="B36" s="1" t="s">
        <v>29</v>
      </c>
      <c r="C36" s="11"/>
      <c r="D36" s="37"/>
      <c r="E36" s="37"/>
      <c r="F36" s="37"/>
      <c r="G36" s="37"/>
      <c r="H36" s="36"/>
      <c r="I36" s="44"/>
      <c r="J36" s="44"/>
      <c r="K36" s="44"/>
      <c r="L36" s="44"/>
      <c r="M36" s="44"/>
      <c r="O36" s="31" t="s">
        <v>8</v>
      </c>
      <c r="P36" s="10" t="s">
        <v>85</v>
      </c>
    </row>
    <row r="37" spans="1:16" x14ac:dyDescent="0.25">
      <c r="B37" s="1" t="s">
        <v>9</v>
      </c>
      <c r="C37" s="11"/>
      <c r="D37" s="36">
        <f>(D6+D7+D8)/365*$P$37</f>
        <v>10849.315068493152</v>
      </c>
      <c r="E37" s="36">
        <f t="shared" ref="E37:H37" si="16">(E6+E7+E8)/365*$P$37</f>
        <v>10957.808219178083</v>
      </c>
      <c r="F37" s="36">
        <f t="shared" si="16"/>
        <v>11067.386301369865</v>
      </c>
      <c r="G37" s="36">
        <f t="shared" si="16"/>
        <v>11178.060164383562</v>
      </c>
      <c r="H37" s="36">
        <f t="shared" si="16"/>
        <v>11289.840766027395</v>
      </c>
      <c r="I37" s="36"/>
      <c r="J37" s="36"/>
      <c r="K37" s="36"/>
      <c r="L37" s="36"/>
      <c r="M37" s="36"/>
      <c r="O37" s="10" t="s">
        <v>86</v>
      </c>
      <c r="P37" s="28">
        <v>60</v>
      </c>
    </row>
    <row r="38" spans="1:16" x14ac:dyDescent="0.25">
      <c r="B38" s="1" t="s">
        <v>10</v>
      </c>
      <c r="C38" s="11"/>
      <c r="D38" s="36">
        <f>(D11+D12+D13)/365*$P$38</f>
        <v>5769.8630136986303</v>
      </c>
      <c r="E38" s="36">
        <f t="shared" ref="E38:H38" si="17">(E11+E12+E13)/365*$P$38</f>
        <v>5827.5616438356165</v>
      </c>
      <c r="F38" s="36">
        <f t="shared" si="17"/>
        <v>5885.8372602739728</v>
      </c>
      <c r="G38" s="36">
        <f t="shared" si="17"/>
        <v>5944.6956328767119</v>
      </c>
      <c r="H38" s="36">
        <f t="shared" si="17"/>
        <v>6004.1425892054795</v>
      </c>
      <c r="I38" s="36"/>
      <c r="J38" s="36"/>
      <c r="K38" s="36"/>
      <c r="L38" s="36"/>
      <c r="M38" s="36"/>
      <c r="O38" s="10" t="s">
        <v>10</v>
      </c>
      <c r="P38" s="28">
        <v>180</v>
      </c>
    </row>
    <row r="39" spans="1:16" x14ac:dyDescent="0.25">
      <c r="C39" s="11"/>
      <c r="D39" s="44"/>
      <c r="E39" s="44"/>
      <c r="F39" s="44"/>
      <c r="G39" s="44"/>
      <c r="H39" s="44"/>
      <c r="I39" s="44"/>
      <c r="J39" s="44"/>
      <c r="K39" s="44"/>
      <c r="L39" s="44"/>
      <c r="M39" s="44"/>
      <c r="O39" s="10"/>
    </row>
    <row r="40" spans="1:16" x14ac:dyDescent="0.25">
      <c r="B40" s="1" t="s">
        <v>27</v>
      </c>
      <c r="C40" s="11"/>
      <c r="D40" s="36">
        <f>P24</f>
        <v>200000</v>
      </c>
      <c r="E40" s="36">
        <f>D40</f>
        <v>200000</v>
      </c>
      <c r="F40" s="36">
        <f t="shared" ref="F40:H42" si="18">E40</f>
        <v>200000</v>
      </c>
      <c r="G40" s="36">
        <f t="shared" si="18"/>
        <v>200000</v>
      </c>
      <c r="H40" s="36">
        <f t="shared" si="18"/>
        <v>200000</v>
      </c>
      <c r="I40" s="36"/>
      <c r="J40" s="36"/>
      <c r="K40" s="36"/>
      <c r="L40" s="36"/>
      <c r="M40" s="36"/>
      <c r="N40" s="5"/>
    </row>
    <row r="41" spans="1:16" x14ac:dyDescent="0.25">
      <c r="B41" s="1" t="s">
        <v>11</v>
      </c>
      <c r="C41" s="11"/>
      <c r="D41" s="37">
        <f>P22</f>
        <v>150000</v>
      </c>
      <c r="E41" s="37">
        <f>D41</f>
        <v>150000</v>
      </c>
      <c r="F41" s="37">
        <f t="shared" si="18"/>
        <v>150000</v>
      </c>
      <c r="G41" s="37">
        <f t="shared" si="18"/>
        <v>150000</v>
      </c>
      <c r="H41" s="37">
        <f t="shared" si="18"/>
        <v>150000</v>
      </c>
      <c r="I41" s="37"/>
      <c r="J41" s="37"/>
      <c r="K41" s="37"/>
      <c r="L41" s="37"/>
      <c r="M41" s="37"/>
      <c r="N41" s="5"/>
    </row>
    <row r="42" spans="1:16" x14ac:dyDescent="0.25">
      <c r="B42" s="1" t="s">
        <v>56</v>
      </c>
      <c r="C42" s="11"/>
      <c r="D42" s="37">
        <f>P23</f>
        <v>70000</v>
      </c>
      <c r="E42" s="37">
        <f>D42</f>
        <v>70000</v>
      </c>
      <c r="F42" s="37">
        <f t="shared" si="18"/>
        <v>70000</v>
      </c>
      <c r="G42" s="37">
        <f t="shared" si="18"/>
        <v>70000</v>
      </c>
      <c r="H42" s="37">
        <f t="shared" si="18"/>
        <v>70000</v>
      </c>
      <c r="I42" s="37"/>
      <c r="J42" s="37"/>
      <c r="K42" s="37"/>
      <c r="L42" s="37"/>
      <c r="M42" s="37"/>
      <c r="N42" s="5"/>
    </row>
    <row r="43" spans="1:16" x14ac:dyDescent="0.25">
      <c r="B43" s="1" t="s">
        <v>88</v>
      </c>
      <c r="C43" s="11"/>
      <c r="D43" s="37">
        <f>C43+D23</f>
        <v>5000</v>
      </c>
      <c r="E43" s="37">
        <f t="shared" ref="E43:H44" si="19">D43+E23</f>
        <v>10000</v>
      </c>
      <c r="F43" s="37">
        <f t="shared" si="19"/>
        <v>15000</v>
      </c>
      <c r="G43" s="37">
        <f t="shared" si="19"/>
        <v>20000</v>
      </c>
      <c r="H43" s="37">
        <f t="shared" si="19"/>
        <v>25000</v>
      </c>
      <c r="I43" s="37"/>
      <c r="J43" s="37"/>
      <c r="K43" s="37"/>
      <c r="L43" s="37"/>
      <c r="M43" s="37"/>
    </row>
    <row r="44" spans="1:16" x14ac:dyDescent="0.25">
      <c r="B44" s="1" t="s">
        <v>87</v>
      </c>
      <c r="C44" s="11"/>
      <c r="D44" s="44">
        <f>C44+D24</f>
        <v>7000</v>
      </c>
      <c r="E44" s="44">
        <f t="shared" si="19"/>
        <v>14000</v>
      </c>
      <c r="F44" s="44">
        <f t="shared" si="19"/>
        <v>21000</v>
      </c>
      <c r="G44" s="44">
        <f t="shared" si="19"/>
        <v>28000</v>
      </c>
      <c r="H44" s="44">
        <f t="shared" si="19"/>
        <v>35000</v>
      </c>
      <c r="I44" s="44"/>
      <c r="J44" s="44"/>
      <c r="K44" s="44"/>
      <c r="L44" s="44"/>
      <c r="M44" s="44"/>
    </row>
    <row r="45" spans="1:16" x14ac:dyDescent="0.25">
      <c r="C45" s="11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6" ht="15.75" thickBot="1" x14ac:dyDescent="0.3">
      <c r="A46" s="4" t="s">
        <v>48</v>
      </c>
      <c r="C46" s="11"/>
      <c r="D46" s="47">
        <f>D35+D36+D37+D38+D40+D41+D42-D43-D44</f>
        <v>426619.17808219179</v>
      </c>
      <c r="E46" s="47">
        <f t="shared" ref="E46:H46" si="20">E35+E36+E37+E38+E40+E41+E42-E43-E44</f>
        <v>414785.36986301374</v>
      </c>
      <c r="F46" s="47">
        <f t="shared" si="20"/>
        <v>402953.22356164386</v>
      </c>
      <c r="G46" s="47">
        <f t="shared" si="20"/>
        <v>391122.75579726027</v>
      </c>
      <c r="H46" s="47">
        <f t="shared" si="20"/>
        <v>379293.98335523286</v>
      </c>
      <c r="I46" s="47"/>
      <c r="J46" s="47"/>
      <c r="K46" s="47"/>
      <c r="L46" s="47"/>
      <c r="M46" s="47"/>
    </row>
    <row r="47" spans="1:16" ht="15.75" thickTop="1" x14ac:dyDescent="0.25">
      <c r="A47" s="4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6" x14ac:dyDescent="0.25">
      <c r="A48" s="4" t="s">
        <v>12</v>
      </c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20" x14ac:dyDescent="0.25">
      <c r="A49" s="1" t="s">
        <v>15</v>
      </c>
      <c r="C49" s="11"/>
      <c r="D49" s="14"/>
      <c r="E49" s="14"/>
      <c r="F49" s="14"/>
      <c r="G49" s="14"/>
      <c r="H49" s="16"/>
      <c r="I49" s="16"/>
      <c r="J49" s="16"/>
      <c r="K49" s="16"/>
      <c r="L49" s="16"/>
      <c r="M49" s="16"/>
      <c r="O49" s="31" t="s">
        <v>90</v>
      </c>
      <c r="P49" s="10" t="s">
        <v>85</v>
      </c>
    </row>
    <row r="50" spans="1:20" x14ac:dyDescent="0.25">
      <c r="B50" s="1" t="s">
        <v>24</v>
      </c>
      <c r="C50" s="11"/>
      <c r="D50" s="19">
        <f>(D11+D12+D13)/365*$P$50</f>
        <v>961.64383561643831</v>
      </c>
      <c r="E50" s="19">
        <f t="shared" ref="E50:H50" si="21">(E11+E12+E13)/365*$P$50</f>
        <v>971.26027397260282</v>
      </c>
      <c r="F50" s="19">
        <f t="shared" si="21"/>
        <v>980.9728767123288</v>
      </c>
      <c r="G50" s="19">
        <f t="shared" si="21"/>
        <v>990.78260547945195</v>
      </c>
      <c r="H50" s="19">
        <f t="shared" si="21"/>
        <v>1000.6904315342466</v>
      </c>
      <c r="I50" s="19"/>
      <c r="J50" s="19"/>
      <c r="K50" s="19"/>
      <c r="L50" s="19"/>
      <c r="M50" s="19"/>
      <c r="O50" s="10" t="s">
        <v>89</v>
      </c>
      <c r="P50" s="28">
        <v>30</v>
      </c>
    </row>
    <row r="51" spans="1:20" x14ac:dyDescent="0.25">
      <c r="B51" s="1" t="s">
        <v>13</v>
      </c>
      <c r="C51" s="11"/>
      <c r="D51" s="34">
        <f>D30</f>
        <v>0</v>
      </c>
      <c r="E51" s="34">
        <f t="shared" ref="E51:H51" si="22">E30</f>
        <v>0</v>
      </c>
      <c r="F51" s="34">
        <f t="shared" si="22"/>
        <v>0</v>
      </c>
      <c r="G51" s="34">
        <f t="shared" si="22"/>
        <v>0</v>
      </c>
      <c r="H51" s="34">
        <f t="shared" si="22"/>
        <v>0</v>
      </c>
      <c r="I51" s="34"/>
      <c r="J51" s="34"/>
      <c r="K51" s="34"/>
      <c r="L51" s="34"/>
      <c r="M51" s="34"/>
    </row>
    <row r="52" spans="1:20" x14ac:dyDescent="0.25">
      <c r="C52" s="11"/>
      <c r="D52" s="34"/>
      <c r="E52" s="34"/>
      <c r="F52" s="34"/>
      <c r="G52" s="34"/>
      <c r="H52" s="19"/>
      <c r="I52" s="19"/>
      <c r="J52" s="19"/>
      <c r="K52" s="19"/>
      <c r="L52" s="19"/>
      <c r="M52" s="19"/>
      <c r="O52" s="31"/>
      <c r="P52" s="10" t="s">
        <v>95</v>
      </c>
      <c r="Q52" s="1" t="s">
        <v>96</v>
      </c>
      <c r="R52" s="1" t="s">
        <v>97</v>
      </c>
      <c r="S52" s="1" t="s">
        <v>130</v>
      </c>
    </row>
    <row r="53" spans="1:20" x14ac:dyDescent="0.25">
      <c r="B53" s="1" t="s">
        <v>18</v>
      </c>
      <c r="C53" s="11"/>
      <c r="D53" s="34">
        <f>Mortgage!J22</f>
        <v>274626.4415942147</v>
      </c>
      <c r="E53" s="34">
        <f>Mortgage!J34</f>
        <v>269061.76208945829</v>
      </c>
      <c r="F53" s="34">
        <f>Mortgage!J47</f>
        <v>262809.79465941311</v>
      </c>
      <c r="G53" s="34">
        <f>Mortgage!J59</f>
        <v>256824.83302914756</v>
      </c>
      <c r="H53" s="34">
        <f>Mortgage!J71</f>
        <v>250627.00455019489</v>
      </c>
      <c r="I53" s="34"/>
      <c r="J53" s="34"/>
      <c r="K53" s="34"/>
      <c r="L53" s="34"/>
      <c r="M53" s="34"/>
      <c r="O53" s="10" t="s">
        <v>94</v>
      </c>
      <c r="P53" s="60">
        <v>3.5000000000000003E-2</v>
      </c>
      <c r="Q53" s="29">
        <f>(P22+P24)*S53</f>
        <v>280000</v>
      </c>
      <c r="R53" s="28">
        <v>30</v>
      </c>
      <c r="S53" s="5">
        <v>0.8</v>
      </c>
    </row>
    <row r="54" spans="1:20" x14ac:dyDescent="0.25">
      <c r="B54" s="1" t="s">
        <v>28</v>
      </c>
      <c r="C54" s="11"/>
      <c r="D54" s="34">
        <v>139729.76326735006</v>
      </c>
      <c r="E54" s="34">
        <v>153062.2542764557</v>
      </c>
      <c r="F54" s="34">
        <v>168136.38622743249</v>
      </c>
      <c r="G54" s="34">
        <v>184088.8474637107</v>
      </c>
      <c r="H54" s="19">
        <v>201532.18716365198</v>
      </c>
      <c r="I54" s="19"/>
      <c r="J54" s="19"/>
      <c r="K54" s="19"/>
      <c r="L54" s="19"/>
      <c r="M54" s="19"/>
      <c r="O54" s="10" t="s">
        <v>124</v>
      </c>
      <c r="P54" s="60">
        <v>9.5000000000000001E-2</v>
      </c>
      <c r="Q54" s="32"/>
      <c r="R54" s="32"/>
    </row>
    <row r="55" spans="1:20" x14ac:dyDescent="0.25">
      <c r="C55" s="11"/>
      <c r="D55" s="34"/>
      <c r="E55" s="34"/>
      <c r="F55" s="34"/>
      <c r="G55" s="34"/>
      <c r="H55" s="19"/>
      <c r="I55" s="19"/>
      <c r="J55" s="19"/>
      <c r="K55" s="19"/>
      <c r="L55" s="19"/>
      <c r="M55" s="19"/>
    </row>
    <row r="56" spans="1:20" x14ac:dyDescent="0.25">
      <c r="A56" s="1" t="s">
        <v>16</v>
      </c>
      <c r="C56" s="11"/>
      <c r="D56" s="34"/>
      <c r="E56" s="34"/>
      <c r="F56" s="34"/>
      <c r="G56" s="34"/>
      <c r="H56" s="19"/>
      <c r="I56" s="19"/>
      <c r="J56" s="19"/>
      <c r="K56" s="19"/>
      <c r="L56" s="19"/>
      <c r="M56" s="19"/>
      <c r="P56" s="10" t="s">
        <v>92</v>
      </c>
      <c r="Q56" s="10" t="s">
        <v>93</v>
      </c>
    </row>
    <row r="57" spans="1:20" x14ac:dyDescent="0.25">
      <c r="B57" s="1" t="s">
        <v>17</v>
      </c>
      <c r="C57" s="11"/>
      <c r="D57" s="34">
        <f>$P$57*$Q$57</f>
        <v>30000</v>
      </c>
      <c r="E57" s="34">
        <f t="shared" ref="E57:H57" si="23">$P$57*$Q$57</f>
        <v>30000</v>
      </c>
      <c r="F57" s="34">
        <f t="shared" si="23"/>
        <v>30000</v>
      </c>
      <c r="G57" s="34">
        <f t="shared" si="23"/>
        <v>30000</v>
      </c>
      <c r="H57" s="34">
        <f t="shared" si="23"/>
        <v>30000</v>
      </c>
      <c r="I57" s="34"/>
      <c r="J57" s="34"/>
      <c r="K57" s="34"/>
      <c r="L57" s="34"/>
      <c r="M57" s="34"/>
      <c r="N57" s="5"/>
      <c r="O57" s="10" t="s">
        <v>91</v>
      </c>
      <c r="P57" s="28">
        <v>1000</v>
      </c>
      <c r="Q57" s="28">
        <v>30</v>
      </c>
    </row>
    <row r="58" spans="1:20" x14ac:dyDescent="0.25">
      <c r="B58" s="8" t="s">
        <v>14</v>
      </c>
      <c r="C58" s="11"/>
      <c r="D58" s="34">
        <f>C58+D31</f>
        <v>-18698.670614989409</v>
      </c>
      <c r="E58" s="34">
        <f t="shared" ref="E58:H58" si="24">D58+E31</f>
        <v>-38309.906776872856</v>
      </c>
      <c r="F58" s="34">
        <f t="shared" si="24"/>
        <v>-58973.930201914009</v>
      </c>
      <c r="G58" s="34">
        <f t="shared" si="24"/>
        <v>-80781.707301077447</v>
      </c>
      <c r="H58" s="34">
        <f t="shared" si="24"/>
        <v>-103865.89879014823</v>
      </c>
      <c r="I58" s="34"/>
      <c r="J58" s="34"/>
      <c r="K58" s="34"/>
      <c r="L58" s="34"/>
      <c r="M58" s="34"/>
      <c r="O58" s="10"/>
    </row>
    <row r="59" spans="1:20" x14ac:dyDescent="0.25">
      <c r="C59" s="12"/>
      <c r="D59" s="34"/>
      <c r="E59" s="34"/>
      <c r="F59" s="34"/>
      <c r="G59" s="34"/>
      <c r="H59" s="19"/>
      <c r="I59" s="19"/>
      <c r="J59" s="19"/>
      <c r="K59" s="19"/>
      <c r="L59" s="19"/>
      <c r="M59" s="19"/>
      <c r="O59" s="69" t="s">
        <v>131</v>
      </c>
      <c r="P59" s="70"/>
      <c r="Q59" s="70"/>
      <c r="R59" s="70"/>
      <c r="S59" s="70"/>
      <c r="T59" s="71"/>
    </row>
    <row r="60" spans="1:20" ht="15.75" thickBot="1" x14ac:dyDescent="0.3">
      <c r="A60" s="10" t="s">
        <v>69</v>
      </c>
      <c r="B60" s="10"/>
      <c r="C60" s="25"/>
      <c r="D60" s="62">
        <f>SUM(D50:D58)</f>
        <v>426619.17808219179</v>
      </c>
      <c r="E60" s="62">
        <f>SUM(E50:E58)</f>
        <v>414785.36986301368</v>
      </c>
      <c r="F60" s="62">
        <f>SUM(F50:F58)</f>
        <v>402953.22356164391</v>
      </c>
      <c r="G60" s="62">
        <f>SUM(G50:G58)</f>
        <v>391122.75579726027</v>
      </c>
      <c r="H60" s="62">
        <f t="shared" ref="H60" si="25">SUM(H50:H58)</f>
        <v>379293.98335523286</v>
      </c>
      <c r="I60" s="62"/>
      <c r="J60" s="62"/>
      <c r="K60" s="62"/>
      <c r="L60" s="62"/>
      <c r="M60" s="62"/>
      <c r="O60" s="72" t="s">
        <v>132</v>
      </c>
      <c r="P60" s="94">
        <f>T64</f>
        <v>1.4433333333333334</v>
      </c>
      <c r="Q60" s="85" t="s">
        <v>146</v>
      </c>
      <c r="R60" s="73"/>
      <c r="S60" s="73" t="s">
        <v>144</v>
      </c>
      <c r="T60" s="74">
        <v>1.68</v>
      </c>
    </row>
    <row r="61" spans="1:20" ht="15.75" thickTop="1" x14ac:dyDescent="0.25">
      <c r="A61" s="1" t="s">
        <v>69</v>
      </c>
      <c r="C61" s="11"/>
      <c r="D61" s="19"/>
      <c r="E61" s="19"/>
      <c r="F61" s="19"/>
      <c r="G61" s="19"/>
      <c r="H61" s="19"/>
      <c r="I61" s="19"/>
      <c r="J61" s="19"/>
      <c r="K61" s="19"/>
      <c r="L61" s="19"/>
      <c r="M61" s="19"/>
      <c r="O61" s="72" t="s">
        <v>133</v>
      </c>
      <c r="P61" s="95">
        <v>1.3899999999999999E-2</v>
      </c>
      <c r="Q61" s="85" t="s">
        <v>142</v>
      </c>
      <c r="R61" s="73"/>
      <c r="S61" s="73" t="s">
        <v>71</v>
      </c>
      <c r="T61" s="74">
        <v>1.36</v>
      </c>
    </row>
    <row r="62" spans="1:20" x14ac:dyDescent="0.25">
      <c r="A62" s="10" t="s">
        <v>26</v>
      </c>
      <c r="C62" s="11"/>
      <c r="D62" s="100">
        <f>D60-D46</f>
        <v>0</v>
      </c>
      <c r="E62" s="100">
        <f>E60-E46</f>
        <v>0</v>
      </c>
      <c r="F62" s="100">
        <f t="shared" ref="F62:H62" si="26">F60-F46</f>
        <v>0</v>
      </c>
      <c r="G62" s="100">
        <f t="shared" si="26"/>
        <v>0</v>
      </c>
      <c r="H62" s="100">
        <f t="shared" si="26"/>
        <v>0</v>
      </c>
      <c r="I62" s="100"/>
      <c r="J62" s="100"/>
      <c r="K62" s="100"/>
      <c r="L62" s="100"/>
      <c r="M62" s="100"/>
      <c r="O62" s="72" t="s">
        <v>134</v>
      </c>
      <c r="P62" s="95">
        <v>9.9000000000000005E-2</v>
      </c>
      <c r="Q62" s="85" t="s">
        <v>143</v>
      </c>
      <c r="R62" s="73"/>
      <c r="S62" s="73" t="s">
        <v>145</v>
      </c>
      <c r="T62" s="74">
        <v>1.29</v>
      </c>
    </row>
    <row r="63" spans="1:20" x14ac:dyDescent="0.25">
      <c r="C63" s="11"/>
      <c r="D63" s="19"/>
      <c r="E63" s="19"/>
      <c r="F63" s="19"/>
      <c r="G63" s="19"/>
      <c r="H63" s="19"/>
      <c r="I63" s="19"/>
      <c r="J63" s="19"/>
      <c r="K63" s="19"/>
      <c r="L63" s="19"/>
      <c r="M63" s="19"/>
      <c r="O63" s="75"/>
      <c r="P63" s="91"/>
      <c r="Q63" s="73"/>
      <c r="R63" s="73"/>
      <c r="S63" s="73"/>
      <c r="T63" s="74"/>
    </row>
    <row r="64" spans="1:20" ht="18.75" x14ac:dyDescent="0.3">
      <c r="A64" s="26" t="s">
        <v>30</v>
      </c>
      <c r="C64" s="11"/>
      <c r="D64" s="19"/>
      <c r="E64" s="19"/>
      <c r="F64" s="19"/>
      <c r="G64" s="19"/>
      <c r="H64" s="19"/>
      <c r="I64" s="19"/>
      <c r="J64" s="19"/>
      <c r="K64" s="19"/>
      <c r="L64" s="19"/>
      <c r="M64" s="19"/>
      <c r="O64" s="72" t="s">
        <v>135</v>
      </c>
      <c r="P64" s="96">
        <f>P60*(P62-P61)+P61</f>
        <v>0.13672766666666669</v>
      </c>
      <c r="Q64" s="73"/>
      <c r="R64" s="73"/>
      <c r="S64" s="98" t="s">
        <v>136</v>
      </c>
      <c r="T64" s="97">
        <f>AVERAGE(T60:T62)</f>
        <v>1.4433333333333334</v>
      </c>
    </row>
    <row r="65" spans="1:22" x14ac:dyDescent="0.25">
      <c r="A65" s="10" t="s">
        <v>31</v>
      </c>
      <c r="C65" s="35"/>
      <c r="D65" s="44"/>
      <c r="E65" s="44"/>
      <c r="F65" s="44"/>
      <c r="G65" s="44"/>
      <c r="H65" s="44"/>
      <c r="I65" s="44"/>
      <c r="J65" s="44"/>
      <c r="K65" s="44"/>
      <c r="L65" s="44"/>
      <c r="M65" s="44"/>
      <c r="O65" s="76"/>
      <c r="P65" s="77"/>
      <c r="Q65" s="77"/>
      <c r="R65" s="77"/>
      <c r="S65" s="77"/>
      <c r="T65" s="78"/>
    </row>
    <row r="66" spans="1:22" x14ac:dyDescent="0.25">
      <c r="B66" s="1" t="s">
        <v>38</v>
      </c>
      <c r="C66" s="44"/>
      <c r="D66" s="44">
        <f>D6+D7+D8-D11-D12-D13-D16-D17-D18-D19</f>
        <v>16290</v>
      </c>
      <c r="E66" s="44">
        <f t="shared" ref="E66:H66" si="27">E6+E7+E8-E11-E12-E13-E16-E17-E18-E19</f>
        <v>16452.900000000001</v>
      </c>
      <c r="F66" s="44">
        <f t="shared" si="27"/>
        <v>16617.429000000004</v>
      </c>
      <c r="G66" s="44">
        <f t="shared" si="27"/>
        <v>16783.603289999999</v>
      </c>
      <c r="H66" s="44">
        <f t="shared" si="27"/>
        <v>16951.439322899991</v>
      </c>
      <c r="I66" s="44"/>
      <c r="J66" s="44"/>
      <c r="K66" s="44"/>
      <c r="L66" s="44"/>
      <c r="M66" s="44"/>
      <c r="O66" s="79" t="s">
        <v>136</v>
      </c>
      <c r="P66" s="80" t="s">
        <v>137</v>
      </c>
      <c r="Q66" s="80" t="s">
        <v>138</v>
      </c>
      <c r="R66" s="80" t="s">
        <v>139</v>
      </c>
      <c r="S66" s="80" t="s">
        <v>140</v>
      </c>
      <c r="T66" s="74"/>
    </row>
    <row r="67" spans="1:22" x14ac:dyDescent="0.25">
      <c r="B67" s="1" t="s">
        <v>39</v>
      </c>
      <c r="C67" s="44"/>
      <c r="D67" s="44">
        <f>SUM(D23:D24)</f>
        <v>12000</v>
      </c>
      <c r="E67" s="44">
        <f t="shared" ref="E67:H67" si="28">SUM(E23:E24)</f>
        <v>12000</v>
      </c>
      <c r="F67" s="44">
        <f t="shared" si="28"/>
        <v>12000</v>
      </c>
      <c r="G67" s="44">
        <f t="shared" si="28"/>
        <v>12000</v>
      </c>
      <c r="H67" s="44">
        <f t="shared" si="28"/>
        <v>12000</v>
      </c>
      <c r="I67" s="44"/>
      <c r="J67" s="44"/>
      <c r="K67" s="44"/>
      <c r="L67" s="44"/>
      <c r="M67" s="44"/>
      <c r="O67" s="86">
        <f>AVERAGE(D53:M53)</f>
        <v>262789.96718448569</v>
      </c>
      <c r="P67" s="87">
        <f>O67/O73</f>
        <v>0.65374894130254024</v>
      </c>
      <c r="Q67" s="88">
        <f>P53</f>
        <v>3.5000000000000003E-2</v>
      </c>
      <c r="R67" s="89">
        <f>Q67*(1-$P$30)</f>
        <v>2.4500000000000001E-2</v>
      </c>
      <c r="S67" s="89">
        <f>P67*R67</f>
        <v>1.6016849061912235E-2</v>
      </c>
      <c r="T67" s="74"/>
    </row>
    <row r="68" spans="1:22" x14ac:dyDescent="0.25">
      <c r="B68" s="1" t="s">
        <v>40</v>
      </c>
      <c r="C68" s="44"/>
      <c r="D68" s="63">
        <f>D66-D67</f>
        <v>4290</v>
      </c>
      <c r="E68" s="63">
        <f t="shared" ref="E68:H68" si="29">E66-E67</f>
        <v>4452.9000000000015</v>
      </c>
      <c r="F68" s="63">
        <f t="shared" si="29"/>
        <v>4617.4290000000037</v>
      </c>
      <c r="G68" s="63">
        <f t="shared" si="29"/>
        <v>4783.6032899999991</v>
      </c>
      <c r="H68" s="63">
        <f t="shared" si="29"/>
        <v>4951.4393228999907</v>
      </c>
      <c r="I68" s="63"/>
      <c r="J68" s="63"/>
      <c r="K68" s="63"/>
      <c r="L68" s="63"/>
      <c r="M68" s="63"/>
      <c r="O68" s="86">
        <f>AVERAGE(D54:M54)</f>
        <v>169309.88767972021</v>
      </c>
      <c r="P68" s="87">
        <f>O68/O73</f>
        <v>0.4211962922654669</v>
      </c>
      <c r="Q68" s="88">
        <f>P54</f>
        <v>9.5000000000000001E-2</v>
      </c>
      <c r="R68" s="89">
        <f>Q68*(1-$P$30)</f>
        <v>6.649999999999999E-2</v>
      </c>
      <c r="S68" s="89">
        <f>P68*R68</f>
        <v>2.8009553435653544E-2</v>
      </c>
      <c r="T68" s="74"/>
    </row>
    <row r="69" spans="1:22" x14ac:dyDescent="0.25">
      <c r="B69" s="1" t="s">
        <v>41</v>
      </c>
      <c r="C69" s="44"/>
      <c r="D69" s="44">
        <f>-D68*$P$30</f>
        <v>-1287</v>
      </c>
      <c r="E69" s="44">
        <f t="shared" ref="E69:H69" si="30">-E68*$P$30</f>
        <v>-1335.8700000000003</v>
      </c>
      <c r="F69" s="44">
        <f t="shared" si="30"/>
        <v>-1385.228700000001</v>
      </c>
      <c r="G69" s="44">
        <f t="shared" si="30"/>
        <v>-1435.0809869999996</v>
      </c>
      <c r="H69" s="44">
        <f t="shared" si="30"/>
        <v>-1485.4317968699972</v>
      </c>
      <c r="I69" s="44"/>
      <c r="J69" s="44"/>
      <c r="K69" s="44"/>
      <c r="L69" s="44"/>
      <c r="M69" s="44"/>
      <c r="O69" s="86"/>
      <c r="P69" s="87"/>
      <c r="Q69" s="90"/>
      <c r="R69" s="91"/>
      <c r="S69" s="91"/>
      <c r="T69" s="74"/>
    </row>
    <row r="70" spans="1:22" x14ac:dyDescent="0.25">
      <c r="B70" s="1" t="s">
        <v>42</v>
      </c>
      <c r="C70" s="44"/>
      <c r="D70" s="63">
        <f>D69+D68</f>
        <v>3003</v>
      </c>
      <c r="E70" s="63">
        <f t="shared" ref="E70:H70" si="31">E69+E68</f>
        <v>3117.0300000000011</v>
      </c>
      <c r="F70" s="63">
        <f t="shared" si="31"/>
        <v>3232.2003000000027</v>
      </c>
      <c r="G70" s="63">
        <f t="shared" si="31"/>
        <v>3348.5223029999997</v>
      </c>
      <c r="H70" s="63">
        <f t="shared" si="31"/>
        <v>3466.0075260299936</v>
      </c>
      <c r="I70" s="63"/>
      <c r="J70" s="63"/>
      <c r="K70" s="63"/>
      <c r="L70" s="63"/>
      <c r="M70" s="63"/>
      <c r="O70" s="86">
        <f>AVERAGE(D57:M57)</f>
        <v>30000</v>
      </c>
      <c r="P70" s="87">
        <f>SUM(O70:O71)/O73</f>
        <v>-7.4945233568007336E-2</v>
      </c>
      <c r="Q70" s="92">
        <f>P64</f>
        <v>0.13672766666666669</v>
      </c>
      <c r="R70" s="93">
        <f>Q70</f>
        <v>0.13672766666666669</v>
      </c>
      <c r="S70" s="89">
        <f>P70*R70</f>
        <v>-1.0247086913541986E-2</v>
      </c>
      <c r="T70" s="74"/>
    </row>
    <row r="71" spans="1:22" x14ac:dyDescent="0.25">
      <c r="B71" s="1" t="s">
        <v>43</v>
      </c>
      <c r="C71" s="44"/>
      <c r="D71" s="44">
        <f>D67</f>
        <v>12000</v>
      </c>
      <c r="E71" s="44">
        <f t="shared" ref="E71:H71" si="32">E67</f>
        <v>12000</v>
      </c>
      <c r="F71" s="44">
        <f t="shared" si="32"/>
        <v>12000</v>
      </c>
      <c r="G71" s="44">
        <f t="shared" si="32"/>
        <v>12000</v>
      </c>
      <c r="H71" s="44">
        <f t="shared" si="32"/>
        <v>12000</v>
      </c>
      <c r="I71" s="44"/>
      <c r="J71" s="44"/>
      <c r="K71" s="44"/>
      <c r="L71" s="44"/>
      <c r="M71" s="44"/>
      <c r="O71" s="86">
        <f>AVERAGE(D58:M58)</f>
        <v>-60126.022737000392</v>
      </c>
      <c r="P71" s="89"/>
      <c r="Q71" s="91"/>
      <c r="R71" s="91"/>
      <c r="S71" s="91"/>
      <c r="T71" s="74"/>
      <c r="U71" s="102" t="s">
        <v>62</v>
      </c>
    </row>
    <row r="72" spans="1:22" x14ac:dyDescent="0.25">
      <c r="B72" s="10" t="s">
        <v>44</v>
      </c>
      <c r="C72" s="45"/>
      <c r="D72" s="46">
        <f>D70+D71</f>
        <v>15003</v>
      </c>
      <c r="E72" s="46">
        <f t="shared" ref="E72:H72" si="33">E70+E71</f>
        <v>15117.03</v>
      </c>
      <c r="F72" s="46">
        <f t="shared" si="33"/>
        <v>15232.200300000002</v>
      </c>
      <c r="G72" s="46">
        <f t="shared" si="33"/>
        <v>15348.522303</v>
      </c>
      <c r="H72" s="46">
        <f t="shared" si="33"/>
        <v>15466.007526029993</v>
      </c>
      <c r="I72" s="46"/>
      <c r="J72" s="46"/>
      <c r="K72" s="46"/>
      <c r="L72" s="46"/>
      <c r="M72" s="46"/>
      <c r="O72" s="75"/>
      <c r="P72" s="73"/>
      <c r="Q72" s="73"/>
      <c r="R72" s="73"/>
      <c r="S72" s="81">
        <f>SUM(S67:S70)</f>
        <v>3.3779315584023792E-2</v>
      </c>
      <c r="T72" s="82" t="s">
        <v>141</v>
      </c>
      <c r="U72" s="101">
        <f>C99</f>
        <v>-0.3972926296765642</v>
      </c>
      <c r="V72" s="10"/>
    </row>
    <row r="73" spans="1:22" x14ac:dyDescent="0.25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O73" s="83">
        <f>SUM(O67:O71)</f>
        <v>401973.83212720556</v>
      </c>
      <c r="P73" s="77"/>
      <c r="Q73" s="77"/>
      <c r="R73" s="77"/>
      <c r="S73" s="77"/>
      <c r="T73" s="78"/>
    </row>
    <row r="74" spans="1:22" x14ac:dyDescent="0.25">
      <c r="A74" s="10" t="s">
        <v>32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U74" s="101"/>
    </row>
    <row r="75" spans="1:22" x14ac:dyDescent="0.25">
      <c r="B75" s="1" t="s">
        <v>33</v>
      </c>
      <c r="C75" s="44">
        <f>-P24</f>
        <v>-200000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P75" s="10" t="s">
        <v>128</v>
      </c>
      <c r="Q75" s="10" t="s">
        <v>63</v>
      </c>
      <c r="R75" s="10" t="s">
        <v>129</v>
      </c>
      <c r="S75" s="10" t="s">
        <v>64</v>
      </c>
    </row>
    <row r="76" spans="1:22" x14ac:dyDescent="0.25">
      <c r="B76" s="1" t="s">
        <v>34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O76" s="10" t="s">
        <v>27</v>
      </c>
      <c r="P76" s="30">
        <v>1.1000000000000001</v>
      </c>
      <c r="Q76" s="21">
        <f>P76*-C75</f>
        <v>220000.00000000003</v>
      </c>
      <c r="R76" s="20">
        <f>D40</f>
        <v>200000</v>
      </c>
      <c r="S76" s="20">
        <f t="shared" ref="S76:S77" si="34">Q76-R76</f>
        <v>20000.000000000029</v>
      </c>
    </row>
    <row r="77" spans="1:22" x14ac:dyDescent="0.25">
      <c r="B77" s="1" t="s">
        <v>35</v>
      </c>
      <c r="C77" s="44">
        <f>-P22</f>
        <v>-150000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O77" s="10" t="s">
        <v>57</v>
      </c>
      <c r="P77" s="30">
        <v>1.1000000000000001</v>
      </c>
      <c r="Q77" s="21">
        <f>P77*-C77</f>
        <v>165000</v>
      </c>
      <c r="R77" s="15">
        <f>M41-M43</f>
        <v>0</v>
      </c>
      <c r="S77" s="20">
        <f t="shared" si="34"/>
        <v>165000</v>
      </c>
    </row>
    <row r="78" spans="1:22" x14ac:dyDescent="0.25">
      <c r="B78" s="1" t="s">
        <v>36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O78" s="10" t="s">
        <v>56</v>
      </c>
      <c r="P78" s="30">
        <v>0.5</v>
      </c>
      <c r="Q78" s="21">
        <f>D42*P78</f>
        <v>35000</v>
      </c>
      <c r="R78" s="65">
        <f>M42-M44</f>
        <v>0</v>
      </c>
      <c r="S78" s="20">
        <f>Q78-R78</f>
        <v>35000</v>
      </c>
    </row>
    <row r="79" spans="1:22" x14ac:dyDescent="0.25">
      <c r="B79" s="1" t="s">
        <v>126</v>
      </c>
      <c r="C79" s="44">
        <f>-P23</f>
        <v>-70000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O79" s="61"/>
      <c r="P79" s="21"/>
    </row>
    <row r="80" spans="1:22" x14ac:dyDescent="0.25">
      <c r="B80" s="1" t="s">
        <v>127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O80" s="5"/>
      <c r="P80" s="104"/>
    </row>
    <row r="81" spans="1:17" x14ac:dyDescent="0.25">
      <c r="B81" s="1" t="s">
        <v>37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7" x14ac:dyDescent="0.25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P82" s="15"/>
      <c r="Q82" s="15"/>
    </row>
    <row r="83" spans="1:17" x14ac:dyDescent="0.25">
      <c r="A83" s="10" t="s">
        <v>45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7" x14ac:dyDescent="0.25">
      <c r="A84" s="1" t="s">
        <v>49</v>
      </c>
      <c r="B84" s="1" t="s">
        <v>9</v>
      </c>
      <c r="C84" s="44"/>
      <c r="D84" s="44">
        <f>C37-D37</f>
        <v>-10849.315068493152</v>
      </c>
      <c r="E84" s="44">
        <f t="shared" ref="E84:H85" si="35">D37-E37</f>
        <v>-108.49315068493161</v>
      </c>
      <c r="F84" s="44">
        <f t="shared" si="35"/>
        <v>-109.5780821917815</v>
      </c>
      <c r="G84" s="44">
        <f t="shared" si="35"/>
        <v>-110.67386301369697</v>
      </c>
      <c r="H84" s="44">
        <f t="shared" si="35"/>
        <v>-111.78060164383351</v>
      </c>
      <c r="I84" s="44"/>
      <c r="J84" s="44"/>
      <c r="K84" s="44"/>
      <c r="L84" s="44"/>
      <c r="M84" s="44"/>
    </row>
    <row r="85" spans="1:17" x14ac:dyDescent="0.25">
      <c r="A85" s="1" t="s">
        <v>49</v>
      </c>
      <c r="B85" s="1" t="s">
        <v>10</v>
      </c>
      <c r="C85" s="44"/>
      <c r="D85" s="44">
        <f>C38-D38</f>
        <v>-5769.8630136986303</v>
      </c>
      <c r="E85" s="44">
        <f t="shared" si="35"/>
        <v>-57.698630136986139</v>
      </c>
      <c r="F85" s="44">
        <f t="shared" si="35"/>
        <v>-58.275616438356337</v>
      </c>
      <c r="G85" s="44">
        <f t="shared" si="35"/>
        <v>-58.858372602739109</v>
      </c>
      <c r="H85" s="44">
        <f t="shared" si="35"/>
        <v>-59.446956328767556</v>
      </c>
      <c r="I85" s="44"/>
      <c r="J85" s="44"/>
      <c r="K85" s="44"/>
      <c r="L85" s="44"/>
      <c r="M85" s="44"/>
    </row>
    <row r="86" spans="1:17" x14ac:dyDescent="0.25">
      <c r="A86" s="1" t="s">
        <v>50</v>
      </c>
      <c r="B86" s="1" t="s">
        <v>24</v>
      </c>
      <c r="C86" s="44"/>
      <c r="D86" s="36">
        <f>D50-C50</f>
        <v>961.64383561643831</v>
      </c>
      <c r="E86" s="36">
        <f t="shared" ref="E86:H86" si="36">E50-D50</f>
        <v>9.6164383561645081</v>
      </c>
      <c r="F86" s="36">
        <f t="shared" si="36"/>
        <v>9.7126027397259804</v>
      </c>
      <c r="G86" s="36">
        <f t="shared" si="36"/>
        <v>9.809728767123147</v>
      </c>
      <c r="H86" s="36">
        <f t="shared" si="36"/>
        <v>9.9078260547946684</v>
      </c>
      <c r="I86" s="36"/>
      <c r="J86" s="36"/>
      <c r="K86" s="36"/>
      <c r="L86" s="36"/>
      <c r="M86" s="36"/>
    </row>
    <row r="87" spans="1:17" x14ac:dyDescent="0.25">
      <c r="A87" s="1" t="s">
        <v>50</v>
      </c>
      <c r="B87" s="1" t="s">
        <v>51</v>
      </c>
      <c r="C87" s="44"/>
      <c r="D87" s="36">
        <f>-D69+C69</f>
        <v>1287</v>
      </c>
      <c r="E87" s="36">
        <f t="shared" ref="E87:H87" si="37">-E69+D69</f>
        <v>48.870000000000346</v>
      </c>
      <c r="F87" s="36">
        <f t="shared" si="37"/>
        <v>49.358700000000681</v>
      </c>
      <c r="G87" s="36">
        <f t="shared" si="37"/>
        <v>49.852286999998569</v>
      </c>
      <c r="H87" s="36">
        <f t="shared" si="37"/>
        <v>50.350809869997647</v>
      </c>
      <c r="I87" s="36"/>
      <c r="J87" s="36"/>
      <c r="K87" s="36"/>
      <c r="L87" s="36"/>
      <c r="M87" s="36"/>
    </row>
    <row r="88" spans="1:17" x14ac:dyDescent="0.25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7" x14ac:dyDescent="0.25">
      <c r="A89" s="10" t="s">
        <v>46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</row>
    <row r="90" spans="1:17" x14ac:dyDescent="0.25">
      <c r="A90" s="1" t="s">
        <v>50</v>
      </c>
      <c r="B90" s="1" t="s">
        <v>9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</row>
    <row r="91" spans="1:17" x14ac:dyDescent="0.25">
      <c r="A91" s="1" t="s">
        <v>50</v>
      </c>
      <c r="B91" s="1" t="s">
        <v>10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7" x14ac:dyDescent="0.25">
      <c r="A92" s="1" t="s">
        <v>49</v>
      </c>
      <c r="B92" s="1" t="s">
        <v>24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</row>
    <row r="93" spans="1:17" x14ac:dyDescent="0.25">
      <c r="A93" s="1" t="s">
        <v>49</v>
      </c>
      <c r="B93" s="1" t="s">
        <v>51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1:17" x14ac:dyDescent="0.25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7" x14ac:dyDescent="0.25">
      <c r="A95" s="10" t="s">
        <v>47</v>
      </c>
      <c r="B95" s="10" t="s">
        <v>47</v>
      </c>
      <c r="C95" s="64">
        <f>SUM(C72:C93)</f>
        <v>-420000</v>
      </c>
      <c r="D95" s="64">
        <f t="shared" ref="D95" si="38">SUM(D72:D93)</f>
        <v>632.46575342465644</v>
      </c>
      <c r="E95" s="64">
        <f>SUM(E72:E93)</f>
        <v>15009.324657534249</v>
      </c>
      <c r="F95" s="64">
        <f>SUM(F72:F93)</f>
        <v>15123.41790410959</v>
      </c>
      <c r="G95" s="64">
        <f>SUM(G72:G93)</f>
        <v>15238.652083150684</v>
      </c>
      <c r="H95" s="64">
        <f>SUM(H72:H93)</f>
        <v>15355.038603982182</v>
      </c>
      <c r="I95" s="64"/>
      <c r="J95" s="64"/>
      <c r="K95" s="64"/>
      <c r="L95" s="64"/>
      <c r="M95" s="64"/>
    </row>
    <row r="96" spans="1:17" x14ac:dyDescent="0.25">
      <c r="A96" s="10" t="s">
        <v>59</v>
      </c>
      <c r="C96" s="64">
        <f>C95</f>
        <v>-420000</v>
      </c>
      <c r="D96" s="64">
        <f>-PV($P$96,1,0,D95)</f>
        <v>585.61643835616337</v>
      </c>
      <c r="E96" s="64">
        <f>-PV($P$96,2,0,E95)</f>
        <v>12868.076695416879</v>
      </c>
      <c r="F96" s="64">
        <f>-PV($P$96,3,0,F95)</f>
        <v>12005.456726703873</v>
      </c>
      <c r="G96" s="64">
        <f>-PV($P$96,4,0,G95)</f>
        <v>11200.864197494613</v>
      </c>
      <c r="H96" s="64">
        <f>-PV($P$96,5,0,H95)</f>
        <v>10450.38126367489</v>
      </c>
      <c r="I96" s="64"/>
      <c r="J96" s="64"/>
      <c r="K96" s="64"/>
      <c r="L96" s="64"/>
      <c r="M96" s="64"/>
      <c r="O96" s="10" t="s">
        <v>60</v>
      </c>
      <c r="P96" s="30">
        <v>0.08</v>
      </c>
    </row>
    <row r="97" spans="1:13" ht="15.75" thickBot="1" x14ac:dyDescent="0.3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3" ht="15.75" thickBot="1" x14ac:dyDescent="0.3">
      <c r="A98" s="10" t="s">
        <v>61</v>
      </c>
      <c r="C98" s="66">
        <f>C96+D96+E96+F96+G96+H96+I96+J96+K96+L96+M96</f>
        <v>-372889.60467835359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 ht="15.75" thickBot="1" x14ac:dyDescent="0.3">
      <c r="A99" s="10" t="s">
        <v>62</v>
      </c>
      <c r="C99" s="67">
        <f>IRR(C95:M95)</f>
        <v>-0.3972926296765642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x14ac:dyDescent="0.25"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x14ac:dyDescent="0.25"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x14ac:dyDescent="0.25">
      <c r="B102" t="s">
        <v>182</v>
      </c>
      <c r="C102"/>
      <c r="D102" s="106">
        <v>1</v>
      </c>
      <c r="E102"/>
      <c r="F102"/>
      <c r="G102"/>
      <c r="H102"/>
      <c r="I102"/>
      <c r="J102"/>
      <c r="K102"/>
      <c r="L102" s="15"/>
      <c r="M102" s="15"/>
    </row>
    <row r="103" spans="1:13" x14ac:dyDescent="0.25">
      <c r="B103" t="s">
        <v>183</v>
      </c>
      <c r="C103"/>
      <c r="D103" s="106">
        <v>0.75</v>
      </c>
      <c r="E103"/>
      <c r="F103"/>
      <c r="G103"/>
      <c r="H103"/>
      <c r="I103"/>
      <c r="J103"/>
      <c r="K103"/>
      <c r="L103" s="15"/>
      <c r="M103" s="15"/>
    </row>
    <row r="104" spans="1:13" x14ac:dyDescent="0.25">
      <c r="B104" t="s">
        <v>160</v>
      </c>
      <c r="C104" s="114">
        <f>H35</f>
        <v>2000</v>
      </c>
      <c r="D104" s="107">
        <f>C104*D102</f>
        <v>2000</v>
      </c>
      <c r="E104"/>
      <c r="F104"/>
      <c r="G104"/>
      <c r="H104"/>
      <c r="I104"/>
      <c r="J104"/>
      <c r="K104"/>
      <c r="L104" s="15"/>
      <c r="M104" s="15"/>
    </row>
    <row r="105" spans="1:13" x14ac:dyDescent="0.25">
      <c r="B105"/>
      <c r="C105"/>
      <c r="D105"/>
      <c r="E105"/>
      <c r="F105"/>
      <c r="G105"/>
      <c r="H105"/>
      <c r="I105"/>
      <c r="J105"/>
      <c r="K105"/>
      <c r="L105" s="15"/>
      <c r="M105" s="15"/>
    </row>
    <row r="106" spans="1:13" ht="15" customHeight="1" x14ac:dyDescent="0.25">
      <c r="B106" t="s">
        <v>161</v>
      </c>
      <c r="C106" s="114">
        <f>H37</f>
        <v>11289.840766027395</v>
      </c>
      <c r="D106" s="107">
        <f>$D$103*C106</f>
        <v>8467.3805745205464</v>
      </c>
      <c r="E106" s="125" t="s">
        <v>162</v>
      </c>
      <c r="F106"/>
      <c r="G106"/>
      <c r="H106"/>
      <c r="I106"/>
      <c r="J106"/>
      <c r="K106"/>
      <c r="L106" s="15"/>
      <c r="M106" s="15"/>
    </row>
    <row r="107" spans="1:13" x14ac:dyDescent="0.25">
      <c r="B107" t="s">
        <v>163</v>
      </c>
      <c r="C107" s="114">
        <f>H38</f>
        <v>6004.1425892054795</v>
      </c>
      <c r="D107" s="107">
        <f>$D$103*C107</f>
        <v>4503.1069419041096</v>
      </c>
      <c r="E107" s="125"/>
      <c r="F107"/>
      <c r="G107"/>
      <c r="H107"/>
      <c r="I107"/>
      <c r="J107"/>
      <c r="K107"/>
    </row>
    <row r="108" spans="1:13" x14ac:dyDescent="0.25">
      <c r="B108"/>
      <c r="C108"/>
      <c r="D108" s="107">
        <f>D111-E115</f>
        <v>11872.995449805108</v>
      </c>
      <c r="E108"/>
      <c r="F108"/>
      <c r="G108"/>
      <c r="H108"/>
      <c r="I108"/>
      <c r="J108"/>
      <c r="K108"/>
    </row>
    <row r="109" spans="1:13" x14ac:dyDescent="0.25">
      <c r="B109" t="s">
        <v>164</v>
      </c>
      <c r="C109" s="114">
        <f>H40</f>
        <v>200000</v>
      </c>
      <c r="D109" s="107">
        <f>$D$103*C109</f>
        <v>150000</v>
      </c>
      <c r="E109" s="125" t="s">
        <v>165</v>
      </c>
      <c r="F109"/>
      <c r="G109"/>
      <c r="H109"/>
      <c r="I109"/>
      <c r="J109"/>
      <c r="K109"/>
    </row>
    <row r="110" spans="1:13" x14ac:dyDescent="0.25">
      <c r="B110" t="s">
        <v>166</v>
      </c>
      <c r="C110" s="114">
        <f>H41</f>
        <v>150000</v>
      </c>
      <c r="D110" s="107">
        <f>$D$103*C110</f>
        <v>112500</v>
      </c>
      <c r="E110" s="125"/>
      <c r="F110"/>
      <c r="G110"/>
      <c r="H110"/>
      <c r="I110"/>
      <c r="J110"/>
      <c r="K110"/>
    </row>
    <row r="111" spans="1:13" x14ac:dyDescent="0.25">
      <c r="B111" t="s">
        <v>167</v>
      </c>
      <c r="C111" s="114">
        <f>H67</f>
        <v>12000</v>
      </c>
      <c r="D111" s="107">
        <f>SUM(D109:D110)</f>
        <v>262500</v>
      </c>
      <c r="E111"/>
      <c r="F111"/>
      <c r="G111"/>
      <c r="H111"/>
      <c r="I111"/>
      <c r="J111"/>
      <c r="K111"/>
    </row>
    <row r="112" spans="1:13" x14ac:dyDescent="0.25">
      <c r="B112"/>
      <c r="C112"/>
      <c r="D112" s="107"/>
      <c r="E112"/>
      <c r="F112"/>
      <c r="G112"/>
      <c r="H112"/>
      <c r="I112"/>
      <c r="J112"/>
      <c r="K112"/>
    </row>
    <row r="113" spans="2:11" x14ac:dyDescent="0.25">
      <c r="B113" t="s">
        <v>168</v>
      </c>
      <c r="C113" s="115">
        <f>H50</f>
        <v>1000.6904315342466</v>
      </c>
      <c r="D113" s="107"/>
      <c r="E113"/>
      <c r="F113"/>
      <c r="G113"/>
      <c r="H113"/>
      <c r="I113"/>
      <c r="J113"/>
      <c r="K113"/>
    </row>
    <row r="114" spans="2:11" x14ac:dyDescent="0.25">
      <c r="B114"/>
      <c r="C114"/>
      <c r="D114" s="107"/>
      <c r="E114" s="108" t="s">
        <v>169</v>
      </c>
      <c r="F114" s="108" t="s">
        <v>170</v>
      </c>
      <c r="G114" s="108" t="s">
        <v>137</v>
      </c>
      <c r="H114" s="108" t="s">
        <v>171</v>
      </c>
      <c r="I114" s="108"/>
      <c r="J114" s="108" t="s">
        <v>172</v>
      </c>
      <c r="K114" s="108" t="s">
        <v>173</v>
      </c>
    </row>
    <row r="115" spans="2:11" x14ac:dyDescent="0.25">
      <c r="B115" t="s">
        <v>174</v>
      </c>
      <c r="C115" s="115">
        <f>H53</f>
        <v>250627.00455019489</v>
      </c>
      <c r="D115" s="107"/>
      <c r="E115" s="116">
        <f>C115</f>
        <v>250627.00455019489</v>
      </c>
      <c r="F115" s="116"/>
      <c r="G115" s="110">
        <f>F115/SUM($F$115:$F$116)</f>
        <v>0</v>
      </c>
      <c r="H115" s="111">
        <f>(SUM($D$104:$D$107)-C113)*G115</f>
        <v>0</v>
      </c>
      <c r="I115" s="112"/>
      <c r="J115" s="109">
        <f>SUM(H115,E115)</f>
        <v>250627.00455019489</v>
      </c>
      <c r="K115" s="110">
        <f>J115/C115</f>
        <v>1</v>
      </c>
    </row>
    <row r="116" spans="2:11" x14ac:dyDescent="0.25">
      <c r="B116" t="s">
        <v>175</v>
      </c>
      <c r="C116" s="115">
        <f>H54</f>
        <v>201532.18716365198</v>
      </c>
      <c r="D116"/>
      <c r="E116" s="112">
        <v>0</v>
      </c>
      <c r="F116" s="116">
        <f>C116-E116</f>
        <v>201532.18716365198</v>
      </c>
      <c r="G116" s="110">
        <f>F116/SUM($F$115:$F$116)</f>
        <v>1</v>
      </c>
      <c r="H116" s="117">
        <f>SUM(D104:D107)+(SUM(D109:D110)-E115)+D108-C113</f>
        <v>37715.787984500625</v>
      </c>
      <c r="I116" s="112"/>
      <c r="J116" s="109">
        <f>SUM(H116,E116)</f>
        <v>37715.787984500625</v>
      </c>
      <c r="K116" s="110">
        <f>J116/C116</f>
        <v>0.18714523230908986</v>
      </c>
    </row>
    <row r="117" spans="2:11" x14ac:dyDescent="0.25">
      <c r="B117"/>
      <c r="C117"/>
      <c r="D117"/>
      <c r="E117"/>
      <c r="F117"/>
      <c r="G117"/>
      <c r="H117"/>
      <c r="I117"/>
      <c r="J117"/>
      <c r="K117"/>
    </row>
    <row r="118" spans="2:11" x14ac:dyDescent="0.25">
      <c r="B118" t="s">
        <v>176</v>
      </c>
      <c r="C118" s="115">
        <f>H57</f>
        <v>30000</v>
      </c>
      <c r="D118"/>
      <c r="E118"/>
      <c r="F118"/>
      <c r="G118"/>
      <c r="H118"/>
      <c r="I118"/>
      <c r="J118"/>
      <c r="K118"/>
    </row>
    <row r="119" spans="2:11" x14ac:dyDescent="0.25">
      <c r="B119" t="s">
        <v>177</v>
      </c>
      <c r="C119" s="115">
        <f>H58</f>
        <v>-103865.89879014823</v>
      </c>
      <c r="D119"/>
      <c r="E119"/>
      <c r="F119"/>
      <c r="G119"/>
      <c r="H119"/>
      <c r="I119"/>
      <c r="J119"/>
      <c r="K119"/>
    </row>
    <row r="120" spans="2:11" x14ac:dyDescent="0.25">
      <c r="B120"/>
      <c r="C120"/>
      <c r="D120"/>
      <c r="E120"/>
      <c r="F120"/>
      <c r="G120"/>
      <c r="H120"/>
      <c r="I120"/>
      <c r="J120"/>
      <c r="K120"/>
    </row>
    <row r="121" spans="2:11" x14ac:dyDescent="0.25">
      <c r="B121"/>
      <c r="C121"/>
      <c r="D121"/>
      <c r="E121"/>
      <c r="F121"/>
      <c r="G121"/>
      <c r="H121"/>
      <c r="I121"/>
      <c r="J121"/>
      <c r="K121"/>
    </row>
    <row r="122" spans="2:11" x14ac:dyDescent="0.25">
      <c r="B122" s="121" t="s">
        <v>184</v>
      </c>
      <c r="C122"/>
      <c r="D122"/>
      <c r="E122"/>
      <c r="F122"/>
      <c r="G122"/>
      <c r="H122"/>
      <c r="I122"/>
      <c r="J122"/>
      <c r="K122"/>
    </row>
    <row r="123" spans="2:11" x14ac:dyDescent="0.25">
      <c r="B123"/>
      <c r="C123" s="120">
        <v>0</v>
      </c>
      <c r="D123" s="120">
        <v>1</v>
      </c>
      <c r="E123" s="120">
        <v>2</v>
      </c>
      <c r="F123" s="120">
        <v>3</v>
      </c>
      <c r="G123" s="120">
        <v>4</v>
      </c>
      <c r="H123"/>
      <c r="I123"/>
      <c r="J123"/>
      <c r="K123"/>
    </row>
    <row r="124" spans="2:11" x14ac:dyDescent="0.25">
      <c r="B124" t="s">
        <v>178</v>
      </c>
      <c r="C124" s="118">
        <f>-Mortgage!B3</f>
        <v>-280000</v>
      </c>
      <c r="D124"/>
      <c r="E124"/>
      <c r="F124"/>
      <c r="G124"/>
      <c r="H124"/>
      <c r="I124"/>
      <c r="J124"/>
      <c r="K124"/>
    </row>
    <row r="125" spans="2:11" x14ac:dyDescent="0.25">
      <c r="B125" t="s">
        <v>179</v>
      </c>
      <c r="C125"/>
      <c r="D125" s="118">
        <f>Mortgage!K22</f>
        <v>9714.3431045911511</v>
      </c>
      <c r="E125" s="118">
        <f>Mortgage!K34</f>
        <v>9523.2220056201568</v>
      </c>
      <c r="F125" s="118">
        <f>Mortgage!K47</f>
        <v>9308.4957334350693</v>
      </c>
      <c r="G125" s="118">
        <f>Mortgage!K59</f>
        <v>9102.9398801109237</v>
      </c>
      <c r="H125"/>
      <c r="I125"/>
      <c r="J125"/>
      <c r="K125"/>
    </row>
    <row r="126" spans="2:11" x14ac:dyDescent="0.25">
      <c r="B126" t="s">
        <v>180</v>
      </c>
      <c r="C126"/>
      <c r="D126" s="115">
        <f>280000-Failure!D53</f>
        <v>5373.5584057852975</v>
      </c>
      <c r="E126" s="115">
        <f>D53-E53</f>
        <v>5564.6795047564083</v>
      </c>
      <c r="F126" s="115">
        <f t="shared" ref="F126" si="39">E53-F53</f>
        <v>6251.9674300451879</v>
      </c>
      <c r="G126" s="115"/>
      <c r="H126"/>
      <c r="I126"/>
      <c r="J126"/>
      <c r="K126"/>
    </row>
    <row r="127" spans="2:11" x14ac:dyDescent="0.25">
      <c r="B127" t="s">
        <v>181</v>
      </c>
      <c r="C127"/>
      <c r="D127"/>
      <c r="E127"/>
      <c r="F127"/>
      <c r="G127" s="107">
        <f>J115</f>
        <v>250627.00455019489</v>
      </c>
      <c r="H127"/>
      <c r="I127"/>
      <c r="J127"/>
      <c r="K127"/>
    </row>
    <row r="128" spans="2:11" x14ac:dyDescent="0.25">
      <c r="B128" t="s">
        <v>172</v>
      </c>
      <c r="C128" s="107">
        <f>SUM(C124:C126)</f>
        <v>-280000</v>
      </c>
      <c r="D128" s="107">
        <f>SUM(D124:D126)</f>
        <v>15087.901510376449</v>
      </c>
      <c r="E128" s="107">
        <f>SUM(E124:E126)</f>
        <v>15087.901510376565</v>
      </c>
      <c r="F128" s="107">
        <f>SUM(F124:F126)</f>
        <v>15560.463163480257</v>
      </c>
      <c r="G128" s="107">
        <f>SUM(G124:G127)</f>
        <v>259729.94443030583</v>
      </c>
      <c r="H128"/>
      <c r="I128"/>
      <c r="J128"/>
      <c r="K128"/>
    </row>
    <row r="129" spans="2:11" x14ac:dyDescent="0.25">
      <c r="B129"/>
      <c r="C129"/>
      <c r="D129"/>
      <c r="E129"/>
      <c r="F129"/>
      <c r="G129"/>
      <c r="H129"/>
      <c r="I129"/>
      <c r="J129"/>
      <c r="K129"/>
    </row>
    <row r="130" spans="2:11" x14ac:dyDescent="0.25">
      <c r="B130" s="1" t="s">
        <v>186</v>
      </c>
      <c r="C130" s="122">
        <f>IRR(C128:G128)</f>
        <v>2.3839339949218274E-2</v>
      </c>
      <c r="D130"/>
      <c r="E130" s="113">
        <f>Mortgage!B2</f>
        <v>3.5000000000000003E-2</v>
      </c>
      <c r="F130" s="106">
        <v>0.95</v>
      </c>
      <c r="G130"/>
      <c r="H130"/>
      <c r="I130"/>
      <c r="J130"/>
      <c r="K130"/>
    </row>
    <row r="131" spans="2:11" x14ac:dyDescent="0.25">
      <c r="B131" t="s">
        <v>153</v>
      </c>
      <c r="C131" s="122">
        <f>E130*F130+E131*F131</f>
        <v>3.4441966997460917E-2</v>
      </c>
      <c r="D131"/>
      <c r="E131" s="113">
        <f>C130</f>
        <v>2.3839339949218274E-2</v>
      </c>
      <c r="F131" s="106">
        <v>0.05</v>
      </c>
      <c r="G131"/>
      <c r="H131"/>
      <c r="I131"/>
      <c r="J131"/>
      <c r="K131"/>
    </row>
    <row r="132" spans="2:11" x14ac:dyDescent="0.25">
      <c r="B132"/>
      <c r="C132"/>
      <c r="G132"/>
      <c r="H132"/>
      <c r="I132"/>
      <c r="J132"/>
      <c r="K132"/>
    </row>
    <row r="134" spans="2:11" x14ac:dyDescent="0.25">
      <c r="B134" s="121" t="s">
        <v>185</v>
      </c>
      <c r="C134"/>
      <c r="D134"/>
      <c r="E134"/>
      <c r="F134"/>
      <c r="G134"/>
    </row>
    <row r="135" spans="2:11" x14ac:dyDescent="0.25">
      <c r="B135"/>
      <c r="C135" s="120">
        <v>0</v>
      </c>
      <c r="D135" s="120">
        <v>1</v>
      </c>
      <c r="E135" s="120">
        <v>2</v>
      </c>
      <c r="F135" s="120">
        <v>3</v>
      </c>
      <c r="G135" s="120">
        <v>4</v>
      </c>
    </row>
    <row r="136" spans="2:11" x14ac:dyDescent="0.25">
      <c r="B136" t="s">
        <v>178</v>
      </c>
      <c r="C136" s="118">
        <f>-D54</f>
        <v>-139729.76326735006</v>
      </c>
      <c r="D136"/>
      <c r="E136"/>
      <c r="F136"/>
      <c r="G136"/>
    </row>
    <row r="137" spans="2:11" x14ac:dyDescent="0.25">
      <c r="B137" t="s">
        <v>179</v>
      </c>
      <c r="C137"/>
      <c r="D137" s="118">
        <f>D27</f>
        <v>13274.327510398256</v>
      </c>
      <c r="E137" s="118">
        <f t="shared" ref="E137:G137" si="40">E27</f>
        <v>14540.914156263292</v>
      </c>
      <c r="F137" s="118">
        <f t="shared" si="40"/>
        <v>15972.956691606087</v>
      </c>
      <c r="G137" s="118">
        <f t="shared" si="40"/>
        <v>17488.440509052518</v>
      </c>
    </row>
    <row r="138" spans="2:11" x14ac:dyDescent="0.25">
      <c r="B138" t="s">
        <v>180</v>
      </c>
      <c r="C138"/>
      <c r="D138" s="115">
        <f>-D54+E54</f>
        <v>13332.491009105637</v>
      </c>
      <c r="E138" s="115">
        <f t="shared" ref="E138:F138" si="41">-E54+F54</f>
        <v>15074.131950976793</v>
      </c>
      <c r="F138" s="115">
        <f t="shared" si="41"/>
        <v>15952.461236278206</v>
      </c>
      <c r="G138" s="115"/>
    </row>
    <row r="139" spans="2:11" x14ac:dyDescent="0.25">
      <c r="B139" t="s">
        <v>181</v>
      </c>
      <c r="C139"/>
      <c r="D139"/>
      <c r="E139"/>
      <c r="F139"/>
      <c r="G139" s="107">
        <f>J116</f>
        <v>37715.787984500625</v>
      </c>
    </row>
    <row r="140" spans="2:11" x14ac:dyDescent="0.25">
      <c r="B140" t="s">
        <v>172</v>
      </c>
      <c r="C140" s="107">
        <f>SUM(C136:C138)</f>
        <v>-139729.76326735006</v>
      </c>
      <c r="D140" s="107">
        <f>SUM(D136:D138)</f>
        <v>26606.818519503893</v>
      </c>
      <c r="E140" s="107">
        <f>SUM(E136:E138)</f>
        <v>29615.046107240087</v>
      </c>
      <c r="F140" s="107">
        <f>SUM(F136:F138)</f>
        <v>31925.417927884293</v>
      </c>
      <c r="G140" s="107">
        <f>SUM(G136:G139)</f>
        <v>55204.228493553142</v>
      </c>
    </row>
    <row r="141" spans="2:11" x14ac:dyDescent="0.25">
      <c r="B141"/>
      <c r="C141"/>
      <c r="D141"/>
      <c r="E141"/>
      <c r="F141"/>
      <c r="G141"/>
    </row>
    <row r="142" spans="2:11" x14ac:dyDescent="0.25">
      <c r="B142" s="1" t="s">
        <v>186</v>
      </c>
      <c r="C142" s="122">
        <f>IRR(C140:G140)</f>
        <v>9.1764819711992462E-3</v>
      </c>
      <c r="D142"/>
      <c r="E142" s="119">
        <f>P54</f>
        <v>9.5000000000000001E-2</v>
      </c>
      <c r="F142" s="106">
        <v>0.95</v>
      </c>
      <c r="G142"/>
    </row>
    <row r="143" spans="2:11" x14ac:dyDescent="0.25">
      <c r="B143" t="s">
        <v>153</v>
      </c>
      <c r="C143" s="123">
        <f>E142*F142+E143*F143</f>
        <v>9.0708824098559959E-2</v>
      </c>
      <c r="D143"/>
      <c r="E143" s="113">
        <f>C142</f>
        <v>9.1764819711992462E-3</v>
      </c>
      <c r="F143" s="106">
        <v>0.05</v>
      </c>
      <c r="G143"/>
    </row>
    <row r="144" spans="2:11" x14ac:dyDescent="0.25">
      <c r="B144"/>
      <c r="C144"/>
      <c r="G144"/>
    </row>
  </sheetData>
  <sheetProtection selectLockedCells="1" selectUnlockedCells="1"/>
  <mergeCells count="2">
    <mergeCell ref="E106:E107"/>
    <mergeCell ref="E109:E110"/>
  </mergeCells>
  <hyperlinks>
    <hyperlink ref="Q61" r:id="rId1"/>
    <hyperlink ref="Q62" r:id="rId2"/>
    <hyperlink ref="Q60" r:id="rId3"/>
  </hyperlinks>
  <pageMargins left="0.7" right="0.7" top="0.75" bottom="0.75" header="0.51180555555555551" footer="0.51180555555555551"/>
  <pageSetup scale="40" firstPageNumber="0" fitToHeight="0" orientation="landscape" horizontalDpi="300" verticalDpi="300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98"/>
  <sheetViews>
    <sheetView workbookViewId="0">
      <selection activeCell="A137" sqref="A137"/>
    </sheetView>
  </sheetViews>
  <sheetFormatPr defaultRowHeight="12.75" x14ac:dyDescent="0.2"/>
  <cols>
    <col min="1" max="1" width="20.42578125" style="50" bestFit="1" customWidth="1"/>
    <col min="2" max="2" width="16.5703125" style="49" bestFit="1" customWidth="1"/>
    <col min="3" max="3" width="16.140625" style="49" bestFit="1" customWidth="1"/>
    <col min="4" max="4" width="15.28515625" style="49" bestFit="1" customWidth="1"/>
    <col min="5" max="5" width="15.28515625" style="49" customWidth="1"/>
    <col min="6" max="6" width="24" style="49" bestFit="1" customWidth="1"/>
    <col min="7" max="7" width="18.28515625" style="49" bestFit="1" customWidth="1"/>
    <col min="8" max="8" width="17.42578125" style="49" bestFit="1" customWidth="1"/>
    <col min="9" max="9" width="9.140625" style="49"/>
    <col min="10" max="10" width="21" style="49" bestFit="1" customWidth="1"/>
    <col min="11" max="11" width="17.42578125" style="49" bestFit="1" customWidth="1"/>
    <col min="12" max="16384" width="9.140625" style="49"/>
  </cols>
  <sheetData>
    <row r="1" spans="1:8" x14ac:dyDescent="0.2">
      <c r="A1" s="126" t="s">
        <v>99</v>
      </c>
      <c r="B1" s="126"/>
      <c r="C1" s="126"/>
      <c r="D1" s="126"/>
      <c r="E1" s="126"/>
      <c r="F1" s="126"/>
      <c r="G1" s="126"/>
      <c r="H1" s="126"/>
    </row>
    <row r="2" spans="1:8" x14ac:dyDescent="0.2">
      <c r="A2" s="50" t="s">
        <v>100</v>
      </c>
      <c r="B2" s="84">
        <f>'Stick It Shop'!P53</f>
        <v>3.5000000000000003E-2</v>
      </c>
    </row>
    <row r="3" spans="1:8" x14ac:dyDescent="0.2">
      <c r="A3" s="50" t="s">
        <v>101</v>
      </c>
      <c r="B3" s="51">
        <f>'Stick It Shop'!Q53</f>
        <v>280000</v>
      </c>
    </row>
    <row r="4" spans="1:8" x14ac:dyDescent="0.2">
      <c r="A4" s="50" t="s">
        <v>102</v>
      </c>
      <c r="B4" s="52">
        <f>'Stick It Shop'!R53</f>
        <v>30</v>
      </c>
    </row>
    <row r="5" spans="1:8" x14ac:dyDescent="0.2">
      <c r="A5" s="50" t="s">
        <v>103</v>
      </c>
      <c r="B5" s="52">
        <f>B4*12</f>
        <v>360</v>
      </c>
    </row>
    <row r="6" spans="1:8" x14ac:dyDescent="0.2">
      <c r="A6" s="50" t="s">
        <v>104</v>
      </c>
      <c r="B6" s="53">
        <f>B2/B7</f>
        <v>2.9166666666666668E-3</v>
      </c>
    </row>
    <row r="7" spans="1:8" x14ac:dyDescent="0.2">
      <c r="A7" s="50" t="s">
        <v>105</v>
      </c>
      <c r="B7" s="52">
        <v>12</v>
      </c>
    </row>
    <row r="9" spans="1:8" x14ac:dyDescent="0.2">
      <c r="A9" s="54" t="s">
        <v>106</v>
      </c>
      <c r="B9" s="55" t="s">
        <v>107</v>
      </c>
      <c r="C9" s="55" t="s">
        <v>108</v>
      </c>
      <c r="D9" s="55" t="s">
        <v>109</v>
      </c>
      <c r="E9" s="55" t="s">
        <v>110</v>
      </c>
      <c r="F9" s="55" t="s">
        <v>111</v>
      </c>
      <c r="G9" s="55" t="s">
        <v>112</v>
      </c>
      <c r="H9" s="55" t="s">
        <v>113</v>
      </c>
    </row>
    <row r="10" spans="1:8" x14ac:dyDescent="0.2">
      <c r="A10" s="50">
        <v>0</v>
      </c>
      <c r="F10" s="49">
        <f>B3</f>
        <v>280000</v>
      </c>
    </row>
    <row r="11" spans="1:8" x14ac:dyDescent="0.2">
      <c r="A11" s="50">
        <f t="shared" ref="A11:A71" si="0">IF(OR(F10&lt;0.01,F10=""),"",A10+1)</f>
        <v>1</v>
      </c>
      <c r="B11" s="56">
        <f t="shared" ref="B11:B20" si="1">IF(A11="","",IF(F10&lt;B10,F10+D11,-PMT($B$6,$B$5,$B$3,0)))</f>
        <v>1257.3251258647085</v>
      </c>
      <c r="C11" s="56">
        <f t="shared" ref="C11:C20" si="2">IF(A11="","",IF(F10&lt;C10,F10,-PPMT($B$6,$A11,$B$5,$B$3,0)))</f>
        <v>440.65845919804184</v>
      </c>
      <c r="D11" s="49">
        <f>IF(A11="","",-IPMT($B$6,A11,$B$5,$B$3,0))</f>
        <v>816.66666666666674</v>
      </c>
      <c r="F11" s="49">
        <f t="shared" ref="F11:F64" si="3">IF(A11="","",IF((F10-B11)=0,0,F10-C11-E11))</f>
        <v>279559.34154080198</v>
      </c>
      <c r="G11" s="49">
        <f>IF(A11="","",C11+E11+G10)</f>
        <v>440.65845919804184</v>
      </c>
      <c r="H11" s="49">
        <f>IF(A11="","",D11+H10)</f>
        <v>816.66666666666674</v>
      </c>
    </row>
    <row r="12" spans="1:8" x14ac:dyDescent="0.2">
      <c r="A12" s="50">
        <f t="shared" si="0"/>
        <v>2</v>
      </c>
      <c r="B12" s="56">
        <f t="shared" si="1"/>
        <v>1257.3251258647085</v>
      </c>
      <c r="C12" s="56">
        <f t="shared" si="2"/>
        <v>441.94371303736949</v>
      </c>
      <c r="D12" s="49">
        <f t="shared" ref="D12:D75" si="4">IF(A12="","",-IPMT($B$6,A12,$B$5,$B$3,0))</f>
        <v>815.38141282733909</v>
      </c>
      <c r="F12" s="49">
        <f t="shared" si="3"/>
        <v>279117.39782776462</v>
      </c>
      <c r="G12" s="49">
        <f t="shared" ref="G12:G75" si="5">IF(A12="","",C12+E12+G11)</f>
        <v>882.60217223541133</v>
      </c>
      <c r="H12" s="49">
        <f t="shared" ref="H12:H75" si="6">IF(A12="","",D12+H11)</f>
        <v>1632.0480794940058</v>
      </c>
    </row>
    <row r="13" spans="1:8" x14ac:dyDescent="0.2">
      <c r="A13" s="50">
        <f t="shared" si="0"/>
        <v>3</v>
      </c>
      <c r="B13" s="56">
        <f t="shared" si="1"/>
        <v>1257.3251258647085</v>
      </c>
      <c r="C13" s="56">
        <f t="shared" si="2"/>
        <v>443.23271553372848</v>
      </c>
      <c r="D13" s="49">
        <f t="shared" si="4"/>
        <v>814.09241033098021</v>
      </c>
      <c r="F13" s="49">
        <f t="shared" si="3"/>
        <v>278674.16511223087</v>
      </c>
      <c r="G13" s="49">
        <f t="shared" si="5"/>
        <v>1325.8348877691399</v>
      </c>
      <c r="H13" s="49">
        <f t="shared" si="6"/>
        <v>2446.1404898249862</v>
      </c>
    </row>
    <row r="14" spans="1:8" x14ac:dyDescent="0.2">
      <c r="A14" s="50">
        <f t="shared" si="0"/>
        <v>4</v>
      </c>
      <c r="B14" s="56">
        <f t="shared" si="1"/>
        <v>1257.3251258647085</v>
      </c>
      <c r="C14" s="56">
        <f t="shared" si="2"/>
        <v>444.52547762070191</v>
      </c>
      <c r="D14" s="49">
        <f t="shared" si="4"/>
        <v>812.79964824400656</v>
      </c>
      <c r="F14" s="49">
        <f t="shared" si="3"/>
        <v>278229.63963461015</v>
      </c>
      <c r="G14" s="49">
        <f t="shared" si="5"/>
        <v>1770.3603653898417</v>
      </c>
      <c r="H14" s="49">
        <f t="shared" si="6"/>
        <v>3258.9401380689928</v>
      </c>
    </row>
    <row r="15" spans="1:8" x14ac:dyDescent="0.2">
      <c r="A15" s="50">
        <f t="shared" si="0"/>
        <v>5</v>
      </c>
      <c r="B15" s="56">
        <f t="shared" si="1"/>
        <v>1257.3251258647085</v>
      </c>
      <c r="C15" s="56">
        <f t="shared" si="2"/>
        <v>445.82201026376225</v>
      </c>
      <c r="D15" s="49">
        <f t="shared" si="4"/>
        <v>811.50311560094633</v>
      </c>
      <c r="F15" s="49">
        <f t="shared" si="3"/>
        <v>277783.81762434641</v>
      </c>
      <c r="G15" s="49">
        <f t="shared" si="5"/>
        <v>2216.1823756536041</v>
      </c>
      <c r="H15" s="49">
        <f t="shared" si="6"/>
        <v>4070.4432536699392</v>
      </c>
    </row>
    <row r="16" spans="1:8" x14ac:dyDescent="0.2">
      <c r="A16" s="50">
        <f t="shared" si="0"/>
        <v>6</v>
      </c>
      <c r="B16" s="56">
        <f t="shared" si="1"/>
        <v>1257.3251258647085</v>
      </c>
      <c r="C16" s="56">
        <f t="shared" si="2"/>
        <v>447.12232446036489</v>
      </c>
      <c r="D16" s="49">
        <f t="shared" si="4"/>
        <v>810.20280140434375</v>
      </c>
      <c r="F16" s="49">
        <f t="shared" si="3"/>
        <v>277336.69529988605</v>
      </c>
      <c r="G16" s="49">
        <f t="shared" si="5"/>
        <v>2663.3047001139689</v>
      </c>
      <c r="H16" s="49">
        <f t="shared" si="6"/>
        <v>4880.6460550742831</v>
      </c>
    </row>
    <row r="17" spans="1:11" x14ac:dyDescent="0.2">
      <c r="A17" s="50">
        <f t="shared" si="0"/>
        <v>7</v>
      </c>
      <c r="B17" s="56">
        <f t="shared" si="1"/>
        <v>1257.3251258647085</v>
      </c>
      <c r="C17" s="56">
        <f t="shared" si="2"/>
        <v>448.42643124004098</v>
      </c>
      <c r="D17" s="49">
        <f t="shared" si="4"/>
        <v>808.89869462466766</v>
      </c>
      <c r="F17" s="49">
        <f t="shared" si="3"/>
        <v>276888.268868646</v>
      </c>
      <c r="G17" s="49">
        <f t="shared" si="5"/>
        <v>3111.7311313540099</v>
      </c>
      <c r="H17" s="49">
        <f t="shared" si="6"/>
        <v>5689.5447496989509</v>
      </c>
    </row>
    <row r="18" spans="1:11" x14ac:dyDescent="0.2">
      <c r="A18" s="50">
        <f t="shared" si="0"/>
        <v>8</v>
      </c>
      <c r="B18" s="56">
        <f t="shared" si="1"/>
        <v>1257.3251258647085</v>
      </c>
      <c r="C18" s="56">
        <f t="shared" si="2"/>
        <v>449.73434166449113</v>
      </c>
      <c r="D18" s="49">
        <f t="shared" si="4"/>
        <v>807.5907842002174</v>
      </c>
      <c r="F18" s="49">
        <f t="shared" si="3"/>
        <v>276438.53452698153</v>
      </c>
      <c r="G18" s="49">
        <f t="shared" si="5"/>
        <v>3561.4654730185011</v>
      </c>
      <c r="H18" s="49">
        <f t="shared" si="6"/>
        <v>6497.135533899168</v>
      </c>
    </row>
    <row r="19" spans="1:11" x14ac:dyDescent="0.2">
      <c r="A19" s="50">
        <f t="shared" si="0"/>
        <v>9</v>
      </c>
      <c r="B19" s="56">
        <f t="shared" si="1"/>
        <v>1257.3251258647085</v>
      </c>
      <c r="C19" s="56">
        <f t="shared" si="2"/>
        <v>451.04606682767917</v>
      </c>
      <c r="D19" s="49">
        <f t="shared" si="4"/>
        <v>806.27905903702936</v>
      </c>
      <c r="F19" s="49">
        <f t="shared" si="3"/>
        <v>275987.48846015387</v>
      </c>
      <c r="G19" s="49">
        <f t="shared" si="5"/>
        <v>4012.5115398461803</v>
      </c>
      <c r="H19" s="49">
        <f t="shared" si="6"/>
        <v>7303.4145929361976</v>
      </c>
    </row>
    <row r="20" spans="1:11" x14ac:dyDescent="0.2">
      <c r="A20" s="50">
        <f t="shared" si="0"/>
        <v>10</v>
      </c>
      <c r="B20" s="56">
        <f t="shared" si="1"/>
        <v>1257.3251258647085</v>
      </c>
      <c r="C20" s="56">
        <f t="shared" si="2"/>
        <v>452.36161785592657</v>
      </c>
      <c r="D20" s="49">
        <f t="shared" si="4"/>
        <v>804.96350800878201</v>
      </c>
      <c r="F20" s="49">
        <f t="shared" si="3"/>
        <v>275535.12684229796</v>
      </c>
      <c r="G20" s="49">
        <f t="shared" si="5"/>
        <v>4464.8731577021072</v>
      </c>
      <c r="H20" s="49">
        <f t="shared" si="6"/>
        <v>8108.3781009449795</v>
      </c>
    </row>
    <row r="21" spans="1:11" x14ac:dyDescent="0.2">
      <c r="A21" s="50">
        <f t="shared" si="0"/>
        <v>11</v>
      </c>
      <c r="B21" s="56">
        <f>IF(A21="","",IF(F20&lt;B20,F20+D21,-PMT($B$6,$B$5,$B$3,0)))</f>
        <v>1257.3251258647085</v>
      </c>
      <c r="C21" s="56">
        <f>IF(A21="","",IF(F20&lt;C20,F20,-PPMT($B$6,$A21,$B$5,$B$3,0)))</f>
        <v>453.68100590800628</v>
      </c>
      <c r="D21" s="49">
        <f t="shared" si="4"/>
        <v>803.6441199567023</v>
      </c>
      <c r="F21" s="49">
        <f t="shared" si="3"/>
        <v>275081.44583638996</v>
      </c>
      <c r="G21" s="49">
        <f t="shared" si="5"/>
        <v>4918.5541636101134</v>
      </c>
      <c r="H21" s="49">
        <f t="shared" si="6"/>
        <v>8912.0222209016811</v>
      </c>
      <c r="I21" s="57"/>
      <c r="J21" s="57" t="s">
        <v>114</v>
      </c>
      <c r="K21" s="57" t="s">
        <v>125</v>
      </c>
    </row>
    <row r="22" spans="1:11" s="57" customFormat="1" x14ac:dyDescent="0.2">
      <c r="A22" s="58">
        <f t="shared" si="0"/>
        <v>12</v>
      </c>
      <c r="B22" s="59">
        <f t="shared" ref="B22:B85" si="7">IF(A22="","",IF(F21&lt;B21,F21+D22,-PMT($B$6,$B$5,$B$3,0)))</f>
        <v>1257.3251258647085</v>
      </c>
      <c r="C22" s="59">
        <f t="shared" ref="C22:C85" si="8">IF(A22="","",IF(F21&lt;C21,F21,-PPMT($B$6,$A22,$B$5,$B$3,0)))</f>
        <v>455.00424217523806</v>
      </c>
      <c r="D22" s="57">
        <f t="shared" si="4"/>
        <v>802.32088368947063</v>
      </c>
      <c r="F22" s="57">
        <f t="shared" si="3"/>
        <v>274626.4415942147</v>
      </c>
      <c r="G22" s="57">
        <f t="shared" si="5"/>
        <v>5373.5584057853512</v>
      </c>
      <c r="H22" s="57">
        <f t="shared" si="6"/>
        <v>9714.3431045911511</v>
      </c>
      <c r="I22" s="57" t="s">
        <v>98</v>
      </c>
      <c r="J22" s="57">
        <f>F22</f>
        <v>274626.4415942147</v>
      </c>
      <c r="K22" s="57">
        <f>H22-H10</f>
        <v>9714.3431045911511</v>
      </c>
    </row>
    <row r="23" spans="1:11" x14ac:dyDescent="0.2">
      <c r="A23" s="50">
        <f>IF(OR(F22&lt;0.01,F22=""),"",A22+1)</f>
        <v>13</v>
      </c>
      <c r="B23" s="56">
        <f>IF(A23="","",IF(F22&lt;B22,F22+D23,-PMT($B$6,$B$5,$B$3,0)))</f>
        <v>1257.3251258647085</v>
      </c>
      <c r="C23" s="56">
        <f>IF(A23="","",IF(F22&lt;C22,F22,-PPMT($B$6,$A23,$B$5,$B$3,0)))</f>
        <v>456.3313378815825</v>
      </c>
      <c r="D23" s="49">
        <f t="shared" si="4"/>
        <v>800.99378798312603</v>
      </c>
      <c r="F23" s="49">
        <f>IF(A23="","",IF((F22-B23)=0,0,F22-C23-E23))</f>
        <v>274170.11025633314</v>
      </c>
      <c r="G23" s="49">
        <f>IF(A23="","",C23+E23+G22)</f>
        <v>5829.889743666934</v>
      </c>
      <c r="H23" s="49">
        <f>IF(A23="","",D23+H22)</f>
        <v>10515.336892574278</v>
      </c>
    </row>
    <row r="24" spans="1:11" x14ac:dyDescent="0.2">
      <c r="A24" s="50">
        <f t="shared" si="0"/>
        <v>14</v>
      </c>
      <c r="B24" s="56">
        <f t="shared" si="7"/>
        <v>1257.3251258647085</v>
      </c>
      <c r="C24" s="56">
        <f t="shared" si="8"/>
        <v>457.66230428373711</v>
      </c>
      <c r="D24" s="49">
        <f t="shared" si="4"/>
        <v>799.66282158097147</v>
      </c>
      <c r="F24" s="49">
        <f t="shared" si="3"/>
        <v>273712.44795204938</v>
      </c>
      <c r="G24" s="49">
        <f t="shared" si="5"/>
        <v>6287.5520479506713</v>
      </c>
      <c r="H24" s="49">
        <f t="shared" si="6"/>
        <v>11314.999714155249</v>
      </c>
    </row>
    <row r="25" spans="1:11" x14ac:dyDescent="0.2">
      <c r="A25" s="50">
        <f t="shared" si="0"/>
        <v>15</v>
      </c>
      <c r="B25" s="56">
        <f t="shared" si="7"/>
        <v>1257.3251258647085</v>
      </c>
      <c r="C25" s="56">
        <f t="shared" si="8"/>
        <v>458.99715267123133</v>
      </c>
      <c r="D25" s="49">
        <f t="shared" si="4"/>
        <v>798.32797319347742</v>
      </c>
      <c r="F25" s="49">
        <f t="shared" si="3"/>
        <v>273253.45079937816</v>
      </c>
      <c r="G25" s="49">
        <f t="shared" si="5"/>
        <v>6746.5492006219029</v>
      </c>
      <c r="H25" s="49">
        <f t="shared" si="6"/>
        <v>12113.327687348727</v>
      </c>
    </row>
    <row r="26" spans="1:11" x14ac:dyDescent="0.2">
      <c r="A26" s="50">
        <f t="shared" si="0"/>
        <v>16</v>
      </c>
      <c r="B26" s="56">
        <f t="shared" si="7"/>
        <v>1257.3251258647085</v>
      </c>
      <c r="C26" s="56">
        <f t="shared" si="8"/>
        <v>460.33589436652238</v>
      </c>
      <c r="D26" s="49">
        <f t="shared" si="4"/>
        <v>796.9892314981862</v>
      </c>
      <c r="F26" s="49">
        <f t="shared" si="3"/>
        <v>272793.11490501167</v>
      </c>
      <c r="G26" s="49">
        <f t="shared" si="5"/>
        <v>7206.8850949884254</v>
      </c>
      <c r="H26" s="49">
        <f t="shared" si="6"/>
        <v>12910.316918846913</v>
      </c>
    </row>
    <row r="27" spans="1:11" x14ac:dyDescent="0.2">
      <c r="A27" s="50">
        <f t="shared" si="0"/>
        <v>17</v>
      </c>
      <c r="B27" s="56">
        <f t="shared" si="7"/>
        <v>1257.3251258647085</v>
      </c>
      <c r="C27" s="56">
        <f t="shared" si="8"/>
        <v>461.67854072509141</v>
      </c>
      <c r="D27" s="49">
        <f t="shared" si="4"/>
        <v>795.64658513961717</v>
      </c>
      <c r="F27" s="49">
        <f t="shared" si="3"/>
        <v>272331.43636428658</v>
      </c>
      <c r="G27" s="49">
        <f t="shared" si="5"/>
        <v>7668.5636357135172</v>
      </c>
      <c r="H27" s="49">
        <f t="shared" si="6"/>
        <v>13705.96350398653</v>
      </c>
    </row>
    <row r="28" spans="1:11" x14ac:dyDescent="0.2">
      <c r="A28" s="50">
        <f t="shared" si="0"/>
        <v>18</v>
      </c>
      <c r="B28" s="56">
        <f t="shared" si="7"/>
        <v>1257.3251258647085</v>
      </c>
      <c r="C28" s="56">
        <f t="shared" si="8"/>
        <v>463.02510313553967</v>
      </c>
      <c r="D28" s="49">
        <f t="shared" si="4"/>
        <v>794.30002272916886</v>
      </c>
      <c r="F28" s="49">
        <f t="shared" si="3"/>
        <v>271868.41126115102</v>
      </c>
      <c r="G28" s="49">
        <f t="shared" si="5"/>
        <v>8131.5887388490573</v>
      </c>
      <c r="H28" s="49">
        <f t="shared" si="6"/>
        <v>14500.263526715698</v>
      </c>
    </row>
    <row r="29" spans="1:11" x14ac:dyDescent="0.2">
      <c r="A29" s="50">
        <f t="shared" si="0"/>
        <v>19</v>
      </c>
      <c r="B29" s="56">
        <f t="shared" si="7"/>
        <v>1257.3251258647085</v>
      </c>
      <c r="C29" s="56">
        <f t="shared" si="8"/>
        <v>464.37559301968497</v>
      </c>
      <c r="D29" s="49">
        <f t="shared" si="4"/>
        <v>792.94953284502355</v>
      </c>
      <c r="F29" s="49">
        <f t="shared" si="3"/>
        <v>271404.03566813131</v>
      </c>
      <c r="G29" s="49">
        <f t="shared" si="5"/>
        <v>8595.9643318687431</v>
      </c>
      <c r="H29" s="49">
        <f t="shared" si="6"/>
        <v>15293.213059560721</v>
      </c>
    </row>
    <row r="30" spans="1:11" x14ac:dyDescent="0.2">
      <c r="A30" s="50">
        <f t="shared" si="0"/>
        <v>20</v>
      </c>
      <c r="B30" s="56">
        <f t="shared" si="7"/>
        <v>1257.3251258647085</v>
      </c>
      <c r="C30" s="56">
        <f t="shared" si="8"/>
        <v>465.73002183265902</v>
      </c>
      <c r="D30" s="49">
        <f t="shared" si="4"/>
        <v>791.59510403204956</v>
      </c>
      <c r="F30" s="49">
        <f t="shared" si="3"/>
        <v>270938.30564629863</v>
      </c>
      <c r="G30" s="49">
        <f t="shared" si="5"/>
        <v>9061.6943537014013</v>
      </c>
      <c r="H30" s="49">
        <f t="shared" si="6"/>
        <v>16084.80816359277</v>
      </c>
    </row>
    <row r="31" spans="1:11" x14ac:dyDescent="0.2">
      <c r="A31" s="50">
        <f t="shared" si="0"/>
        <v>21</v>
      </c>
      <c r="B31" s="56">
        <f t="shared" si="7"/>
        <v>1257.3251258647085</v>
      </c>
      <c r="C31" s="56">
        <f t="shared" si="8"/>
        <v>467.08840106300431</v>
      </c>
      <c r="D31" s="49">
        <f t="shared" si="4"/>
        <v>790.23672480170421</v>
      </c>
      <c r="F31" s="49">
        <f t="shared" si="3"/>
        <v>270471.21724523563</v>
      </c>
      <c r="G31" s="49">
        <f t="shared" si="5"/>
        <v>9528.7827547644047</v>
      </c>
      <c r="H31" s="49">
        <f t="shared" si="6"/>
        <v>16875.044888394474</v>
      </c>
    </row>
    <row r="32" spans="1:11" x14ac:dyDescent="0.2">
      <c r="A32" s="50">
        <f t="shared" si="0"/>
        <v>22</v>
      </c>
      <c r="B32" s="56">
        <f t="shared" si="7"/>
        <v>1257.3251258647085</v>
      </c>
      <c r="C32" s="56">
        <f t="shared" si="8"/>
        <v>468.45074223277146</v>
      </c>
      <c r="D32" s="49">
        <f t="shared" si="4"/>
        <v>788.87438363193712</v>
      </c>
      <c r="F32" s="49">
        <f t="shared" si="3"/>
        <v>270002.76650300284</v>
      </c>
      <c r="G32" s="49">
        <f t="shared" si="5"/>
        <v>9997.2334969971762</v>
      </c>
      <c r="H32" s="49">
        <f t="shared" si="6"/>
        <v>17663.919272026411</v>
      </c>
    </row>
    <row r="33" spans="1:11" x14ac:dyDescent="0.2">
      <c r="A33" s="50">
        <f t="shared" si="0"/>
        <v>23</v>
      </c>
      <c r="B33" s="56">
        <f t="shared" si="7"/>
        <v>1257.3251258647085</v>
      </c>
      <c r="C33" s="56">
        <f t="shared" si="8"/>
        <v>469.81705689761696</v>
      </c>
      <c r="D33" s="49">
        <f t="shared" si="4"/>
        <v>787.5080689670915</v>
      </c>
      <c r="F33" s="49">
        <f t="shared" si="3"/>
        <v>269532.94944610522</v>
      </c>
      <c r="G33" s="49">
        <f t="shared" si="5"/>
        <v>10467.050553894793</v>
      </c>
      <c r="H33" s="49">
        <f t="shared" si="6"/>
        <v>18451.427340993501</v>
      </c>
      <c r="J33" s="57" t="s">
        <v>114</v>
      </c>
      <c r="K33" s="57" t="s">
        <v>125</v>
      </c>
    </row>
    <row r="34" spans="1:11" s="57" customFormat="1" x14ac:dyDescent="0.2">
      <c r="A34" s="58">
        <f t="shared" si="0"/>
        <v>24</v>
      </c>
      <c r="B34" s="59">
        <f t="shared" si="7"/>
        <v>1257.3251258647085</v>
      </c>
      <c r="C34" s="59">
        <f t="shared" si="8"/>
        <v>471.18735664690172</v>
      </c>
      <c r="D34" s="57">
        <f t="shared" si="4"/>
        <v>786.13776921780698</v>
      </c>
      <c r="F34" s="57">
        <f t="shared" si="3"/>
        <v>269061.76208945829</v>
      </c>
      <c r="G34" s="57">
        <f t="shared" si="5"/>
        <v>10938.237910541695</v>
      </c>
      <c r="H34" s="57">
        <f t="shared" si="6"/>
        <v>19237.565110211308</v>
      </c>
      <c r="I34" s="57" t="s">
        <v>115</v>
      </c>
      <c r="J34" s="57">
        <f>F34</f>
        <v>269061.76208945829</v>
      </c>
      <c r="K34" s="57">
        <f>H34-H22</f>
        <v>9523.2220056201568</v>
      </c>
    </row>
    <row r="35" spans="1:11" x14ac:dyDescent="0.2">
      <c r="A35" s="50">
        <f>IF(OR(F34&lt;0.01,F34=""),"",A34+1)</f>
        <v>25</v>
      </c>
      <c r="B35" s="56">
        <f>IF(A35="","",IF(F34&lt;B34,F34+D35,-PMT($B$6,$B$5,$B$3,0)))</f>
        <v>1257.3251258647085</v>
      </c>
      <c r="C35" s="56">
        <f>IF(A35="","",IF(F34&lt;C34,F34,-PPMT($B$6,$A35,$B$5,$B$3,0)))</f>
        <v>472.5616531037885</v>
      </c>
      <c r="D35" s="49">
        <f t="shared" si="4"/>
        <v>784.76347276092008</v>
      </c>
      <c r="F35" s="49">
        <f>IF(A35="","",IF((F34-B35)=0,0,F34-C35-E35))</f>
        <v>268589.2004363545</v>
      </c>
      <c r="G35" s="49">
        <f>IF(A35="","",C35+E35+G34)</f>
        <v>11410.799563645483</v>
      </c>
      <c r="H35" s="49">
        <f>IF(A35="","",D35+H34)</f>
        <v>20022.328582972226</v>
      </c>
    </row>
    <row r="36" spans="1:11" x14ac:dyDescent="0.2">
      <c r="A36" s="50">
        <f t="shared" si="0"/>
        <v>26</v>
      </c>
      <c r="B36" s="56">
        <f t="shared" si="7"/>
        <v>1257.3251258647085</v>
      </c>
      <c r="C36" s="56">
        <f t="shared" si="8"/>
        <v>473.93995792534122</v>
      </c>
      <c r="D36" s="49">
        <f t="shared" si="4"/>
        <v>783.38516793936731</v>
      </c>
      <c r="F36" s="49">
        <f t="shared" si="3"/>
        <v>268115.26047842915</v>
      </c>
      <c r="G36" s="49">
        <f t="shared" si="5"/>
        <v>11884.739521570824</v>
      </c>
      <c r="H36" s="49">
        <f t="shared" si="6"/>
        <v>20805.713750911593</v>
      </c>
    </row>
    <row r="37" spans="1:11" x14ac:dyDescent="0.2">
      <c r="A37" s="50">
        <f t="shared" si="0"/>
        <v>27</v>
      </c>
      <c r="B37" s="56">
        <f t="shared" si="7"/>
        <v>1257.3251258647085</v>
      </c>
      <c r="C37" s="56">
        <f t="shared" si="8"/>
        <v>475.32228280262342</v>
      </c>
      <c r="D37" s="49">
        <f t="shared" si="4"/>
        <v>782.00284306208516</v>
      </c>
      <c r="F37" s="49">
        <f t="shared" si="3"/>
        <v>267639.93819562654</v>
      </c>
      <c r="G37" s="49">
        <f t="shared" si="5"/>
        <v>12360.061804373447</v>
      </c>
      <c r="H37" s="49">
        <f t="shared" si="6"/>
        <v>21587.716593973677</v>
      </c>
    </row>
    <row r="38" spans="1:11" x14ac:dyDescent="0.2">
      <c r="A38" s="50">
        <f t="shared" si="0"/>
        <v>28</v>
      </c>
      <c r="B38" s="56">
        <f t="shared" si="7"/>
        <v>1257.3251258647085</v>
      </c>
      <c r="C38" s="56">
        <f t="shared" si="8"/>
        <v>476.70863946079777</v>
      </c>
      <c r="D38" s="49">
        <f t="shared" si="4"/>
        <v>780.61648640391081</v>
      </c>
      <c r="F38" s="49">
        <f t="shared" si="3"/>
        <v>267163.22955616575</v>
      </c>
      <c r="G38" s="49">
        <f t="shared" si="5"/>
        <v>12836.770443834244</v>
      </c>
      <c r="H38" s="49">
        <f t="shared" si="6"/>
        <v>22368.333080377586</v>
      </c>
    </row>
    <row r="39" spans="1:11" x14ac:dyDescent="0.2">
      <c r="A39" s="50">
        <f t="shared" si="0"/>
        <v>29</v>
      </c>
      <c r="B39" s="56">
        <f t="shared" si="7"/>
        <v>1257.3251258647085</v>
      </c>
      <c r="C39" s="56">
        <f t="shared" si="8"/>
        <v>478.09903965922518</v>
      </c>
      <c r="D39" s="49">
        <f t="shared" si="4"/>
        <v>779.22608620548351</v>
      </c>
      <c r="F39" s="49">
        <f t="shared" si="3"/>
        <v>266685.1305165065</v>
      </c>
      <c r="G39" s="49">
        <f t="shared" si="5"/>
        <v>13314.86948349347</v>
      </c>
      <c r="H39" s="49">
        <f t="shared" si="6"/>
        <v>23147.559166583069</v>
      </c>
    </row>
    <row r="40" spans="1:11" x14ac:dyDescent="0.2">
      <c r="A40" s="50">
        <f t="shared" si="0"/>
        <v>30</v>
      </c>
      <c r="B40" s="56">
        <f t="shared" si="7"/>
        <v>1257.3251258647085</v>
      </c>
      <c r="C40" s="56">
        <f t="shared" si="8"/>
        <v>479.49349519156448</v>
      </c>
      <c r="D40" s="49">
        <f t="shared" si="4"/>
        <v>777.83163067314399</v>
      </c>
      <c r="F40" s="49">
        <f t="shared" si="3"/>
        <v>266205.63702131493</v>
      </c>
      <c r="G40" s="49">
        <f t="shared" si="5"/>
        <v>13794.362978685034</v>
      </c>
      <c r="H40" s="49">
        <f t="shared" si="6"/>
        <v>23925.390797256212</v>
      </c>
    </row>
    <row r="41" spans="1:11" x14ac:dyDescent="0.2">
      <c r="A41" s="50">
        <f t="shared" si="0"/>
        <v>31</v>
      </c>
      <c r="B41" s="56">
        <f t="shared" si="7"/>
        <v>1257.3251258647085</v>
      </c>
      <c r="C41" s="56">
        <f t="shared" si="8"/>
        <v>480.89201788587332</v>
      </c>
      <c r="D41" s="49">
        <f t="shared" si="4"/>
        <v>776.43310797883521</v>
      </c>
      <c r="F41" s="49">
        <f t="shared" si="3"/>
        <v>265724.74500342907</v>
      </c>
      <c r="G41" s="49">
        <f t="shared" si="5"/>
        <v>14275.254996570908</v>
      </c>
      <c r="H41" s="49">
        <f t="shared" si="6"/>
        <v>24701.823905235047</v>
      </c>
    </row>
    <row r="42" spans="1:11" x14ac:dyDescent="0.2">
      <c r="A42" s="50">
        <f t="shared" si="0"/>
        <v>32</v>
      </c>
      <c r="B42" s="56">
        <f t="shared" si="7"/>
        <v>1257.3251258647085</v>
      </c>
      <c r="C42" s="56">
        <f t="shared" si="8"/>
        <v>482.29461960470701</v>
      </c>
      <c r="D42" s="49">
        <f t="shared" si="4"/>
        <v>775.03050626000152</v>
      </c>
      <c r="F42" s="49">
        <f t="shared" si="3"/>
        <v>265242.45038382435</v>
      </c>
      <c r="G42" s="49">
        <f t="shared" si="5"/>
        <v>14757.549616175615</v>
      </c>
      <c r="H42" s="49">
        <f t="shared" si="6"/>
        <v>25476.854411495049</v>
      </c>
    </row>
    <row r="43" spans="1:11" x14ac:dyDescent="0.2">
      <c r="A43" s="50">
        <f t="shared" si="0"/>
        <v>33</v>
      </c>
      <c r="B43" s="56">
        <f t="shared" si="7"/>
        <v>1257.3251258647085</v>
      </c>
      <c r="C43" s="56">
        <f t="shared" si="8"/>
        <v>483.70131224522083</v>
      </c>
      <c r="D43" s="49">
        <f t="shared" si="4"/>
        <v>773.62381361948792</v>
      </c>
      <c r="F43" s="49">
        <f t="shared" si="3"/>
        <v>264758.74907157914</v>
      </c>
      <c r="G43" s="49">
        <f t="shared" si="5"/>
        <v>15241.250928420835</v>
      </c>
      <c r="H43" s="49">
        <f t="shared" si="6"/>
        <v>26250.478225114537</v>
      </c>
    </row>
    <row r="44" spans="1:11" x14ac:dyDescent="0.2">
      <c r="A44" s="50">
        <f t="shared" si="0"/>
        <v>34</v>
      </c>
      <c r="B44" s="56">
        <f t="shared" si="7"/>
        <v>1257.3251258647085</v>
      </c>
      <c r="C44" s="56">
        <f t="shared" si="8"/>
        <v>485.11210773926939</v>
      </c>
      <c r="D44" s="49">
        <f t="shared" si="4"/>
        <v>772.21301812543936</v>
      </c>
      <c r="F44" s="49">
        <f t="shared" si="3"/>
        <v>264273.63696383988</v>
      </c>
      <c r="G44" s="49">
        <f t="shared" si="5"/>
        <v>15726.363036160104</v>
      </c>
      <c r="H44" s="49">
        <f t="shared" si="6"/>
        <v>27022.691243239977</v>
      </c>
    </row>
    <row r="45" spans="1:11" x14ac:dyDescent="0.2">
      <c r="A45" s="50">
        <f t="shared" si="0"/>
        <v>35</v>
      </c>
      <c r="B45" s="56">
        <f t="shared" si="7"/>
        <v>1257.3251258647085</v>
      </c>
      <c r="C45" s="56">
        <f t="shared" si="8"/>
        <v>486.52701805350887</v>
      </c>
      <c r="D45" s="49">
        <f t="shared" si="4"/>
        <v>770.79810781119966</v>
      </c>
      <c r="F45" s="49">
        <f t="shared" si="3"/>
        <v>263787.10994578636</v>
      </c>
      <c r="G45" s="49">
        <f t="shared" si="5"/>
        <v>16212.890054213613</v>
      </c>
      <c r="H45" s="49">
        <f t="shared" si="6"/>
        <v>27793.489351051176</v>
      </c>
    </row>
    <row r="46" spans="1:11" s="57" customFormat="1" x14ac:dyDescent="0.2">
      <c r="A46" s="58">
        <f t="shared" si="0"/>
        <v>36</v>
      </c>
      <c r="B46" s="59">
        <f t="shared" si="7"/>
        <v>1257.3251258647085</v>
      </c>
      <c r="C46" s="59">
        <f t="shared" si="8"/>
        <v>487.94605518949834</v>
      </c>
      <c r="D46" s="57">
        <f t="shared" si="4"/>
        <v>769.37907067521041</v>
      </c>
      <c r="F46" s="57">
        <f t="shared" si="3"/>
        <v>263299.16389059689</v>
      </c>
      <c r="G46" s="57">
        <f t="shared" si="5"/>
        <v>16700.83610940311</v>
      </c>
      <c r="H46" s="57">
        <f t="shared" si="6"/>
        <v>28562.868421726387</v>
      </c>
      <c r="I46" s="57" t="s">
        <v>116</v>
      </c>
      <c r="J46" s="57" t="s">
        <v>114</v>
      </c>
      <c r="K46" s="57" t="s">
        <v>125</v>
      </c>
    </row>
    <row r="47" spans="1:11" x14ac:dyDescent="0.2">
      <c r="A47" s="50">
        <f t="shared" si="0"/>
        <v>37</v>
      </c>
      <c r="B47" s="56">
        <f t="shared" si="7"/>
        <v>1257.3251258647085</v>
      </c>
      <c r="C47" s="56">
        <f t="shared" si="8"/>
        <v>489.36923118380093</v>
      </c>
      <c r="D47" s="49">
        <f t="shared" si="4"/>
        <v>767.95589468090759</v>
      </c>
      <c r="F47" s="49">
        <f t="shared" si="3"/>
        <v>262809.79465941311</v>
      </c>
      <c r="G47" s="49">
        <f t="shared" si="5"/>
        <v>17190.205340586912</v>
      </c>
      <c r="H47" s="49">
        <f t="shared" si="6"/>
        <v>29330.824316407296</v>
      </c>
      <c r="J47" s="57">
        <f>F47</f>
        <v>262809.79465941311</v>
      </c>
      <c r="K47" s="57">
        <f>H47-H35</f>
        <v>9308.4957334350693</v>
      </c>
    </row>
    <row r="48" spans="1:11" x14ac:dyDescent="0.2">
      <c r="A48" s="50">
        <f t="shared" si="0"/>
        <v>38</v>
      </c>
      <c r="B48" s="56">
        <f t="shared" si="7"/>
        <v>1257.3251258647085</v>
      </c>
      <c r="C48" s="56">
        <f t="shared" si="8"/>
        <v>490.79655810808708</v>
      </c>
      <c r="D48" s="49">
        <f t="shared" si="4"/>
        <v>766.52856775662144</v>
      </c>
      <c r="F48" s="49">
        <f t="shared" si="3"/>
        <v>262318.99810130504</v>
      </c>
      <c r="G48" s="49">
        <f t="shared" si="5"/>
        <v>17681.001898694998</v>
      </c>
      <c r="H48" s="49">
        <f t="shared" si="6"/>
        <v>30097.352884163916</v>
      </c>
    </row>
    <row r="49" spans="1:11" x14ac:dyDescent="0.2">
      <c r="A49" s="50">
        <f t="shared" si="0"/>
        <v>39</v>
      </c>
      <c r="B49" s="56">
        <f t="shared" si="7"/>
        <v>1257.3251258647085</v>
      </c>
      <c r="C49" s="56">
        <f t="shared" si="8"/>
        <v>492.22804806923568</v>
      </c>
      <c r="D49" s="49">
        <f t="shared" si="4"/>
        <v>765.09707779547296</v>
      </c>
      <c r="F49" s="49">
        <f t="shared" si="3"/>
        <v>261826.77005323581</v>
      </c>
      <c r="G49" s="49">
        <f t="shared" si="5"/>
        <v>18173.229946764233</v>
      </c>
      <c r="H49" s="49">
        <f t="shared" si="6"/>
        <v>30862.449961959388</v>
      </c>
    </row>
    <row r="50" spans="1:11" x14ac:dyDescent="0.2">
      <c r="A50" s="50">
        <f t="shared" si="0"/>
        <v>40</v>
      </c>
      <c r="B50" s="56">
        <f t="shared" si="7"/>
        <v>1257.3251258647085</v>
      </c>
      <c r="C50" s="56">
        <f t="shared" si="8"/>
        <v>493.66371320943756</v>
      </c>
      <c r="D50" s="49">
        <f t="shared" si="4"/>
        <v>763.66141265527096</v>
      </c>
      <c r="F50" s="49">
        <f t="shared" si="3"/>
        <v>261333.10634002637</v>
      </c>
      <c r="G50" s="49">
        <f t="shared" si="5"/>
        <v>18666.89365997367</v>
      </c>
      <c r="H50" s="49">
        <f t="shared" si="6"/>
        <v>31626.111374614658</v>
      </c>
    </row>
    <row r="51" spans="1:11" x14ac:dyDescent="0.2">
      <c r="A51" s="50">
        <f t="shared" si="0"/>
        <v>41</v>
      </c>
      <c r="B51" s="56">
        <f t="shared" si="7"/>
        <v>1257.3251258647085</v>
      </c>
      <c r="C51" s="56">
        <f t="shared" si="8"/>
        <v>495.10356570629847</v>
      </c>
      <c r="D51" s="49">
        <f t="shared" si="4"/>
        <v>762.22156015841006</v>
      </c>
      <c r="F51" s="49">
        <f t="shared" si="3"/>
        <v>260838.00277432008</v>
      </c>
      <c r="G51" s="49">
        <f t="shared" si="5"/>
        <v>19161.997225679967</v>
      </c>
      <c r="H51" s="49">
        <f t="shared" si="6"/>
        <v>32388.332934773069</v>
      </c>
    </row>
    <row r="52" spans="1:11" x14ac:dyDescent="0.2">
      <c r="A52" s="50">
        <f t="shared" si="0"/>
        <v>42</v>
      </c>
      <c r="B52" s="56">
        <f t="shared" si="7"/>
        <v>1257.3251258647085</v>
      </c>
      <c r="C52" s="56">
        <f t="shared" si="8"/>
        <v>496.54761777294181</v>
      </c>
      <c r="D52" s="49">
        <f t="shared" si="4"/>
        <v>760.77750809176689</v>
      </c>
      <c r="F52" s="49">
        <f t="shared" si="3"/>
        <v>260341.45515654713</v>
      </c>
      <c r="G52" s="49">
        <f t="shared" si="5"/>
        <v>19658.54484345291</v>
      </c>
      <c r="H52" s="49">
        <f t="shared" si="6"/>
        <v>33149.110442864832</v>
      </c>
    </row>
    <row r="53" spans="1:11" x14ac:dyDescent="0.2">
      <c r="A53" s="50">
        <f t="shared" si="0"/>
        <v>43</v>
      </c>
      <c r="B53" s="56">
        <f t="shared" si="7"/>
        <v>1257.3251258647085</v>
      </c>
      <c r="C53" s="56">
        <f t="shared" si="8"/>
        <v>497.99588165811292</v>
      </c>
      <c r="D53" s="49">
        <f t="shared" si="4"/>
        <v>759.3292442065956</v>
      </c>
      <c r="F53" s="49">
        <f t="shared" si="3"/>
        <v>259843.45927488903</v>
      </c>
      <c r="G53" s="49">
        <f t="shared" si="5"/>
        <v>20156.540725111023</v>
      </c>
      <c r="H53" s="49">
        <f t="shared" si="6"/>
        <v>33908.439687071426</v>
      </c>
    </row>
    <row r="54" spans="1:11" x14ac:dyDescent="0.2">
      <c r="A54" s="50">
        <f t="shared" si="0"/>
        <v>44</v>
      </c>
      <c r="B54" s="56">
        <f t="shared" si="7"/>
        <v>1257.3251258647085</v>
      </c>
      <c r="C54" s="56">
        <f t="shared" si="8"/>
        <v>499.44836964628246</v>
      </c>
      <c r="D54" s="49">
        <f t="shared" si="4"/>
        <v>757.87675621842618</v>
      </c>
      <c r="F54" s="49">
        <f t="shared" si="3"/>
        <v>259344.01090524276</v>
      </c>
      <c r="G54" s="49">
        <f t="shared" si="5"/>
        <v>20655.989094757304</v>
      </c>
      <c r="H54" s="49">
        <f t="shared" si="6"/>
        <v>34666.316443289856</v>
      </c>
    </row>
    <row r="55" spans="1:11" x14ac:dyDescent="0.2">
      <c r="A55" s="50">
        <f t="shared" si="0"/>
        <v>45</v>
      </c>
      <c r="B55" s="56">
        <f t="shared" si="7"/>
        <v>1257.3251258647085</v>
      </c>
      <c r="C55" s="56">
        <f t="shared" si="8"/>
        <v>500.90509405775072</v>
      </c>
      <c r="D55" s="49">
        <f t="shared" si="4"/>
        <v>756.4200318069577</v>
      </c>
      <c r="F55" s="49">
        <f t="shared" si="3"/>
        <v>258843.105811185</v>
      </c>
      <c r="G55" s="49">
        <f t="shared" si="5"/>
        <v>21156.894188815055</v>
      </c>
      <c r="H55" s="49">
        <f t="shared" si="6"/>
        <v>35422.736475096812</v>
      </c>
    </row>
    <row r="56" spans="1:11" x14ac:dyDescent="0.2">
      <c r="A56" s="50">
        <f t="shared" si="0"/>
        <v>46</v>
      </c>
      <c r="B56" s="56">
        <f t="shared" si="7"/>
        <v>1257.3251258647085</v>
      </c>
      <c r="C56" s="56">
        <f t="shared" si="8"/>
        <v>502.36606724875247</v>
      </c>
      <c r="D56" s="49">
        <f t="shared" si="4"/>
        <v>754.959058615956</v>
      </c>
      <c r="F56" s="49">
        <f t="shared" si="3"/>
        <v>258340.73974393625</v>
      </c>
      <c r="G56" s="49">
        <f t="shared" si="5"/>
        <v>21659.260256063808</v>
      </c>
      <c r="H56" s="49">
        <f t="shared" si="6"/>
        <v>36177.695533712766</v>
      </c>
    </row>
    <row r="57" spans="1:11" x14ac:dyDescent="0.2">
      <c r="A57" s="50">
        <f t="shared" si="0"/>
        <v>47</v>
      </c>
      <c r="B57" s="56">
        <f t="shared" si="7"/>
        <v>1257.3251258647085</v>
      </c>
      <c r="C57" s="56">
        <f t="shared" si="8"/>
        <v>503.8313016115614</v>
      </c>
      <c r="D57" s="49">
        <f t="shared" si="4"/>
        <v>753.49382425314718</v>
      </c>
      <c r="F57" s="49">
        <f t="shared" si="3"/>
        <v>257836.9084423247</v>
      </c>
      <c r="G57" s="49">
        <f t="shared" si="5"/>
        <v>22163.091557675369</v>
      </c>
      <c r="H57" s="49">
        <f t="shared" si="6"/>
        <v>36931.189357965915</v>
      </c>
    </row>
    <row r="58" spans="1:11" s="57" customFormat="1" x14ac:dyDescent="0.2">
      <c r="A58" s="58">
        <f t="shared" si="0"/>
        <v>48</v>
      </c>
      <c r="B58" s="59">
        <f t="shared" si="7"/>
        <v>1257.3251258647085</v>
      </c>
      <c r="C58" s="59">
        <f t="shared" si="8"/>
        <v>505.30080957459506</v>
      </c>
      <c r="D58" s="57">
        <f t="shared" si="4"/>
        <v>752.02431629011346</v>
      </c>
      <c r="F58" s="57">
        <f t="shared" si="3"/>
        <v>257331.60763275009</v>
      </c>
      <c r="G58" s="57">
        <f t="shared" si="5"/>
        <v>22668.392367249962</v>
      </c>
      <c r="H58" s="57">
        <f t="shared" si="6"/>
        <v>37683.213674256032</v>
      </c>
      <c r="I58" s="57" t="s">
        <v>117</v>
      </c>
      <c r="J58" s="57" t="s">
        <v>114</v>
      </c>
      <c r="K58" s="57" t="s">
        <v>125</v>
      </c>
    </row>
    <row r="59" spans="1:11" x14ac:dyDescent="0.2">
      <c r="A59" s="50">
        <f t="shared" si="0"/>
        <v>49</v>
      </c>
      <c r="B59" s="56">
        <f t="shared" si="7"/>
        <v>1257.3251258647085</v>
      </c>
      <c r="C59" s="56">
        <f t="shared" si="8"/>
        <v>506.77460360252104</v>
      </c>
      <c r="D59" s="49">
        <f t="shared" si="4"/>
        <v>750.55052226218743</v>
      </c>
      <c r="F59" s="49">
        <f t="shared" si="3"/>
        <v>256824.83302914756</v>
      </c>
      <c r="G59" s="49">
        <f t="shared" si="5"/>
        <v>23175.166970852482</v>
      </c>
      <c r="H59" s="49">
        <f t="shared" si="6"/>
        <v>38433.764196518219</v>
      </c>
      <c r="J59" s="57">
        <f>F59</f>
        <v>256824.83302914756</v>
      </c>
      <c r="K59" s="57">
        <f>H59-H47</f>
        <v>9102.9398801109237</v>
      </c>
    </row>
    <row r="60" spans="1:11" x14ac:dyDescent="0.2">
      <c r="A60" s="50">
        <f t="shared" si="0"/>
        <v>50</v>
      </c>
      <c r="B60" s="56">
        <f t="shared" si="7"/>
        <v>1257.3251258647085</v>
      </c>
      <c r="C60" s="56">
        <f t="shared" si="8"/>
        <v>508.25269619636168</v>
      </c>
      <c r="D60" s="49">
        <f t="shared" si="4"/>
        <v>749.07242966834701</v>
      </c>
      <c r="F60" s="49">
        <f t="shared" si="3"/>
        <v>256316.58033295118</v>
      </c>
      <c r="G60" s="49">
        <f t="shared" si="5"/>
        <v>23683.419667048845</v>
      </c>
      <c r="H60" s="49">
        <f t="shared" si="6"/>
        <v>39182.836626186567</v>
      </c>
    </row>
    <row r="61" spans="1:11" x14ac:dyDescent="0.2">
      <c r="A61" s="50">
        <f t="shared" si="0"/>
        <v>51</v>
      </c>
      <c r="B61" s="56">
        <f t="shared" si="7"/>
        <v>1257.3251258647085</v>
      </c>
      <c r="C61" s="56">
        <f t="shared" si="8"/>
        <v>509.73509989360099</v>
      </c>
      <c r="D61" s="49">
        <f t="shared" si="4"/>
        <v>747.59002597110759</v>
      </c>
      <c r="F61" s="49">
        <f t="shared" si="3"/>
        <v>255806.8452330576</v>
      </c>
      <c r="G61" s="49">
        <f t="shared" si="5"/>
        <v>24193.154766942447</v>
      </c>
      <c r="H61" s="49">
        <f t="shared" si="6"/>
        <v>39930.426652157672</v>
      </c>
    </row>
    <row r="62" spans="1:11" x14ac:dyDescent="0.2">
      <c r="A62" s="50">
        <f t="shared" si="0"/>
        <v>52</v>
      </c>
      <c r="B62" s="56">
        <f t="shared" si="7"/>
        <v>1257.3251258647085</v>
      </c>
      <c r="C62" s="56">
        <f t="shared" si="8"/>
        <v>511.22182726829072</v>
      </c>
      <c r="D62" s="49">
        <f t="shared" si="4"/>
        <v>746.10329859641797</v>
      </c>
      <c r="F62" s="49">
        <f t="shared" si="3"/>
        <v>255295.62340578932</v>
      </c>
      <c r="G62" s="49">
        <f t="shared" si="5"/>
        <v>24704.376594210738</v>
      </c>
      <c r="H62" s="49">
        <f t="shared" si="6"/>
        <v>40676.529950754091</v>
      </c>
    </row>
    <row r="63" spans="1:11" x14ac:dyDescent="0.2">
      <c r="A63" s="50">
        <f t="shared" si="0"/>
        <v>53</v>
      </c>
      <c r="B63" s="56">
        <f t="shared" si="7"/>
        <v>1257.3251258647085</v>
      </c>
      <c r="C63" s="56">
        <f t="shared" si="8"/>
        <v>512.71289093115661</v>
      </c>
      <c r="D63" s="49">
        <f t="shared" si="4"/>
        <v>744.61223493355192</v>
      </c>
      <c r="F63" s="49">
        <f t="shared" si="3"/>
        <v>254782.91051485817</v>
      </c>
      <c r="G63" s="49">
        <f t="shared" si="5"/>
        <v>25217.089485141896</v>
      </c>
      <c r="H63" s="49">
        <f t="shared" si="6"/>
        <v>41421.14218568764</v>
      </c>
    </row>
    <row r="64" spans="1:11" x14ac:dyDescent="0.2">
      <c r="A64" s="50">
        <f t="shared" si="0"/>
        <v>54</v>
      </c>
      <c r="B64" s="56">
        <f t="shared" si="7"/>
        <v>1257.3251258647085</v>
      </c>
      <c r="C64" s="56">
        <f t="shared" si="8"/>
        <v>514.20830352970574</v>
      </c>
      <c r="D64" s="49">
        <f t="shared" si="4"/>
        <v>743.11682233500278</v>
      </c>
      <c r="F64" s="49">
        <f t="shared" si="3"/>
        <v>254268.70221132846</v>
      </c>
      <c r="G64" s="49">
        <f t="shared" si="5"/>
        <v>25731.297788671603</v>
      </c>
      <c r="H64" s="49">
        <f t="shared" si="6"/>
        <v>42164.259008022644</v>
      </c>
    </row>
    <row r="65" spans="1:11" x14ac:dyDescent="0.2">
      <c r="A65" s="50">
        <f t="shared" si="0"/>
        <v>55</v>
      </c>
      <c r="B65" s="56">
        <f t="shared" si="7"/>
        <v>1257.3251258647085</v>
      </c>
      <c r="C65" s="56">
        <f t="shared" si="8"/>
        <v>515.70807774833406</v>
      </c>
      <c r="D65" s="49">
        <f t="shared" si="4"/>
        <v>741.61704811637424</v>
      </c>
      <c r="F65" s="49">
        <f>IF(A65="","",IF((F64-B65)=0,0,F64-C65-E65))</f>
        <v>253752.99413358013</v>
      </c>
      <c r="G65" s="49">
        <f t="shared" si="5"/>
        <v>26247.005866419939</v>
      </c>
      <c r="H65" s="49">
        <f t="shared" si="6"/>
        <v>42905.876056139015</v>
      </c>
    </row>
    <row r="66" spans="1:11" x14ac:dyDescent="0.2">
      <c r="A66" s="50">
        <f t="shared" si="0"/>
        <v>56</v>
      </c>
      <c r="B66" s="56">
        <f t="shared" si="7"/>
        <v>1257.3251258647085</v>
      </c>
      <c r="C66" s="56">
        <f t="shared" si="8"/>
        <v>517.2122263084334</v>
      </c>
      <c r="D66" s="49">
        <f t="shared" si="4"/>
        <v>740.11289955627524</v>
      </c>
      <c r="F66" s="49">
        <f t="shared" ref="F66:F129" si="9">IF(A66="","",F65-C66-E66)</f>
        <v>253235.78190727168</v>
      </c>
      <c r="G66" s="49">
        <f t="shared" si="5"/>
        <v>26764.218092728373</v>
      </c>
      <c r="H66" s="49">
        <f t="shared" si="6"/>
        <v>43645.988955695291</v>
      </c>
    </row>
    <row r="67" spans="1:11" x14ac:dyDescent="0.2">
      <c r="A67" s="50">
        <f t="shared" si="0"/>
        <v>57</v>
      </c>
      <c r="B67" s="56">
        <f t="shared" si="7"/>
        <v>1257.3251258647085</v>
      </c>
      <c r="C67" s="56">
        <f t="shared" si="8"/>
        <v>518.72076196849969</v>
      </c>
      <c r="D67" s="49">
        <f t="shared" si="4"/>
        <v>738.60436389620895</v>
      </c>
      <c r="F67" s="49">
        <f t="shared" si="9"/>
        <v>252717.06114530319</v>
      </c>
      <c r="G67" s="49">
        <f t="shared" si="5"/>
        <v>27282.938854696873</v>
      </c>
      <c r="H67" s="49">
        <f t="shared" si="6"/>
        <v>44384.593319591499</v>
      </c>
    </row>
    <row r="68" spans="1:11" x14ac:dyDescent="0.2">
      <c r="A68" s="50">
        <f t="shared" si="0"/>
        <v>58</v>
      </c>
      <c r="B68" s="56">
        <f t="shared" si="7"/>
        <v>1257.3251258647085</v>
      </c>
      <c r="C68" s="56">
        <f t="shared" si="8"/>
        <v>520.23369752424117</v>
      </c>
      <c r="D68" s="49">
        <f t="shared" si="4"/>
        <v>737.09142834046747</v>
      </c>
      <c r="F68" s="49">
        <f t="shared" si="9"/>
        <v>252196.82744777895</v>
      </c>
      <c r="G68" s="49">
        <f t="shared" si="5"/>
        <v>27803.172552221113</v>
      </c>
      <c r="H68" s="49">
        <f t="shared" si="6"/>
        <v>45121.684747931969</v>
      </c>
    </row>
    <row r="69" spans="1:11" x14ac:dyDescent="0.2">
      <c r="A69" s="50">
        <f t="shared" si="0"/>
        <v>59</v>
      </c>
      <c r="B69" s="56">
        <f t="shared" si="7"/>
        <v>1257.3251258647085</v>
      </c>
      <c r="C69" s="56">
        <f t="shared" si="8"/>
        <v>521.75104580868674</v>
      </c>
      <c r="D69" s="49">
        <f t="shared" si="4"/>
        <v>735.57408005602156</v>
      </c>
      <c r="F69" s="49">
        <f t="shared" si="9"/>
        <v>251675.07640197026</v>
      </c>
      <c r="G69" s="49">
        <f t="shared" si="5"/>
        <v>28324.9235980298</v>
      </c>
      <c r="H69" s="49">
        <f t="shared" si="6"/>
        <v>45857.258827987993</v>
      </c>
    </row>
    <row r="70" spans="1:11" s="57" customFormat="1" x14ac:dyDescent="0.2">
      <c r="A70" s="58">
        <f t="shared" si="0"/>
        <v>60</v>
      </c>
      <c r="B70" s="59">
        <f t="shared" si="7"/>
        <v>1257.3251258647085</v>
      </c>
      <c r="C70" s="59">
        <f t="shared" si="8"/>
        <v>523.27281969229557</v>
      </c>
      <c r="D70" s="57">
        <f t="shared" si="4"/>
        <v>734.05230617241318</v>
      </c>
      <c r="F70" s="57">
        <f t="shared" si="9"/>
        <v>251151.80358227796</v>
      </c>
      <c r="G70" s="57">
        <f t="shared" si="5"/>
        <v>28848.196417722094</v>
      </c>
      <c r="H70" s="57">
        <f t="shared" si="6"/>
        <v>46591.311134160409</v>
      </c>
      <c r="I70" s="57" t="s">
        <v>118</v>
      </c>
      <c r="J70" s="57" t="s">
        <v>114</v>
      </c>
      <c r="K70" s="57" t="s">
        <v>125</v>
      </c>
    </row>
    <row r="71" spans="1:11" x14ac:dyDescent="0.2">
      <c r="A71" s="50">
        <f t="shared" si="0"/>
        <v>61</v>
      </c>
      <c r="B71" s="56">
        <f t="shared" si="7"/>
        <v>1257.3251258647085</v>
      </c>
      <c r="C71" s="56">
        <f t="shared" si="8"/>
        <v>524.79903208306462</v>
      </c>
      <c r="D71" s="49">
        <f t="shared" si="4"/>
        <v>732.52609378164391</v>
      </c>
      <c r="F71" s="49">
        <f t="shared" si="9"/>
        <v>250627.00455019489</v>
      </c>
      <c r="G71" s="49">
        <f t="shared" si="5"/>
        <v>29372.995449805159</v>
      </c>
      <c r="H71" s="49">
        <f t="shared" si="6"/>
        <v>47323.837227942051</v>
      </c>
      <c r="J71" s="57">
        <f>F71</f>
        <v>250627.00455019489</v>
      </c>
      <c r="K71" s="57">
        <f>H71-H59</f>
        <v>8890.0730314238317</v>
      </c>
    </row>
    <row r="72" spans="1:11" x14ac:dyDescent="0.2">
      <c r="A72" s="50">
        <f>IF(OR(F71&lt;0.01,F71=""),"",A71+1)</f>
        <v>62</v>
      </c>
      <c r="B72" s="56">
        <f t="shared" si="7"/>
        <v>1257.3251258647085</v>
      </c>
      <c r="C72" s="56">
        <f t="shared" si="8"/>
        <v>526.32969592664028</v>
      </c>
      <c r="D72" s="49">
        <f t="shared" si="4"/>
        <v>730.99542993806824</v>
      </c>
      <c r="F72" s="49">
        <f t="shared" si="9"/>
        <v>250100.67485426826</v>
      </c>
      <c r="G72" s="49">
        <f t="shared" si="5"/>
        <v>29899.3251457318</v>
      </c>
      <c r="H72" s="49">
        <f t="shared" si="6"/>
        <v>48054.832657880121</v>
      </c>
    </row>
    <row r="73" spans="1:11" x14ac:dyDescent="0.2">
      <c r="A73" s="50">
        <f t="shared" ref="A73:A136" si="10">IF(OR(F72&lt;0.01,F72=""),"",A72+1)</f>
        <v>63</v>
      </c>
      <c r="B73" s="56">
        <f t="shared" si="7"/>
        <v>1257.3251258647085</v>
      </c>
      <c r="C73" s="56">
        <f t="shared" si="8"/>
        <v>527.86482420642631</v>
      </c>
      <c r="D73" s="49">
        <f t="shared" si="4"/>
        <v>729.46030165828222</v>
      </c>
      <c r="F73" s="49">
        <f t="shared" si="9"/>
        <v>249572.81003006184</v>
      </c>
      <c r="G73" s="49">
        <f t="shared" si="5"/>
        <v>30427.189969938227</v>
      </c>
      <c r="H73" s="49">
        <f t="shared" si="6"/>
        <v>48784.292959538405</v>
      </c>
    </row>
    <row r="74" spans="1:11" x14ac:dyDescent="0.2">
      <c r="A74" s="50">
        <f t="shared" si="10"/>
        <v>64</v>
      </c>
      <c r="B74" s="56">
        <f t="shared" si="7"/>
        <v>1257.3251258647085</v>
      </c>
      <c r="C74" s="56">
        <f t="shared" si="8"/>
        <v>529.40442994369505</v>
      </c>
      <c r="D74" s="49">
        <f t="shared" si="4"/>
        <v>727.92069592101348</v>
      </c>
      <c r="F74" s="49">
        <f t="shared" si="9"/>
        <v>249043.40560011813</v>
      </c>
      <c r="G74" s="49">
        <f t="shared" si="5"/>
        <v>30956.59439988192</v>
      </c>
      <c r="H74" s="49">
        <f t="shared" si="6"/>
        <v>49512.213655459418</v>
      </c>
    </row>
    <row r="75" spans="1:11" x14ac:dyDescent="0.2">
      <c r="A75" s="50">
        <f t="shared" si="10"/>
        <v>65</v>
      </c>
      <c r="B75" s="56">
        <f t="shared" si="7"/>
        <v>1257.3251258647085</v>
      </c>
      <c r="C75" s="56">
        <f t="shared" si="8"/>
        <v>530.94852619769745</v>
      </c>
      <c r="D75" s="49">
        <f t="shared" si="4"/>
        <v>726.37659966701119</v>
      </c>
      <c r="F75" s="49">
        <f t="shared" si="9"/>
        <v>248512.45707392044</v>
      </c>
      <c r="G75" s="49">
        <f t="shared" si="5"/>
        <v>31487.542926079619</v>
      </c>
      <c r="H75" s="49">
        <f t="shared" si="6"/>
        <v>50238.59025512643</v>
      </c>
    </row>
    <row r="76" spans="1:11" x14ac:dyDescent="0.2">
      <c r="A76" s="50">
        <f t="shared" si="10"/>
        <v>66</v>
      </c>
      <c r="B76" s="56">
        <f t="shared" si="7"/>
        <v>1257.3251258647085</v>
      </c>
      <c r="C76" s="56">
        <f t="shared" si="8"/>
        <v>532.49712606577407</v>
      </c>
      <c r="D76" s="49">
        <f t="shared" ref="D76:D139" si="11">IF(A76="","",-IPMT($B$6,A76,$B$5,$B$3,0))</f>
        <v>724.82799979893434</v>
      </c>
      <c r="F76" s="49">
        <f t="shared" si="9"/>
        <v>247979.95994785466</v>
      </c>
      <c r="G76" s="49">
        <f t="shared" ref="G76:G139" si="12">IF(A76="","",C76+E76+G75)</f>
        <v>32020.040052145392</v>
      </c>
      <c r="H76" s="49">
        <f t="shared" ref="H76:H139" si="13">IF(A76="","",D76+H75)</f>
        <v>50963.418254925367</v>
      </c>
    </row>
    <row r="77" spans="1:11" x14ac:dyDescent="0.2">
      <c r="A77" s="50">
        <f t="shared" si="10"/>
        <v>67</v>
      </c>
      <c r="B77" s="56">
        <f t="shared" si="7"/>
        <v>1257.3251258647085</v>
      </c>
      <c r="C77" s="56">
        <f t="shared" si="8"/>
        <v>534.05024268346597</v>
      </c>
      <c r="D77" s="49">
        <f t="shared" si="11"/>
        <v>723.27488318124267</v>
      </c>
      <c r="F77" s="49">
        <f t="shared" si="9"/>
        <v>247445.90970517119</v>
      </c>
      <c r="G77" s="49">
        <f t="shared" si="12"/>
        <v>32554.090294828857</v>
      </c>
      <c r="H77" s="49">
        <f t="shared" si="13"/>
        <v>51686.69313810661</v>
      </c>
    </row>
    <row r="78" spans="1:11" x14ac:dyDescent="0.2">
      <c r="A78" s="50">
        <f t="shared" si="10"/>
        <v>68</v>
      </c>
      <c r="B78" s="56">
        <f t="shared" si="7"/>
        <v>1257.3251258647085</v>
      </c>
      <c r="C78" s="56">
        <f t="shared" si="8"/>
        <v>535.60788922462609</v>
      </c>
      <c r="D78" s="49">
        <f t="shared" si="11"/>
        <v>721.71723664008243</v>
      </c>
      <c r="F78" s="49">
        <f t="shared" si="9"/>
        <v>246910.30181594656</v>
      </c>
      <c r="G78" s="49">
        <f t="shared" si="12"/>
        <v>33089.698184053486</v>
      </c>
      <c r="H78" s="49">
        <f t="shared" si="13"/>
        <v>52408.410374746694</v>
      </c>
    </row>
    <row r="79" spans="1:11" x14ac:dyDescent="0.2">
      <c r="A79" s="50">
        <f t="shared" si="10"/>
        <v>69</v>
      </c>
      <c r="B79" s="56">
        <f t="shared" si="7"/>
        <v>1257.3251258647085</v>
      </c>
      <c r="C79" s="56">
        <f t="shared" si="8"/>
        <v>537.17007890153127</v>
      </c>
      <c r="D79" s="49">
        <f t="shared" si="11"/>
        <v>720.15504696317726</v>
      </c>
      <c r="F79" s="49">
        <f t="shared" si="9"/>
        <v>246373.13173704501</v>
      </c>
      <c r="G79" s="49">
        <f t="shared" si="12"/>
        <v>33626.868262955017</v>
      </c>
      <c r="H79" s="49">
        <f t="shared" si="13"/>
        <v>53128.565421709871</v>
      </c>
    </row>
    <row r="80" spans="1:11" x14ac:dyDescent="0.2">
      <c r="A80" s="50">
        <f t="shared" si="10"/>
        <v>70</v>
      </c>
      <c r="B80" s="56">
        <f t="shared" si="7"/>
        <v>1257.3251258647085</v>
      </c>
      <c r="C80" s="56">
        <f t="shared" si="8"/>
        <v>538.73682496499396</v>
      </c>
      <c r="D80" s="49">
        <f t="shared" si="11"/>
        <v>718.58830089971445</v>
      </c>
      <c r="F80" s="49">
        <f t="shared" si="9"/>
        <v>245834.39491208002</v>
      </c>
      <c r="G80" s="49">
        <f t="shared" si="12"/>
        <v>34165.605087920012</v>
      </c>
      <c r="H80" s="49">
        <f t="shared" si="13"/>
        <v>53847.153722609582</v>
      </c>
    </row>
    <row r="81" spans="1:11" x14ac:dyDescent="0.2">
      <c r="A81" s="50">
        <f t="shared" si="10"/>
        <v>71</v>
      </c>
      <c r="B81" s="56">
        <f t="shared" si="7"/>
        <v>1257.3251258647085</v>
      </c>
      <c r="C81" s="56">
        <f t="shared" si="8"/>
        <v>540.30814070447525</v>
      </c>
      <c r="D81" s="49">
        <f t="shared" si="11"/>
        <v>717.01698516023328</v>
      </c>
      <c r="F81" s="49">
        <f t="shared" si="9"/>
        <v>245294.08677137556</v>
      </c>
      <c r="G81" s="49">
        <f t="shared" si="12"/>
        <v>34705.913228624486</v>
      </c>
      <c r="H81" s="49">
        <f t="shared" si="13"/>
        <v>54564.170707769816</v>
      </c>
    </row>
    <row r="82" spans="1:11" s="57" customFormat="1" x14ac:dyDescent="0.2">
      <c r="A82" s="58">
        <f t="shared" si="10"/>
        <v>72</v>
      </c>
      <c r="B82" s="59">
        <f t="shared" si="7"/>
        <v>1257.3251258647085</v>
      </c>
      <c r="C82" s="59">
        <f t="shared" si="8"/>
        <v>541.88403944819663</v>
      </c>
      <c r="D82" s="57">
        <f t="shared" si="11"/>
        <v>715.44108641651178</v>
      </c>
      <c r="F82" s="57">
        <f t="shared" si="9"/>
        <v>244752.20273192736</v>
      </c>
      <c r="G82" s="57">
        <f t="shared" si="12"/>
        <v>35247.797268072682</v>
      </c>
      <c r="H82" s="57">
        <f t="shared" si="13"/>
        <v>55279.611794186327</v>
      </c>
      <c r="I82" s="57" t="s">
        <v>119</v>
      </c>
      <c r="J82" s="57" t="s">
        <v>114</v>
      </c>
      <c r="K82" s="57" t="s">
        <v>125</v>
      </c>
    </row>
    <row r="83" spans="1:11" x14ac:dyDescent="0.2">
      <c r="A83" s="50">
        <f t="shared" si="10"/>
        <v>73</v>
      </c>
      <c r="B83" s="56">
        <f t="shared" si="7"/>
        <v>1257.3251258647085</v>
      </c>
      <c r="C83" s="56">
        <f t="shared" si="8"/>
        <v>543.46453456325389</v>
      </c>
      <c r="D83" s="49">
        <f t="shared" si="11"/>
        <v>713.86059130145463</v>
      </c>
      <c r="F83" s="49">
        <f t="shared" si="9"/>
        <v>244208.73819736412</v>
      </c>
      <c r="G83" s="49">
        <f t="shared" si="12"/>
        <v>35791.261802635934</v>
      </c>
      <c r="H83" s="49">
        <f t="shared" si="13"/>
        <v>55993.472385487781</v>
      </c>
      <c r="J83" s="57">
        <f>F83</f>
        <v>244208.73819736412</v>
      </c>
      <c r="K83" s="57">
        <f>H83-H71</f>
        <v>8669.6351575457302</v>
      </c>
    </row>
    <row r="84" spans="1:11" x14ac:dyDescent="0.2">
      <c r="A84" s="50">
        <f t="shared" si="10"/>
        <v>74</v>
      </c>
      <c r="B84" s="56">
        <f t="shared" si="7"/>
        <v>1257.3251258647085</v>
      </c>
      <c r="C84" s="56">
        <f t="shared" si="8"/>
        <v>545.04963945573013</v>
      </c>
      <c r="D84" s="49">
        <f t="shared" si="11"/>
        <v>712.27548640897851</v>
      </c>
      <c r="F84" s="49">
        <f t="shared" si="9"/>
        <v>243663.68855790838</v>
      </c>
      <c r="G84" s="49">
        <f t="shared" si="12"/>
        <v>36336.311442091661</v>
      </c>
      <c r="H84" s="49">
        <f t="shared" si="13"/>
        <v>56705.747871896761</v>
      </c>
    </row>
    <row r="85" spans="1:11" x14ac:dyDescent="0.2">
      <c r="A85" s="50">
        <f t="shared" si="10"/>
        <v>75</v>
      </c>
      <c r="B85" s="56">
        <f t="shared" si="7"/>
        <v>1257.3251258647085</v>
      </c>
      <c r="C85" s="56">
        <f t="shared" si="8"/>
        <v>546.63936757080933</v>
      </c>
      <c r="D85" s="49">
        <f t="shared" si="11"/>
        <v>710.6857582938992</v>
      </c>
      <c r="F85" s="49">
        <f t="shared" si="9"/>
        <v>243117.04919033757</v>
      </c>
      <c r="G85" s="49">
        <f t="shared" si="12"/>
        <v>36882.95080966247</v>
      </c>
      <c r="H85" s="49">
        <f t="shared" si="13"/>
        <v>57416.433630190659</v>
      </c>
    </row>
    <row r="86" spans="1:11" x14ac:dyDescent="0.2">
      <c r="A86" s="50">
        <f t="shared" si="10"/>
        <v>76</v>
      </c>
      <c r="B86" s="56">
        <f t="shared" ref="B86:B149" si="14">IF(A86="","",IF(F85&lt;B85,F85+D86,-PMT($B$6,$B$5,$B$3,0)))</f>
        <v>1257.3251258647085</v>
      </c>
      <c r="C86" s="56">
        <f t="shared" ref="C86:C149" si="15">IF(A86="","",IF(F85&lt;C85,F85,-PPMT($B$6,$A86,$B$5,$B$3,0)))</f>
        <v>548.23373239289083</v>
      </c>
      <c r="D86" s="49">
        <f t="shared" si="11"/>
        <v>709.09139347181781</v>
      </c>
      <c r="F86" s="49">
        <f t="shared" si="9"/>
        <v>242568.81545794467</v>
      </c>
      <c r="G86" s="49">
        <f t="shared" si="12"/>
        <v>37431.184542055358</v>
      </c>
      <c r="H86" s="49">
        <f t="shared" si="13"/>
        <v>58125.525023662478</v>
      </c>
    </row>
    <row r="87" spans="1:11" x14ac:dyDescent="0.2">
      <c r="A87" s="50">
        <f t="shared" si="10"/>
        <v>77</v>
      </c>
      <c r="B87" s="56">
        <f t="shared" si="14"/>
        <v>1257.3251258647085</v>
      </c>
      <c r="C87" s="56">
        <f t="shared" si="15"/>
        <v>549.83274744570338</v>
      </c>
      <c r="D87" s="49">
        <f t="shared" si="11"/>
        <v>707.49237841900526</v>
      </c>
      <c r="F87" s="49">
        <f t="shared" si="9"/>
        <v>242018.98271049897</v>
      </c>
      <c r="G87" s="49">
        <f t="shared" si="12"/>
        <v>37981.017289501062</v>
      </c>
      <c r="H87" s="49">
        <f t="shared" si="13"/>
        <v>58833.017402081481</v>
      </c>
    </row>
    <row r="88" spans="1:11" x14ac:dyDescent="0.2">
      <c r="A88" s="50">
        <f t="shared" si="10"/>
        <v>78</v>
      </c>
      <c r="B88" s="56">
        <f t="shared" si="14"/>
        <v>1257.3251258647085</v>
      </c>
      <c r="C88" s="56">
        <f t="shared" si="15"/>
        <v>551.43642629242004</v>
      </c>
      <c r="D88" s="49">
        <f t="shared" si="11"/>
        <v>705.88869957228849</v>
      </c>
      <c r="F88" s="49">
        <f t="shared" si="9"/>
        <v>241467.54628420656</v>
      </c>
      <c r="G88" s="49">
        <f t="shared" si="12"/>
        <v>38532.453715793483</v>
      </c>
      <c r="H88" s="49">
        <f t="shared" si="13"/>
        <v>59538.906101653767</v>
      </c>
    </row>
    <row r="89" spans="1:11" x14ac:dyDescent="0.2">
      <c r="A89" s="50">
        <f t="shared" si="10"/>
        <v>79</v>
      </c>
      <c r="B89" s="56">
        <f t="shared" si="14"/>
        <v>1257.3251258647085</v>
      </c>
      <c r="C89" s="56">
        <f t="shared" si="15"/>
        <v>553.04478253577292</v>
      </c>
      <c r="D89" s="49">
        <f t="shared" si="11"/>
        <v>704.28034332893571</v>
      </c>
      <c r="F89" s="49">
        <f t="shared" si="9"/>
        <v>240914.50150167078</v>
      </c>
      <c r="G89" s="49">
        <f t="shared" si="12"/>
        <v>39085.498498329252</v>
      </c>
      <c r="H89" s="49">
        <f t="shared" si="13"/>
        <v>60243.186444982704</v>
      </c>
    </row>
    <row r="90" spans="1:11" x14ac:dyDescent="0.2">
      <c r="A90" s="50">
        <f t="shared" si="10"/>
        <v>80</v>
      </c>
      <c r="B90" s="56">
        <f t="shared" si="14"/>
        <v>1257.3251258647085</v>
      </c>
      <c r="C90" s="56">
        <f t="shared" si="15"/>
        <v>554.65782981816892</v>
      </c>
      <c r="D90" s="49">
        <f t="shared" si="11"/>
        <v>702.66729604653972</v>
      </c>
      <c r="F90" s="49">
        <f t="shared" si="9"/>
        <v>240359.84367185261</v>
      </c>
      <c r="G90" s="49">
        <f t="shared" si="12"/>
        <v>39640.156328147423</v>
      </c>
      <c r="H90" s="49">
        <f t="shared" si="13"/>
        <v>60945.853741029241</v>
      </c>
    </row>
    <row r="91" spans="1:11" x14ac:dyDescent="0.2">
      <c r="A91" s="50">
        <f t="shared" si="10"/>
        <v>81</v>
      </c>
      <c r="B91" s="56">
        <f t="shared" si="14"/>
        <v>1257.3251258647085</v>
      </c>
      <c r="C91" s="56">
        <f t="shared" si="15"/>
        <v>556.2755818218053</v>
      </c>
      <c r="D91" s="49">
        <f t="shared" si="11"/>
        <v>701.04954404290334</v>
      </c>
      <c r="F91" s="49">
        <f t="shared" si="9"/>
        <v>239803.56809003081</v>
      </c>
      <c r="G91" s="49">
        <f t="shared" si="12"/>
        <v>40196.431909969229</v>
      </c>
      <c r="H91" s="49">
        <f t="shared" si="13"/>
        <v>61646.903285072141</v>
      </c>
    </row>
    <row r="92" spans="1:11" x14ac:dyDescent="0.2">
      <c r="A92" s="50">
        <f t="shared" si="10"/>
        <v>82</v>
      </c>
      <c r="B92" s="56">
        <f t="shared" si="14"/>
        <v>1257.3251258647085</v>
      </c>
      <c r="C92" s="56">
        <f t="shared" si="15"/>
        <v>557.89805226878548</v>
      </c>
      <c r="D92" s="49">
        <f t="shared" si="11"/>
        <v>699.42707359592305</v>
      </c>
      <c r="F92" s="49">
        <f t="shared" si="9"/>
        <v>239245.67003776203</v>
      </c>
      <c r="G92" s="49">
        <f t="shared" si="12"/>
        <v>40754.329962238015</v>
      </c>
      <c r="H92" s="49">
        <f t="shared" si="13"/>
        <v>62346.330358668063</v>
      </c>
    </row>
    <row r="93" spans="1:11" x14ac:dyDescent="0.2">
      <c r="A93" s="50">
        <f t="shared" si="10"/>
        <v>83</v>
      </c>
      <c r="B93" s="56">
        <f t="shared" si="14"/>
        <v>1257.3251258647085</v>
      </c>
      <c r="C93" s="56">
        <f t="shared" si="15"/>
        <v>559.52525492123607</v>
      </c>
      <c r="D93" s="49">
        <f t="shared" si="11"/>
        <v>697.79987094347234</v>
      </c>
      <c r="F93" s="49">
        <f t="shared" si="9"/>
        <v>238686.1447828408</v>
      </c>
      <c r="G93" s="49">
        <f t="shared" si="12"/>
        <v>41313.855217159253</v>
      </c>
      <c r="H93" s="49">
        <f t="shared" si="13"/>
        <v>63044.130229611532</v>
      </c>
    </row>
    <row r="94" spans="1:11" s="57" customFormat="1" x14ac:dyDescent="0.2">
      <c r="A94" s="58">
        <f t="shared" si="10"/>
        <v>84</v>
      </c>
      <c r="B94" s="59">
        <f t="shared" si="14"/>
        <v>1257.3251258647085</v>
      </c>
      <c r="C94" s="59">
        <f t="shared" si="15"/>
        <v>561.157203581423</v>
      </c>
      <c r="D94" s="57">
        <f t="shared" si="11"/>
        <v>696.16792228328541</v>
      </c>
      <c r="F94" s="57">
        <f t="shared" si="9"/>
        <v>238124.98757925938</v>
      </c>
      <c r="G94" s="57">
        <f t="shared" si="12"/>
        <v>41875.012420740677</v>
      </c>
      <c r="H94" s="57">
        <f t="shared" si="13"/>
        <v>63740.298151894815</v>
      </c>
      <c r="I94" s="57" t="s">
        <v>120</v>
      </c>
      <c r="J94" s="57" t="s">
        <v>114</v>
      </c>
      <c r="K94" s="57" t="s">
        <v>125</v>
      </c>
    </row>
    <row r="95" spans="1:11" x14ac:dyDescent="0.2">
      <c r="A95" s="50">
        <f t="shared" si="10"/>
        <v>85</v>
      </c>
      <c r="B95" s="56">
        <f t="shared" si="14"/>
        <v>1257.3251258647085</v>
      </c>
      <c r="C95" s="56">
        <f t="shared" si="15"/>
        <v>562.79391209186883</v>
      </c>
      <c r="D95" s="49">
        <f t="shared" si="11"/>
        <v>694.53121377283969</v>
      </c>
      <c r="F95" s="49">
        <f t="shared" si="9"/>
        <v>237562.19366716751</v>
      </c>
      <c r="G95" s="49">
        <f t="shared" si="12"/>
        <v>42437.806332832544</v>
      </c>
      <c r="H95" s="49">
        <f t="shared" si="13"/>
        <v>64434.829365667654</v>
      </c>
      <c r="J95" s="57">
        <f>F95</f>
        <v>237562.19366716751</v>
      </c>
      <c r="K95" s="57">
        <f>H95-H83</f>
        <v>8441.3569801798731</v>
      </c>
    </row>
    <row r="96" spans="1:11" x14ac:dyDescent="0.2">
      <c r="A96" s="50">
        <f t="shared" si="10"/>
        <v>86</v>
      </c>
      <c r="B96" s="56">
        <f t="shared" si="14"/>
        <v>1257.3251258647085</v>
      </c>
      <c r="C96" s="56">
        <f t="shared" si="15"/>
        <v>564.43539433547028</v>
      </c>
      <c r="D96" s="49">
        <f t="shared" si="11"/>
        <v>692.88973152923836</v>
      </c>
      <c r="F96" s="49">
        <f t="shared" si="9"/>
        <v>236997.75827283203</v>
      </c>
      <c r="G96" s="49">
        <f t="shared" si="12"/>
        <v>43002.241727168017</v>
      </c>
      <c r="H96" s="49">
        <f t="shared" si="13"/>
        <v>65127.719097196896</v>
      </c>
    </row>
    <row r="97" spans="1:11" x14ac:dyDescent="0.2">
      <c r="A97" s="50">
        <f t="shared" si="10"/>
        <v>87</v>
      </c>
      <c r="B97" s="56">
        <f t="shared" si="14"/>
        <v>1257.3251258647085</v>
      </c>
      <c r="C97" s="56">
        <f t="shared" si="15"/>
        <v>566.08166423561534</v>
      </c>
      <c r="D97" s="49">
        <f t="shared" si="11"/>
        <v>691.2434616290933</v>
      </c>
      <c r="F97" s="49">
        <f t="shared" si="9"/>
        <v>236431.6766085964</v>
      </c>
      <c r="G97" s="49">
        <f t="shared" si="12"/>
        <v>43568.323391403632</v>
      </c>
      <c r="H97" s="49">
        <f t="shared" si="13"/>
        <v>65818.962558825995</v>
      </c>
    </row>
    <row r="98" spans="1:11" x14ac:dyDescent="0.2">
      <c r="A98" s="50">
        <f t="shared" si="10"/>
        <v>88</v>
      </c>
      <c r="B98" s="56">
        <f t="shared" si="14"/>
        <v>1257.3251258647085</v>
      </c>
      <c r="C98" s="56">
        <f t="shared" si="15"/>
        <v>567.73273575630253</v>
      </c>
      <c r="D98" s="49">
        <f t="shared" si="11"/>
        <v>689.59239010840611</v>
      </c>
      <c r="F98" s="49">
        <f t="shared" si="9"/>
        <v>235863.94387284011</v>
      </c>
      <c r="G98" s="49">
        <f t="shared" si="12"/>
        <v>44136.056127159936</v>
      </c>
      <c r="H98" s="49">
        <f t="shared" si="13"/>
        <v>66508.554948934398</v>
      </c>
    </row>
    <row r="99" spans="1:11" x14ac:dyDescent="0.2">
      <c r="A99" s="50">
        <f t="shared" si="10"/>
        <v>89</v>
      </c>
      <c r="B99" s="56">
        <f t="shared" si="14"/>
        <v>1257.3251258647085</v>
      </c>
      <c r="C99" s="56">
        <f t="shared" si="15"/>
        <v>569.38862290225848</v>
      </c>
      <c r="D99" s="49">
        <f t="shared" si="11"/>
        <v>687.93650296245016</v>
      </c>
      <c r="F99" s="49">
        <f t="shared" si="9"/>
        <v>235294.55524993787</v>
      </c>
      <c r="G99" s="49">
        <f t="shared" si="12"/>
        <v>44705.444750062197</v>
      </c>
      <c r="H99" s="49">
        <f t="shared" si="13"/>
        <v>67196.491451896844</v>
      </c>
    </row>
    <row r="100" spans="1:11" x14ac:dyDescent="0.2">
      <c r="A100" s="50">
        <f t="shared" si="10"/>
        <v>90</v>
      </c>
      <c r="B100" s="56">
        <f t="shared" si="14"/>
        <v>1257.3251258647085</v>
      </c>
      <c r="C100" s="56">
        <f t="shared" si="15"/>
        <v>571.04933971905655</v>
      </c>
      <c r="D100" s="49">
        <f t="shared" si="11"/>
        <v>686.27578614565198</v>
      </c>
      <c r="F100" s="49">
        <f t="shared" si="9"/>
        <v>234723.50591021881</v>
      </c>
      <c r="G100" s="49">
        <f t="shared" si="12"/>
        <v>45276.494089781256</v>
      </c>
      <c r="H100" s="49">
        <f t="shared" si="13"/>
        <v>67882.767238042492</v>
      </c>
    </row>
    <row r="101" spans="1:11" x14ac:dyDescent="0.2">
      <c r="A101" s="50">
        <f t="shared" si="10"/>
        <v>91</v>
      </c>
      <c r="B101" s="56">
        <f t="shared" si="14"/>
        <v>1257.3251258647085</v>
      </c>
      <c r="C101" s="56">
        <f t="shared" si="15"/>
        <v>572.71490029323718</v>
      </c>
      <c r="D101" s="49">
        <f t="shared" si="11"/>
        <v>684.61022557147123</v>
      </c>
      <c r="F101" s="49">
        <f t="shared" si="9"/>
        <v>234150.79100992557</v>
      </c>
      <c r="G101" s="49">
        <f t="shared" si="12"/>
        <v>45849.20899007449</v>
      </c>
      <c r="H101" s="49">
        <f t="shared" si="13"/>
        <v>68567.377463613957</v>
      </c>
    </row>
    <row r="102" spans="1:11" x14ac:dyDescent="0.2">
      <c r="A102" s="50">
        <f t="shared" si="10"/>
        <v>92</v>
      </c>
      <c r="B102" s="56">
        <f t="shared" si="14"/>
        <v>1257.3251258647085</v>
      </c>
      <c r="C102" s="56">
        <f t="shared" si="15"/>
        <v>574.38531875242575</v>
      </c>
      <c r="D102" s="49">
        <f t="shared" si="11"/>
        <v>682.93980711228278</v>
      </c>
      <c r="F102" s="49">
        <f t="shared" si="9"/>
        <v>233576.40569117313</v>
      </c>
      <c r="G102" s="49">
        <f t="shared" si="12"/>
        <v>46423.59430882692</v>
      </c>
      <c r="H102" s="49">
        <f t="shared" si="13"/>
        <v>69250.317270726242</v>
      </c>
    </row>
    <row r="103" spans="1:11" x14ac:dyDescent="0.2">
      <c r="A103" s="50">
        <f t="shared" si="10"/>
        <v>93</v>
      </c>
      <c r="B103" s="56">
        <f t="shared" si="14"/>
        <v>1257.3251258647085</v>
      </c>
      <c r="C103" s="56">
        <f t="shared" si="15"/>
        <v>576.06060926545376</v>
      </c>
      <c r="D103" s="49">
        <f t="shared" si="11"/>
        <v>681.26451659925488</v>
      </c>
      <c r="F103" s="49">
        <f t="shared" si="9"/>
        <v>233000.34508190767</v>
      </c>
      <c r="G103" s="49">
        <f t="shared" si="12"/>
        <v>46999.654918092376</v>
      </c>
      <c r="H103" s="49">
        <f t="shared" si="13"/>
        <v>69931.5817873255</v>
      </c>
    </row>
    <row r="104" spans="1:11" x14ac:dyDescent="0.2">
      <c r="A104" s="50">
        <f t="shared" si="10"/>
        <v>94</v>
      </c>
      <c r="B104" s="56">
        <f t="shared" si="14"/>
        <v>1257.3251258647085</v>
      </c>
      <c r="C104" s="56">
        <f t="shared" si="15"/>
        <v>577.74078604247791</v>
      </c>
      <c r="D104" s="49">
        <f t="shared" si="11"/>
        <v>679.58433982223062</v>
      </c>
      <c r="F104" s="49">
        <f t="shared" si="9"/>
        <v>232422.6042958652</v>
      </c>
      <c r="G104" s="49">
        <f t="shared" si="12"/>
        <v>47577.395704134855</v>
      </c>
      <c r="H104" s="49">
        <f t="shared" si="13"/>
        <v>70611.166127147735</v>
      </c>
    </row>
    <row r="105" spans="1:11" x14ac:dyDescent="0.2">
      <c r="A105" s="50">
        <f t="shared" si="10"/>
        <v>95</v>
      </c>
      <c r="B105" s="56">
        <f t="shared" si="14"/>
        <v>1257.3251258647085</v>
      </c>
      <c r="C105" s="56">
        <f t="shared" si="15"/>
        <v>579.42586333510189</v>
      </c>
      <c r="D105" s="49">
        <f t="shared" si="11"/>
        <v>677.89926252960663</v>
      </c>
      <c r="F105" s="49">
        <f t="shared" si="9"/>
        <v>231843.17843253008</v>
      </c>
      <c r="G105" s="49">
        <f t="shared" si="12"/>
        <v>48156.82156746996</v>
      </c>
      <c r="H105" s="49">
        <f t="shared" si="13"/>
        <v>71289.065389677344</v>
      </c>
    </row>
    <row r="106" spans="1:11" s="57" customFormat="1" x14ac:dyDescent="0.2">
      <c r="A106" s="58">
        <f t="shared" si="10"/>
        <v>96</v>
      </c>
      <c r="B106" s="59">
        <f t="shared" si="14"/>
        <v>1257.3251258647085</v>
      </c>
      <c r="C106" s="59">
        <f t="shared" si="15"/>
        <v>581.11585543649596</v>
      </c>
      <c r="D106" s="57">
        <f t="shared" si="11"/>
        <v>676.20927042821256</v>
      </c>
      <c r="F106" s="57">
        <f t="shared" si="9"/>
        <v>231262.06257709357</v>
      </c>
      <c r="G106" s="57">
        <f t="shared" si="12"/>
        <v>48737.937422906456</v>
      </c>
      <c r="H106" s="57">
        <f t="shared" si="13"/>
        <v>71965.274660105555</v>
      </c>
      <c r="I106" s="57" t="s">
        <v>121</v>
      </c>
      <c r="J106" s="57" t="s">
        <v>114</v>
      </c>
      <c r="K106" s="57" t="s">
        <v>125</v>
      </c>
    </row>
    <row r="107" spans="1:11" x14ac:dyDescent="0.2">
      <c r="A107" s="50">
        <f t="shared" si="10"/>
        <v>97</v>
      </c>
      <c r="B107" s="56">
        <f t="shared" si="14"/>
        <v>1257.3251258647085</v>
      </c>
      <c r="C107" s="56">
        <f t="shared" si="15"/>
        <v>582.81077668151909</v>
      </c>
      <c r="D107" s="49">
        <f t="shared" si="11"/>
        <v>674.51434918318955</v>
      </c>
      <c r="F107" s="49">
        <f t="shared" si="9"/>
        <v>230679.25180041205</v>
      </c>
      <c r="G107" s="49">
        <f t="shared" si="12"/>
        <v>49320.748199587972</v>
      </c>
      <c r="H107" s="49">
        <f t="shared" si="13"/>
        <v>72639.789009288739</v>
      </c>
      <c r="J107" s="57">
        <f>F107</f>
        <v>230679.25180041205</v>
      </c>
      <c r="K107" s="57">
        <f>H107-H95</f>
        <v>8204.959643621085</v>
      </c>
    </row>
    <row r="108" spans="1:11" x14ac:dyDescent="0.2">
      <c r="A108" s="50">
        <f t="shared" si="10"/>
        <v>98</v>
      </c>
      <c r="B108" s="56">
        <f t="shared" si="14"/>
        <v>1257.3251258647085</v>
      </c>
      <c r="C108" s="56">
        <f t="shared" si="15"/>
        <v>584.51064144684017</v>
      </c>
      <c r="D108" s="49">
        <f t="shared" si="11"/>
        <v>672.81448441786836</v>
      </c>
      <c r="F108" s="49">
        <f t="shared" si="9"/>
        <v>230094.74115896522</v>
      </c>
      <c r="G108" s="49">
        <f t="shared" si="12"/>
        <v>49905.258841034811</v>
      </c>
      <c r="H108" s="49">
        <f t="shared" si="13"/>
        <v>73312.603493706614</v>
      </c>
    </row>
    <row r="109" spans="1:11" x14ac:dyDescent="0.2">
      <c r="A109" s="50">
        <f t="shared" si="10"/>
        <v>99</v>
      </c>
      <c r="B109" s="56">
        <f t="shared" si="14"/>
        <v>1257.3251258647085</v>
      </c>
      <c r="C109" s="56">
        <f t="shared" si="15"/>
        <v>586.21546415106013</v>
      </c>
      <c r="D109" s="49">
        <f t="shared" si="11"/>
        <v>671.10966171364839</v>
      </c>
      <c r="F109" s="49">
        <f t="shared" si="9"/>
        <v>229508.52569481416</v>
      </c>
      <c r="G109" s="49">
        <f t="shared" si="12"/>
        <v>50491.474305185868</v>
      </c>
      <c r="H109" s="49">
        <f t="shared" si="13"/>
        <v>73983.713155420264</v>
      </c>
    </row>
    <row r="110" spans="1:11" x14ac:dyDescent="0.2">
      <c r="A110" s="50">
        <f t="shared" si="10"/>
        <v>100</v>
      </c>
      <c r="B110" s="56">
        <f t="shared" si="14"/>
        <v>1257.3251258647085</v>
      </c>
      <c r="C110" s="56">
        <f t="shared" si="15"/>
        <v>587.92525925483403</v>
      </c>
      <c r="D110" s="49">
        <f t="shared" si="11"/>
        <v>669.39986660987449</v>
      </c>
      <c r="F110" s="49">
        <f t="shared" si="9"/>
        <v>228920.60043555932</v>
      </c>
      <c r="G110" s="49">
        <f t="shared" si="12"/>
        <v>51079.399564440704</v>
      </c>
      <c r="H110" s="49">
        <f t="shared" si="13"/>
        <v>74653.113022030142</v>
      </c>
    </row>
    <row r="111" spans="1:11" x14ac:dyDescent="0.2">
      <c r="A111" s="50">
        <f t="shared" si="10"/>
        <v>101</v>
      </c>
      <c r="B111" s="56">
        <f t="shared" si="14"/>
        <v>1257.3251258647085</v>
      </c>
      <c r="C111" s="56">
        <f t="shared" si="15"/>
        <v>589.64004126099394</v>
      </c>
      <c r="D111" s="49">
        <f t="shared" si="11"/>
        <v>667.6850846037147</v>
      </c>
      <c r="F111" s="49">
        <f t="shared" si="9"/>
        <v>228330.96039429834</v>
      </c>
      <c r="G111" s="49">
        <f t="shared" si="12"/>
        <v>51669.039605701699</v>
      </c>
      <c r="H111" s="49">
        <f t="shared" si="13"/>
        <v>75320.798106633854</v>
      </c>
    </row>
    <row r="112" spans="1:11" x14ac:dyDescent="0.2">
      <c r="A112" s="50">
        <f t="shared" si="10"/>
        <v>102</v>
      </c>
      <c r="B112" s="56">
        <f t="shared" si="14"/>
        <v>1257.3251258647085</v>
      </c>
      <c r="C112" s="56">
        <f t="shared" si="15"/>
        <v>591.35982471467184</v>
      </c>
      <c r="D112" s="49">
        <f t="shared" si="11"/>
        <v>665.96530115003679</v>
      </c>
      <c r="F112" s="49">
        <f t="shared" si="9"/>
        <v>227739.60056958368</v>
      </c>
      <c r="G112" s="49">
        <f t="shared" si="12"/>
        <v>52260.399430416372</v>
      </c>
      <c r="H112" s="49">
        <f t="shared" si="13"/>
        <v>75986.763407783888</v>
      </c>
    </row>
    <row r="113" spans="1:11" x14ac:dyDescent="0.2">
      <c r="A113" s="50">
        <f t="shared" si="10"/>
        <v>103</v>
      </c>
      <c r="B113" s="56">
        <f t="shared" si="14"/>
        <v>1257.3251258647085</v>
      </c>
      <c r="C113" s="56">
        <f t="shared" si="15"/>
        <v>593.084624203423</v>
      </c>
      <c r="D113" s="49">
        <f t="shared" si="11"/>
        <v>664.24050166128552</v>
      </c>
      <c r="F113" s="49">
        <f t="shared" si="9"/>
        <v>227146.51594538026</v>
      </c>
      <c r="G113" s="49">
        <f t="shared" si="12"/>
        <v>52853.484054619796</v>
      </c>
      <c r="H113" s="49">
        <f t="shared" si="13"/>
        <v>76651.003909445179</v>
      </c>
    </row>
    <row r="114" spans="1:11" x14ac:dyDescent="0.2">
      <c r="A114" s="50">
        <f t="shared" si="10"/>
        <v>104</v>
      </c>
      <c r="B114" s="56">
        <f t="shared" si="14"/>
        <v>1257.3251258647085</v>
      </c>
      <c r="C114" s="56">
        <f t="shared" si="15"/>
        <v>594.81445435734963</v>
      </c>
      <c r="D114" s="49">
        <f t="shared" si="11"/>
        <v>662.51067150735901</v>
      </c>
      <c r="F114" s="49">
        <f t="shared" si="9"/>
        <v>226551.70149102292</v>
      </c>
      <c r="G114" s="49">
        <f t="shared" si="12"/>
        <v>53448.298508977146</v>
      </c>
      <c r="H114" s="49">
        <f t="shared" si="13"/>
        <v>77313.514580952542</v>
      </c>
    </row>
    <row r="115" spans="1:11" x14ac:dyDescent="0.2">
      <c r="A115" s="50">
        <f t="shared" si="10"/>
        <v>105</v>
      </c>
      <c r="B115" s="56">
        <f t="shared" si="14"/>
        <v>1257.3251258647085</v>
      </c>
      <c r="C115" s="56">
        <f t="shared" si="15"/>
        <v>596.54932984922527</v>
      </c>
      <c r="D115" s="49">
        <f t="shared" si="11"/>
        <v>660.77579601548325</v>
      </c>
      <c r="F115" s="49">
        <f t="shared" si="9"/>
        <v>225955.1521611737</v>
      </c>
      <c r="G115" s="49">
        <f t="shared" si="12"/>
        <v>54044.847838826368</v>
      </c>
      <c r="H115" s="49">
        <f t="shared" si="13"/>
        <v>77974.290376968027</v>
      </c>
    </row>
    <row r="116" spans="1:11" x14ac:dyDescent="0.2">
      <c r="A116" s="50">
        <f t="shared" si="10"/>
        <v>106</v>
      </c>
      <c r="B116" s="56">
        <f t="shared" si="14"/>
        <v>1257.3251258647085</v>
      </c>
      <c r="C116" s="56">
        <f t="shared" si="15"/>
        <v>598.28926539461872</v>
      </c>
      <c r="D116" s="49">
        <f t="shared" si="11"/>
        <v>659.03586047008969</v>
      </c>
      <c r="F116" s="49">
        <f t="shared" si="9"/>
        <v>225356.86289577908</v>
      </c>
      <c r="G116" s="49">
        <f t="shared" si="12"/>
        <v>54643.137104220987</v>
      </c>
      <c r="H116" s="49">
        <f t="shared" si="13"/>
        <v>78633.326237438116</v>
      </c>
    </row>
    <row r="117" spans="1:11" x14ac:dyDescent="0.2">
      <c r="A117" s="50">
        <f t="shared" si="10"/>
        <v>107</v>
      </c>
      <c r="B117" s="56">
        <f t="shared" si="14"/>
        <v>1257.3251258647085</v>
      </c>
      <c r="C117" s="56">
        <f t="shared" si="15"/>
        <v>600.03427575201977</v>
      </c>
      <c r="D117" s="49">
        <f t="shared" si="11"/>
        <v>657.29085011268876</v>
      </c>
      <c r="F117" s="49">
        <f t="shared" si="9"/>
        <v>224756.82862002705</v>
      </c>
      <c r="G117" s="49">
        <f t="shared" si="12"/>
        <v>55243.171379973006</v>
      </c>
      <c r="H117" s="49">
        <f t="shared" si="13"/>
        <v>79290.617087550811</v>
      </c>
    </row>
    <row r="118" spans="1:11" s="57" customFormat="1" x14ac:dyDescent="0.2">
      <c r="A118" s="58">
        <f t="shared" si="10"/>
        <v>108</v>
      </c>
      <c r="B118" s="59">
        <f t="shared" si="14"/>
        <v>1257.3251258647085</v>
      </c>
      <c r="C118" s="59">
        <f t="shared" si="15"/>
        <v>601.78437572296309</v>
      </c>
      <c r="D118" s="57">
        <f t="shared" si="11"/>
        <v>655.54075014174543</v>
      </c>
      <c r="F118" s="57">
        <f t="shared" si="9"/>
        <v>224155.0442443041</v>
      </c>
      <c r="G118" s="57">
        <f t="shared" si="12"/>
        <v>55844.95575569597</v>
      </c>
      <c r="H118" s="57">
        <f t="shared" si="13"/>
        <v>79946.157837692561</v>
      </c>
      <c r="I118" s="57" t="s">
        <v>122</v>
      </c>
      <c r="J118" s="57" t="s">
        <v>114</v>
      </c>
      <c r="K118" s="57" t="s">
        <v>125</v>
      </c>
    </row>
    <row r="119" spans="1:11" x14ac:dyDescent="0.2">
      <c r="A119" s="50">
        <f t="shared" si="10"/>
        <v>109</v>
      </c>
      <c r="B119" s="56">
        <f t="shared" si="14"/>
        <v>1257.3251258647085</v>
      </c>
      <c r="C119" s="56">
        <f t="shared" si="15"/>
        <v>603.53958015215505</v>
      </c>
      <c r="D119" s="49">
        <f t="shared" si="11"/>
        <v>653.78554571255347</v>
      </c>
      <c r="F119" s="49">
        <f t="shared" si="9"/>
        <v>223551.50466415193</v>
      </c>
      <c r="G119" s="49">
        <f t="shared" si="12"/>
        <v>56448.495335848122</v>
      </c>
      <c r="H119" s="49">
        <f t="shared" si="13"/>
        <v>80599.943383405116</v>
      </c>
      <c r="J119" s="57">
        <f>F119</f>
        <v>223551.50466415193</v>
      </c>
      <c r="K119" s="57">
        <f>H119-H107</f>
        <v>7960.1543741163769</v>
      </c>
    </row>
    <row r="120" spans="1:11" x14ac:dyDescent="0.2">
      <c r="A120" s="50">
        <f t="shared" si="10"/>
        <v>110</v>
      </c>
      <c r="B120" s="56">
        <f t="shared" si="14"/>
        <v>1257.3251258647085</v>
      </c>
      <c r="C120" s="56">
        <f t="shared" si="15"/>
        <v>605.29990392759896</v>
      </c>
      <c r="D120" s="49">
        <f t="shared" si="11"/>
        <v>652.02522193710956</v>
      </c>
      <c r="F120" s="49">
        <f t="shared" si="9"/>
        <v>222946.20476022433</v>
      </c>
      <c r="G120" s="49">
        <f t="shared" si="12"/>
        <v>57053.795239775718</v>
      </c>
      <c r="H120" s="49">
        <f t="shared" si="13"/>
        <v>81251.968605342219</v>
      </c>
    </row>
    <row r="121" spans="1:11" x14ac:dyDescent="0.2">
      <c r="A121" s="50">
        <f t="shared" si="10"/>
        <v>111</v>
      </c>
      <c r="B121" s="56">
        <f t="shared" si="14"/>
        <v>1257.3251258647085</v>
      </c>
      <c r="C121" s="56">
        <f t="shared" si="15"/>
        <v>607.06536198072104</v>
      </c>
      <c r="D121" s="49">
        <f t="shared" si="11"/>
        <v>650.25976388398738</v>
      </c>
      <c r="F121" s="49">
        <f t="shared" si="9"/>
        <v>222339.1393982436</v>
      </c>
      <c r="G121" s="49">
        <f t="shared" si="12"/>
        <v>57660.860601756438</v>
      </c>
      <c r="H121" s="49">
        <f t="shared" si="13"/>
        <v>81902.228369226214</v>
      </c>
    </row>
    <row r="122" spans="1:11" x14ac:dyDescent="0.2">
      <c r="A122" s="50">
        <f t="shared" si="10"/>
        <v>112</v>
      </c>
      <c r="B122" s="56">
        <f t="shared" si="14"/>
        <v>1257.3251258647085</v>
      </c>
      <c r="C122" s="56">
        <f t="shared" si="15"/>
        <v>608.8359692864982</v>
      </c>
      <c r="D122" s="49">
        <f t="shared" si="11"/>
        <v>648.48915657821044</v>
      </c>
      <c r="F122" s="49">
        <f t="shared" si="9"/>
        <v>221730.30342895709</v>
      </c>
      <c r="G122" s="49">
        <f t="shared" si="12"/>
        <v>58269.696571042936</v>
      </c>
      <c r="H122" s="49">
        <f t="shared" si="13"/>
        <v>82550.71752580443</v>
      </c>
    </row>
    <row r="123" spans="1:11" x14ac:dyDescent="0.2">
      <c r="A123" s="50">
        <f t="shared" si="10"/>
        <v>113</v>
      </c>
      <c r="B123" s="56">
        <f t="shared" si="14"/>
        <v>1257.3251258647085</v>
      </c>
      <c r="C123" s="56">
        <f t="shared" si="15"/>
        <v>610.6117408635838</v>
      </c>
      <c r="D123" s="49">
        <f t="shared" si="11"/>
        <v>646.71338500112483</v>
      </c>
      <c r="F123" s="49">
        <f t="shared" si="9"/>
        <v>221119.6916880935</v>
      </c>
      <c r="G123" s="49">
        <f t="shared" si="12"/>
        <v>58880.30831190652</v>
      </c>
      <c r="H123" s="49">
        <f t="shared" si="13"/>
        <v>83197.43091080556</v>
      </c>
    </row>
    <row r="124" spans="1:11" x14ac:dyDescent="0.2">
      <c r="A124" s="50">
        <f t="shared" si="10"/>
        <v>114</v>
      </c>
      <c r="B124" s="56">
        <f t="shared" si="14"/>
        <v>1257.3251258647085</v>
      </c>
      <c r="C124" s="56">
        <f t="shared" si="15"/>
        <v>612.39269177443589</v>
      </c>
      <c r="D124" s="49">
        <f t="shared" si="11"/>
        <v>644.93243409027275</v>
      </c>
      <c r="F124" s="49">
        <f t="shared" si="9"/>
        <v>220507.29899631906</v>
      </c>
      <c r="G124" s="49">
        <f t="shared" si="12"/>
        <v>59492.701003680959</v>
      </c>
      <c r="H124" s="49">
        <f t="shared" si="13"/>
        <v>83842.363344895828</v>
      </c>
    </row>
    <row r="125" spans="1:11" x14ac:dyDescent="0.2">
      <c r="A125" s="50">
        <f t="shared" si="10"/>
        <v>115</v>
      </c>
      <c r="B125" s="56">
        <f t="shared" si="14"/>
        <v>1257.3251258647085</v>
      </c>
      <c r="C125" s="56">
        <f t="shared" si="15"/>
        <v>614.17883712544472</v>
      </c>
      <c r="D125" s="49">
        <f t="shared" si="11"/>
        <v>643.14628873926392</v>
      </c>
      <c r="F125" s="49">
        <f t="shared" si="9"/>
        <v>219893.12015919361</v>
      </c>
      <c r="G125" s="49">
        <f t="shared" si="12"/>
        <v>60106.879840806403</v>
      </c>
      <c r="H125" s="49">
        <f t="shared" si="13"/>
        <v>84485.509633635098</v>
      </c>
    </row>
    <row r="126" spans="1:11" x14ac:dyDescent="0.2">
      <c r="A126" s="50">
        <f t="shared" si="10"/>
        <v>116</v>
      </c>
      <c r="B126" s="56">
        <f t="shared" si="14"/>
        <v>1257.3251258647085</v>
      </c>
      <c r="C126" s="56">
        <f t="shared" si="15"/>
        <v>615.97019206706057</v>
      </c>
      <c r="D126" s="49">
        <f t="shared" si="11"/>
        <v>641.35493379764796</v>
      </c>
      <c r="F126" s="49">
        <f t="shared" si="9"/>
        <v>219277.14996712655</v>
      </c>
      <c r="G126" s="49">
        <f t="shared" si="12"/>
        <v>60722.850032873466</v>
      </c>
      <c r="H126" s="49">
        <f t="shared" si="13"/>
        <v>85126.864567432742</v>
      </c>
    </row>
    <row r="127" spans="1:11" x14ac:dyDescent="0.2">
      <c r="A127" s="50">
        <f t="shared" si="10"/>
        <v>117</v>
      </c>
      <c r="B127" s="56">
        <f t="shared" si="14"/>
        <v>1257.3251258647085</v>
      </c>
      <c r="C127" s="56">
        <f t="shared" si="15"/>
        <v>617.76677179392289</v>
      </c>
      <c r="D127" s="49">
        <f t="shared" si="11"/>
        <v>639.55835407078575</v>
      </c>
      <c r="F127" s="49">
        <f t="shared" si="9"/>
        <v>218659.38319533263</v>
      </c>
      <c r="G127" s="49">
        <f t="shared" si="12"/>
        <v>61340.616804667392</v>
      </c>
      <c r="H127" s="49">
        <f t="shared" si="13"/>
        <v>85766.42292150353</v>
      </c>
    </row>
    <row r="128" spans="1:11" x14ac:dyDescent="0.2">
      <c r="A128" s="50">
        <f t="shared" si="10"/>
        <v>118</v>
      </c>
      <c r="B128" s="56">
        <f t="shared" si="14"/>
        <v>1257.3251258647085</v>
      </c>
      <c r="C128" s="56">
        <f t="shared" si="15"/>
        <v>619.56859154498841</v>
      </c>
      <c r="D128" s="49">
        <f t="shared" si="11"/>
        <v>637.75653431972012</v>
      </c>
      <c r="F128" s="49">
        <f t="shared" si="9"/>
        <v>218039.81460378764</v>
      </c>
      <c r="G128" s="49">
        <f t="shared" si="12"/>
        <v>61960.185396212379</v>
      </c>
      <c r="H128" s="49">
        <f t="shared" si="13"/>
        <v>86404.17945582325</v>
      </c>
    </row>
    <row r="129" spans="1:11" x14ac:dyDescent="0.2">
      <c r="A129" s="50">
        <f t="shared" si="10"/>
        <v>119</v>
      </c>
      <c r="B129" s="56">
        <f t="shared" si="14"/>
        <v>1257.3251258647085</v>
      </c>
      <c r="C129" s="56">
        <f t="shared" si="15"/>
        <v>621.37566660366133</v>
      </c>
      <c r="D129" s="49">
        <f t="shared" si="11"/>
        <v>635.94945926104731</v>
      </c>
      <c r="F129" s="49">
        <f t="shared" si="9"/>
        <v>217418.43893718399</v>
      </c>
      <c r="G129" s="49">
        <f t="shared" si="12"/>
        <v>62581.561062816043</v>
      </c>
      <c r="H129" s="49">
        <f t="shared" si="13"/>
        <v>87040.128915084293</v>
      </c>
    </row>
    <row r="130" spans="1:11" s="57" customFormat="1" x14ac:dyDescent="0.2">
      <c r="A130" s="58">
        <f t="shared" si="10"/>
        <v>120</v>
      </c>
      <c r="B130" s="59">
        <f t="shared" si="14"/>
        <v>1257.3251258647085</v>
      </c>
      <c r="C130" s="59">
        <f t="shared" si="15"/>
        <v>623.18801229792211</v>
      </c>
      <c r="D130" s="57">
        <f t="shared" si="11"/>
        <v>634.13711356678652</v>
      </c>
      <c r="F130" s="57">
        <f t="shared" ref="F130:F193" si="16">IF(A130="","",F129-C130-E130)</f>
        <v>216795.25092488606</v>
      </c>
      <c r="G130" s="57">
        <f t="shared" si="12"/>
        <v>63204.749075113963</v>
      </c>
      <c r="H130" s="57">
        <f t="shared" si="13"/>
        <v>87674.26602865108</v>
      </c>
      <c r="I130" s="57" t="s">
        <v>123</v>
      </c>
      <c r="J130" s="57" t="s">
        <v>114</v>
      </c>
      <c r="K130" s="57" t="s">
        <v>125</v>
      </c>
    </row>
    <row r="131" spans="1:11" x14ac:dyDescent="0.2">
      <c r="A131" s="50">
        <f t="shared" si="10"/>
        <v>121</v>
      </c>
      <c r="B131" s="56">
        <f t="shared" si="14"/>
        <v>1257.3251258647085</v>
      </c>
      <c r="C131" s="56">
        <f t="shared" si="15"/>
        <v>625.00564400045766</v>
      </c>
      <c r="D131" s="49">
        <f t="shared" si="11"/>
        <v>632.31948186425097</v>
      </c>
      <c r="F131" s="49">
        <f t="shared" si="16"/>
        <v>216170.2452808856</v>
      </c>
      <c r="G131" s="49">
        <f t="shared" si="12"/>
        <v>63829.754719114419</v>
      </c>
      <c r="H131" s="49">
        <f t="shared" si="13"/>
        <v>88306.585510515331</v>
      </c>
      <c r="J131" s="57">
        <f>F131</f>
        <v>216170.2452808856</v>
      </c>
      <c r="K131" s="57">
        <f>H131-H119</f>
        <v>7706.6421271102154</v>
      </c>
    </row>
    <row r="132" spans="1:11" x14ac:dyDescent="0.2">
      <c r="A132" s="50">
        <f t="shared" si="10"/>
        <v>122</v>
      </c>
      <c r="B132" s="56">
        <f t="shared" si="14"/>
        <v>1257.3251258647085</v>
      </c>
      <c r="C132" s="56">
        <f t="shared" si="15"/>
        <v>626.82857712879229</v>
      </c>
      <c r="D132" s="49">
        <f t="shared" si="11"/>
        <v>630.49654873591624</v>
      </c>
      <c r="F132" s="49">
        <f t="shared" si="16"/>
        <v>215543.41670375681</v>
      </c>
      <c r="G132" s="49">
        <f t="shared" si="12"/>
        <v>64456.58329624321</v>
      </c>
      <c r="H132" s="49">
        <f t="shared" si="13"/>
        <v>88937.082059251246</v>
      </c>
    </row>
    <row r="133" spans="1:11" x14ac:dyDescent="0.2">
      <c r="A133" s="50">
        <f t="shared" si="10"/>
        <v>123</v>
      </c>
      <c r="B133" s="56">
        <f t="shared" si="14"/>
        <v>1257.3251258647085</v>
      </c>
      <c r="C133" s="56">
        <f t="shared" si="15"/>
        <v>628.65682714541788</v>
      </c>
      <c r="D133" s="49">
        <f t="shared" si="11"/>
        <v>628.66829871929065</v>
      </c>
      <c r="F133" s="49">
        <f t="shared" si="16"/>
        <v>214914.75987661138</v>
      </c>
      <c r="G133" s="49">
        <f t="shared" si="12"/>
        <v>65085.240123388627</v>
      </c>
      <c r="H133" s="49">
        <f t="shared" si="13"/>
        <v>89565.750357970537</v>
      </c>
    </row>
    <row r="134" spans="1:11" x14ac:dyDescent="0.2">
      <c r="A134" s="50">
        <f t="shared" si="10"/>
        <v>124</v>
      </c>
      <c r="B134" s="56">
        <f t="shared" si="14"/>
        <v>1257.3251258647085</v>
      </c>
      <c r="C134" s="56">
        <f t="shared" si="15"/>
        <v>630.49040955792532</v>
      </c>
      <c r="D134" s="49">
        <f t="shared" si="11"/>
        <v>626.83471630678309</v>
      </c>
      <c r="F134" s="49">
        <f t="shared" si="16"/>
        <v>214284.26946705347</v>
      </c>
      <c r="G134" s="49">
        <f t="shared" si="12"/>
        <v>65715.730532946545</v>
      </c>
      <c r="H134" s="49">
        <f t="shared" si="13"/>
        <v>90192.585074277318</v>
      </c>
    </row>
    <row r="135" spans="1:11" x14ac:dyDescent="0.2">
      <c r="A135" s="50">
        <f t="shared" si="10"/>
        <v>125</v>
      </c>
      <c r="B135" s="56">
        <f t="shared" si="14"/>
        <v>1257.3251258647085</v>
      </c>
      <c r="C135" s="56">
        <f t="shared" si="15"/>
        <v>632.32933991913603</v>
      </c>
      <c r="D135" s="49">
        <f t="shared" si="11"/>
        <v>624.99578594557261</v>
      </c>
      <c r="F135" s="49">
        <f t="shared" si="16"/>
        <v>213651.94012713432</v>
      </c>
      <c r="G135" s="49">
        <f t="shared" si="12"/>
        <v>66348.059872865677</v>
      </c>
      <c r="H135" s="49">
        <f t="shared" si="13"/>
        <v>90817.580860222894</v>
      </c>
    </row>
    <row r="136" spans="1:11" x14ac:dyDescent="0.2">
      <c r="A136" s="50">
        <f t="shared" si="10"/>
        <v>126</v>
      </c>
      <c r="B136" s="56">
        <f t="shared" si="14"/>
        <v>1257.3251258647085</v>
      </c>
      <c r="C136" s="56">
        <f t="shared" si="15"/>
        <v>634.17363382723352</v>
      </c>
      <c r="D136" s="49">
        <f t="shared" si="11"/>
        <v>623.15149203747501</v>
      </c>
      <c r="F136" s="49">
        <f t="shared" si="16"/>
        <v>213017.76649330708</v>
      </c>
      <c r="G136" s="49">
        <f t="shared" si="12"/>
        <v>66982.233506692908</v>
      </c>
      <c r="H136" s="49">
        <f t="shared" si="13"/>
        <v>91440.732352260369</v>
      </c>
    </row>
    <row r="137" spans="1:11" x14ac:dyDescent="0.2">
      <c r="A137" s="50">
        <f t="shared" ref="A137:A200" si="17">IF(OR(F136&lt;0.01,F136=""),"",A136+1)</f>
        <v>127</v>
      </c>
      <c r="B137" s="56">
        <f t="shared" si="14"/>
        <v>1257.3251258647085</v>
      </c>
      <c r="C137" s="56">
        <f t="shared" si="15"/>
        <v>636.02330692589635</v>
      </c>
      <c r="D137" s="49">
        <f t="shared" si="11"/>
        <v>621.30181893881229</v>
      </c>
      <c r="F137" s="49">
        <f t="shared" si="16"/>
        <v>212381.74318638118</v>
      </c>
      <c r="G137" s="49">
        <f t="shared" si="12"/>
        <v>67618.256813618806</v>
      </c>
      <c r="H137" s="49">
        <f t="shared" si="13"/>
        <v>92062.034171199179</v>
      </c>
    </row>
    <row r="138" spans="1:11" x14ac:dyDescent="0.2">
      <c r="A138" s="50">
        <f t="shared" si="17"/>
        <v>128</v>
      </c>
      <c r="B138" s="56">
        <f t="shared" si="14"/>
        <v>1257.3251258647085</v>
      </c>
      <c r="C138" s="56">
        <f t="shared" si="15"/>
        <v>637.87837490443007</v>
      </c>
      <c r="D138" s="49">
        <f t="shared" si="11"/>
        <v>619.44675096027834</v>
      </c>
      <c r="F138" s="49">
        <f t="shared" si="16"/>
        <v>211743.86481147676</v>
      </c>
      <c r="G138" s="49">
        <f t="shared" si="12"/>
        <v>68256.135188523229</v>
      </c>
      <c r="H138" s="49">
        <f t="shared" si="13"/>
        <v>92681.480922159462</v>
      </c>
    </row>
    <row r="139" spans="1:11" x14ac:dyDescent="0.2">
      <c r="A139" s="50">
        <f t="shared" si="17"/>
        <v>129</v>
      </c>
      <c r="B139" s="56">
        <f t="shared" si="14"/>
        <v>1257.3251258647085</v>
      </c>
      <c r="C139" s="56">
        <f t="shared" si="15"/>
        <v>639.73885349790135</v>
      </c>
      <c r="D139" s="49">
        <f t="shared" si="11"/>
        <v>617.58627236680718</v>
      </c>
      <c r="F139" s="49">
        <f t="shared" si="16"/>
        <v>211104.12595797886</v>
      </c>
      <c r="G139" s="49">
        <f t="shared" si="12"/>
        <v>68895.874042021125</v>
      </c>
      <c r="H139" s="49">
        <f t="shared" si="13"/>
        <v>93299.067194526273</v>
      </c>
    </row>
    <row r="140" spans="1:11" x14ac:dyDescent="0.2">
      <c r="A140" s="50">
        <f t="shared" si="17"/>
        <v>130</v>
      </c>
      <c r="B140" s="56">
        <f t="shared" si="14"/>
        <v>1257.3251258647085</v>
      </c>
      <c r="C140" s="56">
        <f t="shared" si="15"/>
        <v>641.60475848727015</v>
      </c>
      <c r="D140" s="49">
        <f t="shared" ref="D140:D203" si="18">IF(A140="","",-IPMT($B$6,A140,$B$5,$B$3,0))</f>
        <v>615.72036737743838</v>
      </c>
      <c r="F140" s="49">
        <f t="shared" si="16"/>
        <v>210462.5211994916</v>
      </c>
      <c r="G140" s="49">
        <f t="shared" ref="G140:G203" si="19">IF(A140="","",C140+E140+G139)</f>
        <v>69537.478800508397</v>
      </c>
      <c r="H140" s="49">
        <f t="shared" ref="H140:H203" si="20">IF(A140="","",D140+H139)</f>
        <v>93914.787561903708</v>
      </c>
    </row>
    <row r="141" spans="1:11" x14ac:dyDescent="0.2">
      <c r="A141" s="50">
        <f t="shared" si="17"/>
        <v>131</v>
      </c>
      <c r="B141" s="56">
        <f t="shared" si="14"/>
        <v>1257.3251258647085</v>
      </c>
      <c r="C141" s="56">
        <f t="shared" si="15"/>
        <v>643.47610569952485</v>
      </c>
      <c r="D141" s="49">
        <f t="shared" si="18"/>
        <v>613.8490201651839</v>
      </c>
      <c r="F141" s="49">
        <f t="shared" si="16"/>
        <v>209819.04509379208</v>
      </c>
      <c r="G141" s="49">
        <f t="shared" si="19"/>
        <v>70180.954906207917</v>
      </c>
      <c r="H141" s="49">
        <f t="shared" si="20"/>
        <v>94528.636582068895</v>
      </c>
    </row>
    <row r="142" spans="1:11" x14ac:dyDescent="0.2">
      <c r="A142" s="50">
        <f t="shared" si="17"/>
        <v>132</v>
      </c>
      <c r="B142" s="56">
        <f t="shared" si="14"/>
        <v>1257.3251258647085</v>
      </c>
      <c r="C142" s="56">
        <f t="shared" si="15"/>
        <v>645.35291100781501</v>
      </c>
      <c r="D142" s="49">
        <f t="shared" si="18"/>
        <v>611.97221485689352</v>
      </c>
      <c r="F142" s="49">
        <f t="shared" si="16"/>
        <v>209173.69218278426</v>
      </c>
      <c r="G142" s="49">
        <f t="shared" si="19"/>
        <v>70826.307817215726</v>
      </c>
      <c r="H142" s="49">
        <f t="shared" si="20"/>
        <v>95140.608796925793</v>
      </c>
    </row>
    <row r="143" spans="1:11" x14ac:dyDescent="0.2">
      <c r="A143" s="50">
        <f t="shared" si="17"/>
        <v>133</v>
      </c>
      <c r="B143" s="56">
        <f t="shared" si="14"/>
        <v>1257.3251258647085</v>
      </c>
      <c r="C143" s="56">
        <f t="shared" si="15"/>
        <v>647.23519033158789</v>
      </c>
      <c r="D143" s="49">
        <f t="shared" si="18"/>
        <v>610.08993553312075</v>
      </c>
      <c r="F143" s="49">
        <f t="shared" si="16"/>
        <v>208526.45699245267</v>
      </c>
      <c r="G143" s="49">
        <f t="shared" si="19"/>
        <v>71473.543007547312</v>
      </c>
      <c r="H143" s="49">
        <f t="shared" si="20"/>
        <v>95750.698732458914</v>
      </c>
    </row>
    <row r="144" spans="1:11" x14ac:dyDescent="0.2">
      <c r="A144" s="50">
        <f t="shared" si="17"/>
        <v>134</v>
      </c>
      <c r="B144" s="56">
        <f t="shared" si="14"/>
        <v>1257.3251258647085</v>
      </c>
      <c r="C144" s="56">
        <f t="shared" si="15"/>
        <v>649.1229596367217</v>
      </c>
      <c r="D144" s="49">
        <f t="shared" si="18"/>
        <v>608.20216622798694</v>
      </c>
      <c r="F144" s="49">
        <f t="shared" si="16"/>
        <v>207877.33403281594</v>
      </c>
      <c r="G144" s="49">
        <f t="shared" si="19"/>
        <v>72122.665967184032</v>
      </c>
      <c r="H144" s="49">
        <f t="shared" si="20"/>
        <v>96358.900898686901</v>
      </c>
    </row>
    <row r="145" spans="1:8" x14ac:dyDescent="0.2">
      <c r="A145" s="50">
        <f t="shared" si="17"/>
        <v>135</v>
      </c>
      <c r="B145" s="56">
        <f t="shared" si="14"/>
        <v>1257.3251258647085</v>
      </c>
      <c r="C145" s="56">
        <f t="shared" si="15"/>
        <v>651.01623493566217</v>
      </c>
      <c r="D145" s="49">
        <f t="shared" si="18"/>
        <v>606.30889092904647</v>
      </c>
      <c r="F145" s="49">
        <f t="shared" si="16"/>
        <v>207226.31779788027</v>
      </c>
      <c r="G145" s="49">
        <f t="shared" si="19"/>
        <v>72773.6822021197</v>
      </c>
      <c r="H145" s="49">
        <f t="shared" si="20"/>
        <v>96965.209789615954</v>
      </c>
    </row>
    <row r="146" spans="1:8" x14ac:dyDescent="0.2">
      <c r="A146" s="50">
        <f t="shared" si="17"/>
        <v>136</v>
      </c>
      <c r="B146" s="56">
        <f t="shared" si="14"/>
        <v>1257.3251258647085</v>
      </c>
      <c r="C146" s="56">
        <f t="shared" si="15"/>
        <v>652.91503228755789</v>
      </c>
      <c r="D146" s="49">
        <f t="shared" si="18"/>
        <v>604.41009357715086</v>
      </c>
      <c r="F146" s="49">
        <f t="shared" si="16"/>
        <v>206573.40276559271</v>
      </c>
      <c r="G146" s="49">
        <f t="shared" si="19"/>
        <v>73426.597234407265</v>
      </c>
      <c r="H146" s="49">
        <f t="shared" si="20"/>
        <v>97569.619883193111</v>
      </c>
    </row>
    <row r="147" spans="1:8" x14ac:dyDescent="0.2">
      <c r="A147" s="50">
        <f t="shared" si="17"/>
        <v>137</v>
      </c>
      <c r="B147" s="56">
        <f t="shared" si="14"/>
        <v>1257.3251258647085</v>
      </c>
      <c r="C147" s="56">
        <f t="shared" si="15"/>
        <v>654.81936779839646</v>
      </c>
      <c r="D147" s="49">
        <f t="shared" si="18"/>
        <v>602.50575806631207</v>
      </c>
      <c r="F147" s="49">
        <f t="shared" si="16"/>
        <v>205918.58339779431</v>
      </c>
      <c r="G147" s="49">
        <f t="shared" si="19"/>
        <v>74081.41660220566</v>
      </c>
      <c r="H147" s="49">
        <f t="shared" si="20"/>
        <v>98172.125641259423</v>
      </c>
    </row>
    <row r="148" spans="1:8" x14ac:dyDescent="0.2">
      <c r="A148" s="50">
        <f t="shared" si="17"/>
        <v>138</v>
      </c>
      <c r="B148" s="56">
        <f t="shared" si="14"/>
        <v>1257.3251258647085</v>
      </c>
      <c r="C148" s="56">
        <f t="shared" si="15"/>
        <v>656.72925762114187</v>
      </c>
      <c r="D148" s="49">
        <f t="shared" si="18"/>
        <v>600.59586824356677</v>
      </c>
      <c r="F148" s="49">
        <f t="shared" si="16"/>
        <v>205261.85414017318</v>
      </c>
      <c r="G148" s="49">
        <f t="shared" si="19"/>
        <v>74738.145859826807</v>
      </c>
      <c r="H148" s="49">
        <f t="shared" si="20"/>
        <v>98772.721509502997</v>
      </c>
    </row>
    <row r="149" spans="1:8" x14ac:dyDescent="0.2">
      <c r="A149" s="50">
        <f t="shared" si="17"/>
        <v>139</v>
      </c>
      <c r="B149" s="56">
        <f t="shared" si="14"/>
        <v>1257.3251258647085</v>
      </c>
      <c r="C149" s="56">
        <f t="shared" si="15"/>
        <v>658.64471795587008</v>
      </c>
      <c r="D149" s="49">
        <f t="shared" si="18"/>
        <v>598.68040790883845</v>
      </c>
      <c r="F149" s="49">
        <f t="shared" si="16"/>
        <v>204603.2094222173</v>
      </c>
      <c r="G149" s="49">
        <f t="shared" si="19"/>
        <v>75396.790577782682</v>
      </c>
      <c r="H149" s="49">
        <f t="shared" si="20"/>
        <v>99371.401917411829</v>
      </c>
    </row>
    <row r="150" spans="1:8" x14ac:dyDescent="0.2">
      <c r="A150" s="50">
        <f t="shared" si="17"/>
        <v>140</v>
      </c>
      <c r="B150" s="56">
        <f t="shared" ref="B150:B213" si="21">IF(A150="","",IF(F149&lt;B149,F149+D150,-PMT($B$6,$B$5,$B$3,0)))</f>
        <v>1257.3251258647085</v>
      </c>
      <c r="C150" s="56">
        <f t="shared" ref="C150:C213" si="22">IF(A150="","",IF(F149&lt;C149,F149,-PPMT($B$6,$A150,$B$5,$B$3,0)))</f>
        <v>660.56576504990812</v>
      </c>
      <c r="D150" s="49">
        <f t="shared" si="18"/>
        <v>596.75936081480052</v>
      </c>
      <c r="F150" s="49">
        <f t="shared" si="16"/>
        <v>203942.64365716738</v>
      </c>
      <c r="G150" s="49">
        <f t="shared" si="19"/>
        <v>76057.356342832587</v>
      </c>
      <c r="H150" s="49">
        <f t="shared" si="20"/>
        <v>99968.161278226631</v>
      </c>
    </row>
    <row r="151" spans="1:8" x14ac:dyDescent="0.2">
      <c r="A151" s="50">
        <f t="shared" si="17"/>
        <v>141</v>
      </c>
      <c r="B151" s="56">
        <f t="shared" si="21"/>
        <v>1257.3251258647085</v>
      </c>
      <c r="C151" s="56">
        <f t="shared" si="22"/>
        <v>662.49241519797033</v>
      </c>
      <c r="D151" s="49">
        <f t="shared" si="18"/>
        <v>594.83271066673819</v>
      </c>
      <c r="F151" s="49">
        <f t="shared" si="16"/>
        <v>203280.1512419694</v>
      </c>
      <c r="G151" s="49">
        <f t="shared" si="19"/>
        <v>76719.848758030552</v>
      </c>
      <c r="H151" s="49">
        <f t="shared" si="20"/>
        <v>100562.99398889337</v>
      </c>
    </row>
    <row r="152" spans="1:8" x14ac:dyDescent="0.2">
      <c r="A152" s="50">
        <f t="shared" si="17"/>
        <v>142</v>
      </c>
      <c r="B152" s="56">
        <f t="shared" si="21"/>
        <v>1257.3251258647085</v>
      </c>
      <c r="C152" s="56">
        <f t="shared" si="22"/>
        <v>664.42468474229781</v>
      </c>
      <c r="D152" s="49">
        <f t="shared" si="18"/>
        <v>592.90044112241083</v>
      </c>
      <c r="F152" s="49">
        <f t="shared" si="16"/>
        <v>202615.72655722711</v>
      </c>
      <c r="G152" s="49">
        <f t="shared" si="19"/>
        <v>77384.273442772843</v>
      </c>
      <c r="H152" s="49">
        <f t="shared" si="20"/>
        <v>101155.89443001579</v>
      </c>
    </row>
    <row r="153" spans="1:8" x14ac:dyDescent="0.2">
      <c r="A153" s="50">
        <f t="shared" si="17"/>
        <v>143</v>
      </c>
      <c r="B153" s="56">
        <f t="shared" si="21"/>
        <v>1257.3251258647085</v>
      </c>
      <c r="C153" s="56">
        <f t="shared" si="22"/>
        <v>666.36259007279614</v>
      </c>
      <c r="D153" s="49">
        <f t="shared" si="18"/>
        <v>590.96253579191239</v>
      </c>
      <c r="F153" s="49">
        <f t="shared" si="16"/>
        <v>201949.36396715432</v>
      </c>
      <c r="G153" s="49">
        <f t="shared" si="19"/>
        <v>78050.636032845636</v>
      </c>
      <c r="H153" s="49">
        <f t="shared" si="20"/>
        <v>101746.8569658077</v>
      </c>
    </row>
    <row r="154" spans="1:8" x14ac:dyDescent="0.2">
      <c r="A154" s="50">
        <f t="shared" si="17"/>
        <v>144</v>
      </c>
      <c r="B154" s="56">
        <f t="shared" si="21"/>
        <v>1257.3251258647085</v>
      </c>
      <c r="C154" s="56">
        <f t="shared" si="22"/>
        <v>668.30614762717505</v>
      </c>
      <c r="D154" s="49">
        <f t="shared" si="18"/>
        <v>589.01897823753347</v>
      </c>
      <c r="F154" s="49">
        <f t="shared" si="16"/>
        <v>201281.05781952714</v>
      </c>
      <c r="G154" s="49">
        <f t="shared" si="19"/>
        <v>78718.942180472804</v>
      </c>
      <c r="H154" s="49">
        <f t="shared" si="20"/>
        <v>102335.87594404524</v>
      </c>
    </row>
    <row r="155" spans="1:8" x14ac:dyDescent="0.2">
      <c r="A155" s="50">
        <f t="shared" si="17"/>
        <v>145</v>
      </c>
      <c r="B155" s="56">
        <f t="shared" si="21"/>
        <v>1257.3251258647085</v>
      </c>
      <c r="C155" s="56">
        <f t="shared" si="22"/>
        <v>670.25537389108774</v>
      </c>
      <c r="D155" s="49">
        <f t="shared" si="18"/>
        <v>587.0697519736209</v>
      </c>
      <c r="F155" s="49">
        <f t="shared" si="16"/>
        <v>200610.80244563604</v>
      </c>
      <c r="G155" s="49">
        <f t="shared" si="19"/>
        <v>79389.197554363898</v>
      </c>
      <c r="H155" s="49">
        <f t="shared" si="20"/>
        <v>102922.94569601887</v>
      </c>
    </row>
    <row r="156" spans="1:8" x14ac:dyDescent="0.2">
      <c r="A156" s="50">
        <f t="shared" si="17"/>
        <v>146</v>
      </c>
      <c r="B156" s="56">
        <f t="shared" si="21"/>
        <v>1257.3251258647085</v>
      </c>
      <c r="C156" s="56">
        <f t="shared" si="22"/>
        <v>672.21028539827</v>
      </c>
      <c r="D156" s="49">
        <f t="shared" si="18"/>
        <v>585.11484046643852</v>
      </c>
      <c r="F156" s="49">
        <f t="shared" si="16"/>
        <v>199938.59216023778</v>
      </c>
      <c r="G156" s="49">
        <f t="shared" si="19"/>
        <v>80061.407839762163</v>
      </c>
      <c r="H156" s="49">
        <f t="shared" si="20"/>
        <v>103508.06053648531</v>
      </c>
    </row>
    <row r="157" spans="1:8" x14ac:dyDescent="0.2">
      <c r="A157" s="50">
        <f t="shared" si="17"/>
        <v>147</v>
      </c>
      <c r="B157" s="56">
        <f t="shared" si="21"/>
        <v>1257.3251258647085</v>
      </c>
      <c r="C157" s="56">
        <f t="shared" si="22"/>
        <v>674.17089873068164</v>
      </c>
      <c r="D157" s="49">
        <f t="shared" si="18"/>
        <v>583.15422713402688</v>
      </c>
      <c r="F157" s="49">
        <f t="shared" si="16"/>
        <v>199264.42126150709</v>
      </c>
      <c r="G157" s="49">
        <f t="shared" si="19"/>
        <v>80735.578738492841</v>
      </c>
      <c r="H157" s="49">
        <f t="shared" si="20"/>
        <v>104091.21476361934</v>
      </c>
    </row>
    <row r="158" spans="1:8" x14ac:dyDescent="0.2">
      <c r="A158" s="50">
        <f t="shared" si="17"/>
        <v>148</v>
      </c>
      <c r="B158" s="56">
        <f t="shared" si="21"/>
        <v>1257.3251258647085</v>
      </c>
      <c r="C158" s="56">
        <f t="shared" si="22"/>
        <v>676.13723051864622</v>
      </c>
      <c r="D158" s="49">
        <f t="shared" si="18"/>
        <v>581.18789534606231</v>
      </c>
      <c r="F158" s="49">
        <f t="shared" si="16"/>
        <v>198588.28403098843</v>
      </c>
      <c r="G158" s="49">
        <f t="shared" si="19"/>
        <v>81411.715969011493</v>
      </c>
      <c r="H158" s="49">
        <f t="shared" si="20"/>
        <v>104672.40265896541</v>
      </c>
    </row>
    <row r="159" spans="1:8" x14ac:dyDescent="0.2">
      <c r="A159" s="50">
        <f t="shared" si="17"/>
        <v>149</v>
      </c>
      <c r="B159" s="56">
        <f t="shared" si="21"/>
        <v>1257.3251258647085</v>
      </c>
      <c r="C159" s="56">
        <f t="shared" si="22"/>
        <v>678.10929744099224</v>
      </c>
      <c r="D159" s="49">
        <f t="shared" si="18"/>
        <v>579.21582842371652</v>
      </c>
      <c r="F159" s="49">
        <f t="shared" si="16"/>
        <v>197910.17473354744</v>
      </c>
      <c r="G159" s="49">
        <f t="shared" si="19"/>
        <v>82089.825266452492</v>
      </c>
      <c r="H159" s="49">
        <f t="shared" si="20"/>
        <v>105251.61848738913</v>
      </c>
    </row>
    <row r="160" spans="1:8" x14ac:dyDescent="0.2">
      <c r="A160" s="50">
        <f t="shared" si="17"/>
        <v>150</v>
      </c>
      <c r="B160" s="56">
        <f t="shared" si="21"/>
        <v>1257.3251258647085</v>
      </c>
      <c r="C160" s="56">
        <f t="shared" si="22"/>
        <v>680.08711622519513</v>
      </c>
      <c r="D160" s="49">
        <f t="shared" si="18"/>
        <v>577.23800963951351</v>
      </c>
      <c r="F160" s="49">
        <f t="shared" si="16"/>
        <v>197230.08761732225</v>
      </c>
      <c r="G160" s="49">
        <f t="shared" si="19"/>
        <v>82769.912382677692</v>
      </c>
      <c r="H160" s="49">
        <f t="shared" si="20"/>
        <v>105828.85649702864</v>
      </c>
    </row>
    <row r="161" spans="1:8" x14ac:dyDescent="0.2">
      <c r="A161" s="50">
        <f t="shared" si="17"/>
        <v>151</v>
      </c>
      <c r="B161" s="56">
        <f t="shared" si="21"/>
        <v>1257.3251258647085</v>
      </c>
      <c r="C161" s="56">
        <f t="shared" si="22"/>
        <v>682.0707036475186</v>
      </c>
      <c r="D161" s="49">
        <f t="shared" si="18"/>
        <v>575.25442221719004</v>
      </c>
      <c r="F161" s="49">
        <f t="shared" si="16"/>
        <v>196548.01691367474</v>
      </c>
      <c r="G161" s="49">
        <f t="shared" si="19"/>
        <v>83451.983086325214</v>
      </c>
      <c r="H161" s="49">
        <f t="shared" si="20"/>
        <v>106404.11091924582</v>
      </c>
    </row>
    <row r="162" spans="1:8" x14ac:dyDescent="0.2">
      <c r="A162" s="50">
        <f t="shared" si="17"/>
        <v>152</v>
      </c>
      <c r="B162" s="56">
        <f t="shared" si="21"/>
        <v>1257.3251258647085</v>
      </c>
      <c r="C162" s="56">
        <f t="shared" si="22"/>
        <v>684.06007653315726</v>
      </c>
      <c r="D162" s="49">
        <f t="shared" si="18"/>
        <v>573.26504933155138</v>
      </c>
      <c r="F162" s="49">
        <f t="shared" si="16"/>
        <v>195863.9568371416</v>
      </c>
      <c r="G162" s="49">
        <f t="shared" si="19"/>
        <v>84136.043162858376</v>
      </c>
      <c r="H162" s="49">
        <f t="shared" si="20"/>
        <v>106977.37596857737</v>
      </c>
    </row>
    <row r="163" spans="1:8" x14ac:dyDescent="0.2">
      <c r="A163" s="50">
        <f t="shared" si="17"/>
        <v>153</v>
      </c>
      <c r="B163" s="56">
        <f t="shared" si="21"/>
        <v>1257.3251258647085</v>
      </c>
      <c r="C163" s="56">
        <f t="shared" si="22"/>
        <v>686.05525175637888</v>
      </c>
      <c r="D163" s="49">
        <f t="shared" si="18"/>
        <v>571.26987410832976</v>
      </c>
      <c r="F163" s="49">
        <f t="shared" si="16"/>
        <v>195177.9015853852</v>
      </c>
      <c r="G163" s="49">
        <f t="shared" si="19"/>
        <v>84822.098414614753</v>
      </c>
      <c r="H163" s="49">
        <f t="shared" si="20"/>
        <v>107548.6458426857</v>
      </c>
    </row>
    <row r="164" spans="1:8" x14ac:dyDescent="0.2">
      <c r="A164" s="50">
        <f t="shared" si="17"/>
        <v>154</v>
      </c>
      <c r="B164" s="56">
        <f t="shared" si="21"/>
        <v>1257.3251258647085</v>
      </c>
      <c r="C164" s="56">
        <f t="shared" si="22"/>
        <v>688.05624624066832</v>
      </c>
      <c r="D164" s="49">
        <f t="shared" si="18"/>
        <v>569.26887962404021</v>
      </c>
      <c r="F164" s="49">
        <f t="shared" si="16"/>
        <v>194489.84533914452</v>
      </c>
      <c r="G164" s="49">
        <f t="shared" si="19"/>
        <v>85510.15466085542</v>
      </c>
      <c r="H164" s="49">
        <f t="shared" si="20"/>
        <v>108117.91472230974</v>
      </c>
    </row>
    <row r="165" spans="1:8" x14ac:dyDescent="0.2">
      <c r="A165" s="50">
        <f t="shared" si="17"/>
        <v>155</v>
      </c>
      <c r="B165" s="56">
        <f t="shared" si="21"/>
        <v>1257.3251258647085</v>
      </c>
      <c r="C165" s="56">
        <f t="shared" si="22"/>
        <v>690.0630769588704</v>
      </c>
      <c r="D165" s="49">
        <f t="shared" si="18"/>
        <v>567.26204890583836</v>
      </c>
      <c r="F165" s="49">
        <f t="shared" si="16"/>
        <v>193799.78226218565</v>
      </c>
      <c r="G165" s="49">
        <f t="shared" si="19"/>
        <v>86200.217737814295</v>
      </c>
      <c r="H165" s="49">
        <f t="shared" si="20"/>
        <v>108685.17677121557</v>
      </c>
    </row>
    <row r="166" spans="1:8" x14ac:dyDescent="0.2">
      <c r="A166" s="50">
        <f t="shared" si="17"/>
        <v>156</v>
      </c>
      <c r="B166" s="56">
        <f t="shared" si="21"/>
        <v>1257.3251258647085</v>
      </c>
      <c r="C166" s="56">
        <f t="shared" si="22"/>
        <v>692.07576093333353</v>
      </c>
      <c r="D166" s="49">
        <f t="shared" si="18"/>
        <v>565.24936493137488</v>
      </c>
      <c r="F166" s="49">
        <f t="shared" si="16"/>
        <v>193107.70650125231</v>
      </c>
      <c r="G166" s="49">
        <f t="shared" si="19"/>
        <v>86892.293498747633</v>
      </c>
      <c r="H166" s="49">
        <f t="shared" si="20"/>
        <v>109250.42613614694</v>
      </c>
    </row>
    <row r="167" spans="1:8" x14ac:dyDescent="0.2">
      <c r="A167" s="50">
        <f t="shared" si="17"/>
        <v>157</v>
      </c>
      <c r="B167" s="56">
        <f t="shared" si="21"/>
        <v>1257.3251258647085</v>
      </c>
      <c r="C167" s="56">
        <f t="shared" si="22"/>
        <v>694.09431523605599</v>
      </c>
      <c r="D167" s="49">
        <f t="shared" si="18"/>
        <v>563.23081062865276</v>
      </c>
      <c r="F167" s="49">
        <f t="shared" si="16"/>
        <v>192413.61218601625</v>
      </c>
      <c r="G167" s="49">
        <f t="shared" si="19"/>
        <v>87586.387813983689</v>
      </c>
      <c r="H167" s="49">
        <f t="shared" si="20"/>
        <v>109813.65694677559</v>
      </c>
    </row>
    <row r="168" spans="1:8" x14ac:dyDescent="0.2">
      <c r="A168" s="50">
        <f t="shared" si="17"/>
        <v>158</v>
      </c>
      <c r="B168" s="56">
        <f t="shared" si="21"/>
        <v>1257.3251258647085</v>
      </c>
      <c r="C168" s="56">
        <f t="shared" si="22"/>
        <v>696.11875698882773</v>
      </c>
      <c r="D168" s="49">
        <f t="shared" si="18"/>
        <v>561.2063688758808</v>
      </c>
      <c r="F168" s="49">
        <f t="shared" si="16"/>
        <v>191717.49342902744</v>
      </c>
      <c r="G168" s="49">
        <f t="shared" si="19"/>
        <v>88282.506570972517</v>
      </c>
      <c r="H168" s="49">
        <f t="shared" si="20"/>
        <v>110374.86331565147</v>
      </c>
    </row>
    <row r="169" spans="1:8" x14ac:dyDescent="0.2">
      <c r="A169" s="50">
        <f t="shared" si="17"/>
        <v>159</v>
      </c>
      <c r="B169" s="56">
        <f t="shared" si="21"/>
        <v>1257.3251258647085</v>
      </c>
      <c r="C169" s="56">
        <f t="shared" si="22"/>
        <v>698.14910336337846</v>
      </c>
      <c r="D169" s="49">
        <f t="shared" si="18"/>
        <v>559.17602250133018</v>
      </c>
      <c r="F169" s="49">
        <f t="shared" si="16"/>
        <v>191019.34432566407</v>
      </c>
      <c r="G169" s="49">
        <f t="shared" si="19"/>
        <v>88980.655674335896</v>
      </c>
      <c r="H169" s="49">
        <f t="shared" si="20"/>
        <v>110934.0393381528</v>
      </c>
    </row>
    <row r="170" spans="1:8" x14ac:dyDescent="0.2">
      <c r="A170" s="50">
        <f t="shared" si="17"/>
        <v>160</v>
      </c>
      <c r="B170" s="56">
        <f t="shared" si="21"/>
        <v>1257.3251258647085</v>
      </c>
      <c r="C170" s="56">
        <f t="shared" si="22"/>
        <v>700.18537158152162</v>
      </c>
      <c r="D170" s="49">
        <f t="shared" si="18"/>
        <v>557.13975428318702</v>
      </c>
      <c r="F170" s="49">
        <f t="shared" si="16"/>
        <v>190319.15895408255</v>
      </c>
      <c r="G170" s="49">
        <f t="shared" si="19"/>
        <v>89680.841045917419</v>
      </c>
      <c r="H170" s="49">
        <f t="shared" si="20"/>
        <v>111491.17909243598</v>
      </c>
    </row>
    <row r="171" spans="1:8" x14ac:dyDescent="0.2">
      <c r="A171" s="50">
        <f t="shared" si="17"/>
        <v>161</v>
      </c>
      <c r="B171" s="56">
        <f t="shared" si="21"/>
        <v>1257.3251258647085</v>
      </c>
      <c r="C171" s="56">
        <f t="shared" si="22"/>
        <v>702.22757891530114</v>
      </c>
      <c r="D171" s="49">
        <f t="shared" si="18"/>
        <v>555.0975469494075</v>
      </c>
      <c r="F171" s="49">
        <f t="shared" si="16"/>
        <v>189616.93137516725</v>
      </c>
      <c r="G171" s="49">
        <f t="shared" si="19"/>
        <v>90383.068624832726</v>
      </c>
      <c r="H171" s="49">
        <f t="shared" si="20"/>
        <v>112046.27663938538</v>
      </c>
    </row>
    <row r="172" spans="1:8" x14ac:dyDescent="0.2">
      <c r="A172" s="50">
        <f t="shared" si="17"/>
        <v>162</v>
      </c>
      <c r="B172" s="56">
        <f t="shared" si="21"/>
        <v>1257.3251258647085</v>
      </c>
      <c r="C172" s="56">
        <f t="shared" si="22"/>
        <v>704.27574268713738</v>
      </c>
      <c r="D172" s="49">
        <f t="shared" si="18"/>
        <v>553.04938317757114</v>
      </c>
      <c r="F172" s="49">
        <f t="shared" si="16"/>
        <v>188912.65563248011</v>
      </c>
      <c r="G172" s="49">
        <f t="shared" si="19"/>
        <v>91087.344367519865</v>
      </c>
      <c r="H172" s="49">
        <f t="shared" si="20"/>
        <v>112599.32602256295</v>
      </c>
    </row>
    <row r="173" spans="1:8" x14ac:dyDescent="0.2">
      <c r="A173" s="50">
        <f t="shared" si="17"/>
        <v>163</v>
      </c>
      <c r="B173" s="56">
        <f t="shared" si="21"/>
        <v>1257.3251258647085</v>
      </c>
      <c r="C173" s="56">
        <f t="shared" si="22"/>
        <v>706.32988026997486</v>
      </c>
      <c r="D173" s="49">
        <f t="shared" si="18"/>
        <v>550.99524559473366</v>
      </c>
      <c r="F173" s="49">
        <f t="shared" si="16"/>
        <v>188206.32575221013</v>
      </c>
      <c r="G173" s="49">
        <f t="shared" si="19"/>
        <v>91793.674247789837</v>
      </c>
      <c r="H173" s="49">
        <f t="shared" si="20"/>
        <v>113150.32126815768</v>
      </c>
    </row>
    <row r="174" spans="1:8" x14ac:dyDescent="0.2">
      <c r="A174" s="50">
        <f t="shared" si="17"/>
        <v>164</v>
      </c>
      <c r="B174" s="56">
        <f t="shared" si="21"/>
        <v>1257.3251258647085</v>
      </c>
      <c r="C174" s="56">
        <f t="shared" si="22"/>
        <v>708.39000908742901</v>
      </c>
      <c r="D174" s="49">
        <f t="shared" si="18"/>
        <v>548.93511677727952</v>
      </c>
      <c r="F174" s="49">
        <f t="shared" si="16"/>
        <v>187497.93574312271</v>
      </c>
      <c r="G174" s="49">
        <f t="shared" si="19"/>
        <v>92502.06425687726</v>
      </c>
      <c r="H174" s="49">
        <f t="shared" si="20"/>
        <v>113699.25638493497</v>
      </c>
    </row>
    <row r="175" spans="1:8" x14ac:dyDescent="0.2">
      <c r="A175" s="50">
        <f t="shared" si="17"/>
        <v>165</v>
      </c>
      <c r="B175" s="56">
        <f t="shared" si="21"/>
        <v>1257.3251258647085</v>
      </c>
      <c r="C175" s="56">
        <f t="shared" si="22"/>
        <v>710.45614661393392</v>
      </c>
      <c r="D175" s="49">
        <f t="shared" si="18"/>
        <v>546.86897925077471</v>
      </c>
      <c r="F175" s="49">
        <f t="shared" si="16"/>
        <v>186787.47959650878</v>
      </c>
      <c r="G175" s="49">
        <f t="shared" si="19"/>
        <v>93212.520403491188</v>
      </c>
      <c r="H175" s="49">
        <f t="shared" si="20"/>
        <v>114246.12536418575</v>
      </c>
    </row>
    <row r="176" spans="1:8" x14ac:dyDescent="0.2">
      <c r="A176" s="50">
        <f t="shared" si="17"/>
        <v>166</v>
      </c>
      <c r="B176" s="56">
        <f t="shared" si="21"/>
        <v>1257.3251258647085</v>
      </c>
      <c r="C176" s="56">
        <f t="shared" si="22"/>
        <v>712.52831037489113</v>
      </c>
      <c r="D176" s="49">
        <f t="shared" si="18"/>
        <v>544.79681548981728</v>
      </c>
      <c r="F176" s="49">
        <f t="shared" si="16"/>
        <v>186074.9512861339</v>
      </c>
      <c r="G176" s="49">
        <f t="shared" si="19"/>
        <v>93925.048713866083</v>
      </c>
      <c r="H176" s="49">
        <f t="shared" si="20"/>
        <v>114790.92217967556</v>
      </c>
    </row>
    <row r="177" spans="1:8" x14ac:dyDescent="0.2">
      <c r="A177" s="50">
        <f t="shared" si="17"/>
        <v>167</v>
      </c>
      <c r="B177" s="56">
        <f t="shared" si="21"/>
        <v>1257.3251258647085</v>
      </c>
      <c r="C177" s="56">
        <f t="shared" si="22"/>
        <v>714.60651794681803</v>
      </c>
      <c r="D177" s="49">
        <f t="shared" si="18"/>
        <v>542.71860791789061</v>
      </c>
      <c r="F177" s="49">
        <f t="shared" si="16"/>
        <v>185360.34476818709</v>
      </c>
      <c r="G177" s="49">
        <f t="shared" si="19"/>
        <v>94639.655231812896</v>
      </c>
      <c r="H177" s="49">
        <f t="shared" si="20"/>
        <v>115333.64078759345</v>
      </c>
    </row>
    <row r="178" spans="1:8" x14ac:dyDescent="0.2">
      <c r="A178" s="50">
        <f t="shared" si="17"/>
        <v>168</v>
      </c>
      <c r="B178" s="56">
        <f t="shared" si="21"/>
        <v>1257.3251258647085</v>
      </c>
      <c r="C178" s="56">
        <f t="shared" si="22"/>
        <v>716.69078695749624</v>
      </c>
      <c r="D178" s="49">
        <f t="shared" si="18"/>
        <v>540.6343389072124</v>
      </c>
      <c r="F178" s="49">
        <f t="shared" si="16"/>
        <v>184643.65398122958</v>
      </c>
      <c r="G178" s="49">
        <f t="shared" si="19"/>
        <v>95356.346018770389</v>
      </c>
      <c r="H178" s="49">
        <f t="shared" si="20"/>
        <v>115874.27512650067</v>
      </c>
    </row>
    <row r="179" spans="1:8" x14ac:dyDescent="0.2">
      <c r="A179" s="50">
        <f t="shared" si="17"/>
        <v>169</v>
      </c>
      <c r="B179" s="56">
        <f t="shared" si="21"/>
        <v>1257.3251258647085</v>
      </c>
      <c r="C179" s="56">
        <f t="shared" si="22"/>
        <v>718.78113508612228</v>
      </c>
      <c r="D179" s="49">
        <f t="shared" si="18"/>
        <v>538.54399077858625</v>
      </c>
      <c r="F179" s="49">
        <f t="shared" si="16"/>
        <v>183924.87284614347</v>
      </c>
      <c r="G179" s="49">
        <f t="shared" si="19"/>
        <v>96075.127153856505</v>
      </c>
      <c r="H179" s="49">
        <f t="shared" si="20"/>
        <v>116412.81911727926</v>
      </c>
    </row>
    <row r="180" spans="1:8" x14ac:dyDescent="0.2">
      <c r="A180" s="50">
        <f t="shared" si="17"/>
        <v>170</v>
      </c>
      <c r="B180" s="56">
        <f t="shared" si="21"/>
        <v>1257.3251258647085</v>
      </c>
      <c r="C180" s="56">
        <f t="shared" si="22"/>
        <v>720.87758006345678</v>
      </c>
      <c r="D180" s="49">
        <f t="shared" si="18"/>
        <v>536.44754580125175</v>
      </c>
      <c r="F180" s="49">
        <f t="shared" si="16"/>
        <v>183203.99526608002</v>
      </c>
      <c r="G180" s="49">
        <f t="shared" si="19"/>
        <v>96796.004733919966</v>
      </c>
      <c r="H180" s="49">
        <f t="shared" si="20"/>
        <v>116949.2666630805</v>
      </c>
    </row>
    <row r="181" spans="1:8" x14ac:dyDescent="0.2">
      <c r="A181" s="50">
        <f t="shared" si="17"/>
        <v>171</v>
      </c>
      <c r="B181" s="56">
        <f t="shared" si="21"/>
        <v>1257.3251258647085</v>
      </c>
      <c r="C181" s="56">
        <f t="shared" si="22"/>
        <v>722.98013967197517</v>
      </c>
      <c r="D181" s="49">
        <f t="shared" si="18"/>
        <v>534.34498619273336</v>
      </c>
      <c r="F181" s="49">
        <f t="shared" si="16"/>
        <v>182481.01512640805</v>
      </c>
      <c r="G181" s="49">
        <f t="shared" si="19"/>
        <v>97518.984873591937</v>
      </c>
      <c r="H181" s="49">
        <f t="shared" si="20"/>
        <v>117483.61164927324</v>
      </c>
    </row>
    <row r="182" spans="1:8" x14ac:dyDescent="0.2">
      <c r="A182" s="50">
        <f t="shared" si="17"/>
        <v>172</v>
      </c>
      <c r="B182" s="56">
        <f t="shared" si="21"/>
        <v>1257.3251258647085</v>
      </c>
      <c r="C182" s="56">
        <f t="shared" si="22"/>
        <v>725.08883174601851</v>
      </c>
      <c r="D182" s="49">
        <f t="shared" si="18"/>
        <v>532.23629411869013</v>
      </c>
      <c r="F182" s="49">
        <f t="shared" si="16"/>
        <v>181755.92629466203</v>
      </c>
      <c r="G182" s="49">
        <f t="shared" si="19"/>
        <v>98244.073705337956</v>
      </c>
      <c r="H182" s="49">
        <f t="shared" si="20"/>
        <v>118015.84794339193</v>
      </c>
    </row>
    <row r="183" spans="1:8" x14ac:dyDescent="0.2">
      <c r="A183" s="50">
        <f t="shared" si="17"/>
        <v>173</v>
      </c>
      <c r="B183" s="56">
        <f t="shared" si="21"/>
        <v>1257.3251258647085</v>
      </c>
      <c r="C183" s="56">
        <f t="shared" si="22"/>
        <v>727.20367417194439</v>
      </c>
      <c r="D183" s="49">
        <f t="shared" si="18"/>
        <v>530.12145169276425</v>
      </c>
      <c r="F183" s="49">
        <f t="shared" si="16"/>
        <v>181028.72262049009</v>
      </c>
      <c r="G183" s="49">
        <f t="shared" si="19"/>
        <v>98971.277379509906</v>
      </c>
      <c r="H183" s="49">
        <f t="shared" si="20"/>
        <v>118545.96939508468</v>
      </c>
    </row>
    <row r="184" spans="1:8" x14ac:dyDescent="0.2">
      <c r="A184" s="50">
        <f t="shared" si="17"/>
        <v>174</v>
      </c>
      <c r="B184" s="56">
        <f t="shared" si="21"/>
        <v>1257.3251258647085</v>
      </c>
      <c r="C184" s="56">
        <f t="shared" si="22"/>
        <v>729.32468488827919</v>
      </c>
      <c r="D184" s="49">
        <f t="shared" si="18"/>
        <v>528.00044097642933</v>
      </c>
      <c r="F184" s="49">
        <f t="shared" si="16"/>
        <v>180299.39793560182</v>
      </c>
      <c r="G184" s="49">
        <f t="shared" si="19"/>
        <v>99700.60206439819</v>
      </c>
      <c r="H184" s="49">
        <f t="shared" si="20"/>
        <v>119073.96983606111</v>
      </c>
    </row>
    <row r="185" spans="1:8" x14ac:dyDescent="0.2">
      <c r="A185" s="50">
        <f t="shared" si="17"/>
        <v>175</v>
      </c>
      <c r="B185" s="56">
        <f t="shared" si="21"/>
        <v>1257.3251258647085</v>
      </c>
      <c r="C185" s="56">
        <f t="shared" si="22"/>
        <v>731.45188188586997</v>
      </c>
      <c r="D185" s="49">
        <f t="shared" si="18"/>
        <v>525.87324397883856</v>
      </c>
      <c r="F185" s="49">
        <f t="shared" si="16"/>
        <v>179567.94605371595</v>
      </c>
      <c r="G185" s="49">
        <f t="shared" si="19"/>
        <v>100432.05394628405</v>
      </c>
      <c r="H185" s="49">
        <f t="shared" si="20"/>
        <v>119599.84308003995</v>
      </c>
    </row>
    <row r="186" spans="1:8" x14ac:dyDescent="0.2">
      <c r="A186" s="50">
        <f t="shared" si="17"/>
        <v>176</v>
      </c>
      <c r="B186" s="56">
        <f t="shared" si="21"/>
        <v>1257.3251258647085</v>
      </c>
      <c r="C186" s="56">
        <f t="shared" si="22"/>
        <v>733.58528320803703</v>
      </c>
      <c r="D186" s="49">
        <f t="shared" si="18"/>
        <v>523.7398426566715</v>
      </c>
      <c r="F186" s="49">
        <f t="shared" si="16"/>
        <v>178834.36077050792</v>
      </c>
      <c r="G186" s="49">
        <f t="shared" si="19"/>
        <v>101165.6392294921</v>
      </c>
      <c r="H186" s="49">
        <f t="shared" si="20"/>
        <v>120123.58292269662</v>
      </c>
    </row>
    <row r="187" spans="1:8" x14ac:dyDescent="0.2">
      <c r="A187" s="50">
        <f t="shared" si="17"/>
        <v>177</v>
      </c>
      <c r="B187" s="56">
        <f t="shared" si="21"/>
        <v>1257.3251258647085</v>
      </c>
      <c r="C187" s="56">
        <f t="shared" si="22"/>
        <v>735.72490695072725</v>
      </c>
      <c r="D187" s="49">
        <f t="shared" si="18"/>
        <v>521.60021891398128</v>
      </c>
      <c r="F187" s="49">
        <f t="shared" si="16"/>
        <v>178098.6358635572</v>
      </c>
      <c r="G187" s="49">
        <f t="shared" si="19"/>
        <v>101901.36413644282</v>
      </c>
      <c r="H187" s="49">
        <f t="shared" si="20"/>
        <v>120645.1831416106</v>
      </c>
    </row>
    <row r="188" spans="1:8" x14ac:dyDescent="0.2">
      <c r="A188" s="50">
        <f t="shared" si="17"/>
        <v>178</v>
      </c>
      <c r="B188" s="56">
        <f t="shared" si="21"/>
        <v>1257.3251258647085</v>
      </c>
      <c r="C188" s="56">
        <f t="shared" si="22"/>
        <v>737.87077126266684</v>
      </c>
      <c r="D188" s="49">
        <f t="shared" si="18"/>
        <v>519.4543546020418</v>
      </c>
      <c r="F188" s="49">
        <f t="shared" si="16"/>
        <v>177360.76509229452</v>
      </c>
      <c r="G188" s="49">
        <f t="shared" si="19"/>
        <v>102639.23490770548</v>
      </c>
      <c r="H188" s="49">
        <f t="shared" si="20"/>
        <v>121164.63749621264</v>
      </c>
    </row>
    <row r="189" spans="1:8" x14ac:dyDescent="0.2">
      <c r="A189" s="50">
        <f t="shared" si="17"/>
        <v>179</v>
      </c>
      <c r="B189" s="56">
        <f t="shared" si="21"/>
        <v>1257.3251258647085</v>
      </c>
      <c r="C189" s="56">
        <f t="shared" si="22"/>
        <v>740.02289434551631</v>
      </c>
      <c r="D189" s="49">
        <f t="shared" si="18"/>
        <v>517.30223151919222</v>
      </c>
      <c r="F189" s="49">
        <f t="shared" si="16"/>
        <v>176620.742197949</v>
      </c>
      <c r="G189" s="49">
        <f t="shared" si="19"/>
        <v>103379.257802051</v>
      </c>
      <c r="H189" s="49">
        <f t="shared" si="20"/>
        <v>121681.93972773183</v>
      </c>
    </row>
    <row r="190" spans="1:8" x14ac:dyDescent="0.2">
      <c r="A190" s="50">
        <f t="shared" si="17"/>
        <v>180</v>
      </c>
      <c r="B190" s="56">
        <f t="shared" si="21"/>
        <v>1257.3251258647085</v>
      </c>
      <c r="C190" s="56">
        <f t="shared" si="22"/>
        <v>742.18129445402406</v>
      </c>
      <c r="D190" s="49">
        <f t="shared" si="18"/>
        <v>515.14383141068458</v>
      </c>
      <c r="F190" s="49">
        <f t="shared" si="16"/>
        <v>175878.56090349497</v>
      </c>
      <c r="G190" s="49">
        <f t="shared" si="19"/>
        <v>104121.43909650503</v>
      </c>
      <c r="H190" s="49">
        <f t="shared" si="20"/>
        <v>122197.08355914251</v>
      </c>
    </row>
    <row r="191" spans="1:8" x14ac:dyDescent="0.2">
      <c r="A191" s="50">
        <f t="shared" si="17"/>
        <v>181</v>
      </c>
      <c r="B191" s="56">
        <f t="shared" si="21"/>
        <v>1257.3251258647085</v>
      </c>
      <c r="C191" s="56">
        <f t="shared" si="22"/>
        <v>744.34598989618166</v>
      </c>
      <c r="D191" s="49">
        <f t="shared" si="18"/>
        <v>512.97913596852698</v>
      </c>
      <c r="F191" s="49">
        <f t="shared" si="16"/>
        <v>175134.21491359879</v>
      </c>
      <c r="G191" s="49">
        <f t="shared" si="19"/>
        <v>104865.78508640121</v>
      </c>
      <c r="H191" s="49">
        <f t="shared" si="20"/>
        <v>122710.06269511105</v>
      </c>
    </row>
    <row r="192" spans="1:8" x14ac:dyDescent="0.2">
      <c r="A192" s="50">
        <f t="shared" si="17"/>
        <v>182</v>
      </c>
      <c r="B192" s="56">
        <f t="shared" si="21"/>
        <v>1257.3251258647085</v>
      </c>
      <c r="C192" s="56">
        <f t="shared" si="22"/>
        <v>746.51699903337885</v>
      </c>
      <c r="D192" s="49">
        <f t="shared" si="18"/>
        <v>510.80812683132979</v>
      </c>
      <c r="F192" s="49">
        <f t="shared" si="16"/>
        <v>174387.69791456542</v>
      </c>
      <c r="G192" s="49">
        <f t="shared" si="19"/>
        <v>105612.3020854346</v>
      </c>
      <c r="H192" s="49">
        <f t="shared" si="20"/>
        <v>123220.87082194237</v>
      </c>
    </row>
    <row r="193" spans="1:8" x14ac:dyDescent="0.2">
      <c r="A193" s="50">
        <f t="shared" si="17"/>
        <v>183</v>
      </c>
      <c r="B193" s="56">
        <f t="shared" si="21"/>
        <v>1257.3251258647085</v>
      </c>
      <c r="C193" s="56">
        <f t="shared" si="22"/>
        <v>748.69434028055946</v>
      </c>
      <c r="D193" s="49">
        <f t="shared" si="18"/>
        <v>508.63078558414907</v>
      </c>
      <c r="F193" s="49">
        <f t="shared" si="16"/>
        <v>173639.00357428487</v>
      </c>
      <c r="G193" s="49">
        <f t="shared" si="19"/>
        <v>106360.99642571516</v>
      </c>
      <c r="H193" s="49">
        <f t="shared" si="20"/>
        <v>123729.50160752652</v>
      </c>
    </row>
    <row r="194" spans="1:8" x14ac:dyDescent="0.2">
      <c r="A194" s="50">
        <f t="shared" si="17"/>
        <v>184</v>
      </c>
      <c r="B194" s="56">
        <f t="shared" si="21"/>
        <v>1257.3251258647085</v>
      </c>
      <c r="C194" s="56">
        <f t="shared" si="22"/>
        <v>750.87803210637787</v>
      </c>
      <c r="D194" s="49">
        <f t="shared" si="18"/>
        <v>506.44709375833071</v>
      </c>
      <c r="F194" s="49">
        <f t="shared" ref="F194:F257" si="23">IF(A194="","",F193-C194-E194)</f>
        <v>172888.12554217849</v>
      </c>
      <c r="G194" s="49">
        <f t="shared" si="19"/>
        <v>107111.87445782154</v>
      </c>
      <c r="H194" s="49">
        <f t="shared" si="20"/>
        <v>124235.94870128484</v>
      </c>
    </row>
    <row r="195" spans="1:8" x14ac:dyDescent="0.2">
      <c r="A195" s="50">
        <f t="shared" si="17"/>
        <v>185</v>
      </c>
      <c r="B195" s="56">
        <f t="shared" si="21"/>
        <v>1257.3251258647085</v>
      </c>
      <c r="C195" s="56">
        <f t="shared" si="22"/>
        <v>753.06809303335467</v>
      </c>
      <c r="D195" s="49">
        <f t="shared" si="18"/>
        <v>504.2570328313538</v>
      </c>
      <c r="F195" s="49">
        <f t="shared" si="23"/>
        <v>172135.05744914513</v>
      </c>
      <c r="G195" s="49">
        <f t="shared" si="19"/>
        <v>107864.9425508549</v>
      </c>
      <c r="H195" s="49">
        <f t="shared" si="20"/>
        <v>124740.2057341162</v>
      </c>
    </row>
    <row r="196" spans="1:8" x14ac:dyDescent="0.2">
      <c r="A196" s="50">
        <f t="shared" si="17"/>
        <v>186</v>
      </c>
      <c r="B196" s="56">
        <f t="shared" si="21"/>
        <v>1257.3251258647085</v>
      </c>
      <c r="C196" s="56">
        <f t="shared" si="22"/>
        <v>755.26454163803521</v>
      </c>
      <c r="D196" s="49">
        <f t="shared" si="18"/>
        <v>502.0605842266732</v>
      </c>
      <c r="F196" s="49">
        <f t="shared" si="23"/>
        <v>171379.7929075071</v>
      </c>
      <c r="G196" s="49">
        <f t="shared" si="19"/>
        <v>108620.20709249294</v>
      </c>
      <c r="H196" s="49">
        <f t="shared" si="20"/>
        <v>125242.26631834287</v>
      </c>
    </row>
    <row r="197" spans="1:8" x14ac:dyDescent="0.2">
      <c r="A197" s="50">
        <f t="shared" si="17"/>
        <v>187</v>
      </c>
      <c r="B197" s="56">
        <f t="shared" si="21"/>
        <v>1257.3251258647085</v>
      </c>
      <c r="C197" s="56">
        <f t="shared" si="22"/>
        <v>757.46739655114629</v>
      </c>
      <c r="D197" s="49">
        <f t="shared" si="18"/>
        <v>499.85772931356229</v>
      </c>
      <c r="F197" s="49">
        <f t="shared" si="23"/>
        <v>170622.32551095597</v>
      </c>
      <c r="G197" s="49">
        <f t="shared" si="19"/>
        <v>109377.67448904409</v>
      </c>
      <c r="H197" s="49">
        <f t="shared" si="20"/>
        <v>125742.12404765643</v>
      </c>
    </row>
    <row r="198" spans="1:8" x14ac:dyDescent="0.2">
      <c r="A198" s="50">
        <f t="shared" si="17"/>
        <v>188</v>
      </c>
      <c r="B198" s="56">
        <f t="shared" si="21"/>
        <v>1257.3251258647085</v>
      </c>
      <c r="C198" s="56">
        <f t="shared" si="22"/>
        <v>759.67667645775384</v>
      </c>
      <c r="D198" s="49">
        <f t="shared" si="18"/>
        <v>497.64844940695474</v>
      </c>
      <c r="F198" s="49">
        <f t="shared" si="23"/>
        <v>169862.64883449822</v>
      </c>
      <c r="G198" s="49">
        <f t="shared" si="19"/>
        <v>110137.35116550184</v>
      </c>
      <c r="H198" s="49">
        <f t="shared" si="20"/>
        <v>126239.77249706339</v>
      </c>
    </row>
    <row r="199" spans="1:8" x14ac:dyDescent="0.2">
      <c r="A199" s="50">
        <f t="shared" si="17"/>
        <v>189</v>
      </c>
      <c r="B199" s="56">
        <f t="shared" si="21"/>
        <v>1257.3251258647085</v>
      </c>
      <c r="C199" s="56">
        <f t="shared" si="22"/>
        <v>761.8924000974223</v>
      </c>
      <c r="D199" s="49">
        <f t="shared" si="18"/>
        <v>495.4327257672864</v>
      </c>
      <c r="F199" s="49">
        <f t="shared" si="23"/>
        <v>169100.7564344008</v>
      </c>
      <c r="G199" s="49">
        <f t="shared" si="19"/>
        <v>110899.24356559926</v>
      </c>
      <c r="H199" s="49">
        <f t="shared" si="20"/>
        <v>126735.20522283067</v>
      </c>
    </row>
    <row r="200" spans="1:8" x14ac:dyDescent="0.2">
      <c r="A200" s="50">
        <f t="shared" si="17"/>
        <v>190</v>
      </c>
      <c r="B200" s="56">
        <f t="shared" si="21"/>
        <v>1257.3251258647085</v>
      </c>
      <c r="C200" s="56">
        <f t="shared" si="22"/>
        <v>764.11458626437309</v>
      </c>
      <c r="D200" s="49">
        <f t="shared" si="18"/>
        <v>493.21053960033544</v>
      </c>
      <c r="F200" s="49">
        <f t="shared" si="23"/>
        <v>168336.64184813644</v>
      </c>
      <c r="G200" s="49">
        <f t="shared" si="19"/>
        <v>111663.35815186363</v>
      </c>
      <c r="H200" s="49">
        <f t="shared" si="20"/>
        <v>127228.415762431</v>
      </c>
    </row>
    <row r="201" spans="1:8" x14ac:dyDescent="0.2">
      <c r="A201" s="50">
        <f t="shared" ref="A201:A264" si="24">IF(OR(F200&lt;0.01,F200=""),"",A200+1)</f>
        <v>191</v>
      </c>
      <c r="B201" s="56">
        <f t="shared" si="21"/>
        <v>1257.3251258647085</v>
      </c>
      <c r="C201" s="56">
        <f t="shared" si="22"/>
        <v>766.34325380764426</v>
      </c>
      <c r="D201" s="49">
        <f t="shared" si="18"/>
        <v>490.98187205706438</v>
      </c>
      <c r="F201" s="49">
        <f t="shared" si="23"/>
        <v>167570.29859432881</v>
      </c>
      <c r="G201" s="49">
        <f t="shared" si="19"/>
        <v>112429.70140567128</v>
      </c>
      <c r="H201" s="49">
        <f t="shared" si="20"/>
        <v>127719.39763448806</v>
      </c>
    </row>
    <row r="202" spans="1:8" x14ac:dyDescent="0.2">
      <c r="A202" s="50">
        <f t="shared" si="24"/>
        <v>192</v>
      </c>
      <c r="B202" s="56">
        <f t="shared" si="21"/>
        <v>1257.3251258647085</v>
      </c>
      <c r="C202" s="56">
        <f t="shared" si="22"/>
        <v>768.57842163124985</v>
      </c>
      <c r="D202" s="49">
        <f t="shared" si="18"/>
        <v>488.74670423345873</v>
      </c>
      <c r="F202" s="49">
        <f t="shared" si="23"/>
        <v>166801.72017269756</v>
      </c>
      <c r="G202" s="49">
        <f t="shared" si="19"/>
        <v>113198.27982730253</v>
      </c>
      <c r="H202" s="49">
        <f t="shared" si="20"/>
        <v>128208.14433872153</v>
      </c>
    </row>
    <row r="203" spans="1:8" x14ac:dyDescent="0.2">
      <c r="A203" s="50">
        <f t="shared" si="24"/>
        <v>193</v>
      </c>
      <c r="B203" s="56">
        <f t="shared" si="21"/>
        <v>1257.3251258647085</v>
      </c>
      <c r="C203" s="56">
        <f t="shared" si="22"/>
        <v>770.820108694341</v>
      </c>
      <c r="D203" s="49">
        <f t="shared" si="18"/>
        <v>486.50501717036758</v>
      </c>
      <c r="F203" s="49">
        <f t="shared" si="23"/>
        <v>166030.90006400322</v>
      </c>
      <c r="G203" s="49">
        <f t="shared" si="19"/>
        <v>113969.09993599687</v>
      </c>
      <c r="H203" s="49">
        <f t="shared" si="20"/>
        <v>128694.64935589189</v>
      </c>
    </row>
    <row r="204" spans="1:8" x14ac:dyDescent="0.2">
      <c r="A204" s="50">
        <f t="shared" si="24"/>
        <v>194</v>
      </c>
      <c r="B204" s="56">
        <f t="shared" si="21"/>
        <v>1257.3251258647085</v>
      </c>
      <c r="C204" s="56">
        <f t="shared" si="22"/>
        <v>773.06833401136623</v>
      </c>
      <c r="D204" s="49">
        <f t="shared" ref="D204:D267" si="25">IF(A204="","",-IPMT($B$6,A204,$B$5,$B$3,0))</f>
        <v>484.25679185334246</v>
      </c>
      <c r="F204" s="49">
        <f t="shared" si="23"/>
        <v>165257.83172999186</v>
      </c>
      <c r="G204" s="49">
        <f t="shared" ref="G204:G267" si="26">IF(A204="","",C204+E204+G203)</f>
        <v>114742.16827000823</v>
      </c>
      <c r="H204" s="49">
        <f t="shared" ref="H204:H267" si="27">IF(A204="","",D204+H203)</f>
        <v>129178.90614774523</v>
      </c>
    </row>
    <row r="205" spans="1:8" x14ac:dyDescent="0.2">
      <c r="A205" s="50">
        <f t="shared" si="24"/>
        <v>195</v>
      </c>
      <c r="B205" s="56">
        <f t="shared" si="21"/>
        <v>1257.3251258647085</v>
      </c>
      <c r="C205" s="56">
        <f t="shared" si="22"/>
        <v>775.32311665223267</v>
      </c>
      <c r="D205" s="49">
        <f t="shared" si="25"/>
        <v>482.00200921247603</v>
      </c>
      <c r="F205" s="49">
        <f t="shared" si="23"/>
        <v>164482.50861333963</v>
      </c>
      <c r="G205" s="49">
        <f t="shared" si="26"/>
        <v>115517.49138666046</v>
      </c>
      <c r="H205" s="49">
        <f t="shared" si="27"/>
        <v>129660.90815695771</v>
      </c>
    </row>
    <row r="206" spans="1:8" x14ac:dyDescent="0.2">
      <c r="A206" s="50">
        <f t="shared" si="24"/>
        <v>196</v>
      </c>
      <c r="B206" s="56">
        <f t="shared" si="21"/>
        <v>1257.3251258647085</v>
      </c>
      <c r="C206" s="56">
        <f t="shared" si="22"/>
        <v>777.58447574246827</v>
      </c>
      <c r="D206" s="49">
        <f t="shared" si="25"/>
        <v>479.74065012224025</v>
      </c>
      <c r="F206" s="49">
        <f t="shared" si="23"/>
        <v>163704.92413759715</v>
      </c>
      <c r="G206" s="49">
        <f t="shared" si="26"/>
        <v>116295.07586240293</v>
      </c>
      <c r="H206" s="49">
        <f t="shared" si="27"/>
        <v>130140.64880707995</v>
      </c>
    </row>
    <row r="207" spans="1:8" x14ac:dyDescent="0.2">
      <c r="A207" s="50">
        <f t="shared" si="24"/>
        <v>197</v>
      </c>
      <c r="B207" s="56">
        <f t="shared" si="21"/>
        <v>1257.3251258647085</v>
      </c>
      <c r="C207" s="56">
        <f t="shared" si="22"/>
        <v>779.85243046338383</v>
      </c>
      <c r="D207" s="49">
        <f t="shared" si="25"/>
        <v>477.47269540132476</v>
      </c>
      <c r="F207" s="49">
        <f t="shared" si="23"/>
        <v>162925.07170713376</v>
      </c>
      <c r="G207" s="49">
        <f t="shared" si="26"/>
        <v>117074.92829286632</v>
      </c>
      <c r="H207" s="49">
        <f t="shared" si="27"/>
        <v>130618.12150248128</v>
      </c>
    </row>
    <row r="208" spans="1:8" x14ac:dyDescent="0.2">
      <c r="A208" s="50">
        <f t="shared" si="24"/>
        <v>198</v>
      </c>
      <c r="B208" s="56">
        <f t="shared" si="21"/>
        <v>1257.3251258647085</v>
      </c>
      <c r="C208" s="56">
        <f t="shared" si="22"/>
        <v>782.1270000522353</v>
      </c>
      <c r="D208" s="49">
        <f t="shared" si="25"/>
        <v>475.19812581247317</v>
      </c>
      <c r="F208" s="49">
        <f t="shared" si="23"/>
        <v>162142.94470708151</v>
      </c>
      <c r="G208" s="49">
        <f t="shared" si="26"/>
        <v>117857.05529291855</v>
      </c>
      <c r="H208" s="49">
        <f t="shared" si="27"/>
        <v>131093.31962829377</v>
      </c>
    </row>
    <row r="209" spans="1:8" x14ac:dyDescent="0.2">
      <c r="A209" s="50">
        <f t="shared" si="24"/>
        <v>199</v>
      </c>
      <c r="B209" s="56">
        <f t="shared" si="21"/>
        <v>1257.3251258647085</v>
      </c>
      <c r="C209" s="56">
        <f t="shared" si="22"/>
        <v>784.40820380238779</v>
      </c>
      <c r="D209" s="49">
        <f t="shared" si="25"/>
        <v>472.91692206232085</v>
      </c>
      <c r="F209" s="49">
        <f t="shared" si="23"/>
        <v>161358.53650327912</v>
      </c>
      <c r="G209" s="49">
        <f t="shared" si="26"/>
        <v>118641.46349672094</v>
      </c>
      <c r="H209" s="49">
        <f t="shared" si="27"/>
        <v>131566.23655035609</v>
      </c>
    </row>
    <row r="210" spans="1:8" x14ac:dyDescent="0.2">
      <c r="A210" s="50">
        <f t="shared" si="24"/>
        <v>200</v>
      </c>
      <c r="B210" s="56">
        <f t="shared" si="21"/>
        <v>1257.3251258647085</v>
      </c>
      <c r="C210" s="56">
        <f t="shared" si="22"/>
        <v>786.69606106347794</v>
      </c>
      <c r="D210" s="49">
        <f t="shared" si="25"/>
        <v>470.62906480123041</v>
      </c>
      <c r="F210" s="49">
        <f t="shared" si="23"/>
        <v>160571.84044221565</v>
      </c>
      <c r="G210" s="49">
        <f t="shared" si="26"/>
        <v>119428.15955778443</v>
      </c>
      <c r="H210" s="49">
        <f t="shared" si="27"/>
        <v>132036.86561515732</v>
      </c>
    </row>
    <row r="211" spans="1:8" x14ac:dyDescent="0.2">
      <c r="A211" s="50">
        <f t="shared" si="24"/>
        <v>201</v>
      </c>
      <c r="B211" s="56">
        <f t="shared" si="21"/>
        <v>1257.3251258647085</v>
      </c>
      <c r="C211" s="56">
        <f t="shared" si="22"/>
        <v>788.99059124157986</v>
      </c>
      <c r="D211" s="49">
        <f t="shared" si="25"/>
        <v>468.33453462312872</v>
      </c>
      <c r="F211" s="49">
        <f t="shared" si="23"/>
        <v>159782.84985097407</v>
      </c>
      <c r="G211" s="49">
        <f t="shared" si="26"/>
        <v>120217.15014902601</v>
      </c>
      <c r="H211" s="49">
        <f t="shared" si="27"/>
        <v>132505.20014978046</v>
      </c>
    </row>
    <row r="212" spans="1:8" x14ac:dyDescent="0.2">
      <c r="A212" s="50">
        <f t="shared" si="24"/>
        <v>202</v>
      </c>
      <c r="B212" s="56">
        <f t="shared" si="21"/>
        <v>1257.3251258647085</v>
      </c>
      <c r="C212" s="56">
        <f t="shared" si="22"/>
        <v>791.29181379936779</v>
      </c>
      <c r="D212" s="49">
        <f t="shared" si="25"/>
        <v>466.03331206534079</v>
      </c>
      <c r="F212" s="49">
        <f t="shared" si="23"/>
        <v>158991.55803717472</v>
      </c>
      <c r="G212" s="49">
        <f t="shared" si="26"/>
        <v>121008.44196282538</v>
      </c>
      <c r="H212" s="49">
        <f t="shared" si="27"/>
        <v>132971.23346184581</v>
      </c>
    </row>
    <row r="213" spans="1:8" x14ac:dyDescent="0.2">
      <c r="A213" s="50">
        <f t="shared" si="24"/>
        <v>203</v>
      </c>
      <c r="B213" s="56">
        <f t="shared" si="21"/>
        <v>1257.3251258647085</v>
      </c>
      <c r="C213" s="56">
        <f t="shared" si="22"/>
        <v>793.59974825628251</v>
      </c>
      <c r="D213" s="49">
        <f t="shared" si="25"/>
        <v>463.72537760842602</v>
      </c>
      <c r="F213" s="49">
        <f t="shared" si="23"/>
        <v>158197.95828891842</v>
      </c>
      <c r="G213" s="49">
        <f t="shared" si="26"/>
        <v>121802.04171108166</v>
      </c>
      <c r="H213" s="49">
        <f t="shared" si="27"/>
        <v>133434.95883945425</v>
      </c>
    </row>
    <row r="214" spans="1:8" x14ac:dyDescent="0.2">
      <c r="A214" s="50">
        <f t="shared" si="24"/>
        <v>204</v>
      </c>
      <c r="B214" s="56">
        <f t="shared" ref="B214:B277" si="28">IF(A214="","",IF(F213&lt;B213,F213+D214,-PMT($B$6,$B$5,$B$3,0)))</f>
        <v>1257.3251258647085</v>
      </c>
      <c r="C214" s="56">
        <f t="shared" ref="C214:C277" si="29">IF(A214="","",IF(F213&lt;C213,F213,-PPMT($B$6,$A214,$B$5,$B$3,0)))</f>
        <v>795.91441418869681</v>
      </c>
      <c r="D214" s="49">
        <f t="shared" si="25"/>
        <v>461.41071167601183</v>
      </c>
      <c r="F214" s="49">
        <f t="shared" si="23"/>
        <v>157402.04387472972</v>
      </c>
      <c r="G214" s="49">
        <f t="shared" si="26"/>
        <v>122597.95612527036</v>
      </c>
      <c r="H214" s="49">
        <f t="shared" si="27"/>
        <v>133896.36955113025</v>
      </c>
    </row>
    <row r="215" spans="1:8" x14ac:dyDescent="0.2">
      <c r="A215" s="50">
        <f t="shared" si="24"/>
        <v>205</v>
      </c>
      <c r="B215" s="56">
        <f t="shared" si="28"/>
        <v>1257.3251258647085</v>
      </c>
      <c r="C215" s="56">
        <f t="shared" si="29"/>
        <v>798.23583123008041</v>
      </c>
      <c r="D215" s="49">
        <f t="shared" si="25"/>
        <v>459.08929463462812</v>
      </c>
      <c r="F215" s="49">
        <f t="shared" si="23"/>
        <v>156603.80804349962</v>
      </c>
      <c r="G215" s="49">
        <f t="shared" si="26"/>
        <v>123396.19195650044</v>
      </c>
      <c r="H215" s="49">
        <f t="shared" si="27"/>
        <v>134355.45884576486</v>
      </c>
    </row>
    <row r="216" spans="1:8" x14ac:dyDescent="0.2">
      <c r="A216" s="50">
        <f t="shared" si="24"/>
        <v>206</v>
      </c>
      <c r="B216" s="56">
        <f t="shared" si="28"/>
        <v>1257.3251258647085</v>
      </c>
      <c r="C216" s="56">
        <f t="shared" si="29"/>
        <v>800.5640190711681</v>
      </c>
      <c r="D216" s="49">
        <f t="shared" si="25"/>
        <v>456.76110679354031</v>
      </c>
      <c r="F216" s="49">
        <f t="shared" si="23"/>
        <v>155803.24402442845</v>
      </c>
      <c r="G216" s="49">
        <f t="shared" si="26"/>
        <v>124196.75597557161</v>
      </c>
      <c r="H216" s="49">
        <f t="shared" si="27"/>
        <v>134812.2199525584</v>
      </c>
    </row>
    <row r="217" spans="1:8" x14ac:dyDescent="0.2">
      <c r="A217" s="50">
        <f t="shared" si="24"/>
        <v>207</v>
      </c>
      <c r="B217" s="56">
        <f t="shared" si="28"/>
        <v>1257.3251258647085</v>
      </c>
      <c r="C217" s="56">
        <f t="shared" si="29"/>
        <v>802.89899746012566</v>
      </c>
      <c r="D217" s="49">
        <f t="shared" si="25"/>
        <v>454.42612840458276</v>
      </c>
      <c r="F217" s="49">
        <f t="shared" si="23"/>
        <v>155000.34502696834</v>
      </c>
      <c r="G217" s="49">
        <f t="shared" si="26"/>
        <v>124999.65497303173</v>
      </c>
      <c r="H217" s="49">
        <f t="shared" si="27"/>
        <v>135266.64608096299</v>
      </c>
    </row>
    <row r="218" spans="1:8" x14ac:dyDescent="0.2">
      <c r="A218" s="50">
        <f t="shared" si="24"/>
        <v>208</v>
      </c>
      <c r="B218" s="56">
        <f t="shared" si="28"/>
        <v>1257.3251258647085</v>
      </c>
      <c r="C218" s="56">
        <f t="shared" si="29"/>
        <v>805.24078620271769</v>
      </c>
      <c r="D218" s="49">
        <f t="shared" si="25"/>
        <v>452.08433966199073</v>
      </c>
      <c r="F218" s="49">
        <f t="shared" si="23"/>
        <v>154195.10424076562</v>
      </c>
      <c r="G218" s="49">
        <f t="shared" si="26"/>
        <v>125804.89575923445</v>
      </c>
      <c r="H218" s="49">
        <f t="shared" si="27"/>
        <v>135718.73042062498</v>
      </c>
    </row>
    <row r="219" spans="1:8" x14ac:dyDescent="0.2">
      <c r="A219" s="50">
        <f t="shared" si="24"/>
        <v>209</v>
      </c>
      <c r="B219" s="56">
        <f t="shared" si="28"/>
        <v>1257.3251258647085</v>
      </c>
      <c r="C219" s="56">
        <f t="shared" si="29"/>
        <v>807.5894051624756</v>
      </c>
      <c r="D219" s="49">
        <f t="shared" si="25"/>
        <v>449.73572070223281</v>
      </c>
      <c r="F219" s="49">
        <f t="shared" si="23"/>
        <v>153387.51483560316</v>
      </c>
      <c r="G219" s="49">
        <f t="shared" si="26"/>
        <v>126612.48516439693</v>
      </c>
      <c r="H219" s="49">
        <f t="shared" si="27"/>
        <v>136168.46614132723</v>
      </c>
    </row>
    <row r="220" spans="1:8" x14ac:dyDescent="0.2">
      <c r="A220" s="50">
        <f t="shared" si="24"/>
        <v>210</v>
      </c>
      <c r="B220" s="56">
        <f t="shared" si="28"/>
        <v>1257.3251258647085</v>
      </c>
      <c r="C220" s="56">
        <f t="shared" si="29"/>
        <v>809.9448742608663</v>
      </c>
      <c r="D220" s="49">
        <f t="shared" si="25"/>
        <v>447.38025160384228</v>
      </c>
      <c r="F220" s="49">
        <f t="shared" si="23"/>
        <v>152577.56996134229</v>
      </c>
      <c r="G220" s="49">
        <f t="shared" si="26"/>
        <v>127422.4300386578</v>
      </c>
      <c r="H220" s="49">
        <f t="shared" si="27"/>
        <v>136615.84639293107</v>
      </c>
    </row>
    <row r="221" spans="1:8" x14ac:dyDescent="0.2">
      <c r="A221" s="50">
        <f t="shared" si="24"/>
        <v>211</v>
      </c>
      <c r="B221" s="56">
        <f t="shared" si="28"/>
        <v>1257.3251258647085</v>
      </c>
      <c r="C221" s="56">
        <f t="shared" si="29"/>
        <v>812.30721347746044</v>
      </c>
      <c r="D221" s="49">
        <f t="shared" si="25"/>
        <v>445.01791238724809</v>
      </c>
      <c r="F221" s="49">
        <f t="shared" si="23"/>
        <v>151765.26274786482</v>
      </c>
      <c r="G221" s="49">
        <f t="shared" si="26"/>
        <v>128234.73725213525</v>
      </c>
      <c r="H221" s="49">
        <f t="shared" si="27"/>
        <v>137060.8643053183</v>
      </c>
    </row>
    <row r="222" spans="1:8" x14ac:dyDescent="0.2">
      <c r="A222" s="50">
        <f t="shared" si="24"/>
        <v>212</v>
      </c>
      <c r="B222" s="56">
        <f t="shared" si="28"/>
        <v>1257.3251258647085</v>
      </c>
      <c r="C222" s="56">
        <f t="shared" si="29"/>
        <v>814.67644285010317</v>
      </c>
      <c r="D222" s="49">
        <f t="shared" si="25"/>
        <v>442.64868301460558</v>
      </c>
      <c r="F222" s="49">
        <f t="shared" si="23"/>
        <v>150950.58630501473</v>
      </c>
      <c r="G222" s="49">
        <f t="shared" si="26"/>
        <v>129049.41369498536</v>
      </c>
      <c r="H222" s="49">
        <f t="shared" si="27"/>
        <v>137503.51298833292</v>
      </c>
    </row>
    <row r="223" spans="1:8" x14ac:dyDescent="0.2">
      <c r="A223" s="50">
        <f t="shared" si="24"/>
        <v>213</v>
      </c>
      <c r="B223" s="56">
        <f t="shared" si="28"/>
        <v>1257.3251258647085</v>
      </c>
      <c r="C223" s="56">
        <f t="shared" si="29"/>
        <v>817.05258247508243</v>
      </c>
      <c r="D223" s="49">
        <f t="shared" si="25"/>
        <v>440.27254338962604</v>
      </c>
      <c r="F223" s="49">
        <f t="shared" si="23"/>
        <v>150133.53372253964</v>
      </c>
      <c r="G223" s="49">
        <f t="shared" si="26"/>
        <v>129866.46627746044</v>
      </c>
      <c r="H223" s="49">
        <f t="shared" si="27"/>
        <v>137943.78553172253</v>
      </c>
    </row>
    <row r="224" spans="1:8" x14ac:dyDescent="0.2">
      <c r="A224" s="50">
        <f t="shared" si="24"/>
        <v>214</v>
      </c>
      <c r="B224" s="56">
        <f t="shared" si="28"/>
        <v>1257.3251258647085</v>
      </c>
      <c r="C224" s="56">
        <f t="shared" si="29"/>
        <v>819.43565250730148</v>
      </c>
      <c r="D224" s="49">
        <f t="shared" si="25"/>
        <v>437.88947335740704</v>
      </c>
      <c r="F224" s="49">
        <f t="shared" si="23"/>
        <v>149314.09807003234</v>
      </c>
      <c r="G224" s="49">
        <f t="shared" si="26"/>
        <v>130685.90192996773</v>
      </c>
      <c r="H224" s="49">
        <f t="shared" si="27"/>
        <v>138381.67500507995</v>
      </c>
    </row>
    <row r="225" spans="1:8" x14ac:dyDescent="0.2">
      <c r="A225" s="50">
        <f t="shared" si="24"/>
        <v>215</v>
      </c>
      <c r="B225" s="56">
        <f t="shared" si="28"/>
        <v>1257.3251258647085</v>
      </c>
      <c r="C225" s="56">
        <f t="shared" si="29"/>
        <v>821.82567316044776</v>
      </c>
      <c r="D225" s="49">
        <f t="shared" si="25"/>
        <v>435.4994527042607</v>
      </c>
      <c r="F225" s="49">
        <f t="shared" si="23"/>
        <v>148492.27239687191</v>
      </c>
      <c r="G225" s="49">
        <f t="shared" si="26"/>
        <v>131507.72760312818</v>
      </c>
      <c r="H225" s="49">
        <f t="shared" si="27"/>
        <v>138817.17445778422</v>
      </c>
    </row>
    <row r="226" spans="1:8" x14ac:dyDescent="0.2">
      <c r="A226" s="50">
        <f t="shared" si="24"/>
        <v>216</v>
      </c>
      <c r="B226" s="56">
        <f t="shared" si="28"/>
        <v>1257.3251258647085</v>
      </c>
      <c r="C226" s="56">
        <f t="shared" si="29"/>
        <v>824.22266470716579</v>
      </c>
      <c r="D226" s="49">
        <f t="shared" si="25"/>
        <v>433.10246115754273</v>
      </c>
      <c r="F226" s="49">
        <f t="shared" si="23"/>
        <v>147668.04973216474</v>
      </c>
      <c r="G226" s="49">
        <f t="shared" si="26"/>
        <v>132331.95026783535</v>
      </c>
      <c r="H226" s="49">
        <f t="shared" si="27"/>
        <v>139250.27691894176</v>
      </c>
    </row>
    <row r="227" spans="1:8" x14ac:dyDescent="0.2">
      <c r="A227" s="50">
        <f t="shared" si="24"/>
        <v>217</v>
      </c>
      <c r="B227" s="56">
        <f t="shared" si="28"/>
        <v>1257.3251258647085</v>
      </c>
      <c r="C227" s="56">
        <f t="shared" si="29"/>
        <v>826.62664747922827</v>
      </c>
      <c r="D227" s="49">
        <f t="shared" si="25"/>
        <v>430.69847838548026</v>
      </c>
      <c r="F227" s="49">
        <f t="shared" si="23"/>
        <v>146841.42308468552</v>
      </c>
      <c r="G227" s="49">
        <f t="shared" si="26"/>
        <v>133158.57691531457</v>
      </c>
      <c r="H227" s="49">
        <f t="shared" si="27"/>
        <v>139680.97539732725</v>
      </c>
    </row>
    <row r="228" spans="1:8" x14ac:dyDescent="0.2">
      <c r="A228" s="50">
        <f t="shared" si="24"/>
        <v>218</v>
      </c>
      <c r="B228" s="56">
        <f t="shared" si="28"/>
        <v>1257.3251258647085</v>
      </c>
      <c r="C228" s="56">
        <f t="shared" si="29"/>
        <v>829.03764186770945</v>
      </c>
      <c r="D228" s="49">
        <f t="shared" si="25"/>
        <v>428.28748399699919</v>
      </c>
      <c r="F228" s="49">
        <f t="shared" si="23"/>
        <v>146012.38544281782</v>
      </c>
      <c r="G228" s="49">
        <f t="shared" si="26"/>
        <v>133987.61455718227</v>
      </c>
      <c r="H228" s="49">
        <f t="shared" si="27"/>
        <v>140109.26288132425</v>
      </c>
    </row>
    <row r="229" spans="1:8" x14ac:dyDescent="0.2">
      <c r="A229" s="50">
        <f t="shared" si="24"/>
        <v>219</v>
      </c>
      <c r="B229" s="56">
        <f t="shared" si="28"/>
        <v>1257.3251258647085</v>
      </c>
      <c r="C229" s="56">
        <f t="shared" si="29"/>
        <v>831.45566832315694</v>
      </c>
      <c r="D229" s="49">
        <f t="shared" si="25"/>
        <v>425.86945754155164</v>
      </c>
      <c r="F229" s="49">
        <f t="shared" si="23"/>
        <v>145180.92977449467</v>
      </c>
      <c r="G229" s="49">
        <f t="shared" si="26"/>
        <v>134819.07022550542</v>
      </c>
      <c r="H229" s="49">
        <f t="shared" si="27"/>
        <v>140535.13233886581</v>
      </c>
    </row>
    <row r="230" spans="1:8" x14ac:dyDescent="0.2">
      <c r="A230" s="50">
        <f t="shared" si="24"/>
        <v>220</v>
      </c>
      <c r="B230" s="56">
        <f t="shared" si="28"/>
        <v>1257.3251258647085</v>
      </c>
      <c r="C230" s="56">
        <f t="shared" si="29"/>
        <v>833.88074735576606</v>
      </c>
      <c r="D230" s="49">
        <f t="shared" si="25"/>
        <v>423.44437850894246</v>
      </c>
      <c r="F230" s="49">
        <f t="shared" si="23"/>
        <v>144347.04902713891</v>
      </c>
      <c r="G230" s="49">
        <f t="shared" si="26"/>
        <v>135652.95097286117</v>
      </c>
      <c r="H230" s="49">
        <f t="shared" si="27"/>
        <v>140958.57671737476</v>
      </c>
    </row>
    <row r="231" spans="1:8" x14ac:dyDescent="0.2">
      <c r="A231" s="50">
        <f t="shared" si="24"/>
        <v>221</v>
      </c>
      <c r="B231" s="56">
        <f t="shared" si="28"/>
        <v>1257.3251258647085</v>
      </c>
      <c r="C231" s="56">
        <f t="shared" si="29"/>
        <v>836.31289953555392</v>
      </c>
      <c r="D231" s="49">
        <f t="shared" si="25"/>
        <v>421.01222632915477</v>
      </c>
      <c r="F231" s="49">
        <f t="shared" si="23"/>
        <v>143510.73612760336</v>
      </c>
      <c r="G231" s="49">
        <f t="shared" si="26"/>
        <v>136489.26387239672</v>
      </c>
      <c r="H231" s="49">
        <f t="shared" si="27"/>
        <v>141379.58894370391</v>
      </c>
    </row>
    <row r="232" spans="1:8" x14ac:dyDescent="0.2">
      <c r="A232" s="50">
        <f t="shared" si="24"/>
        <v>222</v>
      </c>
      <c r="B232" s="56">
        <f t="shared" si="28"/>
        <v>1257.3251258647085</v>
      </c>
      <c r="C232" s="56">
        <f t="shared" si="29"/>
        <v>838.75214549253246</v>
      </c>
      <c r="D232" s="49">
        <f t="shared" si="25"/>
        <v>418.57298037217606</v>
      </c>
      <c r="F232" s="49">
        <f t="shared" si="23"/>
        <v>142671.98398211083</v>
      </c>
      <c r="G232" s="49">
        <f t="shared" si="26"/>
        <v>137328.01601788925</v>
      </c>
      <c r="H232" s="49">
        <f t="shared" si="27"/>
        <v>141798.16192407609</v>
      </c>
    </row>
    <row r="233" spans="1:8" x14ac:dyDescent="0.2">
      <c r="A233" s="50">
        <f t="shared" si="24"/>
        <v>223</v>
      </c>
      <c r="B233" s="56">
        <f t="shared" si="28"/>
        <v>1257.3251258647085</v>
      </c>
      <c r="C233" s="56">
        <f t="shared" si="29"/>
        <v>841.19850591688567</v>
      </c>
      <c r="D233" s="49">
        <f t="shared" si="25"/>
        <v>416.12661994782286</v>
      </c>
      <c r="F233" s="49">
        <f t="shared" si="23"/>
        <v>141830.78547619394</v>
      </c>
      <c r="G233" s="49">
        <f t="shared" si="26"/>
        <v>138169.21452380615</v>
      </c>
      <c r="H233" s="49">
        <f t="shared" si="27"/>
        <v>142214.2885440239</v>
      </c>
    </row>
    <row r="234" spans="1:8" x14ac:dyDescent="0.2">
      <c r="A234" s="50">
        <f t="shared" si="24"/>
        <v>224</v>
      </c>
      <c r="B234" s="56">
        <f t="shared" si="28"/>
        <v>1257.3251258647085</v>
      </c>
      <c r="C234" s="56">
        <f t="shared" si="29"/>
        <v>843.65200155914329</v>
      </c>
      <c r="D234" s="49">
        <f t="shared" si="25"/>
        <v>413.67312430556535</v>
      </c>
      <c r="F234" s="49">
        <f t="shared" si="23"/>
        <v>140987.13347463479</v>
      </c>
      <c r="G234" s="49">
        <f t="shared" si="26"/>
        <v>139012.8665253653</v>
      </c>
      <c r="H234" s="49">
        <f t="shared" si="27"/>
        <v>142627.96166832946</v>
      </c>
    </row>
    <row r="235" spans="1:8" x14ac:dyDescent="0.2">
      <c r="A235" s="50">
        <f t="shared" si="24"/>
        <v>225</v>
      </c>
      <c r="B235" s="56">
        <f t="shared" si="28"/>
        <v>1257.3251258647085</v>
      </c>
      <c r="C235" s="56">
        <f t="shared" si="29"/>
        <v>846.11265323035741</v>
      </c>
      <c r="D235" s="49">
        <f t="shared" si="25"/>
        <v>411.21247263435106</v>
      </c>
      <c r="F235" s="49">
        <f t="shared" si="23"/>
        <v>140141.02082140444</v>
      </c>
      <c r="G235" s="49">
        <f t="shared" si="26"/>
        <v>139858.97917859565</v>
      </c>
      <c r="H235" s="49">
        <f t="shared" si="27"/>
        <v>143039.17414096382</v>
      </c>
    </row>
    <row r="236" spans="1:8" x14ac:dyDescent="0.2">
      <c r="A236" s="50">
        <f t="shared" si="24"/>
        <v>226</v>
      </c>
      <c r="B236" s="56">
        <f t="shared" si="28"/>
        <v>1257.3251258647085</v>
      </c>
      <c r="C236" s="56">
        <f t="shared" si="29"/>
        <v>848.58048180227934</v>
      </c>
      <c r="D236" s="49">
        <f t="shared" si="25"/>
        <v>408.74464406242919</v>
      </c>
      <c r="F236" s="49">
        <f t="shared" si="23"/>
        <v>139292.44033960215</v>
      </c>
      <c r="G236" s="49">
        <f t="shared" si="26"/>
        <v>140707.55966039794</v>
      </c>
      <c r="H236" s="49">
        <f t="shared" si="27"/>
        <v>143447.91878502624</v>
      </c>
    </row>
    <row r="237" spans="1:8" x14ac:dyDescent="0.2">
      <c r="A237" s="50">
        <f t="shared" si="24"/>
        <v>227</v>
      </c>
      <c r="B237" s="56">
        <f t="shared" si="28"/>
        <v>1257.3251258647085</v>
      </c>
      <c r="C237" s="56">
        <f t="shared" si="29"/>
        <v>851.05550820753581</v>
      </c>
      <c r="D237" s="49">
        <f t="shared" si="25"/>
        <v>406.2696176571726</v>
      </c>
      <c r="F237" s="49">
        <f t="shared" si="23"/>
        <v>138441.38483139462</v>
      </c>
      <c r="G237" s="49">
        <f t="shared" si="26"/>
        <v>141558.61516860547</v>
      </c>
      <c r="H237" s="49">
        <f t="shared" si="27"/>
        <v>143854.18840268342</v>
      </c>
    </row>
    <row r="238" spans="1:8" x14ac:dyDescent="0.2">
      <c r="A238" s="50">
        <f t="shared" si="24"/>
        <v>228</v>
      </c>
      <c r="B238" s="56">
        <f t="shared" si="28"/>
        <v>1257.3251258647085</v>
      </c>
      <c r="C238" s="56">
        <f t="shared" si="29"/>
        <v>853.53775343980794</v>
      </c>
      <c r="D238" s="49">
        <f t="shared" si="25"/>
        <v>403.78737242490064</v>
      </c>
      <c r="F238" s="49">
        <f t="shared" si="23"/>
        <v>137587.84707795482</v>
      </c>
      <c r="G238" s="49">
        <f t="shared" si="26"/>
        <v>142412.15292204526</v>
      </c>
      <c r="H238" s="49">
        <f t="shared" si="27"/>
        <v>144257.97577510832</v>
      </c>
    </row>
    <row r="239" spans="1:8" x14ac:dyDescent="0.2">
      <c r="A239" s="50">
        <f t="shared" si="24"/>
        <v>229</v>
      </c>
      <c r="B239" s="56">
        <f t="shared" si="28"/>
        <v>1257.3251258647085</v>
      </c>
      <c r="C239" s="56">
        <f t="shared" si="29"/>
        <v>856.02723855400745</v>
      </c>
      <c r="D239" s="49">
        <f t="shared" si="25"/>
        <v>401.29788731070119</v>
      </c>
      <c r="F239" s="49">
        <f t="shared" si="23"/>
        <v>136731.81983940082</v>
      </c>
      <c r="G239" s="49">
        <f t="shared" si="26"/>
        <v>143268.18016059927</v>
      </c>
      <c r="H239" s="49">
        <f t="shared" si="27"/>
        <v>144659.27366241903</v>
      </c>
    </row>
    <row r="240" spans="1:8" x14ac:dyDescent="0.2">
      <c r="A240" s="50">
        <f t="shared" si="24"/>
        <v>230</v>
      </c>
      <c r="B240" s="56">
        <f t="shared" si="28"/>
        <v>1257.3251258647085</v>
      </c>
      <c r="C240" s="56">
        <f t="shared" si="29"/>
        <v>858.52398466645661</v>
      </c>
      <c r="D240" s="49">
        <f t="shared" si="25"/>
        <v>398.80114119825197</v>
      </c>
      <c r="F240" s="49">
        <f t="shared" si="23"/>
        <v>135873.29585473437</v>
      </c>
      <c r="G240" s="49">
        <f t="shared" si="26"/>
        <v>144126.70414526571</v>
      </c>
      <c r="H240" s="49">
        <f t="shared" si="27"/>
        <v>145058.07480361729</v>
      </c>
    </row>
    <row r="241" spans="1:8" x14ac:dyDescent="0.2">
      <c r="A241" s="50">
        <f t="shared" si="24"/>
        <v>231</v>
      </c>
      <c r="B241" s="56">
        <f t="shared" si="28"/>
        <v>1257.3251258647085</v>
      </c>
      <c r="C241" s="56">
        <f t="shared" si="29"/>
        <v>861.02801295506697</v>
      </c>
      <c r="D241" s="49">
        <f t="shared" si="25"/>
        <v>396.29711290964144</v>
      </c>
      <c r="F241" s="49">
        <f t="shared" si="23"/>
        <v>135012.26784177931</v>
      </c>
      <c r="G241" s="49">
        <f t="shared" si="26"/>
        <v>144987.73215822078</v>
      </c>
      <c r="H241" s="49">
        <f t="shared" si="27"/>
        <v>145454.37191652693</v>
      </c>
    </row>
    <row r="242" spans="1:8" x14ac:dyDescent="0.2">
      <c r="A242" s="50">
        <f t="shared" si="24"/>
        <v>232</v>
      </c>
      <c r="B242" s="56">
        <f t="shared" si="28"/>
        <v>1257.3251258647085</v>
      </c>
      <c r="C242" s="56">
        <f t="shared" si="29"/>
        <v>863.53934465951932</v>
      </c>
      <c r="D242" s="49">
        <f t="shared" si="25"/>
        <v>393.78578120518927</v>
      </c>
      <c r="F242" s="49">
        <f t="shared" si="23"/>
        <v>134148.7284971198</v>
      </c>
      <c r="G242" s="49">
        <f t="shared" si="26"/>
        <v>145851.27150288029</v>
      </c>
      <c r="H242" s="49">
        <f t="shared" si="27"/>
        <v>145848.15769773212</v>
      </c>
    </row>
    <row r="243" spans="1:8" x14ac:dyDescent="0.2">
      <c r="A243" s="50">
        <f t="shared" si="24"/>
        <v>233</v>
      </c>
      <c r="B243" s="56">
        <f t="shared" si="28"/>
        <v>1257.3251258647085</v>
      </c>
      <c r="C243" s="56">
        <f t="shared" si="29"/>
        <v>866.05800108144297</v>
      </c>
      <c r="D243" s="49">
        <f t="shared" si="25"/>
        <v>391.26712478326567</v>
      </c>
      <c r="F243" s="49">
        <f t="shared" si="23"/>
        <v>133282.67049603836</v>
      </c>
      <c r="G243" s="49">
        <f t="shared" si="26"/>
        <v>146717.32950396172</v>
      </c>
      <c r="H243" s="49">
        <f t="shared" si="27"/>
        <v>146239.4248225154</v>
      </c>
    </row>
    <row r="244" spans="1:8" x14ac:dyDescent="0.2">
      <c r="A244" s="50">
        <f t="shared" si="24"/>
        <v>234</v>
      </c>
      <c r="B244" s="56">
        <f t="shared" si="28"/>
        <v>1257.3251258647085</v>
      </c>
      <c r="C244" s="56">
        <f t="shared" si="29"/>
        <v>868.5840035845971</v>
      </c>
      <c r="D244" s="49">
        <f t="shared" si="25"/>
        <v>388.74112228011143</v>
      </c>
      <c r="F244" s="49">
        <f t="shared" si="23"/>
        <v>132414.08649245376</v>
      </c>
      <c r="G244" s="49">
        <f t="shared" si="26"/>
        <v>147585.91350754633</v>
      </c>
      <c r="H244" s="49">
        <f t="shared" si="27"/>
        <v>146628.1659447955</v>
      </c>
    </row>
    <row r="245" spans="1:8" x14ac:dyDescent="0.2">
      <c r="A245" s="50">
        <f t="shared" si="24"/>
        <v>235</v>
      </c>
      <c r="B245" s="56">
        <f t="shared" si="28"/>
        <v>1257.3251258647085</v>
      </c>
      <c r="C245" s="56">
        <f t="shared" si="29"/>
        <v>871.1173735950523</v>
      </c>
      <c r="D245" s="49">
        <f t="shared" si="25"/>
        <v>386.20775226965628</v>
      </c>
      <c r="F245" s="49">
        <f t="shared" si="23"/>
        <v>131542.96911885872</v>
      </c>
      <c r="G245" s="49">
        <f t="shared" si="26"/>
        <v>148457.03088114137</v>
      </c>
      <c r="H245" s="49">
        <f t="shared" si="27"/>
        <v>147014.37369706517</v>
      </c>
    </row>
    <row r="246" spans="1:8" x14ac:dyDescent="0.2">
      <c r="A246" s="50">
        <f t="shared" si="24"/>
        <v>236</v>
      </c>
      <c r="B246" s="56">
        <f t="shared" si="28"/>
        <v>1257.3251258647085</v>
      </c>
      <c r="C246" s="56">
        <f t="shared" si="29"/>
        <v>873.65813260137122</v>
      </c>
      <c r="D246" s="49">
        <f t="shared" si="25"/>
        <v>383.66699326333742</v>
      </c>
      <c r="F246" s="49">
        <f t="shared" si="23"/>
        <v>130669.31098625735</v>
      </c>
      <c r="G246" s="49">
        <f t="shared" si="26"/>
        <v>149330.68901374275</v>
      </c>
      <c r="H246" s="49">
        <f t="shared" si="27"/>
        <v>147398.04069032849</v>
      </c>
    </row>
    <row r="247" spans="1:8" x14ac:dyDescent="0.2">
      <c r="A247" s="50">
        <f t="shared" si="24"/>
        <v>237</v>
      </c>
      <c r="B247" s="56">
        <f t="shared" si="28"/>
        <v>1257.3251258647085</v>
      </c>
      <c r="C247" s="56">
        <f t="shared" si="29"/>
        <v>876.20630215479184</v>
      </c>
      <c r="D247" s="49">
        <f t="shared" si="25"/>
        <v>381.1188237099168</v>
      </c>
      <c r="F247" s="49">
        <f t="shared" si="23"/>
        <v>129793.10468410255</v>
      </c>
      <c r="G247" s="49">
        <f t="shared" si="26"/>
        <v>150206.89531589753</v>
      </c>
      <c r="H247" s="49">
        <f t="shared" si="27"/>
        <v>147779.15951403842</v>
      </c>
    </row>
    <row r="248" spans="1:8" x14ac:dyDescent="0.2">
      <c r="A248" s="50">
        <f t="shared" si="24"/>
        <v>238</v>
      </c>
      <c r="B248" s="56">
        <f t="shared" si="28"/>
        <v>1257.3251258647085</v>
      </c>
      <c r="C248" s="56">
        <f t="shared" si="29"/>
        <v>878.76190386941005</v>
      </c>
      <c r="D248" s="49">
        <f t="shared" si="25"/>
        <v>378.56322199529859</v>
      </c>
      <c r="F248" s="49">
        <f t="shared" si="23"/>
        <v>128914.34278023314</v>
      </c>
      <c r="G248" s="49">
        <f t="shared" si="26"/>
        <v>151085.65721976693</v>
      </c>
      <c r="H248" s="49">
        <f t="shared" si="27"/>
        <v>148157.72273603373</v>
      </c>
    </row>
    <row r="249" spans="1:8" x14ac:dyDescent="0.2">
      <c r="A249" s="50">
        <f t="shared" si="24"/>
        <v>239</v>
      </c>
      <c r="B249" s="56">
        <f t="shared" si="28"/>
        <v>1257.3251258647085</v>
      </c>
      <c r="C249" s="56">
        <f t="shared" si="29"/>
        <v>881.32495942236244</v>
      </c>
      <c r="D249" s="49">
        <f t="shared" si="25"/>
        <v>376.00016644234614</v>
      </c>
      <c r="F249" s="49">
        <f t="shared" si="23"/>
        <v>128033.01782081078</v>
      </c>
      <c r="G249" s="49">
        <f t="shared" si="26"/>
        <v>151966.9821791893</v>
      </c>
      <c r="H249" s="49">
        <f t="shared" si="27"/>
        <v>148533.72290247606</v>
      </c>
    </row>
    <row r="250" spans="1:8" x14ac:dyDescent="0.2">
      <c r="A250" s="50">
        <f t="shared" si="24"/>
        <v>240</v>
      </c>
      <c r="B250" s="56">
        <f t="shared" si="28"/>
        <v>1257.3251258647085</v>
      </c>
      <c r="C250" s="56">
        <f t="shared" si="29"/>
        <v>883.89549055401096</v>
      </c>
      <c r="D250" s="49">
        <f t="shared" si="25"/>
        <v>373.42963531069756</v>
      </c>
      <c r="F250" s="49">
        <f t="shared" si="23"/>
        <v>127149.12233025677</v>
      </c>
      <c r="G250" s="49">
        <f t="shared" si="26"/>
        <v>152850.87766974332</v>
      </c>
      <c r="H250" s="49">
        <f t="shared" si="27"/>
        <v>148907.15253778675</v>
      </c>
    </row>
    <row r="251" spans="1:8" x14ac:dyDescent="0.2">
      <c r="A251" s="50">
        <f t="shared" si="24"/>
        <v>241</v>
      </c>
      <c r="B251" s="56">
        <f t="shared" si="28"/>
        <v>1257.3251258647085</v>
      </c>
      <c r="C251" s="56">
        <f t="shared" si="29"/>
        <v>886.47351906812696</v>
      </c>
      <c r="D251" s="49">
        <f t="shared" si="25"/>
        <v>370.85160679658173</v>
      </c>
      <c r="F251" s="49">
        <f t="shared" si="23"/>
        <v>126262.64881118864</v>
      </c>
      <c r="G251" s="49">
        <f t="shared" si="26"/>
        <v>153737.35118881144</v>
      </c>
      <c r="H251" s="49">
        <f t="shared" si="27"/>
        <v>149278.00414458333</v>
      </c>
    </row>
    <row r="252" spans="1:8" x14ac:dyDescent="0.2">
      <c r="A252" s="50">
        <f t="shared" si="24"/>
        <v>242</v>
      </c>
      <c r="B252" s="56">
        <f t="shared" si="28"/>
        <v>1257.3251258647085</v>
      </c>
      <c r="C252" s="56">
        <f t="shared" si="29"/>
        <v>889.05906683207547</v>
      </c>
      <c r="D252" s="49">
        <f t="shared" si="25"/>
        <v>368.26605903263311</v>
      </c>
      <c r="F252" s="49">
        <f t="shared" si="23"/>
        <v>125373.58974435656</v>
      </c>
      <c r="G252" s="49">
        <f t="shared" si="26"/>
        <v>154626.41025564351</v>
      </c>
      <c r="H252" s="49">
        <f t="shared" si="27"/>
        <v>149646.27020361598</v>
      </c>
    </row>
    <row r="253" spans="1:8" x14ac:dyDescent="0.2">
      <c r="A253" s="50">
        <f t="shared" si="24"/>
        <v>243</v>
      </c>
      <c r="B253" s="56">
        <f t="shared" si="28"/>
        <v>1257.3251258647085</v>
      </c>
      <c r="C253" s="56">
        <f t="shared" si="29"/>
        <v>891.65215577700235</v>
      </c>
      <c r="D253" s="49">
        <f t="shared" si="25"/>
        <v>365.67297008770618</v>
      </c>
      <c r="F253" s="49">
        <f t="shared" si="23"/>
        <v>124481.93758857956</v>
      </c>
      <c r="G253" s="49">
        <f t="shared" si="26"/>
        <v>155518.06241142051</v>
      </c>
      <c r="H253" s="49">
        <f t="shared" si="27"/>
        <v>150011.94317370368</v>
      </c>
    </row>
    <row r="254" spans="1:8" x14ac:dyDescent="0.2">
      <c r="A254" s="50">
        <f t="shared" si="24"/>
        <v>244</v>
      </c>
      <c r="B254" s="56">
        <f t="shared" si="28"/>
        <v>1257.3251258647085</v>
      </c>
      <c r="C254" s="56">
        <f t="shared" si="29"/>
        <v>894.25280789801877</v>
      </c>
      <c r="D254" s="49">
        <f t="shared" si="25"/>
        <v>363.07231796668987</v>
      </c>
      <c r="F254" s="49">
        <f t="shared" si="23"/>
        <v>123587.68478068153</v>
      </c>
      <c r="G254" s="49">
        <f t="shared" si="26"/>
        <v>156412.31521931852</v>
      </c>
      <c r="H254" s="49">
        <f t="shared" si="27"/>
        <v>150375.01549167038</v>
      </c>
    </row>
    <row r="255" spans="1:8" x14ac:dyDescent="0.2">
      <c r="A255" s="50">
        <f t="shared" si="24"/>
        <v>245</v>
      </c>
      <c r="B255" s="56">
        <f t="shared" si="28"/>
        <v>1257.3251258647085</v>
      </c>
      <c r="C255" s="56">
        <f t="shared" si="29"/>
        <v>896.86104525438805</v>
      </c>
      <c r="D255" s="49">
        <f t="shared" si="25"/>
        <v>360.46408061032071</v>
      </c>
      <c r="F255" s="49">
        <f t="shared" si="23"/>
        <v>122690.82373542714</v>
      </c>
      <c r="G255" s="49">
        <f t="shared" si="26"/>
        <v>157309.17626457292</v>
      </c>
      <c r="H255" s="49">
        <f t="shared" si="27"/>
        <v>150735.47957228069</v>
      </c>
    </row>
    <row r="256" spans="1:8" x14ac:dyDescent="0.2">
      <c r="A256" s="50">
        <f t="shared" si="24"/>
        <v>246</v>
      </c>
      <c r="B256" s="56">
        <f t="shared" si="28"/>
        <v>1257.3251258647085</v>
      </c>
      <c r="C256" s="56">
        <f t="shared" si="29"/>
        <v>899.47688996971317</v>
      </c>
      <c r="D256" s="49">
        <f t="shared" si="25"/>
        <v>357.84823589499541</v>
      </c>
      <c r="F256" s="49">
        <f t="shared" si="23"/>
        <v>121791.34684545743</v>
      </c>
      <c r="G256" s="49">
        <f t="shared" si="26"/>
        <v>158208.65315454264</v>
      </c>
      <c r="H256" s="49">
        <f t="shared" si="27"/>
        <v>151093.32780817567</v>
      </c>
    </row>
    <row r="257" spans="1:8" x14ac:dyDescent="0.2">
      <c r="A257" s="50">
        <f t="shared" si="24"/>
        <v>247</v>
      </c>
      <c r="B257" s="56">
        <f t="shared" si="28"/>
        <v>1257.3251258647085</v>
      </c>
      <c r="C257" s="56">
        <f t="shared" si="29"/>
        <v>902.10036423212489</v>
      </c>
      <c r="D257" s="49">
        <f t="shared" si="25"/>
        <v>355.22476163258375</v>
      </c>
      <c r="F257" s="49">
        <f t="shared" si="23"/>
        <v>120889.2464812253</v>
      </c>
      <c r="G257" s="49">
        <f t="shared" si="26"/>
        <v>159110.75351877476</v>
      </c>
      <c r="H257" s="49">
        <f t="shared" si="27"/>
        <v>151448.55256980826</v>
      </c>
    </row>
    <row r="258" spans="1:8" x14ac:dyDescent="0.2">
      <c r="A258" s="50">
        <f t="shared" si="24"/>
        <v>248</v>
      </c>
      <c r="B258" s="56">
        <f t="shared" si="28"/>
        <v>1257.3251258647085</v>
      </c>
      <c r="C258" s="56">
        <f t="shared" si="29"/>
        <v>904.73149029446859</v>
      </c>
      <c r="D258" s="49">
        <f t="shared" si="25"/>
        <v>352.59363557024</v>
      </c>
      <c r="F258" s="49">
        <f t="shared" ref="F258:F321" si="30">IF(A258="","",F257-C258-E258)</f>
        <v>119984.51499093084</v>
      </c>
      <c r="G258" s="49">
        <f t="shared" si="26"/>
        <v>160015.48500906923</v>
      </c>
      <c r="H258" s="49">
        <f t="shared" si="27"/>
        <v>151801.14620537849</v>
      </c>
    </row>
    <row r="259" spans="1:8" x14ac:dyDescent="0.2">
      <c r="A259" s="50">
        <f t="shared" si="24"/>
        <v>249</v>
      </c>
      <c r="B259" s="56">
        <f t="shared" si="28"/>
        <v>1257.3251258647085</v>
      </c>
      <c r="C259" s="56">
        <f t="shared" si="29"/>
        <v>907.37029047449403</v>
      </c>
      <c r="D259" s="49">
        <f t="shared" si="25"/>
        <v>349.9548353902145</v>
      </c>
      <c r="F259" s="49">
        <f t="shared" si="30"/>
        <v>119077.14470045634</v>
      </c>
      <c r="G259" s="49">
        <f t="shared" si="26"/>
        <v>160922.85529954373</v>
      </c>
      <c r="H259" s="49">
        <f t="shared" si="27"/>
        <v>152151.1010407687</v>
      </c>
    </row>
    <row r="260" spans="1:8" x14ac:dyDescent="0.2">
      <c r="A260" s="50">
        <f t="shared" si="24"/>
        <v>250</v>
      </c>
      <c r="B260" s="56">
        <f t="shared" si="28"/>
        <v>1257.3251258647085</v>
      </c>
      <c r="C260" s="56">
        <f t="shared" si="29"/>
        <v>910.01678715504465</v>
      </c>
      <c r="D260" s="49">
        <f t="shared" si="25"/>
        <v>347.30833870966393</v>
      </c>
      <c r="F260" s="49">
        <f t="shared" si="30"/>
        <v>118167.12791330129</v>
      </c>
      <c r="G260" s="49">
        <f t="shared" si="26"/>
        <v>161832.87208669877</v>
      </c>
      <c r="H260" s="49">
        <f t="shared" si="27"/>
        <v>152498.40937947837</v>
      </c>
    </row>
    <row r="261" spans="1:8" x14ac:dyDescent="0.2">
      <c r="A261" s="50">
        <f t="shared" si="24"/>
        <v>251</v>
      </c>
      <c r="B261" s="56">
        <f t="shared" si="28"/>
        <v>1257.3251258647085</v>
      </c>
      <c r="C261" s="56">
        <f t="shared" si="29"/>
        <v>912.67100278424675</v>
      </c>
      <c r="D261" s="49">
        <f t="shared" si="25"/>
        <v>344.65412308046166</v>
      </c>
      <c r="F261" s="49">
        <f t="shared" si="30"/>
        <v>117254.45691051704</v>
      </c>
      <c r="G261" s="49">
        <f t="shared" si="26"/>
        <v>162745.54308948302</v>
      </c>
      <c r="H261" s="49">
        <f t="shared" si="27"/>
        <v>152843.06350255883</v>
      </c>
    </row>
    <row r="262" spans="1:8" x14ac:dyDescent="0.2">
      <c r="A262" s="50">
        <f t="shared" si="24"/>
        <v>252</v>
      </c>
      <c r="B262" s="56">
        <f t="shared" si="28"/>
        <v>1257.3251258647085</v>
      </c>
      <c r="C262" s="56">
        <f t="shared" si="29"/>
        <v>915.33295987570091</v>
      </c>
      <c r="D262" s="49">
        <f t="shared" si="25"/>
        <v>341.99216598900762</v>
      </c>
      <c r="F262" s="49">
        <f t="shared" si="30"/>
        <v>116339.12395064134</v>
      </c>
      <c r="G262" s="49">
        <f t="shared" si="26"/>
        <v>163660.87604935872</v>
      </c>
      <c r="H262" s="49">
        <f t="shared" si="27"/>
        <v>153185.05566854784</v>
      </c>
    </row>
    <row r="263" spans="1:8" x14ac:dyDescent="0.2">
      <c r="A263" s="50">
        <f t="shared" si="24"/>
        <v>253</v>
      </c>
      <c r="B263" s="56">
        <f t="shared" si="28"/>
        <v>1257.3251258647085</v>
      </c>
      <c r="C263" s="56">
        <f t="shared" si="29"/>
        <v>918.00268100867174</v>
      </c>
      <c r="D263" s="49">
        <f t="shared" si="25"/>
        <v>339.32244485603684</v>
      </c>
      <c r="F263" s="49">
        <f t="shared" si="30"/>
        <v>115421.12126963267</v>
      </c>
      <c r="G263" s="49">
        <f t="shared" si="26"/>
        <v>164578.8787303674</v>
      </c>
      <c r="H263" s="49">
        <f t="shared" si="27"/>
        <v>153524.37811340389</v>
      </c>
    </row>
    <row r="264" spans="1:8" x14ac:dyDescent="0.2">
      <c r="A264" s="50">
        <f t="shared" si="24"/>
        <v>254</v>
      </c>
      <c r="B264" s="56">
        <f t="shared" si="28"/>
        <v>1257.3251258647085</v>
      </c>
      <c r="C264" s="56">
        <f t="shared" si="29"/>
        <v>920.68018882828051</v>
      </c>
      <c r="D264" s="49">
        <f t="shared" si="25"/>
        <v>336.64493703642819</v>
      </c>
      <c r="F264" s="49">
        <f t="shared" si="30"/>
        <v>114500.44108080439</v>
      </c>
      <c r="G264" s="49">
        <f t="shared" si="26"/>
        <v>165499.5589191957</v>
      </c>
      <c r="H264" s="49">
        <f t="shared" si="27"/>
        <v>153861.02305044033</v>
      </c>
    </row>
    <row r="265" spans="1:8" x14ac:dyDescent="0.2">
      <c r="A265" s="50">
        <f t="shared" ref="A265:A328" si="31">IF(OR(F264&lt;0.01,F264=""),"",A264+1)</f>
        <v>255</v>
      </c>
      <c r="B265" s="56">
        <f t="shared" si="28"/>
        <v>1257.3251258647085</v>
      </c>
      <c r="C265" s="56">
        <f t="shared" si="29"/>
        <v>923.36550604569607</v>
      </c>
      <c r="D265" s="49">
        <f t="shared" si="25"/>
        <v>333.95961981901229</v>
      </c>
      <c r="F265" s="49">
        <f t="shared" si="30"/>
        <v>113577.0755747587</v>
      </c>
      <c r="G265" s="49">
        <f t="shared" si="26"/>
        <v>166422.92442524139</v>
      </c>
      <c r="H265" s="49">
        <f t="shared" si="27"/>
        <v>154194.98267025934</v>
      </c>
    </row>
    <row r="266" spans="1:8" x14ac:dyDescent="0.2">
      <c r="A266" s="50">
        <f t="shared" si="31"/>
        <v>256</v>
      </c>
      <c r="B266" s="56">
        <f t="shared" si="28"/>
        <v>1257.3251258647085</v>
      </c>
      <c r="C266" s="56">
        <f t="shared" si="29"/>
        <v>926.05865543832954</v>
      </c>
      <c r="D266" s="49">
        <f t="shared" si="25"/>
        <v>331.2664704263791</v>
      </c>
      <c r="F266" s="49">
        <f t="shared" si="30"/>
        <v>112651.01691932036</v>
      </c>
      <c r="G266" s="49">
        <f t="shared" si="26"/>
        <v>167348.98308067973</v>
      </c>
      <c r="H266" s="49">
        <f t="shared" si="27"/>
        <v>154526.24914068572</v>
      </c>
    </row>
    <row r="267" spans="1:8" x14ac:dyDescent="0.2">
      <c r="A267" s="50">
        <f t="shared" si="31"/>
        <v>257</v>
      </c>
      <c r="B267" s="56">
        <f t="shared" si="28"/>
        <v>1257.3251258647085</v>
      </c>
      <c r="C267" s="56">
        <f t="shared" si="29"/>
        <v>928.7596598500246</v>
      </c>
      <c r="D267" s="49">
        <f t="shared" si="25"/>
        <v>328.56546601468403</v>
      </c>
      <c r="F267" s="49">
        <f t="shared" si="30"/>
        <v>111722.25725947034</v>
      </c>
      <c r="G267" s="49">
        <f t="shared" si="26"/>
        <v>168277.74274052976</v>
      </c>
      <c r="H267" s="49">
        <f t="shared" si="27"/>
        <v>154854.81460670041</v>
      </c>
    </row>
    <row r="268" spans="1:8" x14ac:dyDescent="0.2">
      <c r="A268" s="50">
        <f t="shared" si="31"/>
        <v>258</v>
      </c>
      <c r="B268" s="56">
        <f t="shared" si="28"/>
        <v>1257.3251258647085</v>
      </c>
      <c r="C268" s="56">
        <f t="shared" si="29"/>
        <v>931.46854219125385</v>
      </c>
      <c r="D268" s="49">
        <f t="shared" ref="D268:D331" si="32">IF(A268="","",-IPMT($B$6,A268,$B$5,$B$3,0))</f>
        <v>325.85658367345474</v>
      </c>
      <c r="F268" s="49">
        <f t="shared" si="30"/>
        <v>110790.78871727908</v>
      </c>
      <c r="G268" s="49">
        <f t="shared" ref="G268:G331" si="33">IF(A268="","",C268+E268+G267)</f>
        <v>169209.21128272102</v>
      </c>
      <c r="H268" s="49">
        <f t="shared" ref="H268:H331" si="34">IF(A268="","",D268+H267)</f>
        <v>155180.67119037386</v>
      </c>
    </row>
    <row r="269" spans="1:8" x14ac:dyDescent="0.2">
      <c r="A269" s="50">
        <f t="shared" si="31"/>
        <v>259</v>
      </c>
      <c r="B269" s="56">
        <f t="shared" si="28"/>
        <v>1257.3251258647085</v>
      </c>
      <c r="C269" s="56">
        <f t="shared" si="29"/>
        <v>934.18532543931167</v>
      </c>
      <c r="D269" s="49">
        <f t="shared" si="32"/>
        <v>323.13980042539686</v>
      </c>
      <c r="F269" s="49">
        <f t="shared" si="30"/>
        <v>109856.60339183977</v>
      </c>
      <c r="G269" s="49">
        <f t="shared" si="33"/>
        <v>170143.39660816034</v>
      </c>
      <c r="H269" s="49">
        <f t="shared" si="34"/>
        <v>155503.81099079925</v>
      </c>
    </row>
    <row r="270" spans="1:8" x14ac:dyDescent="0.2">
      <c r="A270" s="50">
        <f t="shared" si="31"/>
        <v>260</v>
      </c>
      <c r="B270" s="56">
        <f t="shared" si="28"/>
        <v>1257.3251258647085</v>
      </c>
      <c r="C270" s="56">
        <f t="shared" si="29"/>
        <v>936.91003263850973</v>
      </c>
      <c r="D270" s="49">
        <f t="shared" si="32"/>
        <v>320.41509322619891</v>
      </c>
      <c r="F270" s="49">
        <f t="shared" si="30"/>
        <v>108919.69335920126</v>
      </c>
      <c r="G270" s="49">
        <f t="shared" si="33"/>
        <v>171080.30664079887</v>
      </c>
      <c r="H270" s="49">
        <f t="shared" si="34"/>
        <v>155824.22608402546</v>
      </c>
    </row>
    <row r="271" spans="1:8" x14ac:dyDescent="0.2">
      <c r="A271" s="50">
        <f t="shared" si="31"/>
        <v>261</v>
      </c>
      <c r="B271" s="56">
        <f t="shared" si="28"/>
        <v>1257.3251258647085</v>
      </c>
      <c r="C271" s="56">
        <f t="shared" si="29"/>
        <v>939.64268690037193</v>
      </c>
      <c r="D271" s="49">
        <f t="shared" si="32"/>
        <v>317.6824389643366</v>
      </c>
      <c r="F271" s="49">
        <f t="shared" si="30"/>
        <v>107980.05067230089</v>
      </c>
      <c r="G271" s="49">
        <f t="shared" si="33"/>
        <v>172019.94932769923</v>
      </c>
      <c r="H271" s="49">
        <f t="shared" si="34"/>
        <v>156141.9085229898</v>
      </c>
    </row>
    <row r="272" spans="1:8" x14ac:dyDescent="0.2">
      <c r="A272" s="50">
        <f t="shared" si="31"/>
        <v>262</v>
      </c>
      <c r="B272" s="56">
        <f t="shared" si="28"/>
        <v>1257.3251258647085</v>
      </c>
      <c r="C272" s="56">
        <f t="shared" si="29"/>
        <v>942.38331140383139</v>
      </c>
      <c r="D272" s="49">
        <f t="shared" si="32"/>
        <v>314.9418144608772</v>
      </c>
      <c r="F272" s="49">
        <f t="shared" si="30"/>
        <v>107037.66736089706</v>
      </c>
      <c r="G272" s="49">
        <f t="shared" si="33"/>
        <v>172962.33263910306</v>
      </c>
      <c r="H272" s="49">
        <f t="shared" si="34"/>
        <v>156456.85033745068</v>
      </c>
    </row>
    <row r="273" spans="1:8" x14ac:dyDescent="0.2">
      <c r="A273" s="50">
        <f t="shared" si="31"/>
        <v>263</v>
      </c>
      <c r="B273" s="56">
        <f t="shared" si="28"/>
        <v>1257.3251258647085</v>
      </c>
      <c r="C273" s="56">
        <f t="shared" si="29"/>
        <v>945.13192939542603</v>
      </c>
      <c r="D273" s="49">
        <f t="shared" si="32"/>
        <v>312.19319646928261</v>
      </c>
      <c r="F273" s="49">
        <f t="shared" si="30"/>
        <v>106092.53543150163</v>
      </c>
      <c r="G273" s="49">
        <f t="shared" si="33"/>
        <v>173907.46456849849</v>
      </c>
      <c r="H273" s="49">
        <f t="shared" si="34"/>
        <v>156769.04353391996</v>
      </c>
    </row>
    <row r="274" spans="1:8" x14ac:dyDescent="0.2">
      <c r="A274" s="50">
        <f t="shared" si="31"/>
        <v>264</v>
      </c>
      <c r="B274" s="56">
        <f t="shared" si="28"/>
        <v>1257.3251258647085</v>
      </c>
      <c r="C274" s="56">
        <f t="shared" si="29"/>
        <v>947.88856418949592</v>
      </c>
      <c r="D274" s="49">
        <f t="shared" si="32"/>
        <v>309.43656167521266</v>
      </c>
      <c r="F274" s="49">
        <f t="shared" si="30"/>
        <v>105144.64686731213</v>
      </c>
      <c r="G274" s="49">
        <f t="shared" si="33"/>
        <v>174855.35313268797</v>
      </c>
      <c r="H274" s="49">
        <f t="shared" si="34"/>
        <v>157078.48009559518</v>
      </c>
    </row>
    <row r="275" spans="1:8" x14ac:dyDescent="0.2">
      <c r="A275" s="50">
        <f t="shared" si="31"/>
        <v>265</v>
      </c>
      <c r="B275" s="56">
        <f t="shared" si="28"/>
        <v>1257.3251258647085</v>
      </c>
      <c r="C275" s="56">
        <f t="shared" si="29"/>
        <v>950.65323916838202</v>
      </c>
      <c r="D275" s="49">
        <f t="shared" si="32"/>
        <v>306.67188669632662</v>
      </c>
      <c r="F275" s="49">
        <f t="shared" si="30"/>
        <v>104193.99362814374</v>
      </c>
      <c r="G275" s="49">
        <f t="shared" si="33"/>
        <v>175806.00637185635</v>
      </c>
      <c r="H275" s="49">
        <f t="shared" si="34"/>
        <v>157385.15198229151</v>
      </c>
    </row>
    <row r="276" spans="1:8" x14ac:dyDescent="0.2">
      <c r="A276" s="50">
        <f t="shared" si="31"/>
        <v>266</v>
      </c>
      <c r="B276" s="56">
        <f t="shared" si="28"/>
        <v>1257.3251258647085</v>
      </c>
      <c r="C276" s="56">
        <f t="shared" si="29"/>
        <v>953.42597778262302</v>
      </c>
      <c r="D276" s="49">
        <f t="shared" si="32"/>
        <v>303.8991480820855</v>
      </c>
      <c r="F276" s="49">
        <f t="shared" si="30"/>
        <v>103240.56765036112</v>
      </c>
      <c r="G276" s="49">
        <f t="shared" si="33"/>
        <v>176759.43234963898</v>
      </c>
      <c r="H276" s="49">
        <f t="shared" si="34"/>
        <v>157689.05113037361</v>
      </c>
    </row>
    <row r="277" spans="1:8" x14ac:dyDescent="0.2">
      <c r="A277" s="50">
        <f t="shared" si="31"/>
        <v>267</v>
      </c>
      <c r="B277" s="56">
        <f t="shared" si="28"/>
        <v>1257.3251258647085</v>
      </c>
      <c r="C277" s="56">
        <f t="shared" si="29"/>
        <v>956.20680355115564</v>
      </c>
      <c r="D277" s="49">
        <f t="shared" si="32"/>
        <v>301.11832231355282</v>
      </c>
      <c r="F277" s="49">
        <f t="shared" si="30"/>
        <v>102284.36084680996</v>
      </c>
      <c r="G277" s="49">
        <f t="shared" si="33"/>
        <v>177715.63915319013</v>
      </c>
      <c r="H277" s="49">
        <f t="shared" si="34"/>
        <v>157990.16945268717</v>
      </c>
    </row>
    <row r="278" spans="1:8" x14ac:dyDescent="0.2">
      <c r="A278" s="50">
        <f t="shared" si="31"/>
        <v>268</v>
      </c>
      <c r="B278" s="56">
        <f t="shared" ref="B278:B341" si="35">IF(A278="","",IF(F277&lt;B277,F277+D278,-PMT($B$6,$B$5,$B$3,0)))</f>
        <v>1257.3251258647085</v>
      </c>
      <c r="C278" s="56">
        <f t="shared" ref="C278:C341" si="36">IF(A278="","",IF(F277&lt;C277,F277,-PPMT($B$6,$A278,$B$5,$B$3,0)))</f>
        <v>958.99574006151329</v>
      </c>
      <c r="D278" s="49">
        <f t="shared" si="32"/>
        <v>298.32938580319535</v>
      </c>
      <c r="F278" s="49">
        <f t="shared" si="30"/>
        <v>101325.36510674845</v>
      </c>
      <c r="G278" s="49">
        <f t="shared" si="33"/>
        <v>178674.63489325164</v>
      </c>
      <c r="H278" s="49">
        <f t="shared" si="34"/>
        <v>158288.49883849037</v>
      </c>
    </row>
    <row r="279" spans="1:8" x14ac:dyDescent="0.2">
      <c r="A279" s="50">
        <f t="shared" si="31"/>
        <v>269</v>
      </c>
      <c r="B279" s="56">
        <f t="shared" si="35"/>
        <v>1257.3251258647085</v>
      </c>
      <c r="C279" s="56">
        <f t="shared" si="36"/>
        <v>961.79281097002604</v>
      </c>
      <c r="D279" s="49">
        <f t="shared" si="32"/>
        <v>295.5323148946826</v>
      </c>
      <c r="F279" s="49">
        <f t="shared" si="30"/>
        <v>100363.57229577842</v>
      </c>
      <c r="G279" s="49">
        <f t="shared" si="33"/>
        <v>179636.42770422166</v>
      </c>
      <c r="H279" s="49">
        <f t="shared" si="34"/>
        <v>158584.03115338506</v>
      </c>
    </row>
    <row r="280" spans="1:8" x14ac:dyDescent="0.2">
      <c r="A280" s="50">
        <f t="shared" si="31"/>
        <v>270</v>
      </c>
      <c r="B280" s="56">
        <f t="shared" si="35"/>
        <v>1257.3251258647085</v>
      </c>
      <c r="C280" s="56">
        <f t="shared" si="36"/>
        <v>964.598040002022</v>
      </c>
      <c r="D280" s="49">
        <f t="shared" si="32"/>
        <v>292.72708586268669</v>
      </c>
      <c r="F280" s="49">
        <f t="shared" si="30"/>
        <v>99398.974255776397</v>
      </c>
      <c r="G280" s="49">
        <f t="shared" si="33"/>
        <v>180601.02574422368</v>
      </c>
      <c r="H280" s="49">
        <f t="shared" si="34"/>
        <v>158876.75823924775</v>
      </c>
    </row>
    <row r="281" spans="1:8" x14ac:dyDescent="0.2">
      <c r="A281" s="50">
        <f t="shared" si="31"/>
        <v>271</v>
      </c>
      <c r="B281" s="56">
        <f t="shared" si="35"/>
        <v>1257.3251258647085</v>
      </c>
      <c r="C281" s="56">
        <f t="shared" si="36"/>
        <v>967.41145095202774</v>
      </c>
      <c r="D281" s="49">
        <f t="shared" si="32"/>
        <v>289.91367491268079</v>
      </c>
      <c r="F281" s="49">
        <f t="shared" si="30"/>
        <v>98431.562804824367</v>
      </c>
      <c r="G281" s="49">
        <f t="shared" si="33"/>
        <v>181568.43719517571</v>
      </c>
      <c r="H281" s="49">
        <f t="shared" si="34"/>
        <v>159166.67191416043</v>
      </c>
    </row>
    <row r="282" spans="1:8" x14ac:dyDescent="0.2">
      <c r="A282" s="50">
        <f t="shared" si="31"/>
        <v>272</v>
      </c>
      <c r="B282" s="56">
        <f t="shared" si="35"/>
        <v>1257.3251258647085</v>
      </c>
      <c r="C282" s="56">
        <f t="shared" si="36"/>
        <v>970.23306768397106</v>
      </c>
      <c r="D282" s="49">
        <f t="shared" si="32"/>
        <v>287.09205818073735</v>
      </c>
      <c r="F282" s="49">
        <f t="shared" si="30"/>
        <v>97461.32973714039</v>
      </c>
      <c r="G282" s="49">
        <f t="shared" si="33"/>
        <v>182538.67026285967</v>
      </c>
      <c r="H282" s="49">
        <f t="shared" si="34"/>
        <v>159453.76397234117</v>
      </c>
    </row>
    <row r="283" spans="1:8" x14ac:dyDescent="0.2">
      <c r="A283" s="50">
        <f t="shared" si="31"/>
        <v>273</v>
      </c>
      <c r="B283" s="56">
        <f t="shared" si="35"/>
        <v>1257.3251258647085</v>
      </c>
      <c r="C283" s="56">
        <f t="shared" si="36"/>
        <v>973.06291413138274</v>
      </c>
      <c r="D283" s="49">
        <f t="shared" si="32"/>
        <v>284.26221173332578</v>
      </c>
      <c r="F283" s="49">
        <f t="shared" si="30"/>
        <v>96488.266823009006</v>
      </c>
      <c r="G283" s="49">
        <f t="shared" si="33"/>
        <v>183511.73317699105</v>
      </c>
      <c r="H283" s="49">
        <f t="shared" si="34"/>
        <v>159738.02618407449</v>
      </c>
    </row>
    <row r="284" spans="1:8" x14ac:dyDescent="0.2">
      <c r="A284" s="50">
        <f t="shared" si="31"/>
        <v>274</v>
      </c>
      <c r="B284" s="56">
        <f t="shared" si="35"/>
        <v>1257.3251258647085</v>
      </c>
      <c r="C284" s="56">
        <f t="shared" si="36"/>
        <v>975.90101429759932</v>
      </c>
      <c r="D284" s="49">
        <f t="shared" si="32"/>
        <v>281.42411156710921</v>
      </c>
      <c r="F284" s="49">
        <f t="shared" si="30"/>
        <v>95512.365808711402</v>
      </c>
      <c r="G284" s="49">
        <f t="shared" si="33"/>
        <v>184487.63419128864</v>
      </c>
      <c r="H284" s="49">
        <f t="shared" si="34"/>
        <v>160019.45029564161</v>
      </c>
    </row>
    <row r="285" spans="1:8" x14ac:dyDescent="0.2">
      <c r="A285" s="50">
        <f t="shared" si="31"/>
        <v>275</v>
      </c>
      <c r="B285" s="56">
        <f t="shared" si="35"/>
        <v>1257.3251258647085</v>
      </c>
      <c r="C285" s="56">
        <f t="shared" si="36"/>
        <v>978.74739225596738</v>
      </c>
      <c r="D285" s="49">
        <f t="shared" si="32"/>
        <v>278.57773360874126</v>
      </c>
      <c r="F285" s="49">
        <f t="shared" si="30"/>
        <v>94533.618416455429</v>
      </c>
      <c r="G285" s="49">
        <f t="shared" si="33"/>
        <v>185466.3815835446</v>
      </c>
      <c r="H285" s="49">
        <f t="shared" si="34"/>
        <v>160298.02802925036</v>
      </c>
    </row>
    <row r="286" spans="1:8" x14ac:dyDescent="0.2">
      <c r="A286" s="50">
        <f t="shared" si="31"/>
        <v>276</v>
      </c>
      <c r="B286" s="56">
        <f t="shared" si="35"/>
        <v>1257.3251258647085</v>
      </c>
      <c r="C286" s="56">
        <f t="shared" si="36"/>
        <v>981.60207215004709</v>
      </c>
      <c r="D286" s="49">
        <f t="shared" si="32"/>
        <v>275.72305371466132</v>
      </c>
      <c r="F286" s="49">
        <f t="shared" si="30"/>
        <v>93552.016344305375</v>
      </c>
      <c r="G286" s="49">
        <f t="shared" si="33"/>
        <v>186447.98365569464</v>
      </c>
      <c r="H286" s="49">
        <f t="shared" si="34"/>
        <v>160573.75108296503</v>
      </c>
    </row>
    <row r="287" spans="1:8" x14ac:dyDescent="0.2">
      <c r="A287" s="50">
        <f t="shared" si="31"/>
        <v>277</v>
      </c>
      <c r="B287" s="56">
        <f t="shared" si="35"/>
        <v>1257.3251258647085</v>
      </c>
      <c r="C287" s="56">
        <f t="shared" si="36"/>
        <v>984.46507819381827</v>
      </c>
      <c r="D287" s="49">
        <f t="shared" si="32"/>
        <v>272.86004767089037</v>
      </c>
      <c r="F287" s="49">
        <f t="shared" si="30"/>
        <v>92567.55126611155</v>
      </c>
      <c r="G287" s="49">
        <f t="shared" si="33"/>
        <v>187432.44873388845</v>
      </c>
      <c r="H287" s="49">
        <f t="shared" si="34"/>
        <v>160846.61113063592</v>
      </c>
    </row>
    <row r="288" spans="1:8" x14ac:dyDescent="0.2">
      <c r="A288" s="50">
        <f t="shared" si="31"/>
        <v>278</v>
      </c>
      <c r="B288" s="56">
        <f t="shared" si="35"/>
        <v>1257.3251258647085</v>
      </c>
      <c r="C288" s="56">
        <f t="shared" si="36"/>
        <v>987.33643467188358</v>
      </c>
      <c r="D288" s="49">
        <f t="shared" si="32"/>
        <v>269.988691192825</v>
      </c>
      <c r="F288" s="49">
        <f t="shared" si="30"/>
        <v>91580.214831439662</v>
      </c>
      <c r="G288" s="49">
        <f t="shared" si="33"/>
        <v>188419.78516856034</v>
      </c>
      <c r="H288" s="49">
        <f t="shared" si="34"/>
        <v>161116.59982182874</v>
      </c>
    </row>
    <row r="289" spans="1:8" x14ac:dyDescent="0.2">
      <c r="A289" s="50">
        <f t="shared" si="31"/>
        <v>279</v>
      </c>
      <c r="B289" s="56">
        <f t="shared" si="35"/>
        <v>1257.3251258647085</v>
      </c>
      <c r="C289" s="56">
        <f t="shared" si="36"/>
        <v>990.21616593967656</v>
      </c>
      <c r="D289" s="49">
        <f t="shared" si="32"/>
        <v>267.10895992503208</v>
      </c>
      <c r="F289" s="49">
        <f t="shared" si="30"/>
        <v>90589.998665499981</v>
      </c>
      <c r="G289" s="49">
        <f t="shared" si="33"/>
        <v>189410.0013345</v>
      </c>
      <c r="H289" s="49">
        <f t="shared" si="34"/>
        <v>161383.70878175378</v>
      </c>
    </row>
    <row r="290" spans="1:8" x14ac:dyDescent="0.2">
      <c r="A290" s="50">
        <f t="shared" si="31"/>
        <v>280</v>
      </c>
      <c r="B290" s="56">
        <f t="shared" si="35"/>
        <v>1257.3251258647085</v>
      </c>
      <c r="C290" s="56">
        <f t="shared" si="36"/>
        <v>993.10429642366717</v>
      </c>
      <c r="D290" s="49">
        <f t="shared" si="32"/>
        <v>264.2208294410413</v>
      </c>
      <c r="F290" s="49">
        <f t="shared" si="30"/>
        <v>89596.894369076312</v>
      </c>
      <c r="G290" s="49">
        <f t="shared" si="33"/>
        <v>190403.10563092367</v>
      </c>
      <c r="H290" s="49">
        <f t="shared" si="34"/>
        <v>161647.92961119482</v>
      </c>
    </row>
    <row r="291" spans="1:8" x14ac:dyDescent="0.2">
      <c r="A291" s="50">
        <f t="shared" si="31"/>
        <v>281</v>
      </c>
      <c r="B291" s="56">
        <f t="shared" si="35"/>
        <v>1257.3251258647085</v>
      </c>
      <c r="C291" s="56">
        <f t="shared" si="36"/>
        <v>996.00085062156973</v>
      </c>
      <c r="D291" s="49">
        <f t="shared" si="32"/>
        <v>261.32427524313903</v>
      </c>
      <c r="F291" s="49">
        <f t="shared" si="30"/>
        <v>88600.893518454744</v>
      </c>
      <c r="G291" s="49">
        <f t="shared" si="33"/>
        <v>191399.10648154526</v>
      </c>
      <c r="H291" s="49">
        <f t="shared" si="34"/>
        <v>161909.25388643795</v>
      </c>
    </row>
    <row r="292" spans="1:8" x14ac:dyDescent="0.2">
      <c r="A292" s="50">
        <f t="shared" si="31"/>
        <v>282</v>
      </c>
      <c r="B292" s="56">
        <f t="shared" si="35"/>
        <v>1257.3251258647085</v>
      </c>
      <c r="C292" s="56">
        <f t="shared" si="36"/>
        <v>998.90585310254926</v>
      </c>
      <c r="D292" s="49">
        <f t="shared" si="32"/>
        <v>258.41927276215938</v>
      </c>
      <c r="F292" s="49">
        <f t="shared" si="30"/>
        <v>87601.987665352193</v>
      </c>
      <c r="G292" s="49">
        <f t="shared" si="33"/>
        <v>192398.01233464779</v>
      </c>
      <c r="H292" s="49">
        <f t="shared" si="34"/>
        <v>162167.67315920012</v>
      </c>
    </row>
    <row r="293" spans="1:8" x14ac:dyDescent="0.2">
      <c r="A293" s="50">
        <f t="shared" si="31"/>
        <v>283</v>
      </c>
      <c r="B293" s="56">
        <f t="shared" si="35"/>
        <v>1257.3251258647085</v>
      </c>
      <c r="C293" s="56">
        <f t="shared" si="36"/>
        <v>1001.8193285074316</v>
      </c>
      <c r="D293" s="49">
        <f t="shared" si="32"/>
        <v>255.50579735727698</v>
      </c>
      <c r="F293" s="49">
        <f t="shared" si="30"/>
        <v>86600.168336844756</v>
      </c>
      <c r="G293" s="49">
        <f t="shared" si="33"/>
        <v>193399.83166315523</v>
      </c>
      <c r="H293" s="49">
        <f t="shared" si="34"/>
        <v>162423.17895655739</v>
      </c>
    </row>
    <row r="294" spans="1:8" x14ac:dyDescent="0.2">
      <c r="A294" s="50">
        <f t="shared" si="31"/>
        <v>284</v>
      </c>
      <c r="B294" s="56">
        <f t="shared" si="35"/>
        <v>1257.3251258647085</v>
      </c>
      <c r="C294" s="56">
        <f t="shared" si="36"/>
        <v>1004.7413015489115</v>
      </c>
      <c r="D294" s="49">
        <f t="shared" si="32"/>
        <v>252.58382431579696</v>
      </c>
      <c r="F294" s="49">
        <f t="shared" si="30"/>
        <v>85595.427035295841</v>
      </c>
      <c r="G294" s="49">
        <f t="shared" si="33"/>
        <v>194404.57296470413</v>
      </c>
      <c r="H294" s="49">
        <f t="shared" si="34"/>
        <v>162675.76278087319</v>
      </c>
    </row>
    <row r="295" spans="1:8" x14ac:dyDescent="0.2">
      <c r="A295" s="50">
        <f t="shared" si="31"/>
        <v>285</v>
      </c>
      <c r="B295" s="56">
        <f t="shared" si="35"/>
        <v>1257.3251258647085</v>
      </c>
      <c r="C295" s="56">
        <f t="shared" si="36"/>
        <v>1007.6717970117626</v>
      </c>
      <c r="D295" s="49">
        <f t="shared" si="32"/>
        <v>249.65332885294595</v>
      </c>
      <c r="F295" s="49">
        <f t="shared" si="30"/>
        <v>84587.75523828408</v>
      </c>
      <c r="G295" s="49">
        <f t="shared" si="33"/>
        <v>195412.24476171591</v>
      </c>
      <c r="H295" s="49">
        <f t="shared" si="34"/>
        <v>162925.41610972612</v>
      </c>
    </row>
    <row r="296" spans="1:8" x14ac:dyDescent="0.2">
      <c r="A296" s="50">
        <f t="shared" si="31"/>
        <v>286</v>
      </c>
      <c r="B296" s="56">
        <f t="shared" si="35"/>
        <v>1257.3251258647085</v>
      </c>
      <c r="C296" s="56">
        <f t="shared" si="36"/>
        <v>1010.6108397530469</v>
      </c>
      <c r="D296" s="49">
        <f t="shared" si="32"/>
        <v>246.71428611166166</v>
      </c>
      <c r="F296" s="49">
        <f t="shared" si="30"/>
        <v>83577.144398531032</v>
      </c>
      <c r="G296" s="49">
        <f t="shared" si="33"/>
        <v>196422.85560146894</v>
      </c>
      <c r="H296" s="49">
        <f t="shared" si="34"/>
        <v>163172.1303958378</v>
      </c>
    </row>
    <row r="297" spans="1:8" x14ac:dyDescent="0.2">
      <c r="A297" s="50">
        <f t="shared" si="31"/>
        <v>287</v>
      </c>
      <c r="B297" s="56">
        <f t="shared" si="35"/>
        <v>1257.3251258647085</v>
      </c>
      <c r="C297" s="56">
        <f t="shared" si="36"/>
        <v>1013.5584547023267</v>
      </c>
      <c r="D297" s="49">
        <f t="shared" si="32"/>
        <v>243.76667116238193</v>
      </c>
      <c r="F297" s="49">
        <f t="shared" si="30"/>
        <v>82563.585943828701</v>
      </c>
      <c r="G297" s="49">
        <f t="shared" si="33"/>
        <v>197436.41405617126</v>
      </c>
      <c r="H297" s="49">
        <f t="shared" si="34"/>
        <v>163415.89706700019</v>
      </c>
    </row>
    <row r="298" spans="1:8" x14ac:dyDescent="0.2">
      <c r="A298" s="50">
        <f t="shared" si="31"/>
        <v>288</v>
      </c>
      <c r="B298" s="56">
        <f t="shared" si="35"/>
        <v>1257.3251258647085</v>
      </c>
      <c r="C298" s="56">
        <f t="shared" si="36"/>
        <v>1016.5146668618751</v>
      </c>
      <c r="D298" s="49">
        <f t="shared" si="32"/>
        <v>240.81045900283351</v>
      </c>
      <c r="F298" s="49">
        <f t="shared" si="30"/>
        <v>81547.071276966832</v>
      </c>
      <c r="G298" s="49">
        <f t="shared" si="33"/>
        <v>198452.92872303314</v>
      </c>
      <c r="H298" s="49">
        <f t="shared" si="34"/>
        <v>163656.70752600301</v>
      </c>
    </row>
    <row r="299" spans="1:8" x14ac:dyDescent="0.2">
      <c r="A299" s="50">
        <f t="shared" si="31"/>
        <v>289</v>
      </c>
      <c r="B299" s="56">
        <f t="shared" si="35"/>
        <v>1257.3251258647085</v>
      </c>
      <c r="C299" s="56">
        <f t="shared" si="36"/>
        <v>1019.479501306889</v>
      </c>
      <c r="D299" s="49">
        <f t="shared" si="32"/>
        <v>237.84562455781969</v>
      </c>
      <c r="F299" s="49">
        <f t="shared" si="30"/>
        <v>80527.591775659937</v>
      </c>
      <c r="G299" s="49">
        <f t="shared" si="33"/>
        <v>199472.40822434003</v>
      </c>
      <c r="H299" s="49">
        <f t="shared" si="34"/>
        <v>163894.55315056082</v>
      </c>
    </row>
    <row r="300" spans="1:8" x14ac:dyDescent="0.2">
      <c r="A300" s="50">
        <f t="shared" si="31"/>
        <v>290</v>
      </c>
      <c r="B300" s="56">
        <f t="shared" si="35"/>
        <v>1257.3251258647085</v>
      </c>
      <c r="C300" s="56">
        <f t="shared" si="36"/>
        <v>1022.4529831857005</v>
      </c>
      <c r="D300" s="49">
        <f t="shared" si="32"/>
        <v>234.87214267900791</v>
      </c>
      <c r="F300" s="49">
        <f t="shared" si="30"/>
        <v>79505.13879247423</v>
      </c>
      <c r="G300" s="49">
        <f t="shared" si="33"/>
        <v>200494.86120752574</v>
      </c>
      <c r="H300" s="49">
        <f t="shared" si="34"/>
        <v>164129.42529323982</v>
      </c>
    </row>
    <row r="301" spans="1:8" x14ac:dyDescent="0.2">
      <c r="A301" s="50">
        <f t="shared" si="31"/>
        <v>291</v>
      </c>
      <c r="B301" s="56">
        <f t="shared" si="35"/>
        <v>1257.3251258647085</v>
      </c>
      <c r="C301" s="56">
        <f t="shared" si="36"/>
        <v>1025.4351377199923</v>
      </c>
      <c r="D301" s="49">
        <f t="shared" si="32"/>
        <v>231.88998814471631</v>
      </c>
      <c r="F301" s="49">
        <f t="shared" si="30"/>
        <v>78479.703654754238</v>
      </c>
      <c r="G301" s="49">
        <f t="shared" si="33"/>
        <v>201520.29634524573</v>
      </c>
      <c r="H301" s="49">
        <f t="shared" si="34"/>
        <v>164361.31528138454</v>
      </c>
    </row>
    <row r="302" spans="1:8" x14ac:dyDescent="0.2">
      <c r="A302" s="50">
        <f t="shared" si="31"/>
        <v>292</v>
      </c>
      <c r="B302" s="56">
        <f t="shared" si="35"/>
        <v>1257.3251258647085</v>
      </c>
      <c r="C302" s="56">
        <f t="shared" si="36"/>
        <v>1028.4259902050089</v>
      </c>
      <c r="D302" s="49">
        <f t="shared" si="32"/>
        <v>228.89913565969962</v>
      </c>
      <c r="F302" s="49">
        <f t="shared" si="30"/>
        <v>77451.277664549227</v>
      </c>
      <c r="G302" s="49">
        <f t="shared" si="33"/>
        <v>202548.72233545073</v>
      </c>
      <c r="H302" s="49">
        <f t="shared" si="34"/>
        <v>164590.21441704425</v>
      </c>
    </row>
    <row r="303" spans="1:8" x14ac:dyDescent="0.2">
      <c r="A303" s="50">
        <f t="shared" si="31"/>
        <v>293</v>
      </c>
      <c r="B303" s="56">
        <f t="shared" si="35"/>
        <v>1257.3251258647085</v>
      </c>
      <c r="C303" s="56">
        <f t="shared" si="36"/>
        <v>1031.4255660097735</v>
      </c>
      <c r="D303" s="49">
        <f t="shared" si="32"/>
        <v>225.89955985493503</v>
      </c>
      <c r="F303" s="49">
        <f t="shared" si="30"/>
        <v>76419.852098539457</v>
      </c>
      <c r="G303" s="49">
        <f t="shared" si="33"/>
        <v>203580.1479014605</v>
      </c>
      <c r="H303" s="49">
        <f t="shared" si="34"/>
        <v>164816.11397689919</v>
      </c>
    </row>
    <row r="304" spans="1:8" x14ac:dyDescent="0.2">
      <c r="A304" s="50">
        <f t="shared" si="31"/>
        <v>294</v>
      </c>
      <c r="B304" s="56">
        <f t="shared" si="35"/>
        <v>1257.3251258647085</v>
      </c>
      <c r="C304" s="56">
        <f t="shared" si="36"/>
        <v>1034.433890577302</v>
      </c>
      <c r="D304" s="49">
        <f t="shared" si="32"/>
        <v>222.89123528740654</v>
      </c>
      <c r="F304" s="49">
        <f t="shared" si="30"/>
        <v>75385.418207962153</v>
      </c>
      <c r="G304" s="49">
        <f t="shared" si="33"/>
        <v>204614.58179203779</v>
      </c>
      <c r="H304" s="49">
        <f t="shared" si="34"/>
        <v>165039.0052121866</v>
      </c>
    </row>
    <row r="305" spans="1:8" x14ac:dyDescent="0.2">
      <c r="A305" s="50">
        <f t="shared" si="31"/>
        <v>295</v>
      </c>
      <c r="B305" s="56">
        <f t="shared" si="35"/>
        <v>1257.3251258647085</v>
      </c>
      <c r="C305" s="56">
        <f t="shared" si="36"/>
        <v>1037.4509894248192</v>
      </c>
      <c r="D305" s="49">
        <f t="shared" si="32"/>
        <v>219.87413643988941</v>
      </c>
      <c r="F305" s="49">
        <f t="shared" si="30"/>
        <v>74347.967218537335</v>
      </c>
      <c r="G305" s="49">
        <f t="shared" si="33"/>
        <v>205652.03278146262</v>
      </c>
      <c r="H305" s="49">
        <f t="shared" si="34"/>
        <v>165258.87934862651</v>
      </c>
    </row>
    <row r="306" spans="1:8" x14ac:dyDescent="0.2">
      <c r="A306" s="50">
        <f t="shared" si="31"/>
        <v>296</v>
      </c>
      <c r="B306" s="56">
        <f t="shared" si="35"/>
        <v>1257.3251258647085</v>
      </c>
      <c r="C306" s="56">
        <f t="shared" si="36"/>
        <v>1040.4768881439747</v>
      </c>
      <c r="D306" s="49">
        <f t="shared" si="32"/>
        <v>216.84823772073364</v>
      </c>
      <c r="F306" s="49">
        <f t="shared" si="30"/>
        <v>73307.490330393353</v>
      </c>
      <c r="G306" s="49">
        <f t="shared" si="33"/>
        <v>206692.5096696066</v>
      </c>
      <c r="H306" s="49">
        <f t="shared" si="34"/>
        <v>165475.72758634723</v>
      </c>
    </row>
    <row r="307" spans="1:8" x14ac:dyDescent="0.2">
      <c r="A307" s="50">
        <f t="shared" si="31"/>
        <v>297</v>
      </c>
      <c r="B307" s="56">
        <f t="shared" si="35"/>
        <v>1257.3251258647085</v>
      </c>
      <c r="C307" s="56">
        <f t="shared" si="36"/>
        <v>1043.5116124010615</v>
      </c>
      <c r="D307" s="49">
        <f t="shared" si="32"/>
        <v>213.81351346364707</v>
      </c>
      <c r="F307" s="49">
        <f t="shared" si="30"/>
        <v>72263.978717992286</v>
      </c>
      <c r="G307" s="49">
        <f t="shared" si="33"/>
        <v>207736.02128200766</v>
      </c>
      <c r="H307" s="49">
        <f t="shared" si="34"/>
        <v>165689.54109981089</v>
      </c>
    </row>
    <row r="308" spans="1:8" x14ac:dyDescent="0.2">
      <c r="A308" s="50">
        <f t="shared" si="31"/>
        <v>298</v>
      </c>
      <c r="B308" s="56">
        <f t="shared" si="35"/>
        <v>1257.3251258647085</v>
      </c>
      <c r="C308" s="56">
        <f t="shared" si="36"/>
        <v>1046.555187937231</v>
      </c>
      <c r="D308" s="49">
        <f t="shared" si="32"/>
        <v>210.76993792747734</v>
      </c>
      <c r="F308" s="49">
        <f t="shared" si="30"/>
        <v>71217.42353005505</v>
      </c>
      <c r="G308" s="49">
        <f t="shared" si="33"/>
        <v>208782.57646994488</v>
      </c>
      <c r="H308" s="49">
        <f t="shared" si="34"/>
        <v>165900.31103773837</v>
      </c>
    </row>
    <row r="309" spans="1:8" x14ac:dyDescent="0.2">
      <c r="A309" s="50">
        <f t="shared" si="31"/>
        <v>299</v>
      </c>
      <c r="B309" s="56">
        <f t="shared" si="35"/>
        <v>1257.3251258647085</v>
      </c>
      <c r="C309" s="56">
        <f t="shared" si="36"/>
        <v>1049.6076405687149</v>
      </c>
      <c r="D309" s="49">
        <f t="shared" si="32"/>
        <v>207.71748529599373</v>
      </c>
      <c r="F309" s="49">
        <f t="shared" si="30"/>
        <v>70167.81588948633</v>
      </c>
      <c r="G309" s="49">
        <f t="shared" si="33"/>
        <v>209832.1841105136</v>
      </c>
      <c r="H309" s="49">
        <f t="shared" si="34"/>
        <v>166108.02852303436</v>
      </c>
    </row>
    <row r="310" spans="1:8" x14ac:dyDescent="0.2">
      <c r="A310" s="50">
        <f t="shared" si="31"/>
        <v>300</v>
      </c>
      <c r="B310" s="56">
        <f t="shared" si="35"/>
        <v>1257.3251258647085</v>
      </c>
      <c r="C310" s="56">
        <f t="shared" si="36"/>
        <v>1052.6689961870402</v>
      </c>
      <c r="D310" s="49">
        <f t="shared" si="32"/>
        <v>204.6561296776683</v>
      </c>
      <c r="F310" s="49">
        <f t="shared" si="30"/>
        <v>69115.146893299287</v>
      </c>
      <c r="G310" s="49">
        <f t="shared" si="33"/>
        <v>210884.85310670064</v>
      </c>
      <c r="H310" s="49">
        <f t="shared" si="34"/>
        <v>166312.68465271202</v>
      </c>
    </row>
    <row r="311" spans="1:8" x14ac:dyDescent="0.2">
      <c r="A311" s="50">
        <f t="shared" si="31"/>
        <v>301</v>
      </c>
      <c r="B311" s="56">
        <f t="shared" si="35"/>
        <v>1257.3251258647085</v>
      </c>
      <c r="C311" s="56">
        <f t="shared" si="36"/>
        <v>1055.7392807592523</v>
      </c>
      <c r="D311" s="49">
        <f t="shared" si="32"/>
        <v>201.58584510545609</v>
      </c>
      <c r="F311" s="49">
        <f t="shared" si="30"/>
        <v>68059.407612540032</v>
      </c>
      <c r="G311" s="49">
        <f t="shared" si="33"/>
        <v>211940.59238745988</v>
      </c>
      <c r="H311" s="49">
        <f t="shared" si="34"/>
        <v>166514.27049781749</v>
      </c>
    </row>
    <row r="312" spans="1:8" x14ac:dyDescent="0.2">
      <c r="A312" s="50">
        <f t="shared" si="31"/>
        <v>302</v>
      </c>
      <c r="B312" s="56">
        <f t="shared" si="35"/>
        <v>1257.3251258647085</v>
      </c>
      <c r="C312" s="56">
        <f t="shared" si="36"/>
        <v>1058.8185203281334</v>
      </c>
      <c r="D312" s="49">
        <f t="shared" si="32"/>
        <v>198.50660553657494</v>
      </c>
      <c r="F312" s="49">
        <f t="shared" si="30"/>
        <v>67000.5890922119</v>
      </c>
      <c r="G312" s="49">
        <f t="shared" si="33"/>
        <v>212999.41090778803</v>
      </c>
      <c r="H312" s="49">
        <f t="shared" si="34"/>
        <v>166712.77710335405</v>
      </c>
    </row>
    <row r="313" spans="1:8" x14ac:dyDescent="0.2">
      <c r="A313" s="50">
        <f t="shared" si="31"/>
        <v>303</v>
      </c>
      <c r="B313" s="56">
        <f t="shared" si="35"/>
        <v>1257.3251258647085</v>
      </c>
      <c r="C313" s="56">
        <f t="shared" si="36"/>
        <v>1061.9067410124239</v>
      </c>
      <c r="D313" s="49">
        <f t="shared" si="32"/>
        <v>195.41838485228459</v>
      </c>
      <c r="F313" s="49">
        <f t="shared" si="30"/>
        <v>65938.682351199473</v>
      </c>
      <c r="G313" s="49">
        <f t="shared" si="33"/>
        <v>214061.31764880044</v>
      </c>
      <c r="H313" s="49">
        <f t="shared" si="34"/>
        <v>166908.19548820634</v>
      </c>
    </row>
    <row r="314" spans="1:8" x14ac:dyDescent="0.2">
      <c r="A314" s="50">
        <f t="shared" si="31"/>
        <v>304</v>
      </c>
      <c r="B314" s="56">
        <f t="shared" si="35"/>
        <v>1257.3251258647085</v>
      </c>
      <c r="C314" s="56">
        <f t="shared" si="36"/>
        <v>1065.0039690070437</v>
      </c>
      <c r="D314" s="49">
        <f t="shared" si="32"/>
        <v>192.32115685766502</v>
      </c>
      <c r="F314" s="49">
        <f t="shared" si="30"/>
        <v>64873.678382192433</v>
      </c>
      <c r="G314" s="49">
        <f t="shared" si="33"/>
        <v>215126.32161780749</v>
      </c>
      <c r="H314" s="49">
        <f t="shared" si="34"/>
        <v>167100.516645064</v>
      </c>
    </row>
    <row r="315" spans="1:8" x14ac:dyDescent="0.2">
      <c r="A315" s="50">
        <f t="shared" si="31"/>
        <v>305</v>
      </c>
      <c r="B315" s="56">
        <f t="shared" si="35"/>
        <v>1257.3251258647085</v>
      </c>
      <c r="C315" s="56">
        <f t="shared" si="36"/>
        <v>1068.110230583314</v>
      </c>
      <c r="D315" s="49">
        <f t="shared" si="32"/>
        <v>189.21489528139446</v>
      </c>
      <c r="F315" s="49">
        <f t="shared" si="30"/>
        <v>63805.568151609121</v>
      </c>
      <c r="G315" s="49">
        <f t="shared" si="33"/>
        <v>216194.43184839081</v>
      </c>
      <c r="H315" s="49">
        <f t="shared" si="34"/>
        <v>167289.73154034538</v>
      </c>
    </row>
    <row r="316" spans="1:8" x14ac:dyDescent="0.2">
      <c r="A316" s="50">
        <f t="shared" si="31"/>
        <v>306</v>
      </c>
      <c r="B316" s="56">
        <f t="shared" si="35"/>
        <v>1257.3251258647085</v>
      </c>
      <c r="C316" s="56">
        <f t="shared" si="36"/>
        <v>1071.2255520891822</v>
      </c>
      <c r="D316" s="49">
        <f t="shared" si="32"/>
        <v>186.09957377552647</v>
      </c>
      <c r="F316" s="49">
        <f t="shared" si="30"/>
        <v>62734.342599519936</v>
      </c>
      <c r="G316" s="49">
        <f t="shared" si="33"/>
        <v>217265.65740048001</v>
      </c>
      <c r="H316" s="49">
        <f t="shared" si="34"/>
        <v>167475.8311141209</v>
      </c>
    </row>
    <row r="317" spans="1:8" x14ac:dyDescent="0.2">
      <c r="A317" s="50">
        <f t="shared" si="31"/>
        <v>307</v>
      </c>
      <c r="B317" s="56">
        <f t="shared" si="35"/>
        <v>1257.3251258647085</v>
      </c>
      <c r="C317" s="56">
        <f t="shared" si="36"/>
        <v>1074.3499599494423</v>
      </c>
      <c r="D317" s="49">
        <f t="shared" si="32"/>
        <v>182.97516591526636</v>
      </c>
      <c r="F317" s="49">
        <f t="shared" si="30"/>
        <v>61659.992639570497</v>
      </c>
      <c r="G317" s="49">
        <f t="shared" si="33"/>
        <v>218340.00736042944</v>
      </c>
      <c r="H317" s="49">
        <f t="shared" si="34"/>
        <v>167658.80628003617</v>
      </c>
    </row>
    <row r="318" spans="1:8" x14ac:dyDescent="0.2">
      <c r="A318" s="50">
        <f t="shared" si="31"/>
        <v>308</v>
      </c>
      <c r="B318" s="56">
        <f t="shared" si="35"/>
        <v>1257.3251258647085</v>
      </c>
      <c r="C318" s="56">
        <f t="shared" si="36"/>
        <v>1077.4834806659615</v>
      </c>
      <c r="D318" s="49">
        <f t="shared" si="32"/>
        <v>179.84164519874713</v>
      </c>
      <c r="F318" s="49">
        <f t="shared" si="30"/>
        <v>60582.509158904533</v>
      </c>
      <c r="G318" s="49">
        <f t="shared" si="33"/>
        <v>219417.49084109539</v>
      </c>
      <c r="H318" s="49">
        <f t="shared" si="34"/>
        <v>167838.64792523492</v>
      </c>
    </row>
    <row r="319" spans="1:8" x14ac:dyDescent="0.2">
      <c r="A319" s="50">
        <f t="shared" si="31"/>
        <v>309</v>
      </c>
      <c r="B319" s="56">
        <f t="shared" si="35"/>
        <v>1257.3251258647085</v>
      </c>
      <c r="C319" s="56">
        <f t="shared" si="36"/>
        <v>1080.6261408179039</v>
      </c>
      <c r="D319" s="49">
        <f t="shared" si="32"/>
        <v>176.69898504680475</v>
      </c>
      <c r="F319" s="49">
        <f t="shared" si="30"/>
        <v>59501.883018086628</v>
      </c>
      <c r="G319" s="49">
        <f t="shared" si="33"/>
        <v>220498.11698191331</v>
      </c>
      <c r="H319" s="49">
        <f t="shared" si="34"/>
        <v>168015.34691028172</v>
      </c>
    </row>
    <row r="320" spans="1:8" x14ac:dyDescent="0.2">
      <c r="A320" s="50">
        <f t="shared" si="31"/>
        <v>310</v>
      </c>
      <c r="B320" s="56">
        <f t="shared" si="35"/>
        <v>1257.3251258647085</v>
      </c>
      <c r="C320" s="56">
        <f t="shared" si="36"/>
        <v>1083.7779670619561</v>
      </c>
      <c r="D320" s="49">
        <f t="shared" si="32"/>
        <v>173.54715880275253</v>
      </c>
      <c r="F320" s="49">
        <f t="shared" si="30"/>
        <v>58418.105051024671</v>
      </c>
      <c r="G320" s="49">
        <f t="shared" si="33"/>
        <v>221581.89494897527</v>
      </c>
      <c r="H320" s="49">
        <f t="shared" si="34"/>
        <v>168188.89406908446</v>
      </c>
    </row>
    <row r="321" spans="1:8" x14ac:dyDescent="0.2">
      <c r="A321" s="50">
        <f t="shared" si="31"/>
        <v>311</v>
      </c>
      <c r="B321" s="56">
        <f t="shared" si="35"/>
        <v>1257.3251258647085</v>
      </c>
      <c r="C321" s="56">
        <f t="shared" si="36"/>
        <v>1086.9389861325533</v>
      </c>
      <c r="D321" s="49">
        <f t="shared" si="32"/>
        <v>170.38613973215513</v>
      </c>
      <c r="F321" s="49">
        <f t="shared" si="30"/>
        <v>57331.166064892117</v>
      </c>
      <c r="G321" s="49">
        <f t="shared" si="33"/>
        <v>222668.83393510783</v>
      </c>
      <c r="H321" s="49">
        <f t="shared" si="34"/>
        <v>168359.28020881661</v>
      </c>
    </row>
    <row r="322" spans="1:8" x14ac:dyDescent="0.2">
      <c r="A322" s="50">
        <f t="shared" si="31"/>
        <v>312</v>
      </c>
      <c r="B322" s="56">
        <f t="shared" si="35"/>
        <v>1257.3251258647085</v>
      </c>
      <c r="C322" s="56">
        <f t="shared" si="36"/>
        <v>1090.1092248421066</v>
      </c>
      <c r="D322" s="49">
        <f t="shared" si="32"/>
        <v>167.21590102260188</v>
      </c>
      <c r="F322" s="49">
        <f t="shared" ref="F322:F385" si="37">IF(A322="","",F321-C322-E322)</f>
        <v>56241.056840050012</v>
      </c>
      <c r="G322" s="49">
        <f t="shared" si="33"/>
        <v>223758.94315994994</v>
      </c>
      <c r="H322" s="49">
        <f t="shared" si="34"/>
        <v>168526.49610983921</v>
      </c>
    </row>
    <row r="323" spans="1:8" x14ac:dyDescent="0.2">
      <c r="A323" s="50">
        <f t="shared" si="31"/>
        <v>313</v>
      </c>
      <c r="B323" s="56">
        <f t="shared" si="35"/>
        <v>1257.3251258647085</v>
      </c>
      <c r="C323" s="56">
        <f t="shared" si="36"/>
        <v>1093.2887100812295</v>
      </c>
      <c r="D323" s="49">
        <f t="shared" si="32"/>
        <v>164.03641578347907</v>
      </c>
      <c r="F323" s="49">
        <f t="shared" si="37"/>
        <v>55147.768129968783</v>
      </c>
      <c r="G323" s="49">
        <f t="shared" si="33"/>
        <v>224852.23187003116</v>
      </c>
      <c r="H323" s="49">
        <f t="shared" si="34"/>
        <v>168690.53252562269</v>
      </c>
    </row>
    <row r="324" spans="1:8" x14ac:dyDescent="0.2">
      <c r="A324" s="50">
        <f t="shared" si="31"/>
        <v>314</v>
      </c>
      <c r="B324" s="56">
        <f t="shared" si="35"/>
        <v>1257.3251258647085</v>
      </c>
      <c r="C324" s="56">
        <f t="shared" si="36"/>
        <v>1096.4774688189664</v>
      </c>
      <c r="D324" s="49">
        <f t="shared" si="32"/>
        <v>160.84765704574215</v>
      </c>
      <c r="F324" s="49">
        <f t="shared" si="37"/>
        <v>54051.290661149818</v>
      </c>
      <c r="G324" s="49">
        <f t="shared" si="33"/>
        <v>225948.70933885014</v>
      </c>
      <c r="H324" s="49">
        <f t="shared" si="34"/>
        <v>168851.38018266842</v>
      </c>
    </row>
    <row r="325" spans="1:8" x14ac:dyDescent="0.2">
      <c r="A325" s="50">
        <f t="shared" si="31"/>
        <v>315</v>
      </c>
      <c r="B325" s="56">
        <f t="shared" si="35"/>
        <v>1257.3251258647085</v>
      </c>
      <c r="C325" s="56">
        <f t="shared" si="36"/>
        <v>1099.6755281030216</v>
      </c>
      <c r="D325" s="49">
        <f t="shared" si="32"/>
        <v>157.64959776168683</v>
      </c>
      <c r="F325" s="49">
        <f t="shared" si="37"/>
        <v>52951.615133046798</v>
      </c>
      <c r="G325" s="49">
        <f t="shared" si="33"/>
        <v>227048.38486695316</v>
      </c>
      <c r="H325" s="49">
        <f t="shared" si="34"/>
        <v>169009.02978043011</v>
      </c>
    </row>
    <row r="326" spans="1:8" x14ac:dyDescent="0.2">
      <c r="A326" s="50">
        <f t="shared" si="31"/>
        <v>316</v>
      </c>
      <c r="B326" s="56">
        <f t="shared" si="35"/>
        <v>1257.3251258647085</v>
      </c>
      <c r="C326" s="56">
        <f t="shared" si="36"/>
        <v>1102.8829150599888</v>
      </c>
      <c r="D326" s="49">
        <f t="shared" si="32"/>
        <v>154.44221080471968</v>
      </c>
      <c r="F326" s="49">
        <f t="shared" si="37"/>
        <v>51848.732217986806</v>
      </c>
      <c r="G326" s="49">
        <f t="shared" si="33"/>
        <v>228151.26778201314</v>
      </c>
      <c r="H326" s="49">
        <f t="shared" si="34"/>
        <v>169163.47199123484</v>
      </c>
    </row>
    <row r="327" spans="1:8" x14ac:dyDescent="0.2">
      <c r="A327" s="50">
        <f t="shared" si="31"/>
        <v>317</v>
      </c>
      <c r="B327" s="56">
        <f t="shared" si="35"/>
        <v>1257.3251258647085</v>
      </c>
      <c r="C327" s="56">
        <f t="shared" si="36"/>
        <v>1106.0996568955804</v>
      </c>
      <c r="D327" s="49">
        <f t="shared" si="32"/>
        <v>151.22546896912803</v>
      </c>
      <c r="F327" s="49">
        <f t="shared" si="37"/>
        <v>50742.632561091224</v>
      </c>
      <c r="G327" s="49">
        <f t="shared" si="33"/>
        <v>229257.36743890872</v>
      </c>
      <c r="H327" s="49">
        <f t="shared" si="34"/>
        <v>169314.69746020396</v>
      </c>
    </row>
    <row r="328" spans="1:8" x14ac:dyDescent="0.2">
      <c r="A328" s="50">
        <f t="shared" si="31"/>
        <v>318</v>
      </c>
      <c r="B328" s="56">
        <f t="shared" si="35"/>
        <v>1257.3251258647085</v>
      </c>
      <c r="C328" s="56">
        <f t="shared" si="36"/>
        <v>1109.3257808948592</v>
      </c>
      <c r="D328" s="49">
        <f t="shared" si="32"/>
        <v>147.99934496984929</v>
      </c>
      <c r="F328" s="49">
        <f t="shared" si="37"/>
        <v>49633.306780196363</v>
      </c>
      <c r="G328" s="49">
        <f t="shared" si="33"/>
        <v>230366.69321980359</v>
      </c>
      <c r="H328" s="49">
        <f t="shared" si="34"/>
        <v>169462.69680517379</v>
      </c>
    </row>
    <row r="329" spans="1:8" x14ac:dyDescent="0.2">
      <c r="A329" s="50">
        <f t="shared" ref="A329:A392" si="38">IF(OR(F328&lt;0.01,F328=""),"",A328+1)</f>
        <v>319</v>
      </c>
      <c r="B329" s="56">
        <f t="shared" si="35"/>
        <v>1257.3251258647085</v>
      </c>
      <c r="C329" s="56">
        <f t="shared" si="36"/>
        <v>1112.5613144224692</v>
      </c>
      <c r="D329" s="49">
        <f t="shared" si="32"/>
        <v>144.76381144223924</v>
      </c>
      <c r="F329" s="49">
        <f t="shared" si="37"/>
        <v>48520.745465773893</v>
      </c>
      <c r="G329" s="49">
        <f t="shared" si="33"/>
        <v>231479.25453422606</v>
      </c>
      <c r="H329" s="49">
        <f t="shared" si="34"/>
        <v>169607.46061661604</v>
      </c>
    </row>
    <row r="330" spans="1:8" x14ac:dyDescent="0.2">
      <c r="A330" s="50">
        <f t="shared" si="38"/>
        <v>320</v>
      </c>
      <c r="B330" s="56">
        <f t="shared" si="35"/>
        <v>1257.3251258647085</v>
      </c>
      <c r="C330" s="56">
        <f t="shared" si="36"/>
        <v>1115.8062849228684</v>
      </c>
      <c r="D330" s="49">
        <f t="shared" si="32"/>
        <v>141.51884094184038</v>
      </c>
      <c r="F330" s="49">
        <f t="shared" si="37"/>
        <v>47404.939180851026</v>
      </c>
      <c r="G330" s="49">
        <f t="shared" si="33"/>
        <v>232595.06081914893</v>
      </c>
      <c r="H330" s="49">
        <f t="shared" si="34"/>
        <v>169748.97945755787</v>
      </c>
    </row>
    <row r="331" spans="1:8" x14ac:dyDescent="0.2">
      <c r="A331" s="50">
        <f t="shared" si="38"/>
        <v>321</v>
      </c>
      <c r="B331" s="56">
        <f t="shared" si="35"/>
        <v>1257.3251258647085</v>
      </c>
      <c r="C331" s="56">
        <f t="shared" si="36"/>
        <v>1119.0607199205601</v>
      </c>
      <c r="D331" s="49">
        <f t="shared" si="32"/>
        <v>138.26440594414868</v>
      </c>
      <c r="F331" s="49">
        <f t="shared" si="37"/>
        <v>46285.878460930464</v>
      </c>
      <c r="G331" s="49">
        <f t="shared" si="33"/>
        <v>233714.12153906949</v>
      </c>
      <c r="H331" s="49">
        <f t="shared" si="34"/>
        <v>169887.24386350202</v>
      </c>
    </row>
    <row r="332" spans="1:8" x14ac:dyDescent="0.2">
      <c r="A332" s="50">
        <f t="shared" si="38"/>
        <v>322</v>
      </c>
      <c r="B332" s="56">
        <f t="shared" si="35"/>
        <v>1257.3251258647085</v>
      </c>
      <c r="C332" s="56">
        <f t="shared" si="36"/>
        <v>1122.3246470203283</v>
      </c>
      <c r="D332" s="49">
        <f t="shared" ref="D332:D384" si="39">IF(A332="","",-IPMT($B$6,A332,$B$5,$B$3,0))</f>
        <v>135.00047884438035</v>
      </c>
      <c r="F332" s="49">
        <f t="shared" si="37"/>
        <v>45163.553813910134</v>
      </c>
      <c r="G332" s="49">
        <f t="shared" ref="G332:G384" si="40">IF(A332="","",C332+E332+G331)</f>
        <v>234836.4461860898</v>
      </c>
      <c r="H332" s="49">
        <f t="shared" ref="H332:H384" si="41">IF(A332="","",D332+H331)</f>
        <v>170022.24434234641</v>
      </c>
    </row>
    <row r="333" spans="1:8" x14ac:dyDescent="0.2">
      <c r="A333" s="50">
        <f t="shared" si="38"/>
        <v>323</v>
      </c>
      <c r="B333" s="56">
        <f t="shared" si="35"/>
        <v>1257.3251258647085</v>
      </c>
      <c r="C333" s="56">
        <f t="shared" si="36"/>
        <v>1125.5980939074709</v>
      </c>
      <c r="D333" s="49">
        <f t="shared" si="39"/>
        <v>131.72703195723776</v>
      </c>
      <c r="F333" s="49">
        <f t="shared" si="37"/>
        <v>44037.955720002661</v>
      </c>
      <c r="G333" s="49">
        <f t="shared" si="40"/>
        <v>235962.04427999727</v>
      </c>
      <c r="H333" s="49">
        <f t="shared" si="41"/>
        <v>170153.97137430366</v>
      </c>
    </row>
    <row r="334" spans="1:8" x14ac:dyDescent="0.2">
      <c r="A334" s="50">
        <f t="shared" si="38"/>
        <v>324</v>
      </c>
      <c r="B334" s="56">
        <f t="shared" si="35"/>
        <v>1257.3251258647085</v>
      </c>
      <c r="C334" s="56">
        <f t="shared" si="36"/>
        <v>1128.8810883480342</v>
      </c>
      <c r="D334" s="49">
        <f t="shared" si="39"/>
        <v>128.44403751667429</v>
      </c>
      <c r="F334" s="49">
        <f t="shared" si="37"/>
        <v>42909.074631654628</v>
      </c>
      <c r="G334" s="49">
        <f t="shared" si="40"/>
        <v>237090.92536834531</v>
      </c>
      <c r="H334" s="49">
        <f t="shared" si="41"/>
        <v>170282.41541182034</v>
      </c>
    </row>
    <row r="335" spans="1:8" x14ac:dyDescent="0.2">
      <c r="A335" s="50">
        <f t="shared" si="38"/>
        <v>325</v>
      </c>
      <c r="B335" s="56">
        <f t="shared" si="35"/>
        <v>1257.3251258647085</v>
      </c>
      <c r="C335" s="56">
        <f t="shared" si="36"/>
        <v>1132.1736581890495</v>
      </c>
      <c r="D335" s="49">
        <f t="shared" si="39"/>
        <v>125.15146767565919</v>
      </c>
      <c r="F335" s="49">
        <f t="shared" si="37"/>
        <v>41776.900973465577</v>
      </c>
      <c r="G335" s="49">
        <f t="shared" si="40"/>
        <v>238223.09902653436</v>
      </c>
      <c r="H335" s="49">
        <f t="shared" si="41"/>
        <v>170407.56687949601</v>
      </c>
    </row>
    <row r="336" spans="1:8" x14ac:dyDescent="0.2">
      <c r="A336" s="50">
        <f t="shared" si="38"/>
        <v>326</v>
      </c>
      <c r="B336" s="56">
        <f t="shared" si="35"/>
        <v>1257.3251258647085</v>
      </c>
      <c r="C336" s="56">
        <f t="shared" si="36"/>
        <v>1135.4758313587674</v>
      </c>
      <c r="D336" s="49">
        <f t="shared" si="39"/>
        <v>121.84929450594115</v>
      </c>
      <c r="F336" s="49">
        <f t="shared" si="37"/>
        <v>40641.425142106811</v>
      </c>
      <c r="G336" s="49">
        <f t="shared" si="40"/>
        <v>239358.57485789314</v>
      </c>
      <c r="H336" s="49">
        <f t="shared" si="41"/>
        <v>170529.41617400196</v>
      </c>
    </row>
    <row r="337" spans="1:8" x14ac:dyDescent="0.2">
      <c r="A337" s="50">
        <f t="shared" si="38"/>
        <v>327</v>
      </c>
      <c r="B337" s="56">
        <f t="shared" si="35"/>
        <v>1257.3251258647085</v>
      </c>
      <c r="C337" s="56">
        <f t="shared" si="36"/>
        <v>1138.7876358668973</v>
      </c>
      <c r="D337" s="49">
        <f t="shared" si="39"/>
        <v>118.53748999781139</v>
      </c>
      <c r="F337" s="49">
        <f t="shared" si="37"/>
        <v>39502.637506239917</v>
      </c>
      <c r="G337" s="49">
        <f t="shared" si="40"/>
        <v>240497.36249376004</v>
      </c>
      <c r="H337" s="49">
        <f t="shared" si="41"/>
        <v>170647.95366399977</v>
      </c>
    </row>
    <row r="338" spans="1:8" x14ac:dyDescent="0.2">
      <c r="A338" s="50">
        <f t="shared" si="38"/>
        <v>328</v>
      </c>
      <c r="B338" s="56">
        <f t="shared" si="35"/>
        <v>1257.3251258647085</v>
      </c>
      <c r="C338" s="56">
        <f t="shared" si="36"/>
        <v>1142.1090998048423</v>
      </c>
      <c r="D338" s="49">
        <f t="shared" si="39"/>
        <v>115.21602605986628</v>
      </c>
      <c r="F338" s="49">
        <f t="shared" si="37"/>
        <v>38360.528406435071</v>
      </c>
      <c r="G338" s="49">
        <f t="shared" si="40"/>
        <v>241639.47159356487</v>
      </c>
      <c r="H338" s="49">
        <f t="shared" si="41"/>
        <v>170763.16969005964</v>
      </c>
    </row>
    <row r="339" spans="1:8" x14ac:dyDescent="0.2">
      <c r="A339" s="50">
        <f t="shared" si="38"/>
        <v>329</v>
      </c>
      <c r="B339" s="56">
        <f t="shared" si="35"/>
        <v>1257.3251258647085</v>
      </c>
      <c r="C339" s="56">
        <f t="shared" si="36"/>
        <v>1145.4402513459397</v>
      </c>
      <c r="D339" s="49">
        <f t="shared" si="39"/>
        <v>111.88487451876885</v>
      </c>
      <c r="F339" s="49">
        <f t="shared" si="37"/>
        <v>37215.088155089128</v>
      </c>
      <c r="G339" s="49">
        <f t="shared" si="40"/>
        <v>242784.91184491082</v>
      </c>
      <c r="H339" s="49">
        <f t="shared" si="41"/>
        <v>170875.0545645784</v>
      </c>
    </row>
    <row r="340" spans="1:8" x14ac:dyDescent="0.2">
      <c r="A340" s="50">
        <f t="shared" si="38"/>
        <v>330</v>
      </c>
      <c r="B340" s="56">
        <f t="shared" si="35"/>
        <v>1257.3251258647085</v>
      </c>
      <c r="C340" s="56">
        <f t="shared" si="36"/>
        <v>1148.7811187456989</v>
      </c>
      <c r="D340" s="49">
        <f t="shared" si="39"/>
        <v>108.54400711900983</v>
      </c>
      <c r="F340" s="49">
        <f t="shared" si="37"/>
        <v>36066.307036343431</v>
      </c>
      <c r="G340" s="49">
        <f t="shared" si="40"/>
        <v>243933.69296365653</v>
      </c>
      <c r="H340" s="49">
        <f t="shared" si="41"/>
        <v>170983.59857169742</v>
      </c>
    </row>
    <row r="341" spans="1:8" x14ac:dyDescent="0.2">
      <c r="A341" s="50">
        <f t="shared" si="38"/>
        <v>331</v>
      </c>
      <c r="B341" s="56">
        <f t="shared" si="35"/>
        <v>1257.3251258647085</v>
      </c>
      <c r="C341" s="56">
        <f t="shared" si="36"/>
        <v>1152.1317303420403</v>
      </c>
      <c r="D341" s="49">
        <f t="shared" si="39"/>
        <v>105.1933955226682</v>
      </c>
      <c r="F341" s="49">
        <f t="shared" si="37"/>
        <v>34914.175306001387</v>
      </c>
      <c r="G341" s="49">
        <f t="shared" si="40"/>
        <v>245085.82469399858</v>
      </c>
      <c r="H341" s="49">
        <f t="shared" si="41"/>
        <v>171088.79196722008</v>
      </c>
    </row>
    <row r="342" spans="1:8" x14ac:dyDescent="0.2">
      <c r="A342" s="50">
        <f t="shared" si="38"/>
        <v>332</v>
      </c>
      <c r="B342" s="56">
        <f t="shared" ref="B342:B384" si="42">IF(A342="","",IF(F341&lt;B341,F341+D342,-PMT($B$6,$B$5,$B$3,0)))</f>
        <v>1257.3251258647085</v>
      </c>
      <c r="C342" s="56">
        <f t="shared" ref="C342:C384" si="43">IF(A342="","",IF(F341&lt;C341,F341,-PPMT($B$6,$A342,$B$5,$B$3,0)))</f>
        <v>1155.4921145555379</v>
      </c>
      <c r="D342" s="49">
        <f t="shared" si="39"/>
        <v>101.83301130917059</v>
      </c>
      <c r="F342" s="49">
        <f t="shared" si="37"/>
        <v>33758.683191445853</v>
      </c>
      <c r="G342" s="49">
        <f t="shared" si="40"/>
        <v>246241.31680855411</v>
      </c>
      <c r="H342" s="49">
        <f t="shared" si="41"/>
        <v>171190.62497852926</v>
      </c>
    </row>
    <row r="343" spans="1:8" x14ac:dyDescent="0.2">
      <c r="A343" s="50">
        <f t="shared" si="38"/>
        <v>333</v>
      </c>
      <c r="B343" s="56">
        <f t="shared" si="42"/>
        <v>1257.3251258647085</v>
      </c>
      <c r="C343" s="56">
        <f t="shared" si="43"/>
        <v>1158.8622998896583</v>
      </c>
      <c r="D343" s="49">
        <f t="shared" si="39"/>
        <v>98.462825975050279</v>
      </c>
      <c r="F343" s="49">
        <f t="shared" si="37"/>
        <v>32599.820891556195</v>
      </c>
      <c r="G343" s="49">
        <f t="shared" si="40"/>
        <v>247400.17910844376</v>
      </c>
      <c r="H343" s="49">
        <f t="shared" si="41"/>
        <v>171289.08780450432</v>
      </c>
    </row>
    <row r="344" spans="1:8" x14ac:dyDescent="0.2">
      <c r="A344" s="50">
        <f t="shared" si="38"/>
        <v>334</v>
      </c>
      <c r="B344" s="56">
        <f t="shared" si="42"/>
        <v>1257.3251258647085</v>
      </c>
      <c r="C344" s="56">
        <f t="shared" si="43"/>
        <v>1162.2423149310032</v>
      </c>
      <c r="D344" s="49">
        <f t="shared" si="39"/>
        <v>95.082810933705446</v>
      </c>
      <c r="F344" s="49">
        <f t="shared" si="37"/>
        <v>31437.578576625194</v>
      </c>
      <c r="G344" s="49">
        <f t="shared" si="40"/>
        <v>248562.42142337476</v>
      </c>
      <c r="H344" s="49">
        <f t="shared" si="41"/>
        <v>171384.17061543802</v>
      </c>
    </row>
    <row r="345" spans="1:8" x14ac:dyDescent="0.2">
      <c r="A345" s="50">
        <f t="shared" si="38"/>
        <v>335</v>
      </c>
      <c r="B345" s="56">
        <f t="shared" si="42"/>
        <v>1257.3251258647085</v>
      </c>
      <c r="C345" s="56">
        <f t="shared" si="43"/>
        <v>1165.6321883495518</v>
      </c>
      <c r="D345" s="49">
        <f t="shared" si="39"/>
        <v>91.692937515156686</v>
      </c>
      <c r="F345" s="49">
        <f t="shared" si="37"/>
        <v>30271.946388275643</v>
      </c>
      <c r="G345" s="49">
        <f t="shared" si="40"/>
        <v>249728.05361172432</v>
      </c>
      <c r="H345" s="49">
        <f t="shared" si="41"/>
        <v>171475.86355295317</v>
      </c>
    </row>
    <row r="346" spans="1:8" x14ac:dyDescent="0.2">
      <c r="A346" s="50">
        <f t="shared" si="38"/>
        <v>336</v>
      </c>
      <c r="B346" s="56">
        <f t="shared" si="42"/>
        <v>1257.3251258647085</v>
      </c>
      <c r="C346" s="56">
        <f t="shared" si="43"/>
        <v>1169.0319488989048</v>
      </c>
      <c r="D346" s="49">
        <f t="shared" si="39"/>
        <v>88.293176965803823</v>
      </c>
      <c r="F346" s="49">
        <f t="shared" si="37"/>
        <v>29102.914439376738</v>
      </c>
      <c r="G346" s="49">
        <f t="shared" si="40"/>
        <v>250897.08556062324</v>
      </c>
      <c r="H346" s="49">
        <f t="shared" si="41"/>
        <v>171564.15672991899</v>
      </c>
    </row>
    <row r="347" spans="1:8" x14ac:dyDescent="0.2">
      <c r="A347" s="50">
        <f t="shared" si="38"/>
        <v>337</v>
      </c>
      <c r="B347" s="56">
        <f t="shared" si="42"/>
        <v>1257.3251258647085</v>
      </c>
      <c r="C347" s="56">
        <f t="shared" si="43"/>
        <v>1172.4416254165267</v>
      </c>
      <c r="D347" s="49">
        <f t="shared" si="39"/>
        <v>84.883500448182005</v>
      </c>
      <c r="F347" s="49">
        <f t="shared" si="37"/>
        <v>27930.472813960212</v>
      </c>
      <c r="G347" s="49">
        <f t="shared" si="40"/>
        <v>252069.52718603978</v>
      </c>
      <c r="H347" s="49">
        <f t="shared" si="41"/>
        <v>171649.04023036719</v>
      </c>
    </row>
    <row r="348" spans="1:8" x14ac:dyDescent="0.2">
      <c r="A348" s="50">
        <f t="shared" si="38"/>
        <v>338</v>
      </c>
      <c r="B348" s="56">
        <f t="shared" si="42"/>
        <v>1257.3251258647085</v>
      </c>
      <c r="C348" s="56">
        <f t="shared" si="43"/>
        <v>1175.8612468239915</v>
      </c>
      <c r="D348" s="49">
        <f t="shared" si="39"/>
        <v>81.463879040717146</v>
      </c>
      <c r="F348" s="49">
        <f t="shared" si="37"/>
        <v>26754.61156713622</v>
      </c>
      <c r="G348" s="49">
        <f t="shared" si="40"/>
        <v>253245.38843286378</v>
      </c>
      <c r="H348" s="49">
        <f t="shared" si="41"/>
        <v>171730.50410940789</v>
      </c>
    </row>
    <row r="349" spans="1:8" x14ac:dyDescent="0.2">
      <c r="A349" s="50">
        <f t="shared" si="38"/>
        <v>339</v>
      </c>
      <c r="B349" s="56">
        <f t="shared" si="42"/>
        <v>1257.3251258647085</v>
      </c>
      <c r="C349" s="56">
        <f t="shared" si="43"/>
        <v>1179.2908421272282</v>
      </c>
      <c r="D349" s="49">
        <f t="shared" si="39"/>
        <v>78.034283737480493</v>
      </c>
      <c r="F349" s="49">
        <f t="shared" si="37"/>
        <v>25575.320725008991</v>
      </c>
      <c r="G349" s="49">
        <f t="shared" si="40"/>
        <v>254424.67927499101</v>
      </c>
      <c r="H349" s="49">
        <f t="shared" si="41"/>
        <v>171808.53839314537</v>
      </c>
    </row>
    <row r="350" spans="1:8" x14ac:dyDescent="0.2">
      <c r="A350" s="50">
        <f t="shared" si="38"/>
        <v>340</v>
      </c>
      <c r="B350" s="56">
        <f t="shared" si="42"/>
        <v>1257.3251258647085</v>
      </c>
      <c r="C350" s="56">
        <f t="shared" si="43"/>
        <v>1182.7304404167658</v>
      </c>
      <c r="D350" s="49">
        <f t="shared" si="39"/>
        <v>74.594685447942751</v>
      </c>
      <c r="F350" s="49">
        <f t="shared" si="37"/>
        <v>24392.590284592225</v>
      </c>
      <c r="G350" s="49">
        <f t="shared" si="40"/>
        <v>255607.40971540776</v>
      </c>
      <c r="H350" s="49">
        <f t="shared" si="41"/>
        <v>171883.13307859332</v>
      </c>
    </row>
    <row r="351" spans="1:8" x14ac:dyDescent="0.2">
      <c r="A351" s="50">
        <f t="shared" si="38"/>
        <v>341</v>
      </c>
      <c r="B351" s="56">
        <f t="shared" si="42"/>
        <v>1257.3251258647085</v>
      </c>
      <c r="C351" s="56">
        <f t="shared" si="43"/>
        <v>1186.1800708679814</v>
      </c>
      <c r="D351" s="49">
        <f t="shared" si="39"/>
        <v>71.145054996727183</v>
      </c>
      <c r="F351" s="49">
        <f t="shared" si="37"/>
        <v>23206.410213724244</v>
      </c>
      <c r="G351" s="49">
        <f t="shared" si="40"/>
        <v>256793.58978627576</v>
      </c>
      <c r="H351" s="49">
        <f t="shared" si="41"/>
        <v>171954.27813359007</v>
      </c>
    </row>
    <row r="352" spans="1:8" x14ac:dyDescent="0.2">
      <c r="A352" s="50">
        <f t="shared" si="38"/>
        <v>342</v>
      </c>
      <c r="B352" s="56">
        <f t="shared" si="42"/>
        <v>1257.3251258647085</v>
      </c>
      <c r="C352" s="56">
        <f t="shared" si="43"/>
        <v>1189.6397627413464</v>
      </c>
      <c r="D352" s="49">
        <f t="shared" si="39"/>
        <v>67.685363123362251</v>
      </c>
      <c r="F352" s="49">
        <f t="shared" si="37"/>
        <v>22016.770450982898</v>
      </c>
      <c r="G352" s="49">
        <f t="shared" si="40"/>
        <v>257983.22954901709</v>
      </c>
      <c r="H352" s="49">
        <f t="shared" si="41"/>
        <v>172021.96349671343</v>
      </c>
    </row>
    <row r="353" spans="1:8" x14ac:dyDescent="0.2">
      <c r="A353" s="50">
        <f t="shared" si="38"/>
        <v>343</v>
      </c>
      <c r="B353" s="56">
        <f t="shared" si="42"/>
        <v>1257.3251258647085</v>
      </c>
      <c r="C353" s="56">
        <f t="shared" si="43"/>
        <v>1193.1095453826752</v>
      </c>
      <c r="D353" s="49">
        <f t="shared" si="39"/>
        <v>64.215580482033303</v>
      </c>
      <c r="F353" s="49">
        <f t="shared" si="37"/>
        <v>20823.660905600223</v>
      </c>
      <c r="G353" s="49">
        <f t="shared" si="40"/>
        <v>259176.33909439977</v>
      </c>
      <c r="H353" s="49">
        <f t="shared" si="41"/>
        <v>172086.17907719547</v>
      </c>
    </row>
    <row r="354" spans="1:8" x14ac:dyDescent="0.2">
      <c r="A354" s="50">
        <f t="shared" si="38"/>
        <v>344</v>
      </c>
      <c r="B354" s="56">
        <f t="shared" si="42"/>
        <v>1257.3251258647085</v>
      </c>
      <c r="C354" s="56">
        <f t="shared" si="43"/>
        <v>1196.5894482233748</v>
      </c>
      <c r="D354" s="49">
        <f t="shared" si="39"/>
        <v>60.735677641333837</v>
      </c>
      <c r="F354" s="49">
        <f t="shared" si="37"/>
        <v>19627.071457376849</v>
      </c>
      <c r="G354" s="49">
        <f t="shared" si="40"/>
        <v>260372.92854262315</v>
      </c>
      <c r="H354" s="49">
        <f t="shared" si="41"/>
        <v>172146.91475483679</v>
      </c>
    </row>
    <row r="355" spans="1:8" x14ac:dyDescent="0.2">
      <c r="A355" s="50">
        <f t="shared" si="38"/>
        <v>345</v>
      </c>
      <c r="B355" s="56">
        <f t="shared" si="42"/>
        <v>1257.3251258647085</v>
      </c>
      <c r="C355" s="56">
        <f t="shared" si="43"/>
        <v>1200.0795007806928</v>
      </c>
      <c r="D355" s="49">
        <f t="shared" si="39"/>
        <v>57.245625084015664</v>
      </c>
      <c r="F355" s="49">
        <f t="shared" si="37"/>
        <v>18426.991956596157</v>
      </c>
      <c r="G355" s="49">
        <f t="shared" si="40"/>
        <v>261573.00804340385</v>
      </c>
      <c r="H355" s="49">
        <f t="shared" si="41"/>
        <v>172204.1603799208</v>
      </c>
    </row>
    <row r="356" spans="1:8" x14ac:dyDescent="0.2">
      <c r="A356" s="50">
        <f t="shared" si="38"/>
        <v>346</v>
      </c>
      <c r="B356" s="56">
        <f t="shared" si="42"/>
        <v>1257.3251258647085</v>
      </c>
      <c r="C356" s="56">
        <f t="shared" si="43"/>
        <v>1203.57973265797</v>
      </c>
      <c r="D356" s="49">
        <f t="shared" si="39"/>
        <v>53.745393206738633</v>
      </c>
      <c r="F356" s="49">
        <f t="shared" si="37"/>
        <v>17223.412223938187</v>
      </c>
      <c r="G356" s="49">
        <f t="shared" si="40"/>
        <v>262776.58777606185</v>
      </c>
      <c r="H356" s="49">
        <f t="shared" si="41"/>
        <v>172257.90577312754</v>
      </c>
    </row>
    <row r="357" spans="1:8" x14ac:dyDescent="0.2">
      <c r="A357" s="50">
        <f t="shared" si="38"/>
        <v>347</v>
      </c>
      <c r="B357" s="56">
        <f t="shared" si="42"/>
        <v>1257.3251258647085</v>
      </c>
      <c r="C357" s="56">
        <f t="shared" si="43"/>
        <v>1207.090173544889</v>
      </c>
      <c r="D357" s="49">
        <f t="shared" si="39"/>
        <v>50.234952319819556</v>
      </c>
      <c r="F357" s="49">
        <f t="shared" si="37"/>
        <v>16016.322050393297</v>
      </c>
      <c r="G357" s="49">
        <f t="shared" si="40"/>
        <v>263983.67794960673</v>
      </c>
      <c r="H357" s="49">
        <f t="shared" si="41"/>
        <v>172308.14072544736</v>
      </c>
    </row>
    <row r="358" spans="1:8" x14ac:dyDescent="0.2">
      <c r="A358" s="50">
        <f t="shared" si="38"/>
        <v>348</v>
      </c>
      <c r="B358" s="56">
        <f t="shared" si="42"/>
        <v>1257.3251258647085</v>
      </c>
      <c r="C358" s="56">
        <f t="shared" si="43"/>
        <v>1210.6108532177282</v>
      </c>
      <c r="D358" s="49">
        <f t="shared" si="39"/>
        <v>46.714272646980298</v>
      </c>
      <c r="F358" s="49">
        <f t="shared" si="37"/>
        <v>14805.711197175569</v>
      </c>
      <c r="G358" s="49">
        <f t="shared" si="40"/>
        <v>265194.28880282445</v>
      </c>
      <c r="H358" s="49">
        <f t="shared" si="41"/>
        <v>172354.85499809435</v>
      </c>
    </row>
    <row r="359" spans="1:8" x14ac:dyDescent="0.2">
      <c r="A359" s="50">
        <f t="shared" si="38"/>
        <v>349</v>
      </c>
      <c r="B359" s="56">
        <f t="shared" si="42"/>
        <v>1257.3251258647085</v>
      </c>
      <c r="C359" s="56">
        <f t="shared" si="43"/>
        <v>1214.1418015396134</v>
      </c>
      <c r="D359" s="49">
        <f t="shared" si="39"/>
        <v>43.183324325095256</v>
      </c>
      <c r="F359" s="49">
        <f t="shared" si="37"/>
        <v>13591.569395635956</v>
      </c>
      <c r="G359" s="49">
        <f t="shared" si="40"/>
        <v>266408.43060436408</v>
      </c>
      <c r="H359" s="49">
        <f t="shared" si="41"/>
        <v>172398.03832241945</v>
      </c>
    </row>
    <row r="360" spans="1:8" x14ac:dyDescent="0.2">
      <c r="A360" s="50">
        <f t="shared" si="38"/>
        <v>350</v>
      </c>
      <c r="B360" s="56">
        <f t="shared" si="42"/>
        <v>1257.3251258647085</v>
      </c>
      <c r="C360" s="56">
        <f t="shared" si="43"/>
        <v>1217.6830484607706</v>
      </c>
      <c r="D360" s="49">
        <f t="shared" si="39"/>
        <v>39.642077403938053</v>
      </c>
      <c r="F360" s="49">
        <f t="shared" si="37"/>
        <v>12373.886347175185</v>
      </c>
      <c r="G360" s="49">
        <f t="shared" si="40"/>
        <v>267626.11365282483</v>
      </c>
      <c r="H360" s="49">
        <f t="shared" si="41"/>
        <v>172437.68039982338</v>
      </c>
    </row>
    <row r="361" spans="1:8" x14ac:dyDescent="0.2">
      <c r="A361" s="50">
        <f t="shared" si="38"/>
        <v>351</v>
      </c>
      <c r="B361" s="56">
        <f t="shared" si="42"/>
        <v>1257.3251258647085</v>
      </c>
      <c r="C361" s="56">
        <f t="shared" si="43"/>
        <v>1221.2346240187812</v>
      </c>
      <c r="D361" s="49">
        <f t="shared" si="39"/>
        <v>36.090501845927477</v>
      </c>
      <c r="F361" s="49">
        <f t="shared" si="37"/>
        <v>11152.651723156403</v>
      </c>
      <c r="G361" s="49">
        <f t="shared" si="40"/>
        <v>268847.34827684361</v>
      </c>
      <c r="H361" s="49">
        <f t="shared" si="41"/>
        <v>172473.77090166931</v>
      </c>
    </row>
    <row r="362" spans="1:8" x14ac:dyDescent="0.2">
      <c r="A362" s="50">
        <f t="shared" si="38"/>
        <v>352</v>
      </c>
      <c r="B362" s="56">
        <f t="shared" si="42"/>
        <v>1257.3251258647085</v>
      </c>
      <c r="C362" s="56">
        <f t="shared" si="43"/>
        <v>1224.7965583388357</v>
      </c>
      <c r="D362" s="49">
        <f t="shared" si="39"/>
        <v>32.528567525872688</v>
      </c>
      <c r="F362" s="49">
        <f t="shared" si="37"/>
        <v>9927.8551648175671</v>
      </c>
      <c r="G362" s="49">
        <f t="shared" si="40"/>
        <v>270072.14483518247</v>
      </c>
      <c r="H362" s="49">
        <f t="shared" si="41"/>
        <v>172506.29946919519</v>
      </c>
    </row>
    <row r="363" spans="1:8" x14ac:dyDescent="0.2">
      <c r="A363" s="50">
        <f t="shared" si="38"/>
        <v>353</v>
      </c>
      <c r="B363" s="56">
        <f t="shared" si="42"/>
        <v>1257.3251258647085</v>
      </c>
      <c r="C363" s="56">
        <f t="shared" si="43"/>
        <v>1228.3688816339907</v>
      </c>
      <c r="D363" s="49">
        <f t="shared" si="39"/>
        <v>28.956244230717751</v>
      </c>
      <c r="F363" s="49">
        <f t="shared" si="37"/>
        <v>8699.4862831835762</v>
      </c>
      <c r="G363" s="49">
        <f t="shared" si="40"/>
        <v>271300.51371681644</v>
      </c>
      <c r="H363" s="49">
        <f t="shared" si="41"/>
        <v>172535.2557134259</v>
      </c>
    </row>
    <row r="364" spans="1:8" x14ac:dyDescent="0.2">
      <c r="A364" s="50">
        <f t="shared" si="38"/>
        <v>354</v>
      </c>
      <c r="B364" s="56">
        <f t="shared" si="42"/>
        <v>1257.3251258647085</v>
      </c>
      <c r="C364" s="56">
        <f t="shared" si="43"/>
        <v>1231.9516242054233</v>
      </c>
      <c r="D364" s="49">
        <f t="shared" si="39"/>
        <v>25.373501659285282</v>
      </c>
      <c r="F364" s="49">
        <f t="shared" si="37"/>
        <v>7467.5346589781529</v>
      </c>
      <c r="G364" s="49">
        <f t="shared" si="40"/>
        <v>272532.46534102189</v>
      </c>
      <c r="H364" s="49">
        <f t="shared" si="41"/>
        <v>172560.62921508518</v>
      </c>
    </row>
    <row r="365" spans="1:8" x14ac:dyDescent="0.2">
      <c r="A365" s="50">
        <f t="shared" si="38"/>
        <v>355</v>
      </c>
      <c r="B365" s="56">
        <f t="shared" si="42"/>
        <v>1257.3251258647085</v>
      </c>
      <c r="C365" s="56">
        <f t="shared" si="43"/>
        <v>1235.5448164426891</v>
      </c>
      <c r="D365" s="49">
        <f t="shared" si="39"/>
        <v>21.780309422019464</v>
      </c>
      <c r="F365" s="49">
        <f t="shared" si="37"/>
        <v>6231.989842535464</v>
      </c>
      <c r="G365" s="49">
        <f t="shared" si="40"/>
        <v>273768.0101574646</v>
      </c>
      <c r="H365" s="49">
        <f t="shared" si="41"/>
        <v>172582.40952450721</v>
      </c>
    </row>
    <row r="366" spans="1:8" x14ac:dyDescent="0.2">
      <c r="A366" s="50">
        <f t="shared" si="38"/>
        <v>356</v>
      </c>
      <c r="B366" s="56">
        <f t="shared" si="42"/>
        <v>1257.3251258647085</v>
      </c>
      <c r="C366" s="56">
        <f t="shared" si="43"/>
        <v>1239.1484888239804</v>
      </c>
      <c r="D366" s="49">
        <f t="shared" si="39"/>
        <v>18.176637040728284</v>
      </c>
      <c r="F366" s="49">
        <f t="shared" si="37"/>
        <v>4992.8413537114839</v>
      </c>
      <c r="G366" s="49">
        <f t="shared" si="40"/>
        <v>275007.15864628856</v>
      </c>
      <c r="H366" s="49">
        <f t="shared" si="41"/>
        <v>172600.58616154795</v>
      </c>
    </row>
    <row r="367" spans="1:8" x14ac:dyDescent="0.2">
      <c r="A367" s="50">
        <f t="shared" si="38"/>
        <v>357</v>
      </c>
      <c r="B367" s="56">
        <f t="shared" si="42"/>
        <v>1257.3251258647085</v>
      </c>
      <c r="C367" s="56">
        <f t="shared" si="43"/>
        <v>1242.7626719163836</v>
      </c>
      <c r="D367" s="49">
        <f t="shared" si="39"/>
        <v>14.562453948325008</v>
      </c>
      <c r="F367" s="49">
        <f t="shared" si="37"/>
        <v>3750.0786817951002</v>
      </c>
      <c r="G367" s="49">
        <f t="shared" si="40"/>
        <v>276249.92131820496</v>
      </c>
      <c r="H367" s="49">
        <f t="shared" si="41"/>
        <v>172615.14861549626</v>
      </c>
    </row>
    <row r="368" spans="1:8" x14ac:dyDescent="0.2">
      <c r="A368" s="50">
        <f t="shared" si="38"/>
        <v>358</v>
      </c>
      <c r="B368" s="56">
        <f t="shared" si="42"/>
        <v>1257.3251258647085</v>
      </c>
      <c r="C368" s="56">
        <f t="shared" si="43"/>
        <v>1246.3873963761398</v>
      </c>
      <c r="D368" s="49">
        <f t="shared" si="39"/>
        <v>10.937729488568891</v>
      </c>
      <c r="F368" s="49">
        <f t="shared" si="37"/>
        <v>2503.6912854189604</v>
      </c>
      <c r="G368" s="49">
        <f t="shared" si="40"/>
        <v>277496.30871458107</v>
      </c>
      <c r="H368" s="49">
        <f t="shared" si="41"/>
        <v>172626.08634498483</v>
      </c>
    </row>
    <row r="369" spans="1:8" x14ac:dyDescent="0.2">
      <c r="A369" s="50">
        <f t="shared" si="38"/>
        <v>359</v>
      </c>
      <c r="B369" s="56">
        <f t="shared" si="42"/>
        <v>1257.3251258647085</v>
      </c>
      <c r="C369" s="56">
        <f t="shared" si="43"/>
        <v>1250.0226929489036</v>
      </c>
      <c r="D369" s="49">
        <f t="shared" si="39"/>
        <v>7.3024329158051504</v>
      </c>
      <c r="F369" s="49">
        <f t="shared" si="37"/>
        <v>1253.6685924700569</v>
      </c>
      <c r="G369" s="49">
        <f t="shared" si="40"/>
        <v>278746.33140753</v>
      </c>
      <c r="H369" s="49">
        <f t="shared" si="41"/>
        <v>172633.38877790063</v>
      </c>
    </row>
    <row r="370" spans="1:8" x14ac:dyDescent="0.2">
      <c r="A370" s="50">
        <f t="shared" si="38"/>
        <v>360</v>
      </c>
      <c r="B370" s="56">
        <f t="shared" si="42"/>
        <v>1257.325125864761</v>
      </c>
      <c r="C370" s="56">
        <f t="shared" si="43"/>
        <v>1253.6685924700043</v>
      </c>
      <c r="D370" s="49">
        <f t="shared" si="39"/>
        <v>3.6565333947041796</v>
      </c>
      <c r="F370" s="49">
        <f t="shared" si="37"/>
        <v>5.2523319027386606E-11</v>
      </c>
      <c r="G370" s="49">
        <f t="shared" si="40"/>
        <v>280000</v>
      </c>
      <c r="H370" s="49">
        <f t="shared" si="41"/>
        <v>172637.04531129534</v>
      </c>
    </row>
    <row r="371" spans="1:8" x14ac:dyDescent="0.2">
      <c r="A371" s="50" t="str">
        <f t="shared" si="38"/>
        <v/>
      </c>
      <c r="B371" s="56" t="str">
        <f t="shared" si="42"/>
        <v/>
      </c>
      <c r="C371" s="56" t="str">
        <f t="shared" si="43"/>
        <v/>
      </c>
      <c r="D371" s="49" t="str">
        <f t="shared" si="39"/>
        <v/>
      </c>
      <c r="F371" s="49" t="str">
        <f t="shared" si="37"/>
        <v/>
      </c>
      <c r="G371" s="49" t="str">
        <f t="shared" si="40"/>
        <v/>
      </c>
      <c r="H371" s="49" t="str">
        <f t="shared" si="41"/>
        <v/>
      </c>
    </row>
    <row r="372" spans="1:8" x14ac:dyDescent="0.2">
      <c r="A372" s="50" t="str">
        <f t="shared" si="38"/>
        <v/>
      </c>
      <c r="B372" s="56" t="str">
        <f t="shared" si="42"/>
        <v/>
      </c>
      <c r="C372" s="56" t="str">
        <f t="shared" si="43"/>
        <v/>
      </c>
      <c r="D372" s="49" t="str">
        <f t="shared" si="39"/>
        <v/>
      </c>
      <c r="F372" s="49" t="str">
        <f t="shared" si="37"/>
        <v/>
      </c>
      <c r="G372" s="49" t="str">
        <f t="shared" si="40"/>
        <v/>
      </c>
      <c r="H372" s="49" t="str">
        <f t="shared" si="41"/>
        <v/>
      </c>
    </row>
    <row r="373" spans="1:8" x14ac:dyDescent="0.2">
      <c r="A373" s="50" t="str">
        <f t="shared" si="38"/>
        <v/>
      </c>
      <c r="B373" s="56" t="str">
        <f t="shared" si="42"/>
        <v/>
      </c>
      <c r="C373" s="56" t="str">
        <f t="shared" si="43"/>
        <v/>
      </c>
      <c r="D373" s="49" t="str">
        <f t="shared" si="39"/>
        <v/>
      </c>
      <c r="F373" s="49" t="str">
        <f t="shared" si="37"/>
        <v/>
      </c>
      <c r="G373" s="49" t="str">
        <f t="shared" si="40"/>
        <v/>
      </c>
      <c r="H373" s="49" t="str">
        <f t="shared" si="41"/>
        <v/>
      </c>
    </row>
    <row r="374" spans="1:8" x14ac:dyDescent="0.2">
      <c r="A374" s="50" t="str">
        <f t="shared" si="38"/>
        <v/>
      </c>
      <c r="B374" s="56" t="str">
        <f t="shared" si="42"/>
        <v/>
      </c>
      <c r="C374" s="56" t="str">
        <f t="shared" si="43"/>
        <v/>
      </c>
      <c r="D374" s="49" t="str">
        <f t="shared" si="39"/>
        <v/>
      </c>
      <c r="F374" s="49" t="str">
        <f t="shared" si="37"/>
        <v/>
      </c>
      <c r="G374" s="49" t="str">
        <f t="shared" si="40"/>
        <v/>
      </c>
      <c r="H374" s="49" t="str">
        <f t="shared" si="41"/>
        <v/>
      </c>
    </row>
    <row r="375" spans="1:8" x14ac:dyDescent="0.2">
      <c r="A375" s="50" t="str">
        <f t="shared" si="38"/>
        <v/>
      </c>
      <c r="B375" s="56" t="str">
        <f t="shared" si="42"/>
        <v/>
      </c>
      <c r="C375" s="56" t="str">
        <f t="shared" si="43"/>
        <v/>
      </c>
      <c r="D375" s="49" t="str">
        <f t="shared" si="39"/>
        <v/>
      </c>
      <c r="F375" s="49" t="str">
        <f t="shared" si="37"/>
        <v/>
      </c>
      <c r="G375" s="49" t="str">
        <f t="shared" si="40"/>
        <v/>
      </c>
      <c r="H375" s="49" t="str">
        <f t="shared" si="41"/>
        <v/>
      </c>
    </row>
    <row r="376" spans="1:8" x14ac:dyDescent="0.2">
      <c r="A376" s="50" t="str">
        <f t="shared" si="38"/>
        <v/>
      </c>
      <c r="B376" s="56" t="str">
        <f t="shared" si="42"/>
        <v/>
      </c>
      <c r="C376" s="56" t="str">
        <f t="shared" si="43"/>
        <v/>
      </c>
      <c r="D376" s="49" t="str">
        <f t="shared" si="39"/>
        <v/>
      </c>
      <c r="F376" s="49" t="str">
        <f t="shared" si="37"/>
        <v/>
      </c>
      <c r="G376" s="49" t="str">
        <f t="shared" si="40"/>
        <v/>
      </c>
      <c r="H376" s="49" t="str">
        <f t="shared" si="41"/>
        <v/>
      </c>
    </row>
    <row r="377" spans="1:8" x14ac:dyDescent="0.2">
      <c r="A377" s="50" t="str">
        <f t="shared" si="38"/>
        <v/>
      </c>
      <c r="B377" s="56" t="str">
        <f t="shared" si="42"/>
        <v/>
      </c>
      <c r="C377" s="56" t="str">
        <f t="shared" si="43"/>
        <v/>
      </c>
      <c r="D377" s="49" t="str">
        <f t="shared" si="39"/>
        <v/>
      </c>
      <c r="F377" s="49" t="str">
        <f t="shared" si="37"/>
        <v/>
      </c>
      <c r="G377" s="49" t="str">
        <f t="shared" si="40"/>
        <v/>
      </c>
      <c r="H377" s="49" t="str">
        <f t="shared" si="41"/>
        <v/>
      </c>
    </row>
    <row r="378" spans="1:8" x14ac:dyDescent="0.2">
      <c r="A378" s="50" t="str">
        <f t="shared" si="38"/>
        <v/>
      </c>
      <c r="B378" s="56" t="str">
        <f t="shared" si="42"/>
        <v/>
      </c>
      <c r="C378" s="56" t="str">
        <f t="shared" si="43"/>
        <v/>
      </c>
      <c r="D378" s="49" t="str">
        <f t="shared" si="39"/>
        <v/>
      </c>
      <c r="F378" s="49" t="str">
        <f t="shared" si="37"/>
        <v/>
      </c>
      <c r="G378" s="49" t="str">
        <f t="shared" si="40"/>
        <v/>
      </c>
      <c r="H378" s="49" t="str">
        <f t="shared" si="41"/>
        <v/>
      </c>
    </row>
    <row r="379" spans="1:8" x14ac:dyDescent="0.2">
      <c r="A379" s="50" t="str">
        <f t="shared" si="38"/>
        <v/>
      </c>
      <c r="B379" s="56" t="str">
        <f t="shared" si="42"/>
        <v/>
      </c>
      <c r="C379" s="56" t="str">
        <f t="shared" si="43"/>
        <v/>
      </c>
      <c r="D379" s="49" t="str">
        <f t="shared" si="39"/>
        <v/>
      </c>
      <c r="F379" s="49" t="str">
        <f t="shared" si="37"/>
        <v/>
      </c>
      <c r="G379" s="49" t="str">
        <f t="shared" si="40"/>
        <v/>
      </c>
      <c r="H379" s="49" t="str">
        <f t="shared" si="41"/>
        <v/>
      </c>
    </row>
    <row r="380" spans="1:8" x14ac:dyDescent="0.2">
      <c r="A380" s="50" t="str">
        <f t="shared" si="38"/>
        <v/>
      </c>
      <c r="B380" s="56" t="str">
        <f t="shared" si="42"/>
        <v/>
      </c>
      <c r="C380" s="56" t="str">
        <f t="shared" si="43"/>
        <v/>
      </c>
      <c r="D380" s="49" t="str">
        <f t="shared" si="39"/>
        <v/>
      </c>
      <c r="F380" s="49" t="str">
        <f t="shared" si="37"/>
        <v/>
      </c>
      <c r="G380" s="49" t="str">
        <f t="shared" si="40"/>
        <v/>
      </c>
      <c r="H380" s="49" t="str">
        <f t="shared" si="41"/>
        <v/>
      </c>
    </row>
    <row r="381" spans="1:8" x14ac:dyDescent="0.2">
      <c r="A381" s="50" t="str">
        <f t="shared" si="38"/>
        <v/>
      </c>
      <c r="B381" s="56" t="str">
        <f t="shared" si="42"/>
        <v/>
      </c>
      <c r="C381" s="56" t="str">
        <f t="shared" si="43"/>
        <v/>
      </c>
      <c r="D381" s="49" t="str">
        <f t="shared" si="39"/>
        <v/>
      </c>
      <c r="F381" s="49" t="str">
        <f t="shared" si="37"/>
        <v/>
      </c>
      <c r="G381" s="49" t="str">
        <f t="shared" si="40"/>
        <v/>
      </c>
      <c r="H381" s="49" t="str">
        <f t="shared" si="41"/>
        <v/>
      </c>
    </row>
    <row r="382" spans="1:8" x14ac:dyDescent="0.2">
      <c r="A382" s="50" t="str">
        <f t="shared" si="38"/>
        <v/>
      </c>
      <c r="B382" s="56" t="str">
        <f t="shared" si="42"/>
        <v/>
      </c>
      <c r="C382" s="56" t="str">
        <f t="shared" si="43"/>
        <v/>
      </c>
      <c r="D382" s="49" t="str">
        <f t="shared" si="39"/>
        <v/>
      </c>
      <c r="F382" s="49" t="str">
        <f t="shared" si="37"/>
        <v/>
      </c>
      <c r="G382" s="49" t="str">
        <f t="shared" si="40"/>
        <v/>
      </c>
      <c r="H382" s="49" t="str">
        <f t="shared" si="41"/>
        <v/>
      </c>
    </row>
    <row r="383" spans="1:8" x14ac:dyDescent="0.2">
      <c r="A383" s="50" t="str">
        <f t="shared" si="38"/>
        <v/>
      </c>
      <c r="B383" s="56" t="str">
        <f t="shared" si="42"/>
        <v/>
      </c>
      <c r="C383" s="56" t="str">
        <f t="shared" si="43"/>
        <v/>
      </c>
      <c r="D383" s="49" t="str">
        <f t="shared" si="39"/>
        <v/>
      </c>
      <c r="F383" s="49" t="str">
        <f t="shared" si="37"/>
        <v/>
      </c>
      <c r="G383" s="49" t="str">
        <f t="shared" si="40"/>
        <v/>
      </c>
      <c r="H383" s="49" t="str">
        <f t="shared" si="41"/>
        <v/>
      </c>
    </row>
    <row r="384" spans="1:8" x14ac:dyDescent="0.2">
      <c r="A384" s="50" t="str">
        <f t="shared" si="38"/>
        <v/>
      </c>
      <c r="B384" s="56" t="str">
        <f t="shared" si="42"/>
        <v/>
      </c>
      <c r="C384" s="56" t="str">
        <f t="shared" si="43"/>
        <v/>
      </c>
      <c r="D384" s="49" t="str">
        <f t="shared" si="39"/>
        <v/>
      </c>
      <c r="F384" s="49" t="str">
        <f t="shared" si="37"/>
        <v/>
      </c>
      <c r="G384" s="49" t="str">
        <f t="shared" si="40"/>
        <v/>
      </c>
      <c r="H384" s="49" t="str">
        <f t="shared" si="41"/>
        <v/>
      </c>
    </row>
    <row r="385" spans="1:6" x14ac:dyDescent="0.2">
      <c r="A385" s="50" t="str">
        <f t="shared" si="38"/>
        <v/>
      </c>
      <c r="F385" s="49" t="str">
        <f t="shared" si="37"/>
        <v/>
      </c>
    </row>
    <row r="386" spans="1:6" x14ac:dyDescent="0.2">
      <c r="A386" s="50" t="str">
        <f t="shared" si="38"/>
        <v/>
      </c>
      <c r="F386" s="49" t="str">
        <f t="shared" ref="F386:F449" si="44">IF(A386="","",F385-C386-E386)</f>
        <v/>
      </c>
    </row>
    <row r="387" spans="1:6" x14ac:dyDescent="0.2">
      <c r="A387" s="50" t="str">
        <f t="shared" si="38"/>
        <v/>
      </c>
      <c r="F387" s="49" t="str">
        <f t="shared" si="44"/>
        <v/>
      </c>
    </row>
    <row r="388" spans="1:6" x14ac:dyDescent="0.2">
      <c r="A388" s="50" t="str">
        <f t="shared" si="38"/>
        <v/>
      </c>
      <c r="F388" s="49" t="str">
        <f t="shared" si="44"/>
        <v/>
      </c>
    </row>
    <row r="389" spans="1:6" x14ac:dyDescent="0.2">
      <c r="A389" s="50" t="str">
        <f t="shared" si="38"/>
        <v/>
      </c>
      <c r="F389" s="49" t="str">
        <f t="shared" si="44"/>
        <v/>
      </c>
    </row>
    <row r="390" spans="1:6" x14ac:dyDescent="0.2">
      <c r="A390" s="50" t="str">
        <f t="shared" si="38"/>
        <v/>
      </c>
      <c r="F390" s="49" t="str">
        <f t="shared" si="44"/>
        <v/>
      </c>
    </row>
    <row r="391" spans="1:6" x14ac:dyDescent="0.2">
      <c r="A391" s="50" t="str">
        <f t="shared" si="38"/>
        <v/>
      </c>
      <c r="F391" s="49" t="str">
        <f t="shared" si="44"/>
        <v/>
      </c>
    </row>
    <row r="392" spans="1:6" x14ac:dyDescent="0.2">
      <c r="A392" s="50" t="str">
        <f t="shared" si="38"/>
        <v/>
      </c>
      <c r="F392" s="49" t="str">
        <f t="shared" si="44"/>
        <v/>
      </c>
    </row>
    <row r="393" spans="1:6" x14ac:dyDescent="0.2">
      <c r="A393" s="50" t="str">
        <f t="shared" ref="A393:A456" si="45">IF(OR(F392&lt;0.01,F392=""),"",A392+1)</f>
        <v/>
      </c>
      <c r="F393" s="49" t="str">
        <f t="shared" si="44"/>
        <v/>
      </c>
    </row>
    <row r="394" spans="1:6" x14ac:dyDescent="0.2">
      <c r="A394" s="50" t="str">
        <f t="shared" si="45"/>
        <v/>
      </c>
      <c r="F394" s="49" t="str">
        <f t="shared" si="44"/>
        <v/>
      </c>
    </row>
    <row r="395" spans="1:6" x14ac:dyDescent="0.2">
      <c r="A395" s="50" t="str">
        <f t="shared" si="45"/>
        <v/>
      </c>
      <c r="F395" s="49" t="str">
        <f t="shared" si="44"/>
        <v/>
      </c>
    </row>
    <row r="396" spans="1:6" x14ac:dyDescent="0.2">
      <c r="A396" s="50" t="str">
        <f t="shared" si="45"/>
        <v/>
      </c>
      <c r="F396" s="49" t="str">
        <f t="shared" si="44"/>
        <v/>
      </c>
    </row>
    <row r="397" spans="1:6" x14ac:dyDescent="0.2">
      <c r="A397" s="50" t="str">
        <f t="shared" si="45"/>
        <v/>
      </c>
      <c r="F397" s="49" t="str">
        <f t="shared" si="44"/>
        <v/>
      </c>
    </row>
    <row r="398" spans="1:6" x14ac:dyDescent="0.2">
      <c r="A398" s="50" t="str">
        <f t="shared" si="45"/>
        <v/>
      </c>
      <c r="F398" s="49" t="str">
        <f t="shared" si="44"/>
        <v/>
      </c>
    </row>
    <row r="399" spans="1:6" x14ac:dyDescent="0.2">
      <c r="A399" s="50" t="str">
        <f t="shared" si="45"/>
        <v/>
      </c>
      <c r="F399" s="49" t="str">
        <f t="shared" si="44"/>
        <v/>
      </c>
    </row>
    <row r="400" spans="1:6" x14ac:dyDescent="0.2">
      <c r="A400" s="50" t="str">
        <f t="shared" si="45"/>
        <v/>
      </c>
      <c r="F400" s="49" t="str">
        <f t="shared" si="44"/>
        <v/>
      </c>
    </row>
    <row r="401" spans="1:6" x14ac:dyDescent="0.2">
      <c r="A401" s="50" t="str">
        <f t="shared" si="45"/>
        <v/>
      </c>
      <c r="F401" s="49" t="str">
        <f t="shared" si="44"/>
        <v/>
      </c>
    </row>
    <row r="402" spans="1:6" x14ac:dyDescent="0.2">
      <c r="A402" s="50" t="str">
        <f t="shared" si="45"/>
        <v/>
      </c>
      <c r="F402" s="49" t="str">
        <f t="shared" si="44"/>
        <v/>
      </c>
    </row>
    <row r="403" spans="1:6" x14ac:dyDescent="0.2">
      <c r="A403" s="50" t="str">
        <f t="shared" si="45"/>
        <v/>
      </c>
      <c r="F403" s="49" t="str">
        <f t="shared" si="44"/>
        <v/>
      </c>
    </row>
    <row r="404" spans="1:6" x14ac:dyDescent="0.2">
      <c r="A404" s="50" t="str">
        <f t="shared" si="45"/>
        <v/>
      </c>
      <c r="F404" s="49" t="str">
        <f t="shared" si="44"/>
        <v/>
      </c>
    </row>
    <row r="405" spans="1:6" x14ac:dyDescent="0.2">
      <c r="A405" s="50" t="str">
        <f t="shared" si="45"/>
        <v/>
      </c>
      <c r="F405" s="49" t="str">
        <f t="shared" si="44"/>
        <v/>
      </c>
    </row>
    <row r="406" spans="1:6" x14ac:dyDescent="0.2">
      <c r="A406" s="50" t="str">
        <f t="shared" si="45"/>
        <v/>
      </c>
      <c r="F406" s="49" t="str">
        <f t="shared" si="44"/>
        <v/>
      </c>
    </row>
    <row r="407" spans="1:6" x14ac:dyDescent="0.2">
      <c r="A407" s="50" t="str">
        <f t="shared" si="45"/>
        <v/>
      </c>
      <c r="F407" s="49" t="str">
        <f t="shared" si="44"/>
        <v/>
      </c>
    </row>
    <row r="408" spans="1:6" x14ac:dyDescent="0.2">
      <c r="A408" s="50" t="str">
        <f t="shared" si="45"/>
        <v/>
      </c>
      <c r="F408" s="49" t="str">
        <f t="shared" si="44"/>
        <v/>
      </c>
    </row>
    <row r="409" spans="1:6" x14ac:dyDescent="0.2">
      <c r="A409" s="50" t="str">
        <f t="shared" si="45"/>
        <v/>
      </c>
      <c r="F409" s="49" t="str">
        <f t="shared" si="44"/>
        <v/>
      </c>
    </row>
    <row r="410" spans="1:6" x14ac:dyDescent="0.2">
      <c r="A410" s="50" t="str">
        <f t="shared" si="45"/>
        <v/>
      </c>
      <c r="F410" s="49" t="str">
        <f t="shared" si="44"/>
        <v/>
      </c>
    </row>
    <row r="411" spans="1:6" x14ac:dyDescent="0.2">
      <c r="A411" s="50" t="str">
        <f t="shared" si="45"/>
        <v/>
      </c>
      <c r="F411" s="49" t="str">
        <f t="shared" si="44"/>
        <v/>
      </c>
    </row>
    <row r="412" spans="1:6" x14ac:dyDescent="0.2">
      <c r="A412" s="50" t="str">
        <f t="shared" si="45"/>
        <v/>
      </c>
      <c r="F412" s="49" t="str">
        <f t="shared" si="44"/>
        <v/>
      </c>
    </row>
    <row r="413" spans="1:6" x14ac:dyDescent="0.2">
      <c r="A413" s="50" t="str">
        <f t="shared" si="45"/>
        <v/>
      </c>
      <c r="F413" s="49" t="str">
        <f t="shared" si="44"/>
        <v/>
      </c>
    </row>
    <row r="414" spans="1:6" x14ac:dyDescent="0.2">
      <c r="A414" s="50" t="str">
        <f t="shared" si="45"/>
        <v/>
      </c>
      <c r="F414" s="49" t="str">
        <f t="shared" si="44"/>
        <v/>
      </c>
    </row>
    <row r="415" spans="1:6" x14ac:dyDescent="0.2">
      <c r="A415" s="50" t="str">
        <f t="shared" si="45"/>
        <v/>
      </c>
      <c r="F415" s="49" t="str">
        <f t="shared" si="44"/>
        <v/>
      </c>
    </row>
    <row r="416" spans="1:6" x14ac:dyDescent="0.2">
      <c r="A416" s="50" t="str">
        <f t="shared" si="45"/>
        <v/>
      </c>
      <c r="F416" s="49" t="str">
        <f t="shared" si="44"/>
        <v/>
      </c>
    </row>
    <row r="417" spans="1:6" x14ac:dyDescent="0.2">
      <c r="A417" s="50" t="str">
        <f t="shared" si="45"/>
        <v/>
      </c>
      <c r="F417" s="49" t="str">
        <f t="shared" si="44"/>
        <v/>
      </c>
    </row>
    <row r="418" spans="1:6" x14ac:dyDescent="0.2">
      <c r="A418" s="50" t="str">
        <f t="shared" si="45"/>
        <v/>
      </c>
      <c r="F418" s="49" t="str">
        <f t="shared" si="44"/>
        <v/>
      </c>
    </row>
    <row r="419" spans="1:6" x14ac:dyDescent="0.2">
      <c r="A419" s="50" t="str">
        <f t="shared" si="45"/>
        <v/>
      </c>
      <c r="F419" s="49" t="str">
        <f t="shared" si="44"/>
        <v/>
      </c>
    </row>
    <row r="420" spans="1:6" x14ac:dyDescent="0.2">
      <c r="A420" s="50" t="str">
        <f t="shared" si="45"/>
        <v/>
      </c>
      <c r="F420" s="49" t="str">
        <f t="shared" si="44"/>
        <v/>
      </c>
    </row>
    <row r="421" spans="1:6" x14ac:dyDescent="0.2">
      <c r="A421" s="50" t="str">
        <f t="shared" si="45"/>
        <v/>
      </c>
      <c r="F421" s="49" t="str">
        <f t="shared" si="44"/>
        <v/>
      </c>
    </row>
    <row r="422" spans="1:6" x14ac:dyDescent="0.2">
      <c r="A422" s="50" t="str">
        <f t="shared" si="45"/>
        <v/>
      </c>
      <c r="F422" s="49" t="str">
        <f t="shared" si="44"/>
        <v/>
      </c>
    </row>
    <row r="423" spans="1:6" x14ac:dyDescent="0.2">
      <c r="A423" s="50" t="str">
        <f t="shared" si="45"/>
        <v/>
      </c>
      <c r="F423" s="49" t="str">
        <f t="shared" si="44"/>
        <v/>
      </c>
    </row>
    <row r="424" spans="1:6" x14ac:dyDescent="0.2">
      <c r="A424" s="50" t="str">
        <f t="shared" si="45"/>
        <v/>
      </c>
      <c r="F424" s="49" t="str">
        <f t="shared" si="44"/>
        <v/>
      </c>
    </row>
    <row r="425" spans="1:6" x14ac:dyDescent="0.2">
      <c r="A425" s="50" t="str">
        <f t="shared" si="45"/>
        <v/>
      </c>
      <c r="F425" s="49" t="str">
        <f t="shared" si="44"/>
        <v/>
      </c>
    </row>
    <row r="426" spans="1:6" x14ac:dyDescent="0.2">
      <c r="A426" s="50" t="str">
        <f t="shared" si="45"/>
        <v/>
      </c>
      <c r="F426" s="49" t="str">
        <f t="shared" si="44"/>
        <v/>
      </c>
    </row>
    <row r="427" spans="1:6" x14ac:dyDescent="0.2">
      <c r="A427" s="50" t="str">
        <f t="shared" si="45"/>
        <v/>
      </c>
      <c r="F427" s="49" t="str">
        <f t="shared" si="44"/>
        <v/>
      </c>
    </row>
    <row r="428" spans="1:6" x14ac:dyDescent="0.2">
      <c r="A428" s="50" t="str">
        <f t="shared" si="45"/>
        <v/>
      </c>
      <c r="F428" s="49" t="str">
        <f t="shared" si="44"/>
        <v/>
      </c>
    </row>
    <row r="429" spans="1:6" x14ac:dyDescent="0.2">
      <c r="A429" s="50" t="str">
        <f t="shared" si="45"/>
        <v/>
      </c>
      <c r="F429" s="49" t="str">
        <f t="shared" si="44"/>
        <v/>
      </c>
    </row>
    <row r="430" spans="1:6" x14ac:dyDescent="0.2">
      <c r="A430" s="50" t="str">
        <f t="shared" si="45"/>
        <v/>
      </c>
      <c r="F430" s="49" t="str">
        <f t="shared" si="44"/>
        <v/>
      </c>
    </row>
    <row r="431" spans="1:6" x14ac:dyDescent="0.2">
      <c r="A431" s="50" t="str">
        <f t="shared" si="45"/>
        <v/>
      </c>
      <c r="F431" s="49" t="str">
        <f t="shared" si="44"/>
        <v/>
      </c>
    </row>
    <row r="432" spans="1:6" x14ac:dyDescent="0.2">
      <c r="A432" s="50" t="str">
        <f t="shared" si="45"/>
        <v/>
      </c>
      <c r="F432" s="49" t="str">
        <f t="shared" si="44"/>
        <v/>
      </c>
    </row>
    <row r="433" spans="1:6" x14ac:dyDescent="0.2">
      <c r="A433" s="50" t="str">
        <f t="shared" si="45"/>
        <v/>
      </c>
      <c r="F433" s="49" t="str">
        <f t="shared" si="44"/>
        <v/>
      </c>
    </row>
    <row r="434" spans="1:6" x14ac:dyDescent="0.2">
      <c r="A434" s="50" t="str">
        <f t="shared" si="45"/>
        <v/>
      </c>
      <c r="F434" s="49" t="str">
        <f t="shared" si="44"/>
        <v/>
      </c>
    </row>
    <row r="435" spans="1:6" x14ac:dyDescent="0.2">
      <c r="A435" s="50" t="str">
        <f t="shared" si="45"/>
        <v/>
      </c>
      <c r="F435" s="49" t="str">
        <f t="shared" si="44"/>
        <v/>
      </c>
    </row>
    <row r="436" spans="1:6" x14ac:dyDescent="0.2">
      <c r="A436" s="50" t="str">
        <f t="shared" si="45"/>
        <v/>
      </c>
      <c r="F436" s="49" t="str">
        <f t="shared" si="44"/>
        <v/>
      </c>
    </row>
    <row r="437" spans="1:6" x14ac:dyDescent="0.2">
      <c r="A437" s="50" t="str">
        <f t="shared" si="45"/>
        <v/>
      </c>
      <c r="F437" s="49" t="str">
        <f t="shared" si="44"/>
        <v/>
      </c>
    </row>
    <row r="438" spans="1:6" x14ac:dyDescent="0.2">
      <c r="A438" s="50" t="str">
        <f t="shared" si="45"/>
        <v/>
      </c>
      <c r="F438" s="49" t="str">
        <f t="shared" si="44"/>
        <v/>
      </c>
    </row>
    <row r="439" spans="1:6" x14ac:dyDescent="0.2">
      <c r="A439" s="50" t="str">
        <f t="shared" si="45"/>
        <v/>
      </c>
      <c r="F439" s="49" t="str">
        <f t="shared" si="44"/>
        <v/>
      </c>
    </row>
    <row r="440" spans="1:6" x14ac:dyDescent="0.2">
      <c r="A440" s="50" t="str">
        <f t="shared" si="45"/>
        <v/>
      </c>
      <c r="F440" s="49" t="str">
        <f t="shared" si="44"/>
        <v/>
      </c>
    </row>
    <row r="441" spans="1:6" x14ac:dyDescent="0.2">
      <c r="A441" s="50" t="str">
        <f t="shared" si="45"/>
        <v/>
      </c>
      <c r="F441" s="49" t="str">
        <f t="shared" si="44"/>
        <v/>
      </c>
    </row>
    <row r="442" spans="1:6" x14ac:dyDescent="0.2">
      <c r="A442" s="50" t="str">
        <f t="shared" si="45"/>
        <v/>
      </c>
      <c r="F442" s="49" t="str">
        <f t="shared" si="44"/>
        <v/>
      </c>
    </row>
    <row r="443" spans="1:6" x14ac:dyDescent="0.2">
      <c r="A443" s="50" t="str">
        <f t="shared" si="45"/>
        <v/>
      </c>
      <c r="F443" s="49" t="str">
        <f t="shared" si="44"/>
        <v/>
      </c>
    </row>
    <row r="444" spans="1:6" x14ac:dyDescent="0.2">
      <c r="A444" s="50" t="str">
        <f t="shared" si="45"/>
        <v/>
      </c>
      <c r="F444" s="49" t="str">
        <f t="shared" si="44"/>
        <v/>
      </c>
    </row>
    <row r="445" spans="1:6" x14ac:dyDescent="0.2">
      <c r="A445" s="50" t="str">
        <f t="shared" si="45"/>
        <v/>
      </c>
      <c r="F445" s="49" t="str">
        <f t="shared" si="44"/>
        <v/>
      </c>
    </row>
    <row r="446" spans="1:6" x14ac:dyDescent="0.2">
      <c r="A446" s="50" t="str">
        <f t="shared" si="45"/>
        <v/>
      </c>
      <c r="F446" s="49" t="str">
        <f t="shared" si="44"/>
        <v/>
      </c>
    </row>
    <row r="447" spans="1:6" x14ac:dyDescent="0.2">
      <c r="A447" s="50" t="str">
        <f t="shared" si="45"/>
        <v/>
      </c>
      <c r="F447" s="49" t="str">
        <f t="shared" si="44"/>
        <v/>
      </c>
    </row>
    <row r="448" spans="1:6" x14ac:dyDescent="0.2">
      <c r="A448" s="50" t="str">
        <f t="shared" si="45"/>
        <v/>
      </c>
      <c r="F448" s="49" t="str">
        <f t="shared" si="44"/>
        <v/>
      </c>
    </row>
    <row r="449" spans="1:6" x14ac:dyDescent="0.2">
      <c r="A449" s="50" t="str">
        <f t="shared" si="45"/>
        <v/>
      </c>
      <c r="F449" s="49" t="str">
        <f t="shared" si="44"/>
        <v/>
      </c>
    </row>
    <row r="450" spans="1:6" x14ac:dyDescent="0.2">
      <c r="A450" s="50" t="str">
        <f t="shared" si="45"/>
        <v/>
      </c>
      <c r="F450" s="49" t="str">
        <f t="shared" ref="F450:F498" si="46">IF(A450="","",F449-C450-E450)</f>
        <v/>
      </c>
    </row>
    <row r="451" spans="1:6" x14ac:dyDescent="0.2">
      <c r="A451" s="50" t="str">
        <f t="shared" si="45"/>
        <v/>
      </c>
      <c r="F451" s="49" t="str">
        <f t="shared" si="46"/>
        <v/>
      </c>
    </row>
    <row r="452" spans="1:6" x14ac:dyDescent="0.2">
      <c r="A452" s="50" t="str">
        <f t="shared" si="45"/>
        <v/>
      </c>
      <c r="F452" s="49" t="str">
        <f t="shared" si="46"/>
        <v/>
      </c>
    </row>
    <row r="453" spans="1:6" x14ac:dyDescent="0.2">
      <c r="A453" s="50" t="str">
        <f t="shared" si="45"/>
        <v/>
      </c>
      <c r="F453" s="49" t="str">
        <f t="shared" si="46"/>
        <v/>
      </c>
    </row>
    <row r="454" spans="1:6" x14ac:dyDescent="0.2">
      <c r="A454" s="50" t="str">
        <f t="shared" si="45"/>
        <v/>
      </c>
      <c r="F454" s="49" t="str">
        <f t="shared" si="46"/>
        <v/>
      </c>
    </row>
    <row r="455" spans="1:6" x14ac:dyDescent="0.2">
      <c r="A455" s="50" t="str">
        <f t="shared" si="45"/>
        <v/>
      </c>
      <c r="F455" s="49" t="str">
        <f t="shared" si="46"/>
        <v/>
      </c>
    </row>
    <row r="456" spans="1:6" x14ac:dyDescent="0.2">
      <c r="A456" s="50" t="str">
        <f t="shared" si="45"/>
        <v/>
      </c>
      <c r="F456" s="49" t="str">
        <f t="shared" si="46"/>
        <v/>
      </c>
    </row>
    <row r="457" spans="1:6" x14ac:dyDescent="0.2">
      <c r="A457" s="50" t="str">
        <f t="shared" ref="A457:A485" si="47">IF(OR(F456&lt;0.01,F456=""),"",A456+1)</f>
        <v/>
      </c>
      <c r="F457" s="49" t="str">
        <f t="shared" si="46"/>
        <v/>
      </c>
    </row>
    <row r="458" spans="1:6" x14ac:dyDescent="0.2">
      <c r="A458" s="50" t="str">
        <f t="shared" si="47"/>
        <v/>
      </c>
      <c r="F458" s="49" t="str">
        <f t="shared" si="46"/>
        <v/>
      </c>
    </row>
    <row r="459" spans="1:6" x14ac:dyDescent="0.2">
      <c r="A459" s="50" t="str">
        <f t="shared" si="47"/>
        <v/>
      </c>
      <c r="F459" s="49" t="str">
        <f t="shared" si="46"/>
        <v/>
      </c>
    </row>
    <row r="460" spans="1:6" x14ac:dyDescent="0.2">
      <c r="A460" s="50" t="str">
        <f t="shared" si="47"/>
        <v/>
      </c>
      <c r="F460" s="49" t="str">
        <f t="shared" si="46"/>
        <v/>
      </c>
    </row>
    <row r="461" spans="1:6" x14ac:dyDescent="0.2">
      <c r="A461" s="50" t="str">
        <f t="shared" si="47"/>
        <v/>
      </c>
      <c r="F461" s="49" t="str">
        <f t="shared" si="46"/>
        <v/>
      </c>
    </row>
    <row r="462" spans="1:6" x14ac:dyDescent="0.2">
      <c r="A462" s="50" t="str">
        <f t="shared" si="47"/>
        <v/>
      </c>
      <c r="F462" s="49" t="str">
        <f t="shared" si="46"/>
        <v/>
      </c>
    </row>
    <row r="463" spans="1:6" x14ac:dyDescent="0.2">
      <c r="A463" s="50" t="str">
        <f t="shared" si="47"/>
        <v/>
      </c>
      <c r="F463" s="49" t="str">
        <f t="shared" si="46"/>
        <v/>
      </c>
    </row>
    <row r="464" spans="1:6" x14ac:dyDescent="0.2">
      <c r="A464" s="50" t="str">
        <f t="shared" si="47"/>
        <v/>
      </c>
      <c r="F464" s="49" t="str">
        <f t="shared" si="46"/>
        <v/>
      </c>
    </row>
    <row r="465" spans="1:6" x14ac:dyDescent="0.2">
      <c r="A465" s="50" t="str">
        <f t="shared" si="47"/>
        <v/>
      </c>
      <c r="F465" s="49" t="str">
        <f t="shared" si="46"/>
        <v/>
      </c>
    </row>
    <row r="466" spans="1:6" x14ac:dyDescent="0.2">
      <c r="A466" s="50" t="str">
        <f t="shared" si="47"/>
        <v/>
      </c>
      <c r="F466" s="49" t="str">
        <f t="shared" si="46"/>
        <v/>
      </c>
    </row>
    <row r="467" spans="1:6" x14ac:dyDescent="0.2">
      <c r="A467" s="50" t="str">
        <f t="shared" si="47"/>
        <v/>
      </c>
      <c r="F467" s="49" t="str">
        <f t="shared" si="46"/>
        <v/>
      </c>
    </row>
    <row r="468" spans="1:6" x14ac:dyDescent="0.2">
      <c r="A468" s="50" t="str">
        <f t="shared" si="47"/>
        <v/>
      </c>
      <c r="F468" s="49" t="str">
        <f t="shared" si="46"/>
        <v/>
      </c>
    </row>
    <row r="469" spans="1:6" x14ac:dyDescent="0.2">
      <c r="A469" s="50" t="str">
        <f t="shared" si="47"/>
        <v/>
      </c>
      <c r="F469" s="49" t="str">
        <f t="shared" si="46"/>
        <v/>
      </c>
    </row>
    <row r="470" spans="1:6" x14ac:dyDescent="0.2">
      <c r="A470" s="50" t="str">
        <f t="shared" si="47"/>
        <v/>
      </c>
      <c r="F470" s="49" t="str">
        <f t="shared" si="46"/>
        <v/>
      </c>
    </row>
    <row r="471" spans="1:6" x14ac:dyDescent="0.2">
      <c r="A471" s="50" t="str">
        <f t="shared" si="47"/>
        <v/>
      </c>
      <c r="F471" s="49" t="str">
        <f t="shared" si="46"/>
        <v/>
      </c>
    </row>
    <row r="472" spans="1:6" x14ac:dyDescent="0.2">
      <c r="A472" s="50" t="str">
        <f t="shared" si="47"/>
        <v/>
      </c>
      <c r="F472" s="49" t="str">
        <f t="shared" si="46"/>
        <v/>
      </c>
    </row>
    <row r="473" spans="1:6" x14ac:dyDescent="0.2">
      <c r="A473" s="50" t="str">
        <f t="shared" si="47"/>
        <v/>
      </c>
      <c r="F473" s="49" t="str">
        <f t="shared" si="46"/>
        <v/>
      </c>
    </row>
    <row r="474" spans="1:6" x14ac:dyDescent="0.2">
      <c r="A474" s="50" t="str">
        <f t="shared" si="47"/>
        <v/>
      </c>
      <c r="F474" s="49" t="str">
        <f t="shared" si="46"/>
        <v/>
      </c>
    </row>
    <row r="475" spans="1:6" x14ac:dyDescent="0.2">
      <c r="A475" s="50" t="str">
        <f t="shared" si="47"/>
        <v/>
      </c>
      <c r="F475" s="49" t="str">
        <f t="shared" si="46"/>
        <v/>
      </c>
    </row>
    <row r="476" spans="1:6" x14ac:dyDescent="0.2">
      <c r="A476" s="50" t="str">
        <f t="shared" si="47"/>
        <v/>
      </c>
      <c r="F476" s="49" t="str">
        <f t="shared" si="46"/>
        <v/>
      </c>
    </row>
    <row r="477" spans="1:6" x14ac:dyDescent="0.2">
      <c r="A477" s="50" t="str">
        <f t="shared" si="47"/>
        <v/>
      </c>
      <c r="F477" s="49" t="str">
        <f t="shared" si="46"/>
        <v/>
      </c>
    </row>
    <row r="478" spans="1:6" x14ac:dyDescent="0.2">
      <c r="A478" s="50" t="str">
        <f t="shared" si="47"/>
        <v/>
      </c>
      <c r="F478" s="49" t="str">
        <f t="shared" si="46"/>
        <v/>
      </c>
    </row>
    <row r="479" spans="1:6" x14ac:dyDescent="0.2">
      <c r="A479" s="50" t="str">
        <f t="shared" si="47"/>
        <v/>
      </c>
      <c r="F479" s="49" t="str">
        <f t="shared" si="46"/>
        <v/>
      </c>
    </row>
    <row r="480" spans="1:6" x14ac:dyDescent="0.2">
      <c r="A480" s="50" t="str">
        <f t="shared" si="47"/>
        <v/>
      </c>
      <c r="F480" s="49" t="str">
        <f t="shared" si="46"/>
        <v/>
      </c>
    </row>
    <row r="481" spans="1:6" x14ac:dyDescent="0.2">
      <c r="A481" s="50" t="str">
        <f t="shared" si="47"/>
        <v/>
      </c>
      <c r="F481" s="49" t="str">
        <f t="shared" si="46"/>
        <v/>
      </c>
    </row>
    <row r="482" spans="1:6" x14ac:dyDescent="0.2">
      <c r="A482" s="50" t="str">
        <f t="shared" si="47"/>
        <v/>
      </c>
      <c r="F482" s="49" t="str">
        <f t="shared" si="46"/>
        <v/>
      </c>
    </row>
    <row r="483" spans="1:6" x14ac:dyDescent="0.2">
      <c r="A483" s="50" t="str">
        <f t="shared" si="47"/>
        <v/>
      </c>
      <c r="F483" s="49" t="str">
        <f t="shared" si="46"/>
        <v/>
      </c>
    </row>
    <row r="484" spans="1:6" x14ac:dyDescent="0.2">
      <c r="A484" s="50" t="str">
        <f t="shared" si="47"/>
        <v/>
      </c>
      <c r="F484" s="49" t="str">
        <f t="shared" si="46"/>
        <v/>
      </c>
    </row>
    <row r="485" spans="1:6" x14ac:dyDescent="0.2">
      <c r="A485" s="50" t="str">
        <f t="shared" si="47"/>
        <v/>
      </c>
      <c r="F485" s="49" t="str">
        <f t="shared" si="46"/>
        <v/>
      </c>
    </row>
    <row r="486" spans="1:6" x14ac:dyDescent="0.2">
      <c r="F486" s="49" t="str">
        <f t="shared" si="46"/>
        <v/>
      </c>
    </row>
    <row r="487" spans="1:6" x14ac:dyDescent="0.2">
      <c r="F487" s="49" t="str">
        <f t="shared" si="46"/>
        <v/>
      </c>
    </row>
    <row r="488" spans="1:6" x14ac:dyDescent="0.2">
      <c r="F488" s="49" t="str">
        <f t="shared" si="46"/>
        <v/>
      </c>
    </row>
    <row r="489" spans="1:6" x14ac:dyDescent="0.2">
      <c r="F489" s="49" t="str">
        <f t="shared" si="46"/>
        <v/>
      </c>
    </row>
    <row r="490" spans="1:6" x14ac:dyDescent="0.2">
      <c r="F490" s="49" t="str">
        <f t="shared" si="46"/>
        <v/>
      </c>
    </row>
    <row r="491" spans="1:6" x14ac:dyDescent="0.2">
      <c r="F491" s="49" t="str">
        <f t="shared" si="46"/>
        <v/>
      </c>
    </row>
    <row r="492" spans="1:6" x14ac:dyDescent="0.2">
      <c r="F492" s="49" t="str">
        <f t="shared" si="46"/>
        <v/>
      </c>
    </row>
    <row r="493" spans="1:6" x14ac:dyDescent="0.2">
      <c r="F493" s="49" t="str">
        <f t="shared" si="46"/>
        <v/>
      </c>
    </row>
    <row r="494" spans="1:6" x14ac:dyDescent="0.2">
      <c r="F494" s="49" t="str">
        <f t="shared" si="46"/>
        <v/>
      </c>
    </row>
    <row r="495" spans="1:6" x14ac:dyDescent="0.2">
      <c r="F495" s="49" t="str">
        <f t="shared" si="46"/>
        <v/>
      </c>
    </row>
    <row r="496" spans="1:6" x14ac:dyDescent="0.2">
      <c r="F496" s="49" t="str">
        <f t="shared" si="46"/>
        <v/>
      </c>
    </row>
    <row r="497" spans="6:6" s="49" customFormat="1" x14ac:dyDescent="0.2">
      <c r="F497" s="49" t="str">
        <f t="shared" si="46"/>
        <v/>
      </c>
    </row>
    <row r="498" spans="6:6" s="49" customFormat="1" x14ac:dyDescent="0.2">
      <c r="F498" s="49" t="str">
        <f t="shared" si="46"/>
        <v/>
      </c>
    </row>
  </sheetData>
  <sheetProtection selectLockedCells="1" selectUnlockedCells="1"/>
  <mergeCells count="1">
    <mergeCell ref="A1:H1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Stick It Shop</vt:lpstr>
      <vt:lpstr>Failure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2013-12-19T19:54:45Z</dcterms:created>
  <dcterms:modified xsi:type="dcterms:W3CDTF">2019-07-26T22:30:53Z</dcterms:modified>
</cp:coreProperties>
</file>