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0" yWindow="0" windowWidth="20490" windowHeight="7455"/>
  </bookViews>
  <sheets>
    <sheet name="Realistic (IRR=WACC)" sheetId="8" r:id="rId1"/>
    <sheet name="Optimistic" sheetId="6" r:id="rId2"/>
    <sheet name="Bankruptcy" sheetId="9" r:id="rId3"/>
    <sheet name="Mortgage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6" i="8" l="1"/>
  <c r="M115" i="8"/>
  <c r="G118" i="8"/>
  <c r="M104" i="8"/>
  <c r="D79" i="8"/>
  <c r="E79" i="8"/>
  <c r="F79" i="8"/>
  <c r="G79" i="8"/>
  <c r="H79" i="8"/>
  <c r="I79" i="8"/>
  <c r="J79" i="8"/>
  <c r="K79" i="8"/>
  <c r="L79" i="8"/>
  <c r="M79" i="8"/>
  <c r="C79" i="8"/>
  <c r="C52" i="8"/>
  <c r="D53" i="8"/>
  <c r="E53" i="8"/>
  <c r="F53" i="8"/>
  <c r="G53" i="8"/>
  <c r="H53" i="8"/>
  <c r="I53" i="8"/>
  <c r="J53" i="8"/>
  <c r="K53" i="8"/>
  <c r="L53" i="8"/>
  <c r="M53" i="8"/>
  <c r="C53" i="8"/>
  <c r="D93" i="9" l="1"/>
  <c r="E93" i="9"/>
  <c r="E95" i="9" s="1"/>
  <c r="F93" i="9"/>
  <c r="G93" i="9"/>
  <c r="C93" i="9"/>
  <c r="D92" i="9"/>
  <c r="E92" i="9"/>
  <c r="F92" i="9"/>
  <c r="C92" i="9"/>
  <c r="B91" i="9"/>
  <c r="C95" i="9"/>
  <c r="F95" i="9"/>
  <c r="D95" i="9"/>
  <c r="B95" i="9"/>
  <c r="J71" i="9"/>
  <c r="I70" i="9"/>
  <c r="J51" i="9"/>
  <c r="G70" i="9"/>
  <c r="G42" i="9" s="1"/>
  <c r="G85" i="9" s="1"/>
  <c r="F70" i="9"/>
  <c r="F42" i="9" s="1"/>
  <c r="F85" i="9" s="1"/>
  <c r="E70" i="9"/>
  <c r="E42" i="9" s="1"/>
  <c r="E85" i="9" s="1"/>
  <c r="D70" i="9"/>
  <c r="D42" i="9" s="1"/>
  <c r="D85" i="9" s="1"/>
  <c r="C70" i="9"/>
  <c r="C42" i="9" s="1"/>
  <c r="C85" i="9" s="1"/>
  <c r="G57" i="9"/>
  <c r="I57" i="9" s="1"/>
  <c r="F57" i="9"/>
  <c r="E57" i="9"/>
  <c r="D57" i="9"/>
  <c r="D56" i="9"/>
  <c r="E56" i="9" s="1"/>
  <c r="F56" i="9" s="1"/>
  <c r="G56" i="9" s="1"/>
  <c r="I56" i="9" s="1"/>
  <c r="I66" i="9" s="1"/>
  <c r="G43" i="9"/>
  <c r="F43" i="9"/>
  <c r="E43" i="9"/>
  <c r="D43" i="9"/>
  <c r="C43" i="9"/>
  <c r="G40" i="9"/>
  <c r="F40" i="9"/>
  <c r="E40" i="9"/>
  <c r="D40" i="9"/>
  <c r="C40" i="9"/>
  <c r="D37" i="9"/>
  <c r="E37" i="9" s="1"/>
  <c r="F37" i="9" s="1"/>
  <c r="G37" i="9" s="1"/>
  <c r="C21" i="9"/>
  <c r="D20" i="9"/>
  <c r="C16" i="9"/>
  <c r="D16" i="9" s="1"/>
  <c r="E16" i="9" s="1"/>
  <c r="C15" i="9"/>
  <c r="D15" i="9" s="1"/>
  <c r="E15" i="9" s="1"/>
  <c r="D14" i="9"/>
  <c r="E14" i="9" s="1"/>
  <c r="C14" i="9"/>
  <c r="C13" i="9"/>
  <c r="D13" i="9" s="1"/>
  <c r="E13" i="9" s="1"/>
  <c r="F13" i="9" s="1"/>
  <c r="G13" i="9" s="1"/>
  <c r="F12" i="9"/>
  <c r="F11" i="9"/>
  <c r="D7" i="9"/>
  <c r="G6" i="9"/>
  <c r="C12" i="9" s="1"/>
  <c r="D6" i="9"/>
  <c r="G5" i="9"/>
  <c r="C11" i="9" s="1"/>
  <c r="D5" i="9"/>
  <c r="C4" i="9"/>
  <c r="L7" i="6"/>
  <c r="M7" i="6"/>
  <c r="L6" i="6"/>
  <c r="M6" i="6"/>
  <c r="B4" i="6"/>
  <c r="F11" i="8"/>
  <c r="F12" i="8"/>
  <c r="C13" i="8"/>
  <c r="D13" i="8" s="1"/>
  <c r="E13" i="8" s="1"/>
  <c r="F13" i="8" s="1"/>
  <c r="G13" i="8" s="1"/>
  <c r="H13" i="8" s="1"/>
  <c r="I13" i="8" s="1"/>
  <c r="J13" i="8" s="1"/>
  <c r="K13" i="8" s="1"/>
  <c r="L13" i="8" s="1"/>
  <c r="M13" i="8" s="1"/>
  <c r="C14" i="8"/>
  <c r="D14" i="8" s="1"/>
  <c r="E14" i="8" s="1"/>
  <c r="C15" i="8"/>
  <c r="D15" i="8" s="1"/>
  <c r="E15" i="8" s="1"/>
  <c r="E26" i="8" s="1"/>
  <c r="C16" i="8"/>
  <c r="D16" i="8" s="1"/>
  <c r="E16" i="8" s="1"/>
  <c r="F16" i="8" s="1"/>
  <c r="D20" i="8"/>
  <c r="E20" i="8"/>
  <c r="C21" i="8"/>
  <c r="D21" i="8"/>
  <c r="C27" i="8"/>
  <c r="D36" i="8"/>
  <c r="E36" i="8" s="1"/>
  <c r="F36" i="8" s="1"/>
  <c r="G36" i="8" s="1"/>
  <c r="H36" i="8" s="1"/>
  <c r="I36" i="8" s="1"/>
  <c r="J36" i="8" s="1"/>
  <c r="K36" i="8" s="1"/>
  <c r="L36" i="8" s="1"/>
  <c r="M36" i="8" s="1"/>
  <c r="C39" i="8"/>
  <c r="D39" i="8"/>
  <c r="E39" i="8"/>
  <c r="F39" i="8"/>
  <c r="G39" i="8"/>
  <c r="H39" i="8"/>
  <c r="I39" i="8"/>
  <c r="J39" i="8"/>
  <c r="K39" i="8"/>
  <c r="L39" i="8"/>
  <c r="M39" i="8"/>
  <c r="C41" i="8"/>
  <c r="D41" i="8"/>
  <c r="E41" i="8"/>
  <c r="F41" i="8"/>
  <c r="G41" i="8"/>
  <c r="H41" i="8"/>
  <c r="I41" i="8"/>
  <c r="J41" i="8"/>
  <c r="K41" i="8"/>
  <c r="L41" i="8"/>
  <c r="M41" i="8"/>
  <c r="C42" i="8"/>
  <c r="D42" i="8"/>
  <c r="E42" i="8"/>
  <c r="F42" i="8"/>
  <c r="G42" i="8"/>
  <c r="H42" i="8"/>
  <c r="I42" i="8"/>
  <c r="J42" i="8"/>
  <c r="K42" i="8"/>
  <c r="L42" i="8"/>
  <c r="M42" i="8"/>
  <c r="C84" i="9" l="1"/>
  <c r="C87" i="9" s="1"/>
  <c r="E84" i="9"/>
  <c r="E87" i="9" s="1"/>
  <c r="B83" i="9"/>
  <c r="B87" i="9" s="1"/>
  <c r="F84" i="9"/>
  <c r="F87" i="9" s="1"/>
  <c r="D84" i="9"/>
  <c r="D87" i="9" s="1"/>
  <c r="J70" i="9"/>
  <c r="K70" i="9" s="1"/>
  <c r="F15" i="9"/>
  <c r="G15" i="9" s="1"/>
  <c r="E27" i="9"/>
  <c r="E53" i="9" s="1"/>
  <c r="C26" i="9"/>
  <c r="D11" i="9"/>
  <c r="D26" i="9" s="1"/>
  <c r="C27" i="9"/>
  <c r="C53" i="9" s="1"/>
  <c r="D12" i="9"/>
  <c r="D27" i="9" s="1"/>
  <c r="D53" i="9" s="1"/>
  <c r="E26" i="9"/>
  <c r="F14" i="9"/>
  <c r="G14" i="9" s="1"/>
  <c r="E28" i="9"/>
  <c r="C28" i="9"/>
  <c r="F16" i="9"/>
  <c r="D21" i="9"/>
  <c r="E20" i="9"/>
  <c r="D28" i="9"/>
  <c r="C58" i="9"/>
  <c r="F14" i="8"/>
  <c r="F25" i="8" s="1"/>
  <c r="E25" i="8"/>
  <c r="F20" i="8"/>
  <c r="E21" i="8"/>
  <c r="F27" i="8"/>
  <c r="E27" i="8"/>
  <c r="G16" i="8"/>
  <c r="D27" i="8"/>
  <c r="F15" i="8"/>
  <c r="I116" i="8"/>
  <c r="B90" i="8"/>
  <c r="B88" i="8"/>
  <c r="O88" i="8" s="1"/>
  <c r="G14" i="8" l="1"/>
  <c r="E30" i="8"/>
  <c r="F27" i="9"/>
  <c r="F53" i="9" s="1"/>
  <c r="K71" i="9"/>
  <c r="G26" i="9"/>
  <c r="F26" i="9"/>
  <c r="C34" i="9"/>
  <c r="C54" i="9"/>
  <c r="C35" i="9"/>
  <c r="C31" i="9"/>
  <c r="C64" i="9" s="1"/>
  <c r="D58" i="9"/>
  <c r="E21" i="9"/>
  <c r="E54" i="9" s="1"/>
  <c r="F20" i="9"/>
  <c r="G16" i="9"/>
  <c r="F28" i="9"/>
  <c r="E34" i="9"/>
  <c r="E31" i="9"/>
  <c r="E64" i="9" s="1"/>
  <c r="E35" i="9"/>
  <c r="D54" i="9"/>
  <c r="D35" i="9"/>
  <c r="D31" i="9"/>
  <c r="D64" i="9" s="1"/>
  <c r="D34" i="9"/>
  <c r="G27" i="9"/>
  <c r="G53" i="9" s="1"/>
  <c r="E33" i="8"/>
  <c r="H14" i="8"/>
  <c r="G25" i="8"/>
  <c r="G15" i="8"/>
  <c r="F26" i="8"/>
  <c r="H16" i="8"/>
  <c r="G27" i="8"/>
  <c r="G20" i="8"/>
  <c r="F21" i="8"/>
  <c r="E34" i="8"/>
  <c r="D5" i="8"/>
  <c r="G5" i="8" s="1"/>
  <c r="C11" i="8" s="1"/>
  <c r="D6" i="8"/>
  <c r="G6" i="8" s="1"/>
  <c r="C12" i="8" s="1"/>
  <c r="D7" i="8"/>
  <c r="C4" i="8"/>
  <c r="D55" i="8"/>
  <c r="E55" i="8" s="1"/>
  <c r="F55" i="8" s="1"/>
  <c r="G55" i="8" s="1"/>
  <c r="H55" i="8" s="1"/>
  <c r="I55" i="8" s="1"/>
  <c r="J55" i="8" s="1"/>
  <c r="K55" i="8" s="1"/>
  <c r="L55" i="8" s="1"/>
  <c r="M55" i="8" s="1"/>
  <c r="D56" i="8"/>
  <c r="E56" i="8"/>
  <c r="F56" i="8"/>
  <c r="G56" i="8"/>
  <c r="H56" i="8"/>
  <c r="I56" i="8"/>
  <c r="J56" i="8"/>
  <c r="K56" i="8"/>
  <c r="L56" i="8"/>
  <c r="M56" i="8"/>
  <c r="C57" i="8"/>
  <c r="C80" i="8"/>
  <c r="C84" i="8" s="1"/>
  <c r="D80" i="8"/>
  <c r="E80" i="8"/>
  <c r="E84" i="8" s="1"/>
  <c r="F80" i="8"/>
  <c r="F84" i="8" s="1"/>
  <c r="G80" i="8"/>
  <c r="G84" i="8" s="1"/>
  <c r="H80" i="8"/>
  <c r="H84" i="8" s="1"/>
  <c r="I80" i="8"/>
  <c r="I84" i="8" s="1"/>
  <c r="J80" i="8"/>
  <c r="J84" i="8" s="1"/>
  <c r="K80" i="8"/>
  <c r="K84" i="8" s="1"/>
  <c r="L80" i="8"/>
  <c r="L84" i="8" s="1"/>
  <c r="M80" i="8"/>
  <c r="M84" i="8" s="1"/>
  <c r="D84" i="8"/>
  <c r="Q88" i="8"/>
  <c r="M89" i="8"/>
  <c r="B107" i="8"/>
  <c r="B108" i="8" s="1"/>
  <c r="J116" i="8"/>
  <c r="G117" i="8"/>
  <c r="I117" i="8"/>
  <c r="J117" i="8" s="1"/>
  <c r="E118" i="8"/>
  <c r="J121" i="8" s="1"/>
  <c r="G120" i="8"/>
  <c r="E44" i="8" l="1"/>
  <c r="J53" i="9"/>
  <c r="E45" i="9"/>
  <c r="E46" i="9"/>
  <c r="E65" i="9" s="1"/>
  <c r="D45" i="9"/>
  <c r="G28" i="9"/>
  <c r="G31" i="9" s="1"/>
  <c r="G64" i="9" s="1"/>
  <c r="J64" i="9" s="1"/>
  <c r="D60" i="9"/>
  <c r="E58" i="9"/>
  <c r="F21" i="9"/>
  <c r="F54" i="9" s="1"/>
  <c r="G20" i="9"/>
  <c r="C60" i="9"/>
  <c r="C45" i="9"/>
  <c r="F35" i="9"/>
  <c r="F31" i="9"/>
  <c r="F64" i="9" s="1"/>
  <c r="F34" i="9"/>
  <c r="D11" i="8"/>
  <c r="D25" i="8" s="1"/>
  <c r="C25" i="8"/>
  <c r="C26" i="8"/>
  <c r="D12" i="8"/>
  <c r="D26" i="8" s="1"/>
  <c r="H27" i="8"/>
  <c r="I16" i="8"/>
  <c r="G26" i="8"/>
  <c r="G34" i="8" s="1"/>
  <c r="H15" i="8"/>
  <c r="H25" i="8"/>
  <c r="I14" i="8"/>
  <c r="H20" i="8"/>
  <c r="G21" i="8"/>
  <c r="F34" i="8"/>
  <c r="F33" i="8"/>
  <c r="F30" i="8"/>
  <c r="F44" i="8" s="1"/>
  <c r="I121" i="8"/>
  <c r="C95" i="8"/>
  <c r="D57" i="8"/>
  <c r="E45" i="8" l="1"/>
  <c r="E46" i="8" s="1"/>
  <c r="G34" i="9"/>
  <c r="E47" i="9"/>
  <c r="C46" i="9"/>
  <c r="C65" i="9" s="1"/>
  <c r="G21" i="9"/>
  <c r="G54" i="9" s="1"/>
  <c r="G35" i="9"/>
  <c r="F45" i="9"/>
  <c r="E60" i="9"/>
  <c r="F58" i="9"/>
  <c r="D46" i="9"/>
  <c r="D65" i="9" s="1"/>
  <c r="C30" i="8"/>
  <c r="C34" i="8"/>
  <c r="G30" i="8"/>
  <c r="C33" i="8"/>
  <c r="D33" i="8"/>
  <c r="D30" i="8"/>
  <c r="D34" i="8"/>
  <c r="F45" i="8"/>
  <c r="F46" i="8" s="1"/>
  <c r="I20" i="8"/>
  <c r="H21" i="8"/>
  <c r="G33" i="8"/>
  <c r="G44" i="8" s="1"/>
  <c r="J14" i="8"/>
  <c r="I25" i="8"/>
  <c r="I15" i="8"/>
  <c r="H26" i="8"/>
  <c r="H34" i="8" s="1"/>
  <c r="J16" i="8"/>
  <c r="I27" i="8"/>
  <c r="D63" i="8"/>
  <c r="C63" i="8"/>
  <c r="D52" i="8"/>
  <c r="D95" i="8" s="1"/>
  <c r="E63" i="8"/>
  <c r="E57" i="8"/>
  <c r="D44" i="8" l="1"/>
  <c r="D45" i="8" s="1"/>
  <c r="D46" i="8" s="1"/>
  <c r="J54" i="9"/>
  <c r="J66" i="9" s="1"/>
  <c r="J68" i="9" s="1"/>
  <c r="C47" i="9"/>
  <c r="C75" i="9" s="1"/>
  <c r="G45" i="9"/>
  <c r="G46" i="9" s="1"/>
  <c r="G65" i="9" s="1"/>
  <c r="F60" i="9"/>
  <c r="G58" i="9"/>
  <c r="F46" i="9"/>
  <c r="F65" i="9" s="1"/>
  <c r="D47" i="9"/>
  <c r="D75" i="9" s="1"/>
  <c r="E75" i="9" s="1"/>
  <c r="C77" i="9"/>
  <c r="C79" i="9" s="1"/>
  <c r="C44" i="8"/>
  <c r="G45" i="8"/>
  <c r="G46" i="8" s="1"/>
  <c r="H30" i="8"/>
  <c r="H33" i="8"/>
  <c r="J20" i="8"/>
  <c r="I21" i="8"/>
  <c r="J27" i="8"/>
  <c r="K16" i="8"/>
  <c r="I26" i="8"/>
  <c r="I34" i="8" s="1"/>
  <c r="J15" i="8"/>
  <c r="J25" i="8"/>
  <c r="K14" i="8"/>
  <c r="C81" i="8"/>
  <c r="F57" i="8"/>
  <c r="E52" i="8"/>
  <c r="E95" i="8" s="1"/>
  <c r="H44" i="8" l="1"/>
  <c r="H45" i="8" s="1"/>
  <c r="H46" i="8" s="1"/>
  <c r="L71" i="9"/>
  <c r="M71" i="9" s="1"/>
  <c r="G94" i="9" s="1"/>
  <c r="G95" i="9" s="1"/>
  <c r="B96" i="9" s="1"/>
  <c r="L70" i="9"/>
  <c r="M70" i="9" s="1"/>
  <c r="G86" i="9" s="1"/>
  <c r="G87" i="9" s="1"/>
  <c r="B88" i="9" s="1"/>
  <c r="G47" i="9"/>
  <c r="E77" i="9"/>
  <c r="E79" i="9" s="1"/>
  <c r="G60" i="9"/>
  <c r="D77" i="9"/>
  <c r="D79" i="9" s="1"/>
  <c r="F47" i="9"/>
  <c r="F75" i="9" s="1"/>
  <c r="C45" i="8"/>
  <c r="C46" i="8" s="1"/>
  <c r="K20" i="8"/>
  <c r="J21" i="8"/>
  <c r="I30" i="8"/>
  <c r="L14" i="8"/>
  <c r="K25" i="8"/>
  <c r="K15" i="8"/>
  <c r="J26" i="8"/>
  <c r="J30" i="8" s="1"/>
  <c r="L16" i="8"/>
  <c r="K27" i="8"/>
  <c r="I33" i="8"/>
  <c r="F63" i="8"/>
  <c r="C82" i="8"/>
  <c r="C98" i="8" s="1"/>
  <c r="D81" i="8"/>
  <c r="C83" i="8"/>
  <c r="C85" i="8" s="1"/>
  <c r="F52" i="8"/>
  <c r="F95" i="8" s="1"/>
  <c r="G57" i="8"/>
  <c r="C96" i="8"/>
  <c r="C59" i="8"/>
  <c r="C97" i="8"/>
  <c r="G75" i="9" l="1"/>
  <c r="F77" i="9"/>
  <c r="F79" i="9" s="1"/>
  <c r="I44" i="8"/>
  <c r="I45" i="8" s="1"/>
  <c r="I46" i="8" s="1"/>
  <c r="J33" i="8"/>
  <c r="L27" i="8"/>
  <c r="M16" i="8"/>
  <c r="M27" i="8" s="1"/>
  <c r="K26" i="8"/>
  <c r="K34" i="8" s="1"/>
  <c r="L15" i="8"/>
  <c r="L25" i="8"/>
  <c r="M14" i="8"/>
  <c r="M25" i="8" s="1"/>
  <c r="L20" i="8"/>
  <c r="K21" i="8"/>
  <c r="K30" i="8"/>
  <c r="J34" i="8"/>
  <c r="G63" i="8"/>
  <c r="D82" i="8"/>
  <c r="D98" i="8" s="1"/>
  <c r="C107" i="8"/>
  <c r="E81" i="8"/>
  <c r="E82" i="8" s="1"/>
  <c r="E98" i="8" s="1"/>
  <c r="C108" i="8"/>
  <c r="D97" i="8"/>
  <c r="H57" i="8"/>
  <c r="D96" i="8"/>
  <c r="D59" i="8"/>
  <c r="G52" i="8"/>
  <c r="G95" i="8" s="1"/>
  <c r="H63" i="8"/>
  <c r="J44" i="8" l="1"/>
  <c r="J45" i="8" s="1"/>
  <c r="J46" i="8" s="1"/>
  <c r="C4" i="6"/>
  <c r="K33" i="8"/>
  <c r="G77" i="9"/>
  <c r="G79" i="9" s="1"/>
  <c r="K44" i="8"/>
  <c r="K45" i="8" s="1"/>
  <c r="M15" i="8"/>
  <c r="M26" i="8" s="1"/>
  <c r="M34" i="8" s="1"/>
  <c r="L26" i="8"/>
  <c r="L34" i="8" s="1"/>
  <c r="M20" i="8"/>
  <c r="M21" i="8" s="1"/>
  <c r="L21" i="8"/>
  <c r="L33" i="8"/>
  <c r="L30" i="8"/>
  <c r="D83" i="8"/>
  <c r="D85" i="8" s="1"/>
  <c r="E83" i="8"/>
  <c r="E85" i="8" s="1"/>
  <c r="E97" i="8"/>
  <c r="I63" i="8"/>
  <c r="H52" i="8"/>
  <c r="H95" i="8" s="1"/>
  <c r="F81" i="8"/>
  <c r="F82" i="8" s="1"/>
  <c r="D107" i="8"/>
  <c r="D4" i="6" s="1"/>
  <c r="D9" i="6" s="1"/>
  <c r="E96" i="8"/>
  <c r="E59" i="8"/>
  <c r="I57" i="8"/>
  <c r="K46" i="8" l="1"/>
  <c r="L44" i="8"/>
  <c r="L45" i="8" s="1"/>
  <c r="L46" i="8" s="1"/>
  <c r="M30" i="8"/>
  <c r="M33" i="8"/>
  <c r="E107" i="8"/>
  <c r="G81" i="8"/>
  <c r="G82" i="8" s="1"/>
  <c r="D108" i="8"/>
  <c r="F97" i="8"/>
  <c r="J57" i="8"/>
  <c r="F96" i="8"/>
  <c r="F59" i="8"/>
  <c r="F98" i="8"/>
  <c r="J63" i="8"/>
  <c r="I52" i="8"/>
  <c r="I95" i="8" s="1"/>
  <c r="E108" i="8" l="1"/>
  <c r="E4" i="6"/>
  <c r="M44" i="8"/>
  <c r="F83" i="8"/>
  <c r="F85" i="8" s="1"/>
  <c r="F107" i="8" s="1"/>
  <c r="G98" i="8"/>
  <c r="H81" i="8"/>
  <c r="G96" i="8"/>
  <c r="G59" i="8"/>
  <c r="K63" i="8"/>
  <c r="J52" i="8"/>
  <c r="J95" i="8" s="1"/>
  <c r="K57" i="8"/>
  <c r="G97" i="8"/>
  <c r="I81" i="8"/>
  <c r="I82" i="8" s="1"/>
  <c r="G83" i="8"/>
  <c r="G85" i="8" s="1"/>
  <c r="F108" i="8" l="1"/>
  <c r="F4" i="6"/>
  <c r="M45" i="8"/>
  <c r="M46" i="8" s="1"/>
  <c r="H82" i="8"/>
  <c r="H98" i="8" s="1"/>
  <c r="G107" i="8"/>
  <c r="H97" i="8"/>
  <c r="L57" i="8"/>
  <c r="H96" i="8"/>
  <c r="H59" i="8"/>
  <c r="K52" i="8"/>
  <c r="K95" i="8" s="1"/>
  <c r="L63" i="8"/>
  <c r="G108" i="8" l="1"/>
  <c r="G4" i="6"/>
  <c r="H83" i="8"/>
  <c r="H85" i="8" s="1"/>
  <c r="I98" i="8"/>
  <c r="H107" i="8"/>
  <c r="J81" i="8"/>
  <c r="L52" i="8"/>
  <c r="L95" i="8" s="1"/>
  <c r="I96" i="8"/>
  <c r="I59" i="8"/>
  <c r="M57" i="8"/>
  <c r="I97" i="8"/>
  <c r="I83" i="8"/>
  <c r="I85" i="8" s="1"/>
  <c r="H108" i="8" l="1"/>
  <c r="H4" i="6"/>
  <c r="J82" i="8"/>
  <c r="J98" i="8" s="1"/>
  <c r="I107" i="8"/>
  <c r="K81" i="8"/>
  <c r="K82" i="8" s="1"/>
  <c r="J96" i="8"/>
  <c r="J59" i="8"/>
  <c r="O90" i="8"/>
  <c r="J97" i="8"/>
  <c r="I108" i="8" l="1"/>
  <c r="I4" i="6"/>
  <c r="J83" i="8"/>
  <c r="J85" i="8" s="1"/>
  <c r="M52" i="8"/>
  <c r="M95" i="8" s="1"/>
  <c r="M63" i="8"/>
  <c r="M101" i="8"/>
  <c r="L81" i="8"/>
  <c r="K98" i="8"/>
  <c r="K83" i="8"/>
  <c r="K85" i="8" s="1"/>
  <c r="K97" i="8"/>
  <c r="J107" i="8"/>
  <c r="Q90" i="8"/>
  <c r="Q92" i="8" s="1"/>
  <c r="M92" i="8" s="1"/>
  <c r="M91" i="8"/>
  <c r="K96" i="8"/>
  <c r="K59" i="8"/>
  <c r="J108" i="8" l="1"/>
  <c r="J4" i="6"/>
  <c r="L82" i="8"/>
  <c r="L98" i="8" s="1"/>
  <c r="M81" i="8"/>
  <c r="K107" i="8"/>
  <c r="L97" i="8"/>
  <c r="L96" i="8"/>
  <c r="L59" i="8"/>
  <c r="M96" i="8"/>
  <c r="M102" i="8"/>
  <c r="M59" i="8"/>
  <c r="M97" i="8"/>
  <c r="M103" i="8"/>
  <c r="K108" i="8" l="1"/>
  <c r="K4" i="6"/>
  <c r="L83" i="8"/>
  <c r="L85" i="8" s="1"/>
  <c r="M82" i="8"/>
  <c r="M98" i="8" s="1"/>
  <c r="L107" i="8"/>
  <c r="L108" i="8" l="1"/>
  <c r="L4" i="6"/>
  <c r="M83" i="8"/>
  <c r="M85" i="8" s="1"/>
  <c r="L9" i="6" l="1"/>
  <c r="L5" i="6"/>
  <c r="L10" i="6" s="1"/>
  <c r="C9" i="6"/>
  <c r="E9" i="6"/>
  <c r="B9" i="6"/>
  <c r="F7" i="6"/>
  <c r="E7" i="6"/>
  <c r="G6" i="6"/>
  <c r="G7" i="6" s="1"/>
  <c r="E5" i="6"/>
  <c r="D5" i="6"/>
  <c r="D10" i="6" s="1"/>
  <c r="C5" i="6"/>
  <c r="C10" i="6" s="1"/>
  <c r="B5" i="6"/>
  <c r="B10" i="6" s="1"/>
  <c r="F5" i="6"/>
  <c r="F10" i="6" l="1"/>
  <c r="E10" i="6"/>
  <c r="F9" i="6"/>
  <c r="H6" i="6"/>
  <c r="G5" i="6" l="1"/>
  <c r="G10" i="6" s="1"/>
  <c r="G9" i="6"/>
  <c r="I6" i="6"/>
  <c r="H7" i="6"/>
  <c r="H9" i="6"/>
  <c r="G2" i="2"/>
  <c r="H5" i="6" l="1"/>
  <c r="H10" i="6" s="1"/>
  <c r="I9" i="6"/>
  <c r="J6" i="6"/>
  <c r="I7" i="6"/>
  <c r="I5" i="6" l="1"/>
  <c r="I10" i="6" s="1"/>
  <c r="J9" i="6"/>
  <c r="J7" i="6"/>
  <c r="K6" i="6"/>
  <c r="K7" i="6" s="1"/>
  <c r="J5" i="6"/>
  <c r="K5" i="6" l="1"/>
  <c r="K10" i="6" s="1"/>
  <c r="K9" i="6"/>
  <c r="J10" i="6"/>
  <c r="H2" i="2" l="1"/>
  <c r="C3" i="2" l="1"/>
  <c r="I2" i="2" l="1"/>
  <c r="F2" i="2" s="1"/>
  <c r="G3" i="2" s="1"/>
  <c r="H3" i="2" s="1"/>
  <c r="I3" i="2" l="1"/>
  <c r="F3" i="2" l="1"/>
  <c r="G4" i="2" s="1"/>
  <c r="I4" i="2" s="1"/>
  <c r="H4" i="2" l="1"/>
  <c r="F4" i="2" l="1"/>
  <c r="G5" i="2" s="1"/>
  <c r="I5" i="2" s="1"/>
  <c r="H5" i="2" l="1"/>
  <c r="F5" i="2" s="1"/>
  <c r="G6" i="2" s="1"/>
  <c r="I6" i="2" l="1"/>
  <c r="H6" i="2"/>
  <c r="F6" i="2" l="1"/>
  <c r="G7" i="2" s="1"/>
  <c r="I7" i="2" s="1"/>
  <c r="H7" i="2" l="1"/>
  <c r="F7" i="2" s="1"/>
  <c r="G8" i="2" s="1"/>
  <c r="I8" i="2" s="1"/>
  <c r="H8" i="2" l="1"/>
  <c r="F8" i="2" s="1"/>
  <c r="G9" i="2" s="1"/>
  <c r="I9" i="2" s="1"/>
  <c r="H9" i="2" l="1"/>
  <c r="F9" i="2" s="1"/>
  <c r="G10" i="2" s="1"/>
  <c r="I10" i="2" l="1"/>
  <c r="H10" i="2"/>
  <c r="F10" i="2" l="1"/>
  <c r="G11" i="2" s="1"/>
  <c r="I11" i="2" l="1"/>
  <c r="H11" i="2"/>
  <c r="F11" i="2" l="1"/>
  <c r="G12" i="2" s="1"/>
  <c r="I12" i="2" l="1"/>
  <c r="H12" i="2"/>
  <c r="F12" i="2" l="1"/>
  <c r="G13" i="2" s="1"/>
  <c r="I13" i="2" l="1"/>
  <c r="F13" i="2" s="1"/>
  <c r="G14" i="2" s="1"/>
  <c r="H13" i="2"/>
  <c r="B7" i="2" s="1"/>
  <c r="H14" i="2" l="1"/>
  <c r="I14" i="2"/>
  <c r="K4" i="2"/>
  <c r="C66" i="8" l="1"/>
  <c r="F14" i="2"/>
  <c r="G15" i="2" s="1"/>
  <c r="H15" i="2" s="1"/>
  <c r="I15" i="2" l="1"/>
  <c r="F15" i="2" s="1"/>
  <c r="G16" i="2" s="1"/>
  <c r="H16" i="2" l="1"/>
  <c r="I16" i="2"/>
  <c r="C64" i="8"/>
  <c r="F16" i="2"/>
  <c r="G17" i="2" s="1"/>
  <c r="C71" i="8" l="1"/>
  <c r="C73" i="8" s="1"/>
  <c r="C75" i="8" s="1"/>
  <c r="I17" i="2"/>
  <c r="H17" i="2"/>
  <c r="F17" i="2" l="1"/>
  <c r="G18" i="2" s="1"/>
  <c r="I18" i="2" s="1"/>
  <c r="H18" i="2" l="1"/>
  <c r="F18" i="2" s="1"/>
  <c r="G19" i="2" s="1"/>
  <c r="I19" i="2" s="1"/>
  <c r="H19" i="2" l="1"/>
  <c r="F19" i="2" s="1"/>
  <c r="G20" i="2" s="1"/>
  <c r="I20" i="2" l="1"/>
  <c r="F20" i="2" s="1"/>
  <c r="G21" i="2" s="1"/>
  <c r="I21" i="2" s="1"/>
  <c r="H20" i="2"/>
  <c r="H21" i="2" l="1"/>
  <c r="F21" i="2" s="1"/>
  <c r="G22" i="2" s="1"/>
  <c r="I22" i="2" s="1"/>
  <c r="H22" i="2" l="1"/>
  <c r="F22" i="2" s="1"/>
  <c r="G23" i="2" s="1"/>
  <c r="I23" i="2" l="1"/>
  <c r="H23" i="2"/>
  <c r="F23" i="2" l="1"/>
  <c r="G24" i="2" s="1"/>
  <c r="I24" i="2" l="1"/>
  <c r="F24" i="2" s="1"/>
  <c r="G25" i="2" s="1"/>
  <c r="H24" i="2"/>
  <c r="I25" i="2" l="1"/>
  <c r="H25" i="2"/>
  <c r="B8" i="2" s="1"/>
  <c r="F25" i="2" l="1"/>
  <c r="G26" i="2" s="1"/>
  <c r="L4" i="2" l="1"/>
  <c r="H26" i="2"/>
  <c r="I26" i="2"/>
  <c r="D66" i="8" l="1"/>
  <c r="F26" i="2"/>
  <c r="G27" i="2" s="1"/>
  <c r="H27" i="2" s="1"/>
  <c r="I27" i="2" l="1"/>
  <c r="F27" i="2" s="1"/>
  <c r="G28" i="2" s="1"/>
  <c r="H28" i="2" l="1"/>
  <c r="I28" i="2"/>
  <c r="F28" i="2" s="1"/>
  <c r="G29" i="2" s="1"/>
  <c r="D64" i="8"/>
  <c r="D71" i="8" l="1"/>
  <c r="D73" i="8" s="1"/>
  <c r="D75" i="8" s="1"/>
  <c r="H29" i="2"/>
  <c r="I29" i="2"/>
  <c r="F29" i="2" l="1"/>
  <c r="G30" i="2" s="1"/>
  <c r="I30" i="2" l="1"/>
  <c r="F30" i="2" s="1"/>
  <c r="G31" i="2" s="1"/>
  <c r="H30" i="2"/>
  <c r="I31" i="2" l="1"/>
  <c r="F31" i="2" s="1"/>
  <c r="G32" i="2" s="1"/>
  <c r="H31" i="2"/>
  <c r="I32" i="2" l="1"/>
  <c r="F32" i="2" s="1"/>
  <c r="G33" i="2" s="1"/>
  <c r="H32" i="2"/>
  <c r="H33" i="2" l="1"/>
  <c r="I33" i="2"/>
  <c r="F33" i="2" l="1"/>
  <c r="G34" i="2" s="1"/>
  <c r="H34" i="2" l="1"/>
  <c r="I34" i="2"/>
  <c r="F34" i="2" l="1"/>
  <c r="G35" i="2" s="1"/>
  <c r="H35" i="2" l="1"/>
  <c r="I35" i="2"/>
  <c r="F35" i="2" l="1"/>
  <c r="G36" i="2" s="1"/>
  <c r="H36" i="2" l="1"/>
  <c r="I36" i="2"/>
  <c r="F36" i="2" l="1"/>
  <c r="G37" i="2" s="1"/>
  <c r="M4" i="2" l="1"/>
  <c r="I37" i="2"/>
  <c r="H37" i="2"/>
  <c r="B9" i="2" s="1"/>
  <c r="E66" i="8" l="1"/>
  <c r="F37" i="2"/>
  <c r="G38" i="2" s="1"/>
  <c r="H38" i="2" l="1"/>
  <c r="I38" i="2"/>
  <c r="E64" i="8" l="1"/>
  <c r="F38" i="2"/>
  <c r="G39" i="2" s="1"/>
  <c r="E71" i="8" l="1"/>
  <c r="I39" i="2"/>
  <c r="H39" i="2"/>
  <c r="E73" i="8" l="1"/>
  <c r="E75" i="8" s="1"/>
  <c r="F39" i="2"/>
  <c r="G40" i="2" s="1"/>
  <c r="H40" i="2" l="1"/>
  <c r="I40" i="2"/>
  <c r="F40" i="2" l="1"/>
  <c r="G41" i="2" s="1"/>
  <c r="H41" i="2" l="1"/>
  <c r="I41" i="2"/>
  <c r="F41" i="2" l="1"/>
  <c r="G42" i="2" s="1"/>
  <c r="H42" i="2" l="1"/>
  <c r="I42" i="2"/>
  <c r="F42" i="2" l="1"/>
  <c r="G43" i="2" s="1"/>
  <c r="H43" i="2" l="1"/>
  <c r="I43" i="2"/>
  <c r="F43" i="2" l="1"/>
  <c r="G44" i="2" s="1"/>
  <c r="H44" i="2" l="1"/>
  <c r="I44" i="2"/>
  <c r="F44" i="2" l="1"/>
  <c r="G45" i="2" s="1"/>
  <c r="H45" i="2" l="1"/>
  <c r="I45" i="2"/>
  <c r="F45" i="2" l="1"/>
  <c r="G46" i="2" s="1"/>
  <c r="H46" i="2" l="1"/>
  <c r="I46" i="2"/>
  <c r="F46" i="2" l="1"/>
  <c r="G47" i="2" s="1"/>
  <c r="H47" i="2" l="1"/>
  <c r="I47" i="2"/>
  <c r="F47" i="2" l="1"/>
  <c r="G48" i="2" s="1"/>
  <c r="H48" i="2" l="1"/>
  <c r="I48" i="2"/>
  <c r="F48" i="2" l="1"/>
  <c r="G49" i="2" s="1"/>
  <c r="N4" i="2" l="1"/>
  <c r="H49" i="2"/>
  <c r="B10" i="2" s="1"/>
  <c r="I49" i="2"/>
  <c r="F49" i="2" s="1"/>
  <c r="G50" i="2" s="1"/>
  <c r="H50" i="2" s="1"/>
  <c r="I50" i="2"/>
  <c r="F66" i="8" l="1"/>
  <c r="F50" i="2"/>
  <c r="G51" i="2" s="1"/>
  <c r="I51" i="2" l="1"/>
  <c r="H51" i="2"/>
  <c r="F64" i="8" l="1"/>
  <c r="F51" i="2"/>
  <c r="G52" i="2" s="1"/>
  <c r="F71" i="8" l="1"/>
  <c r="F73" i="8" s="1"/>
  <c r="F75" i="8" s="1"/>
  <c r="I52" i="2"/>
  <c r="H52" i="2"/>
  <c r="F52" i="2" l="1"/>
  <c r="G53" i="2" s="1"/>
  <c r="I53" i="2" l="1"/>
  <c r="H53" i="2"/>
  <c r="F53" i="2" l="1"/>
  <c r="G54" i="2" s="1"/>
  <c r="I54" i="2" l="1"/>
  <c r="H54" i="2"/>
  <c r="F54" i="2" l="1"/>
  <c r="G55" i="2" s="1"/>
  <c r="I55" i="2" l="1"/>
  <c r="H55" i="2"/>
  <c r="F55" i="2" l="1"/>
  <c r="G56" i="2" s="1"/>
  <c r="I56" i="2" l="1"/>
  <c r="H56" i="2"/>
  <c r="F56" i="2" l="1"/>
  <c r="G57" i="2" s="1"/>
  <c r="I57" i="2" l="1"/>
  <c r="H57" i="2"/>
  <c r="F57" i="2" l="1"/>
  <c r="G58" i="2" s="1"/>
  <c r="I58" i="2" l="1"/>
  <c r="H58" i="2"/>
  <c r="F58" i="2" l="1"/>
  <c r="G59" i="2" s="1"/>
  <c r="I59" i="2" l="1"/>
  <c r="H59" i="2"/>
  <c r="F59" i="2" l="1"/>
  <c r="G60" i="2" s="1"/>
  <c r="I60" i="2" l="1"/>
  <c r="H60" i="2"/>
  <c r="F60" i="2" l="1"/>
  <c r="G61" i="2" s="1"/>
  <c r="O4" i="2" s="1"/>
  <c r="G66" i="8" l="1"/>
  <c r="I61" i="2"/>
  <c r="H61" i="2"/>
  <c r="B11" i="2" s="1"/>
  <c r="F61" i="2" l="1"/>
  <c r="G62" i="2" s="1"/>
  <c r="G64" i="8" l="1"/>
  <c r="I62" i="2"/>
  <c r="H62" i="2"/>
  <c r="G71" i="8" l="1"/>
  <c r="G73" i="8" s="1"/>
  <c r="G75" i="8" s="1"/>
  <c r="F62" i="2"/>
  <c r="G63" i="2" s="1"/>
  <c r="I63" i="2" l="1"/>
  <c r="H63" i="2"/>
  <c r="F63" i="2" l="1"/>
  <c r="G64" i="2" s="1"/>
  <c r="I64" i="2" l="1"/>
  <c r="H64" i="2"/>
  <c r="F64" i="2" l="1"/>
  <c r="G65" i="2" s="1"/>
  <c r="I65" i="2" l="1"/>
  <c r="H65" i="2"/>
  <c r="F65" i="2" l="1"/>
  <c r="G66" i="2" s="1"/>
  <c r="I66" i="2" l="1"/>
  <c r="H66" i="2"/>
  <c r="F66" i="2" l="1"/>
  <c r="G67" i="2" s="1"/>
  <c r="I67" i="2" l="1"/>
  <c r="H67" i="2"/>
  <c r="F67" i="2" l="1"/>
  <c r="G68" i="2" s="1"/>
  <c r="I68" i="2" l="1"/>
  <c r="H68" i="2"/>
  <c r="F68" i="2" l="1"/>
  <c r="G69" i="2" s="1"/>
  <c r="I69" i="2" l="1"/>
  <c r="H69" i="2"/>
  <c r="F69" i="2" l="1"/>
  <c r="G70" i="2" s="1"/>
  <c r="I70" i="2" l="1"/>
  <c r="H70" i="2"/>
  <c r="F70" i="2" l="1"/>
  <c r="G71" i="2" s="1"/>
  <c r="I71" i="2" l="1"/>
  <c r="H71" i="2"/>
  <c r="F71" i="2" l="1"/>
  <c r="G72" i="2" s="1"/>
  <c r="I72" i="2" l="1"/>
  <c r="H72" i="2"/>
  <c r="F72" i="2" l="1"/>
  <c r="G73" i="2" s="1"/>
  <c r="P4" i="2" s="1"/>
  <c r="H66" i="8" l="1"/>
  <c r="I73" i="2"/>
  <c r="H73" i="2"/>
  <c r="B12" i="2" s="1"/>
  <c r="H64" i="8" l="1"/>
  <c r="F73" i="2"/>
  <c r="G74" i="2" s="1"/>
  <c r="H71" i="8" l="1"/>
  <c r="H73" i="8" s="1"/>
  <c r="H75" i="8" s="1"/>
  <c r="I74" i="2"/>
  <c r="H74" i="2"/>
  <c r="F74" i="2" l="1"/>
  <c r="G75" i="2" s="1"/>
  <c r="I75" i="2" l="1"/>
  <c r="H75" i="2"/>
  <c r="F75" i="2" l="1"/>
  <c r="G76" i="2" s="1"/>
  <c r="I76" i="2" l="1"/>
  <c r="H76" i="2"/>
  <c r="F76" i="2" l="1"/>
  <c r="G77" i="2" s="1"/>
  <c r="I77" i="2" l="1"/>
  <c r="H77" i="2"/>
  <c r="F77" i="2" l="1"/>
  <c r="G78" i="2" s="1"/>
  <c r="I78" i="2" l="1"/>
  <c r="H78" i="2"/>
  <c r="F78" i="2" l="1"/>
  <c r="G79" i="2" s="1"/>
  <c r="I79" i="2" l="1"/>
  <c r="H79" i="2"/>
  <c r="F79" i="2" l="1"/>
  <c r="G80" i="2" s="1"/>
  <c r="I80" i="2" l="1"/>
  <c r="H80" i="2"/>
  <c r="F80" i="2" l="1"/>
  <c r="G81" i="2" s="1"/>
  <c r="I81" i="2" l="1"/>
  <c r="H81" i="2"/>
  <c r="F81" i="2" l="1"/>
  <c r="G82" i="2" s="1"/>
  <c r="I82" i="2" l="1"/>
  <c r="H82" i="2"/>
  <c r="F82" i="2" l="1"/>
  <c r="G83" i="2" s="1"/>
  <c r="I83" i="2" l="1"/>
  <c r="H83" i="2"/>
  <c r="F83" i="2" l="1"/>
  <c r="G84" i="2" s="1"/>
  <c r="I84" i="2" l="1"/>
  <c r="H84" i="2"/>
  <c r="F84" i="2" l="1"/>
  <c r="G85" i="2" s="1"/>
  <c r="Q4" i="2" s="1"/>
  <c r="I66" i="8" l="1"/>
  <c r="I85" i="2"/>
  <c r="H85" i="2"/>
  <c r="B13" i="2" s="1"/>
  <c r="I64" i="8" l="1"/>
  <c r="F85" i="2"/>
  <c r="G86" i="2" s="1"/>
  <c r="I71" i="8" l="1"/>
  <c r="I73" i="8" s="1"/>
  <c r="I75" i="8" s="1"/>
  <c r="I86" i="2"/>
  <c r="H86" i="2"/>
  <c r="F86" i="2" l="1"/>
  <c r="G87" i="2" s="1"/>
  <c r="H87" i="2" s="1"/>
  <c r="I87" i="2" l="1"/>
  <c r="F87" i="2" s="1"/>
  <c r="G88" i="2" s="1"/>
  <c r="I88" i="2" l="1"/>
  <c r="H88" i="2"/>
  <c r="F88" i="2" l="1"/>
  <c r="G89" i="2" s="1"/>
  <c r="H89" i="2" s="1"/>
  <c r="I89" i="2" l="1"/>
  <c r="F89" i="2" s="1"/>
  <c r="G90" i="2" s="1"/>
  <c r="I90" i="2" l="1"/>
  <c r="H90" i="2"/>
  <c r="F90" i="2" l="1"/>
  <c r="G91" i="2" s="1"/>
  <c r="I91" i="2" s="1"/>
  <c r="H91" i="2" l="1"/>
  <c r="F91" i="2" s="1"/>
  <c r="G92" i="2" s="1"/>
  <c r="I92" i="2" l="1"/>
  <c r="H92" i="2"/>
  <c r="F92" i="2" l="1"/>
  <c r="G93" i="2" s="1"/>
  <c r="I93" i="2" s="1"/>
  <c r="H93" i="2" l="1"/>
  <c r="F93" i="2" s="1"/>
  <c r="G94" i="2" s="1"/>
  <c r="I94" i="2" l="1"/>
  <c r="H94" i="2"/>
  <c r="F94" i="2" l="1"/>
  <c r="G95" i="2" s="1"/>
  <c r="I95" i="2" s="1"/>
  <c r="H95" i="2" l="1"/>
  <c r="F95" i="2" s="1"/>
  <c r="G96" i="2" s="1"/>
  <c r="I96" i="2" l="1"/>
  <c r="H96" i="2"/>
  <c r="F96" i="2" l="1"/>
  <c r="G97" i="2" s="1"/>
  <c r="R4" i="2" s="1"/>
  <c r="J66" i="8" l="1"/>
  <c r="I97" i="2"/>
  <c r="H97" i="2"/>
  <c r="B14" i="2" s="1"/>
  <c r="J64" i="8" l="1"/>
  <c r="F97" i="2"/>
  <c r="G98" i="2" s="1"/>
  <c r="J71" i="8" l="1"/>
  <c r="J73" i="8" s="1"/>
  <c r="J75" i="8" s="1"/>
  <c r="I98" i="2"/>
  <c r="H98" i="2"/>
  <c r="F98" i="2" l="1"/>
  <c r="G99" i="2" s="1"/>
  <c r="I99" i="2" l="1"/>
  <c r="H99" i="2"/>
  <c r="F99" i="2" l="1"/>
  <c r="G100" i="2" s="1"/>
  <c r="I100" i="2" l="1"/>
  <c r="H100" i="2"/>
  <c r="F100" i="2" l="1"/>
  <c r="G101" i="2" s="1"/>
  <c r="I101" i="2" l="1"/>
  <c r="H101" i="2"/>
  <c r="F101" i="2" l="1"/>
  <c r="G102" i="2" s="1"/>
  <c r="I102" i="2" l="1"/>
  <c r="H102" i="2"/>
  <c r="F102" i="2" l="1"/>
  <c r="G103" i="2" s="1"/>
  <c r="I103" i="2" l="1"/>
  <c r="H103" i="2"/>
  <c r="F103" i="2" l="1"/>
  <c r="G104" i="2" s="1"/>
  <c r="I104" i="2" l="1"/>
  <c r="H104" i="2"/>
  <c r="F104" i="2" l="1"/>
  <c r="G105" i="2" s="1"/>
  <c r="I105" i="2" l="1"/>
  <c r="H105" i="2"/>
  <c r="F105" i="2" l="1"/>
  <c r="G106" i="2" s="1"/>
  <c r="I106" i="2" l="1"/>
  <c r="H106" i="2"/>
  <c r="F106" i="2" l="1"/>
  <c r="G107" i="2" s="1"/>
  <c r="I107" i="2" l="1"/>
  <c r="H107" i="2"/>
  <c r="F107" i="2" l="1"/>
  <c r="G108" i="2" s="1"/>
  <c r="I108" i="2" l="1"/>
  <c r="H108" i="2"/>
  <c r="F108" i="2" l="1"/>
  <c r="G109" i="2" s="1"/>
  <c r="S4" i="2" s="1"/>
  <c r="K66" i="8" l="1"/>
  <c r="I109" i="2"/>
  <c r="H109" i="2"/>
  <c r="B15" i="2" s="1"/>
  <c r="K64" i="8" l="1"/>
  <c r="F109" i="2"/>
  <c r="G110" i="2" s="1"/>
  <c r="K71" i="8" l="1"/>
  <c r="K73" i="8" s="1"/>
  <c r="K75" i="8" s="1"/>
  <c r="I110" i="2"/>
  <c r="H110" i="2"/>
  <c r="F110" i="2" l="1"/>
  <c r="G111" i="2" s="1"/>
  <c r="I111" i="2" l="1"/>
  <c r="H111" i="2"/>
  <c r="F111" i="2" l="1"/>
  <c r="G112" i="2" s="1"/>
  <c r="I112" i="2" l="1"/>
  <c r="H112" i="2"/>
  <c r="F112" i="2" l="1"/>
  <c r="G113" i="2" s="1"/>
  <c r="I113" i="2" l="1"/>
  <c r="H113" i="2"/>
  <c r="F113" i="2" l="1"/>
  <c r="G114" i="2" s="1"/>
  <c r="I114" i="2" l="1"/>
  <c r="H114" i="2"/>
  <c r="F114" i="2" l="1"/>
  <c r="G115" i="2" s="1"/>
  <c r="I115" i="2" l="1"/>
  <c r="H115" i="2"/>
  <c r="F115" i="2" l="1"/>
  <c r="G116" i="2" s="1"/>
  <c r="I116" i="2" l="1"/>
  <c r="H116" i="2"/>
  <c r="F116" i="2" l="1"/>
  <c r="G117" i="2" s="1"/>
  <c r="I117" i="2" l="1"/>
  <c r="H117" i="2"/>
  <c r="F117" i="2" l="1"/>
  <c r="G118" i="2" s="1"/>
  <c r="I118" i="2" l="1"/>
  <c r="H118" i="2"/>
  <c r="F118" i="2" l="1"/>
  <c r="G119" i="2" s="1"/>
  <c r="I119" i="2" l="1"/>
  <c r="H119" i="2"/>
  <c r="F119" i="2" l="1"/>
  <c r="G120" i="2" s="1"/>
  <c r="I120" i="2" l="1"/>
  <c r="H120" i="2"/>
  <c r="F120" i="2" l="1"/>
  <c r="G121" i="2" s="1"/>
  <c r="T4" i="2" s="1"/>
  <c r="L66" i="8" l="1"/>
  <c r="I121" i="2"/>
  <c r="H121" i="2"/>
  <c r="B16" i="2" s="1"/>
  <c r="L64" i="8" l="1"/>
  <c r="F121" i="2"/>
  <c r="G122" i="2" s="1"/>
  <c r="L71" i="8" l="1"/>
  <c r="L73" i="8" s="1"/>
  <c r="L75" i="8" s="1"/>
  <c r="I122" i="2"/>
  <c r="H122" i="2"/>
  <c r="F122" i="2" l="1"/>
  <c r="G123" i="2" s="1"/>
  <c r="I123" i="2" l="1"/>
  <c r="H123" i="2"/>
  <c r="F123" i="2" l="1"/>
  <c r="G124" i="2" s="1"/>
  <c r="I124" i="2" l="1"/>
  <c r="H124" i="2"/>
  <c r="F124" i="2" l="1"/>
  <c r="G125" i="2" s="1"/>
  <c r="I125" i="2" l="1"/>
  <c r="H125" i="2"/>
  <c r="F125" i="2" l="1"/>
  <c r="G126" i="2" s="1"/>
  <c r="I126" i="2" l="1"/>
  <c r="H126" i="2"/>
  <c r="F126" i="2" l="1"/>
  <c r="G127" i="2" s="1"/>
  <c r="I127" i="2" l="1"/>
  <c r="H127" i="2"/>
  <c r="F127" i="2" l="1"/>
  <c r="G128" i="2" s="1"/>
  <c r="I128" i="2" l="1"/>
  <c r="H128" i="2"/>
  <c r="F128" i="2" l="1"/>
  <c r="G129" i="2" s="1"/>
  <c r="I129" i="2" l="1"/>
  <c r="H129" i="2"/>
  <c r="F129" i="2" l="1"/>
  <c r="G130" i="2" s="1"/>
  <c r="I130" i="2" l="1"/>
  <c r="H130" i="2"/>
  <c r="F130" i="2" l="1"/>
  <c r="G131" i="2" s="1"/>
  <c r="I131" i="2" l="1"/>
  <c r="H131" i="2"/>
  <c r="F131" i="2" l="1"/>
  <c r="G132" i="2" s="1"/>
  <c r="H132" i="2" s="1"/>
  <c r="I132" i="2" l="1"/>
  <c r="F132" i="2" s="1"/>
  <c r="G133" i="2" s="1"/>
  <c r="U4" i="2" l="1"/>
  <c r="I133" i="2"/>
  <c r="H133" i="2"/>
  <c r="B17" i="2" s="1"/>
  <c r="M66" i="8" l="1"/>
  <c r="F133" i="2"/>
  <c r="G134" i="2" s="1"/>
  <c r="I134" i="2" s="1"/>
  <c r="G116" i="8" l="1"/>
  <c r="H134" i="2"/>
  <c r="F134" i="2" s="1"/>
  <c r="G135" i="2" s="1"/>
  <c r="M64" i="8" l="1"/>
  <c r="I135" i="2"/>
  <c r="H135" i="2"/>
  <c r="M107" i="8" l="1"/>
  <c r="M71" i="8"/>
  <c r="G121" i="8" s="1"/>
  <c r="F135" i="2"/>
  <c r="G136" i="2" s="1"/>
  <c r="M4" i="6" l="1"/>
  <c r="B112" i="8"/>
  <c r="G122" i="8"/>
  <c r="K121" i="8" s="1"/>
  <c r="M108" i="8"/>
  <c r="B111" i="8" s="1"/>
  <c r="M73" i="8"/>
  <c r="M75" i="8" s="1"/>
  <c r="I136" i="2"/>
  <c r="H136" i="2"/>
  <c r="M9" i="6" l="1"/>
  <c r="B15" i="6" s="1"/>
  <c r="M5" i="6"/>
  <c r="M10" i="6" s="1"/>
  <c r="B14" i="6" s="1"/>
  <c r="K117" i="8"/>
  <c r="H120" i="8"/>
  <c r="F136" i="2"/>
  <c r="G137" i="2" s="1"/>
  <c r="H118" i="8" l="1"/>
  <c r="K116" i="8"/>
  <c r="K123" i="8" s="1"/>
  <c r="I137" i="2"/>
  <c r="H137" i="2"/>
  <c r="F137" i="2" l="1"/>
  <c r="G138" i="2" s="1"/>
  <c r="I138" i="2" l="1"/>
  <c r="H138" i="2"/>
  <c r="F138" i="2" l="1"/>
  <c r="G139" i="2" s="1"/>
  <c r="I139" i="2" l="1"/>
  <c r="H139" i="2"/>
  <c r="F139" i="2" l="1"/>
  <c r="G140" i="2" s="1"/>
  <c r="I140" i="2" l="1"/>
  <c r="H140" i="2"/>
  <c r="F140" i="2" l="1"/>
  <c r="G141" i="2" s="1"/>
  <c r="I141" i="2" l="1"/>
  <c r="H141" i="2"/>
  <c r="F141" i="2" l="1"/>
  <c r="G142" i="2" s="1"/>
  <c r="I142" i="2" l="1"/>
  <c r="H142" i="2"/>
  <c r="F142" i="2" l="1"/>
  <c r="G143" i="2" s="1"/>
  <c r="I143" i="2" l="1"/>
  <c r="H143" i="2"/>
  <c r="F143" i="2" l="1"/>
  <c r="G144" i="2" s="1"/>
  <c r="I144" i="2" l="1"/>
  <c r="H144" i="2"/>
  <c r="F144" i="2" l="1"/>
  <c r="G145" i="2" s="1"/>
  <c r="I145" i="2" l="1"/>
  <c r="H145" i="2"/>
  <c r="F145" i="2" l="1"/>
  <c r="G146" i="2" s="1"/>
  <c r="I146" i="2" l="1"/>
  <c r="H146" i="2"/>
  <c r="F146" i="2" l="1"/>
  <c r="G147" i="2" s="1"/>
  <c r="I147" i="2" l="1"/>
  <c r="H147" i="2"/>
  <c r="F147" i="2" l="1"/>
  <c r="G148" i="2" s="1"/>
  <c r="I148" i="2" l="1"/>
  <c r="H148" i="2"/>
  <c r="F148" i="2" l="1"/>
  <c r="G149" i="2" s="1"/>
  <c r="I149" i="2" l="1"/>
  <c r="H149" i="2"/>
  <c r="F149" i="2" l="1"/>
  <c r="G150" i="2" s="1"/>
  <c r="I150" i="2" l="1"/>
  <c r="H150" i="2"/>
  <c r="F150" i="2" l="1"/>
  <c r="G151" i="2" s="1"/>
  <c r="I151" i="2" l="1"/>
  <c r="H151" i="2"/>
  <c r="F151" i="2" l="1"/>
  <c r="G152" i="2" s="1"/>
  <c r="I152" i="2" l="1"/>
  <c r="H152" i="2"/>
  <c r="F152" i="2" l="1"/>
  <c r="G153" i="2" s="1"/>
  <c r="I153" i="2" l="1"/>
  <c r="H153" i="2"/>
  <c r="F153" i="2" l="1"/>
  <c r="G154" i="2" s="1"/>
  <c r="I154" i="2" l="1"/>
  <c r="H154" i="2"/>
  <c r="F154" i="2" l="1"/>
  <c r="G155" i="2" s="1"/>
  <c r="I155" i="2" l="1"/>
  <c r="H155" i="2"/>
  <c r="F155" i="2" l="1"/>
  <c r="G156" i="2" s="1"/>
  <c r="I156" i="2" l="1"/>
  <c r="H156" i="2"/>
  <c r="F156" i="2" l="1"/>
  <c r="G157" i="2" s="1"/>
  <c r="I157" i="2" l="1"/>
  <c r="H157" i="2"/>
  <c r="F157" i="2" l="1"/>
  <c r="G158" i="2" s="1"/>
  <c r="I158" i="2" l="1"/>
  <c r="H158" i="2"/>
  <c r="F158" i="2" l="1"/>
  <c r="G159" i="2" s="1"/>
  <c r="I159" i="2" l="1"/>
  <c r="H159" i="2"/>
  <c r="F159" i="2" l="1"/>
  <c r="G160" i="2" s="1"/>
  <c r="I160" i="2" l="1"/>
  <c r="H160" i="2"/>
  <c r="F160" i="2" l="1"/>
  <c r="G161" i="2" s="1"/>
  <c r="I161" i="2" l="1"/>
  <c r="H161" i="2"/>
  <c r="F161" i="2" l="1"/>
  <c r="G162" i="2" s="1"/>
  <c r="I162" i="2" l="1"/>
  <c r="H162" i="2"/>
  <c r="F162" i="2" l="1"/>
  <c r="G163" i="2" s="1"/>
  <c r="I163" i="2" l="1"/>
  <c r="H163" i="2"/>
  <c r="F163" i="2" l="1"/>
  <c r="G164" i="2" s="1"/>
  <c r="I164" i="2" l="1"/>
  <c r="H164" i="2"/>
  <c r="F164" i="2" l="1"/>
  <c r="G165" i="2" s="1"/>
  <c r="I165" i="2" l="1"/>
  <c r="H165" i="2"/>
  <c r="F165" i="2" l="1"/>
  <c r="G166" i="2" s="1"/>
  <c r="I166" i="2" l="1"/>
  <c r="H166" i="2"/>
  <c r="F166" i="2" l="1"/>
  <c r="G167" i="2" s="1"/>
  <c r="I167" i="2" l="1"/>
  <c r="H167" i="2"/>
  <c r="F167" i="2" l="1"/>
  <c r="G168" i="2" s="1"/>
  <c r="I168" i="2" l="1"/>
  <c r="H168" i="2"/>
  <c r="F168" i="2" l="1"/>
  <c r="G169" i="2" s="1"/>
  <c r="I169" i="2" l="1"/>
  <c r="H169" i="2"/>
  <c r="F169" i="2" l="1"/>
  <c r="G170" i="2" s="1"/>
  <c r="I170" i="2" l="1"/>
  <c r="H170" i="2"/>
  <c r="F170" i="2" l="1"/>
  <c r="G171" i="2" s="1"/>
  <c r="I171" i="2" l="1"/>
  <c r="H171" i="2"/>
  <c r="F171" i="2" l="1"/>
  <c r="G172" i="2" s="1"/>
  <c r="I172" i="2" l="1"/>
  <c r="H172" i="2"/>
  <c r="F172" i="2" l="1"/>
  <c r="G173" i="2" s="1"/>
  <c r="I173" i="2" l="1"/>
  <c r="H173" i="2"/>
  <c r="F173" i="2" l="1"/>
  <c r="G174" i="2" s="1"/>
  <c r="I174" i="2" l="1"/>
  <c r="H174" i="2"/>
  <c r="F174" i="2" l="1"/>
  <c r="G175" i="2" s="1"/>
  <c r="I175" i="2" l="1"/>
  <c r="H175" i="2"/>
  <c r="F175" i="2" l="1"/>
  <c r="G176" i="2" s="1"/>
  <c r="I176" i="2" l="1"/>
  <c r="H176" i="2"/>
  <c r="F176" i="2" l="1"/>
  <c r="G177" i="2" s="1"/>
  <c r="I177" i="2" l="1"/>
  <c r="H177" i="2"/>
  <c r="F177" i="2" l="1"/>
  <c r="G178" i="2" s="1"/>
  <c r="I178" i="2" l="1"/>
  <c r="H178" i="2"/>
  <c r="F178" i="2" l="1"/>
  <c r="G179" i="2" s="1"/>
  <c r="I179" i="2" l="1"/>
  <c r="H179" i="2"/>
  <c r="F179" i="2" l="1"/>
  <c r="G180" i="2" s="1"/>
  <c r="I180" i="2" l="1"/>
  <c r="H180" i="2"/>
  <c r="F180" i="2" l="1"/>
  <c r="G181" i="2" s="1"/>
  <c r="I181" i="2" l="1"/>
  <c r="H181" i="2"/>
  <c r="F181" i="2" l="1"/>
  <c r="G182" i="2" s="1"/>
  <c r="H182" i="2" l="1"/>
  <c r="I182" i="2"/>
  <c r="F182" i="2" l="1"/>
</calcChain>
</file>

<file path=xl/sharedStrings.xml><?xml version="1.0" encoding="utf-8"?>
<sst xmlns="http://schemas.openxmlformats.org/spreadsheetml/2006/main" count="252" uniqueCount="144">
  <si>
    <t>FORECAST</t>
  </si>
  <si>
    <t>SALES UNIT FORECASTS</t>
  </si>
  <si>
    <t>Yearly % change</t>
  </si>
  <si>
    <t>RATIOS USED IN FORECAST</t>
  </si>
  <si>
    <t>As per facts given</t>
  </si>
  <si>
    <t>Inventory Turnover Ratio - All Sales</t>
  </si>
  <si>
    <t>Inventory Days - All Sales</t>
  </si>
  <si>
    <t>Average Payables Period - COGS</t>
  </si>
  <si>
    <t>INCOME STATEMENT</t>
  </si>
  <si>
    <t>Cost of Goods Sold</t>
  </si>
  <si>
    <t>Marketing</t>
  </si>
  <si>
    <t>General and Administrative</t>
  </si>
  <si>
    <t>Percent of sales forcast</t>
  </si>
  <si>
    <t>Store Building Maintenance Exp</t>
  </si>
  <si>
    <t>Depreciation</t>
  </si>
  <si>
    <t>Year Depreciation</t>
  </si>
  <si>
    <t>Mortgage Debt Interest Expense</t>
  </si>
  <si>
    <t>Extra Loan Interest Expense</t>
  </si>
  <si>
    <t>interest rate</t>
  </si>
  <si>
    <t>Taxable Income</t>
  </si>
  <si>
    <t>Income Tax Expense</t>
  </si>
  <si>
    <t>Net Income</t>
  </si>
  <si>
    <t>BALANCE SHEET</t>
  </si>
  <si>
    <t>Assets</t>
  </si>
  <si>
    <t>Minimum Cash Inventory</t>
  </si>
  <si>
    <t>Extra Cash</t>
  </si>
  <si>
    <t>Accounts Receivable</t>
  </si>
  <si>
    <t>Inventory</t>
  </si>
  <si>
    <t>Land</t>
  </si>
  <si>
    <t>Buildings</t>
  </si>
  <si>
    <t>Less:  Accumulated Depreciation</t>
  </si>
  <si>
    <t>Total Assets</t>
  </si>
  <si>
    <t>Liabilities and Equity</t>
  </si>
  <si>
    <t>Liaiblities</t>
  </si>
  <si>
    <t>Accounts Payable</t>
  </si>
  <si>
    <t>Income Tax Payable</t>
  </si>
  <si>
    <t>Mortgage Debt</t>
  </si>
  <si>
    <t xml:space="preserve">Extra Bank Loan </t>
  </si>
  <si>
    <t>Equity</t>
  </si>
  <si>
    <t>Common Stock</t>
  </si>
  <si>
    <t>Retained Earnings</t>
  </si>
  <si>
    <t>DFN</t>
  </si>
  <si>
    <t>FREE CASH FLOWS</t>
  </si>
  <si>
    <t>Cash from Operations</t>
  </si>
  <si>
    <t>Operating Income</t>
  </si>
  <si>
    <t>Less: Depreciation</t>
  </si>
  <si>
    <t>Taxable Operating Income</t>
  </si>
  <si>
    <t>Tax on Operations ONLY (= Payable)</t>
  </si>
  <si>
    <t>After tax Operating Income</t>
  </si>
  <si>
    <t>Add: Deprecation</t>
  </si>
  <si>
    <t>Cash From Operations</t>
  </si>
  <si>
    <t>Cash in/out from Captial Expenditures</t>
  </si>
  <si>
    <t>Buy Land</t>
  </si>
  <si>
    <t>Sell Land</t>
  </si>
  <si>
    <t>Buy Buildings</t>
  </si>
  <si>
    <t>Sell Buildings</t>
  </si>
  <si>
    <t>Tax on Sales</t>
  </si>
  <si>
    <t>Cash in/out from Changes in Working Capital</t>
  </si>
  <si>
    <t>Cash in/out from Liquidation of Working Capital</t>
  </si>
  <si>
    <t>Total Free Cash Flows</t>
  </si>
  <si>
    <t xml:space="preserve">Sun City Golf Carts INC. </t>
  </si>
  <si>
    <t>http://www.suncitygolfcartsinc.com/</t>
  </si>
  <si>
    <t>http://us.businessesforsale.com/us/Golf-Cart-Sales-Business-In-Hillsborough-County-For-Sale.aspx</t>
  </si>
  <si>
    <t>Forecasted Cart Sales (units)</t>
  </si>
  <si>
    <t>Forecasted Service Sales (units)</t>
  </si>
  <si>
    <t>% Cart</t>
  </si>
  <si>
    <t>% Service</t>
  </si>
  <si>
    <t>Total Revenue (from sale site)</t>
  </si>
  <si>
    <t>% Rentals</t>
  </si>
  <si>
    <t>Forecasted Rental Sales (Units)</t>
  </si>
  <si>
    <t>Units</t>
  </si>
  <si>
    <t>Average Cart Sales Price</t>
  </si>
  <si>
    <t>Average Cart Rental Price</t>
  </si>
  <si>
    <t>Average Service Price</t>
  </si>
  <si>
    <t>Sales Revenue - Carts</t>
  </si>
  <si>
    <t>Sales Revenue - Rentals</t>
  </si>
  <si>
    <t>Sales Revenue- Service</t>
  </si>
  <si>
    <t>% of total sales</t>
  </si>
  <si>
    <t xml:space="preserve">Mortgage Calc. </t>
  </si>
  <si>
    <t>Mortgage Amount</t>
  </si>
  <si>
    <t>time (yrs)</t>
  </si>
  <si>
    <t>rate</t>
  </si>
  <si>
    <t>Balance</t>
  </si>
  <si>
    <t>Interest</t>
  </si>
  <si>
    <t xml:space="preserve">total </t>
  </si>
  <si>
    <t>PMT #</t>
  </si>
  <si>
    <t>Monthly PMT</t>
  </si>
  <si>
    <t>Principal</t>
  </si>
  <si>
    <t>Mortgage Int. Expense</t>
  </si>
  <si>
    <t>Tax Rate</t>
  </si>
  <si>
    <t>Mortage Debt</t>
  </si>
  <si>
    <t>Total Liabalities</t>
  </si>
  <si>
    <t xml:space="preserve">Book </t>
  </si>
  <si>
    <t>Sale</t>
  </si>
  <si>
    <t>sale increase</t>
  </si>
  <si>
    <t>Tax rate</t>
  </si>
  <si>
    <t>Present Value of Total Free Cash Flows</t>
  </si>
  <si>
    <t>nmber of yrs</t>
  </si>
  <si>
    <t xml:space="preserve">Cost of Capital  </t>
  </si>
  <si>
    <t>NPV of Total Free Cash Flows</t>
  </si>
  <si>
    <t>IRR</t>
  </si>
  <si>
    <t>Sale price per Unit</t>
  </si>
  <si>
    <t>land increase</t>
  </si>
  <si>
    <t>Gain</t>
  </si>
  <si>
    <t>Gain total</t>
  </si>
  <si>
    <t>Average</t>
  </si>
  <si>
    <t>Prop</t>
  </si>
  <si>
    <t>Rate</t>
  </si>
  <si>
    <t>After Tax</t>
  </si>
  <si>
    <t>Weighted</t>
  </si>
  <si>
    <t>T-BILL</t>
  </si>
  <si>
    <t>RETURN S&amp;P</t>
  </si>
  <si>
    <t>Return wanted by equity holders</t>
  </si>
  <si>
    <t xml:space="preserve">Mort. </t>
  </si>
  <si>
    <t>Bank Loan</t>
  </si>
  <si>
    <t>WACC</t>
  </si>
  <si>
    <t>WACC Calc.</t>
  </si>
  <si>
    <t>BETA (Relevered)</t>
  </si>
  <si>
    <t>New Present value</t>
  </si>
  <si>
    <t>Total Present value</t>
  </si>
  <si>
    <t>New Total Free Cash Flows</t>
  </si>
  <si>
    <t>Option Free Cash Flows</t>
  </si>
  <si>
    <t>Secured</t>
  </si>
  <si>
    <t>Unsecured</t>
  </si>
  <si>
    <t>Expenses</t>
  </si>
  <si>
    <t>Insurance Expense</t>
  </si>
  <si>
    <t>mortgage</t>
  </si>
  <si>
    <t>Average Collection Period - Cart Sales</t>
  </si>
  <si>
    <t>Number of Years</t>
  </si>
  <si>
    <t xml:space="preserve">Total </t>
  </si>
  <si>
    <t>Extra</t>
  </si>
  <si>
    <t>Paid</t>
  </si>
  <si>
    <t>Leftover</t>
  </si>
  <si>
    <t>Extra Paid</t>
  </si>
  <si>
    <t>Total Paid</t>
  </si>
  <si>
    <t>IRR on Mortgage</t>
  </si>
  <si>
    <t>Initial Payment</t>
  </si>
  <si>
    <t xml:space="preserve">Principal </t>
  </si>
  <si>
    <t>Payoff</t>
  </si>
  <si>
    <t>IRR on Extra Bank Loan</t>
  </si>
  <si>
    <t>Income Sheet</t>
  </si>
  <si>
    <t>Average Collection Period - Rentals</t>
  </si>
  <si>
    <t>Put in common stock</t>
  </si>
  <si>
    <t>Override Prop.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</si>
</sst>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\-??_);_(@_)"/>
    <numFmt numFmtId="165" formatCode="_(* #,##0.000000_);_(* \(#,##0.000000\);_(* \-??_);_(@_)"/>
    <numFmt numFmtId="166" formatCode="_(\$* #,##0_);_(\$* \(#,##0\);_(\$* \-??_);_(@_)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0000_);_(* \(#,##0.00000\);_(* &quot;-&quot;??_);_(@_)"/>
    <numFmt numFmtId="170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1"/>
    </font>
    <font>
      <sz val="11"/>
      <color theme="0"/>
      <name val="Calibri"/>
      <family val="2"/>
      <charset val="1"/>
    </font>
    <font>
      <sz val="11"/>
      <color theme="0"/>
      <name val="Calibri"/>
      <family val="2"/>
      <charset val="1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0" fontId="2" fillId="0" borderId="0"/>
    <xf numFmtId="0" fontId="9" fillId="0" borderId="0"/>
  </cellStyleXfs>
  <cellXfs count="77">
    <xf numFmtId="0" fontId="0" fillId="0" borderId="0" xfId="0"/>
    <xf numFmtId="0" fontId="3" fillId="0" borderId="0" xfId="4" applyFont="1"/>
    <xf numFmtId="0" fontId="2" fillId="0" borderId="0" xfId="4"/>
    <xf numFmtId="164" fontId="1" fillId="0" borderId="0" xfId="1" applyNumberFormat="1"/>
    <xf numFmtId="9" fontId="1" fillId="0" borderId="0" xfId="3"/>
    <xf numFmtId="44" fontId="1" fillId="0" borderId="0" xfId="2"/>
    <xf numFmtId="43" fontId="1" fillId="0" borderId="0" xfId="1"/>
    <xf numFmtId="9" fontId="2" fillId="0" borderId="0" xfId="4" applyNumberFormat="1"/>
    <xf numFmtId="165" fontId="2" fillId="0" borderId="0" xfId="4" applyNumberFormat="1"/>
    <xf numFmtId="0" fontId="2" fillId="0" borderId="0" xfId="4" applyFont="1"/>
    <xf numFmtId="166" fontId="1" fillId="0" borderId="0" xfId="2" applyNumberFormat="1"/>
    <xf numFmtId="166" fontId="2" fillId="0" borderId="0" xfId="2" applyNumberFormat="1" applyFont="1" applyFill="1" applyBorder="1" applyAlignment="1" applyProtection="1"/>
    <xf numFmtId="10" fontId="1" fillId="0" borderId="0" xfId="3" applyNumberFormat="1"/>
    <xf numFmtId="0" fontId="4" fillId="0" borderId="0" xfId="4" applyFont="1"/>
    <xf numFmtId="166" fontId="2" fillId="0" borderId="0" xfId="4" applyNumberFormat="1"/>
    <xf numFmtId="0" fontId="5" fillId="0" borderId="0" xfId="4" applyFont="1"/>
    <xf numFmtId="0" fontId="6" fillId="0" borderId="0" xfId="5"/>
    <xf numFmtId="44" fontId="2" fillId="0" borderId="0" xfId="2" applyFont="1"/>
    <xf numFmtId="9" fontId="2" fillId="0" borderId="0" xfId="3" applyFont="1"/>
    <xf numFmtId="44" fontId="0" fillId="0" borderId="0" xfId="0" applyNumberFormat="1"/>
    <xf numFmtId="44" fontId="2" fillId="0" borderId="0" xfId="4" applyNumberFormat="1"/>
    <xf numFmtId="43" fontId="0" fillId="0" borderId="0" xfId="1" applyFont="1"/>
    <xf numFmtId="44" fontId="0" fillId="0" borderId="0" xfId="2" applyFont="1"/>
    <xf numFmtId="0" fontId="2" fillId="0" borderId="0" xfId="4" applyFill="1"/>
    <xf numFmtId="44" fontId="2" fillId="0" borderId="0" xfId="2" applyNumberFormat="1" applyFont="1" applyFill="1" applyBorder="1" applyAlignment="1" applyProtection="1"/>
    <xf numFmtId="43" fontId="2" fillId="0" borderId="0" xfId="4" applyNumberFormat="1"/>
    <xf numFmtId="43" fontId="1" fillId="0" borderId="0" xfId="2" applyNumberFormat="1"/>
    <xf numFmtId="9" fontId="0" fillId="0" borderId="0" xfId="0" applyNumberFormat="1"/>
    <xf numFmtId="8" fontId="0" fillId="0" borderId="0" xfId="0" applyNumberFormat="1"/>
    <xf numFmtId="43" fontId="0" fillId="0" borderId="0" xfId="0" applyNumberFormat="1"/>
    <xf numFmtId="0" fontId="2" fillId="0" borderId="0" xfId="6"/>
    <xf numFmtId="166" fontId="2" fillId="0" borderId="0" xfId="6" applyNumberFormat="1"/>
    <xf numFmtId="43" fontId="2" fillId="0" borderId="0" xfId="6" applyNumberFormat="1"/>
    <xf numFmtId="9" fontId="2" fillId="0" borderId="0" xfId="6" applyNumberFormat="1"/>
    <xf numFmtId="0" fontId="2" fillId="0" borderId="0" xfId="6" applyFill="1"/>
    <xf numFmtId="166" fontId="0" fillId="0" borderId="0" xfId="0" applyNumberFormat="1"/>
    <xf numFmtId="9" fontId="0" fillId="0" borderId="0" xfId="3" applyFont="1"/>
    <xf numFmtId="167" fontId="0" fillId="0" borderId="0" xfId="1" applyNumberFormat="1" applyFont="1"/>
    <xf numFmtId="168" fontId="2" fillId="0" borderId="0" xfId="2" applyNumberFormat="1" applyFont="1"/>
    <xf numFmtId="168" fontId="0" fillId="0" borderId="0" xfId="2" applyNumberFormat="1" applyFont="1"/>
    <xf numFmtId="0" fontId="2" fillId="0" borderId="0" xfId="4" applyAlignment="1">
      <alignment wrapText="1"/>
    </xf>
    <xf numFmtId="43" fontId="2" fillId="0" borderId="0" xfId="2" applyNumberFormat="1" applyFont="1" applyFill="1" applyBorder="1" applyAlignment="1" applyProtection="1"/>
    <xf numFmtId="10" fontId="0" fillId="0" borderId="0" xfId="0" applyNumberFormat="1"/>
    <xf numFmtId="10" fontId="0" fillId="0" borderId="0" xfId="3" applyNumberFormat="1" applyFont="1"/>
    <xf numFmtId="0" fontId="7" fillId="0" borderId="0" xfId="0" applyFont="1"/>
    <xf numFmtId="169" fontId="0" fillId="0" borderId="0" xfId="1" applyNumberFormat="1" applyFont="1"/>
    <xf numFmtId="0" fontId="8" fillId="0" borderId="0" xfId="0" applyFont="1"/>
    <xf numFmtId="168" fontId="0" fillId="0" borderId="0" xfId="0" applyNumberFormat="1"/>
    <xf numFmtId="9" fontId="1" fillId="0" borderId="0" xfId="3" applyNumberFormat="1"/>
    <xf numFmtId="0" fontId="2" fillId="0" borderId="0" xfId="4" applyAlignment="1">
      <alignment horizontal="left" indent="1"/>
    </xf>
    <xf numFmtId="0" fontId="2" fillId="0" borderId="0" xfId="4" applyFont="1" applyAlignment="1">
      <alignment horizontal="left" indent="1"/>
    </xf>
    <xf numFmtId="0" fontId="4" fillId="0" borderId="0" xfId="4" applyFont="1" applyAlignment="1">
      <alignment horizontal="left" indent="1"/>
    </xf>
    <xf numFmtId="0" fontId="2" fillId="0" borderId="0" xfId="4" applyAlignment="1">
      <alignment horizontal="left" indent="2"/>
    </xf>
    <xf numFmtId="166" fontId="2" fillId="0" borderId="0" xfId="2" applyNumberFormat="1" applyFont="1" applyFill="1" applyBorder="1" applyAlignment="1" applyProtection="1">
      <alignment horizontal="left" indent="1"/>
    </xf>
    <xf numFmtId="0" fontId="0" fillId="0" borderId="0" xfId="0" applyAlignment="1">
      <alignment horizontal="left" indent="1"/>
    </xf>
    <xf numFmtId="166" fontId="1" fillId="0" borderId="1" xfId="2" applyNumberFormat="1" applyBorder="1"/>
    <xf numFmtId="166" fontId="2" fillId="0" borderId="2" xfId="4" applyNumberFormat="1" applyBorder="1"/>
    <xf numFmtId="166" fontId="2" fillId="0" borderId="2" xfId="2" applyNumberFormat="1" applyFont="1" applyFill="1" applyBorder="1" applyAlignment="1" applyProtection="1"/>
    <xf numFmtId="0" fontId="2" fillId="0" borderId="3" xfId="4" applyBorder="1"/>
    <xf numFmtId="167" fontId="1" fillId="0" borderId="0" xfId="1" applyNumberFormat="1"/>
    <xf numFmtId="168" fontId="2" fillId="0" borderId="1" xfId="2" applyNumberFormat="1" applyFont="1" applyBorder="1"/>
    <xf numFmtId="168" fontId="2" fillId="0" borderId="2" xfId="2" applyNumberFormat="1" applyFont="1" applyBorder="1"/>
    <xf numFmtId="167" fontId="2" fillId="0" borderId="0" xfId="1" applyNumberFormat="1" applyFont="1"/>
    <xf numFmtId="0" fontId="11" fillId="2" borderId="0" xfId="0" applyFont="1" applyFill="1" applyAlignment="1">
      <alignment horizontal="centerContinuous"/>
    </xf>
    <xf numFmtId="0" fontId="2" fillId="0" borderId="4" xfId="4" applyBorder="1"/>
    <xf numFmtId="0" fontId="0" fillId="0" borderId="4" xfId="0" applyBorder="1"/>
    <xf numFmtId="1" fontId="0" fillId="0" borderId="0" xfId="0" applyNumberFormat="1"/>
    <xf numFmtId="0" fontId="2" fillId="0" borderId="0" xfId="4" applyBorder="1"/>
    <xf numFmtId="0" fontId="0" fillId="0" borderId="0" xfId="0" applyBorder="1"/>
    <xf numFmtId="170" fontId="0" fillId="0" borderId="0" xfId="3" applyNumberFormat="1" applyFont="1"/>
    <xf numFmtId="166" fontId="0" fillId="0" borderId="4" xfId="0" applyNumberFormat="1" applyBorder="1"/>
    <xf numFmtId="0" fontId="13" fillId="2" borderId="0" xfId="4" applyFont="1" applyFill="1"/>
    <xf numFmtId="0" fontId="12" fillId="2" borderId="0" xfId="4" applyFont="1" applyFill="1"/>
    <xf numFmtId="0" fontId="14" fillId="2" borderId="0" xfId="0" applyFont="1" applyFill="1"/>
    <xf numFmtId="0" fontId="12" fillId="2" borderId="0" xfId="4" applyFont="1" applyFill="1" applyAlignment="1">
      <alignment horizontal="centerContinuous"/>
    </xf>
    <xf numFmtId="0" fontId="15" fillId="2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</cellXfs>
  <cellStyles count="8">
    <cellStyle name="Comma" xfId="1" builtinId="3"/>
    <cellStyle name="Currency" xfId="2" builtinId="4"/>
    <cellStyle name="Excel Built-in Normal" xfId="4"/>
    <cellStyle name="Excel Built-in Normal 1" xfId="6"/>
    <cellStyle name="Hyperlink" xfId="5" builtinId="8"/>
    <cellStyle name="Normal" xfId="0" builtinId="0"/>
    <cellStyle name="Normal 2" xfId="7"/>
    <cellStyle name="Percent" xfId="3" builtinId="5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381000</xdr:colOff>
          <xdr:row>74</xdr:row>
          <xdr:rowOff>19050</xdr:rowOff>
        </xdr:from>
        <xdr:to>
          <xdr:col>14</xdr:col>
          <xdr:colOff>628650</xdr:colOff>
          <xdr:row>76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Goal Seek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us.businessesforsale.com/us/Golf-Cart-Sales-Business-In-Hillsborough-County-For-Sale.aspx" TargetMode="External"/><Relationship Id="rId1" Type="http://schemas.openxmlformats.org/officeDocument/2006/relationships/hyperlink" Target="http://www.suncitygolfcartsinc.com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us.businessesforsale.com/us/Golf-Cart-Sales-Business-In-Hillsborough-County-For-Sale.aspx" TargetMode="External"/><Relationship Id="rId1" Type="http://schemas.openxmlformats.org/officeDocument/2006/relationships/hyperlink" Target="http://www.suncitygolfcartsinc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Q123"/>
  <sheetViews>
    <sheetView tabSelected="1" zoomScale="70" zoomScaleNormal="70" workbookViewId="0">
      <selection activeCell="M116" sqref="M116"/>
    </sheetView>
  </sheetViews>
  <sheetFormatPr defaultRowHeight="15" x14ac:dyDescent="0.25"/>
  <cols>
    <col min="1" max="1" width="44.28515625" bestFit="1" customWidth="1"/>
    <col min="2" max="2" width="13.42578125" bestFit="1" customWidth="1"/>
    <col min="3" max="4" width="19.42578125" bestFit="1" customWidth="1"/>
    <col min="5" max="5" width="14.42578125" customWidth="1"/>
    <col min="6" max="6" width="13.85546875" customWidth="1"/>
    <col min="7" max="7" width="13.42578125" bestFit="1" customWidth="1"/>
    <col min="8" max="8" width="12.5703125" bestFit="1" customWidth="1"/>
    <col min="9" max="12" width="13.42578125" bestFit="1" customWidth="1"/>
    <col min="13" max="13" width="12.5703125" bestFit="1" customWidth="1"/>
    <col min="15" max="15" width="11.5703125" bestFit="1" customWidth="1"/>
    <col min="17" max="17" width="13.140625" bestFit="1" customWidth="1"/>
  </cols>
  <sheetData>
    <row r="1" spans="1:15" x14ac:dyDescent="0.25">
      <c r="A1" t="s">
        <v>60</v>
      </c>
      <c r="B1" s="16" t="s">
        <v>61</v>
      </c>
      <c r="E1" s="16" t="s">
        <v>62</v>
      </c>
    </row>
    <row r="2" spans="1:15" x14ac:dyDescent="0.25">
      <c r="A2" s="1" t="s">
        <v>0</v>
      </c>
      <c r="B2" s="2"/>
      <c r="C2" s="2"/>
      <c r="D2" s="2"/>
      <c r="E2" s="2"/>
      <c r="F2" s="2"/>
      <c r="G2" s="2"/>
      <c r="H2" s="2"/>
    </row>
    <row r="3" spans="1:15" hidden="1" x14ac:dyDescent="0.25">
      <c r="A3" s="1"/>
      <c r="B3" s="2"/>
      <c r="C3" s="2"/>
      <c r="D3" s="2"/>
      <c r="E3" s="2"/>
      <c r="F3" s="2"/>
      <c r="G3" s="2"/>
      <c r="H3" s="2"/>
    </row>
    <row r="4" spans="1:15" ht="30" hidden="1" x14ac:dyDescent="0.25">
      <c r="A4" s="13" t="s">
        <v>67</v>
      </c>
      <c r="C4" s="7">
        <f>SUM(C5:C7)</f>
        <v>1</v>
      </c>
      <c r="D4" s="7">
        <v>300000</v>
      </c>
      <c r="F4" s="40" t="s">
        <v>101</v>
      </c>
      <c r="G4" s="2" t="s">
        <v>70</v>
      </c>
      <c r="H4" s="2"/>
    </row>
    <row r="5" spans="1:15" hidden="1" x14ac:dyDescent="0.25">
      <c r="A5" s="13" t="s">
        <v>65</v>
      </c>
      <c r="C5" s="18">
        <v>0.75</v>
      </c>
      <c r="D5" s="18">
        <f>$D$4*C5</f>
        <v>225000</v>
      </c>
      <c r="F5" s="17">
        <v>8000</v>
      </c>
      <c r="G5" s="62">
        <f>D5/F5</f>
        <v>28.125</v>
      </c>
      <c r="H5" s="2"/>
    </row>
    <row r="6" spans="1:15" hidden="1" x14ac:dyDescent="0.25">
      <c r="A6" s="2" t="s">
        <v>68</v>
      </c>
      <c r="C6" s="18">
        <v>0.1</v>
      </c>
      <c r="D6" s="18">
        <f>$D$4*C6</f>
        <v>30000</v>
      </c>
      <c r="F6" s="22">
        <v>25</v>
      </c>
      <c r="G6" s="21">
        <f>D6/F6</f>
        <v>1200</v>
      </c>
    </row>
    <row r="7" spans="1:15" hidden="1" x14ac:dyDescent="0.25">
      <c r="A7" t="s">
        <v>66</v>
      </c>
      <c r="C7" s="18">
        <v>0.15</v>
      </c>
      <c r="D7" s="18">
        <f>$D$4*C7</f>
        <v>45000</v>
      </c>
      <c r="F7" s="22">
        <v>50</v>
      </c>
      <c r="G7" s="21">
        <v>300</v>
      </c>
    </row>
    <row r="8" spans="1:15" x14ac:dyDescent="0.25">
      <c r="B8" s="19"/>
      <c r="E8" s="21"/>
    </row>
    <row r="9" spans="1:15" x14ac:dyDescent="0.25">
      <c r="A9" s="2"/>
      <c r="B9" s="2"/>
      <c r="C9" s="58">
        <v>2014</v>
      </c>
      <c r="D9" s="58">
        <v>2015</v>
      </c>
      <c r="E9" s="58">
        <v>2016</v>
      </c>
      <c r="F9" s="58">
        <v>2017</v>
      </c>
      <c r="G9" s="58">
        <v>2018</v>
      </c>
      <c r="H9" s="58">
        <v>2019</v>
      </c>
      <c r="I9" s="58">
        <v>2020</v>
      </c>
      <c r="J9" s="58">
        <v>2021</v>
      </c>
      <c r="K9" s="58">
        <v>2022</v>
      </c>
      <c r="L9" s="58">
        <v>2023</v>
      </c>
      <c r="M9" s="58">
        <v>2024</v>
      </c>
    </row>
    <row r="10" spans="1:15" x14ac:dyDescent="0.25">
      <c r="A10" s="1" t="s">
        <v>1</v>
      </c>
      <c r="B10" s="2"/>
      <c r="C10" s="2"/>
      <c r="D10" s="2"/>
      <c r="E10" s="2"/>
      <c r="F10" s="2"/>
      <c r="G10" s="2"/>
      <c r="H10" s="2"/>
    </row>
    <row r="11" spans="1:15" x14ac:dyDescent="0.25">
      <c r="A11" s="49" t="s">
        <v>63</v>
      </c>
      <c r="B11" s="2"/>
      <c r="C11" s="3">
        <f>G5</f>
        <v>28.125</v>
      </c>
      <c r="D11" s="3">
        <f t="shared" ref="D11:F11" si="0">(1+$N11)*C11</f>
        <v>28.125</v>
      </c>
      <c r="E11" s="59">
        <v>60</v>
      </c>
      <c r="F11" s="3">
        <f t="shared" si="0"/>
        <v>60</v>
      </c>
      <c r="G11" s="3">
        <v>60</v>
      </c>
      <c r="H11" s="3">
        <v>25</v>
      </c>
      <c r="I11" s="3">
        <v>20</v>
      </c>
      <c r="J11" s="3">
        <v>30</v>
      </c>
      <c r="K11" s="3">
        <v>40</v>
      </c>
      <c r="L11" s="3">
        <v>50</v>
      </c>
      <c r="M11" s="3">
        <v>52</v>
      </c>
      <c r="N11" s="4"/>
      <c r="O11" s="2"/>
    </row>
    <row r="12" spans="1:15" x14ac:dyDescent="0.25">
      <c r="A12" s="49" t="s">
        <v>69</v>
      </c>
      <c r="B12" s="2"/>
      <c r="C12" s="3">
        <f>G6</f>
        <v>1200</v>
      </c>
      <c r="D12" s="3">
        <f t="shared" ref="D12:F12" si="1">C12+(1+$N$12)</f>
        <v>1201.0999999999999</v>
      </c>
      <c r="E12" s="3">
        <v>480</v>
      </c>
      <c r="F12" s="3">
        <f t="shared" si="1"/>
        <v>481.1</v>
      </c>
      <c r="G12" s="3">
        <v>495</v>
      </c>
      <c r="H12" s="3">
        <v>400</v>
      </c>
      <c r="I12" s="3">
        <v>380</v>
      </c>
      <c r="J12" s="3">
        <v>445</v>
      </c>
      <c r="K12" s="3">
        <v>480</v>
      </c>
      <c r="L12" s="3">
        <v>465</v>
      </c>
      <c r="M12" s="3">
        <v>460</v>
      </c>
      <c r="N12" s="4">
        <v>0.1</v>
      </c>
      <c r="O12" s="2" t="s">
        <v>2</v>
      </c>
    </row>
    <row r="13" spans="1:15" x14ac:dyDescent="0.25">
      <c r="A13" s="49" t="s">
        <v>64</v>
      </c>
      <c r="B13" s="2"/>
      <c r="C13" s="3">
        <f>G7</f>
        <v>300</v>
      </c>
      <c r="D13" s="3">
        <f t="shared" ref="D13:M13" si="2">(1+$N13)*C13</f>
        <v>303</v>
      </c>
      <c r="E13" s="3">
        <f t="shared" si="2"/>
        <v>306.03000000000003</v>
      </c>
      <c r="F13" s="3">
        <f t="shared" si="2"/>
        <v>309.09030000000001</v>
      </c>
      <c r="G13" s="3">
        <f t="shared" si="2"/>
        <v>312.18120300000004</v>
      </c>
      <c r="H13" s="3">
        <f t="shared" si="2"/>
        <v>315.30301503000004</v>
      </c>
      <c r="I13" s="3">
        <f t="shared" si="2"/>
        <v>318.45604518030007</v>
      </c>
      <c r="J13" s="3">
        <f t="shared" si="2"/>
        <v>321.64060563210307</v>
      </c>
      <c r="K13" s="3">
        <f t="shared" si="2"/>
        <v>324.85701168842411</v>
      </c>
      <c r="L13" s="3">
        <f t="shared" si="2"/>
        <v>328.10558180530836</v>
      </c>
      <c r="M13" s="3">
        <f t="shared" si="2"/>
        <v>331.38663762336142</v>
      </c>
      <c r="N13" s="4">
        <v>0.01</v>
      </c>
      <c r="O13" s="2" t="s">
        <v>2</v>
      </c>
    </row>
    <row r="14" spans="1:15" x14ac:dyDescent="0.25">
      <c r="A14" s="49" t="s">
        <v>71</v>
      </c>
      <c r="B14" s="2"/>
      <c r="C14" s="5">
        <f>F5</f>
        <v>8000</v>
      </c>
      <c r="D14" s="5">
        <f t="shared" ref="D14:M14" si="3">(1+$N14)*C14</f>
        <v>8080</v>
      </c>
      <c r="E14" s="5">
        <f t="shared" si="3"/>
        <v>8160.8</v>
      </c>
      <c r="F14" s="5">
        <f t="shared" si="3"/>
        <v>8242.4079999999994</v>
      </c>
      <c r="G14" s="5">
        <f t="shared" si="3"/>
        <v>8324.8320800000001</v>
      </c>
      <c r="H14" s="5">
        <f t="shared" si="3"/>
        <v>8408.0804007999996</v>
      </c>
      <c r="I14" s="5">
        <f t="shared" si="3"/>
        <v>8492.1612048079987</v>
      </c>
      <c r="J14" s="5">
        <f t="shared" si="3"/>
        <v>8577.0828168560784</v>
      </c>
      <c r="K14" s="5">
        <f t="shared" si="3"/>
        <v>8662.8536450246393</v>
      </c>
      <c r="L14" s="5">
        <f t="shared" si="3"/>
        <v>8749.4821814748866</v>
      </c>
      <c r="M14" s="5">
        <f t="shared" si="3"/>
        <v>8836.9770032896358</v>
      </c>
      <c r="N14" s="4">
        <v>0.01</v>
      </c>
      <c r="O14" s="2" t="s">
        <v>2</v>
      </c>
    </row>
    <row r="15" spans="1:15" x14ac:dyDescent="0.25">
      <c r="A15" s="49" t="s">
        <v>72</v>
      </c>
      <c r="B15" s="2"/>
      <c r="C15" s="5">
        <f>F6</f>
        <v>25</v>
      </c>
      <c r="D15" s="5">
        <f t="shared" ref="D15:M15" si="4">(1+$N15)*C15</f>
        <v>25.75</v>
      </c>
      <c r="E15" s="5">
        <f t="shared" si="4"/>
        <v>26.522500000000001</v>
      </c>
      <c r="F15" s="5">
        <f t="shared" si="4"/>
        <v>27.318175</v>
      </c>
      <c r="G15" s="5">
        <f t="shared" si="4"/>
        <v>28.137720250000001</v>
      </c>
      <c r="H15" s="5">
        <f t="shared" si="4"/>
        <v>28.981851857500001</v>
      </c>
      <c r="I15" s="5">
        <f t="shared" si="4"/>
        <v>29.851307413225001</v>
      </c>
      <c r="J15" s="5">
        <f t="shared" si="4"/>
        <v>30.74684663562175</v>
      </c>
      <c r="K15" s="5">
        <f t="shared" si="4"/>
        <v>31.669252034690405</v>
      </c>
      <c r="L15" s="5">
        <f t="shared" si="4"/>
        <v>32.619329595731116</v>
      </c>
      <c r="M15" s="5">
        <f t="shared" si="4"/>
        <v>33.597909483603054</v>
      </c>
      <c r="N15" s="4">
        <v>0.03</v>
      </c>
      <c r="O15" s="2" t="s">
        <v>2</v>
      </c>
    </row>
    <row r="16" spans="1:15" x14ac:dyDescent="0.25">
      <c r="A16" s="49" t="s">
        <v>73</v>
      </c>
      <c r="B16" s="2"/>
      <c r="C16" s="20">
        <f>F7</f>
        <v>50</v>
      </c>
      <c r="D16" s="20">
        <f t="shared" ref="D16:M16" si="5">(1+$N16)*C16</f>
        <v>51.5</v>
      </c>
      <c r="E16" s="20">
        <f t="shared" si="5"/>
        <v>53.045000000000002</v>
      </c>
      <c r="F16" s="20">
        <f t="shared" si="5"/>
        <v>54.63635</v>
      </c>
      <c r="G16" s="20">
        <f t="shared" si="5"/>
        <v>56.275440500000002</v>
      </c>
      <c r="H16" s="20">
        <f t="shared" si="5"/>
        <v>57.963703715000001</v>
      </c>
      <c r="I16" s="20">
        <f t="shared" si="5"/>
        <v>59.702614826450002</v>
      </c>
      <c r="J16" s="20">
        <f t="shared" si="5"/>
        <v>61.493693271243501</v>
      </c>
      <c r="K16" s="20">
        <f t="shared" si="5"/>
        <v>63.338504069380811</v>
      </c>
      <c r="L16" s="20">
        <f t="shared" si="5"/>
        <v>65.238659191462233</v>
      </c>
      <c r="M16" s="20">
        <f t="shared" si="5"/>
        <v>67.195818967206108</v>
      </c>
      <c r="N16" s="7">
        <v>0.03</v>
      </c>
      <c r="O16" s="2" t="s">
        <v>2</v>
      </c>
    </row>
    <row r="17" spans="1:15" x14ac:dyDescent="0.25">
      <c r="A17" s="2"/>
      <c r="B17" s="2"/>
      <c r="C17" s="20"/>
      <c r="D17" s="20"/>
      <c r="E17" s="2"/>
      <c r="F17" s="2"/>
      <c r="N17" s="2"/>
      <c r="O17" s="2"/>
    </row>
    <row r="18" spans="1:15" x14ac:dyDescent="0.25">
      <c r="A18" s="1" t="s">
        <v>3</v>
      </c>
      <c r="B18" s="2"/>
      <c r="C18" s="2"/>
      <c r="D18" s="2"/>
      <c r="E18" s="2"/>
      <c r="F18" s="2"/>
      <c r="N18" s="2"/>
      <c r="O18" s="2"/>
    </row>
    <row r="19" spans="1:15" x14ac:dyDescent="0.25">
      <c r="A19" s="49" t="s">
        <v>141</v>
      </c>
      <c r="B19" s="2"/>
      <c r="C19" s="2">
        <v>180</v>
      </c>
      <c r="D19" s="2">
        <v>180</v>
      </c>
      <c r="E19" s="2">
        <v>180</v>
      </c>
      <c r="F19" s="2">
        <v>150</v>
      </c>
      <c r="G19" s="23">
        <v>150</v>
      </c>
      <c r="H19" s="23">
        <v>150</v>
      </c>
      <c r="I19" s="23">
        <v>120</v>
      </c>
      <c r="J19" s="23">
        <v>120</v>
      </c>
      <c r="K19" s="23">
        <v>120</v>
      </c>
      <c r="L19" s="23">
        <v>90</v>
      </c>
      <c r="M19" s="23">
        <v>90</v>
      </c>
      <c r="N19" s="2"/>
      <c r="O19" s="2" t="s">
        <v>4</v>
      </c>
    </row>
    <row r="20" spans="1:15" x14ac:dyDescent="0.25">
      <c r="A20" s="49" t="s">
        <v>5</v>
      </c>
      <c r="B20" s="2"/>
      <c r="C20" s="6">
        <v>2</v>
      </c>
      <c r="D20" s="6">
        <f t="shared" ref="D20:M20" si="6">(1+$N20)*C20</f>
        <v>1.94</v>
      </c>
      <c r="E20" s="6">
        <f t="shared" si="6"/>
        <v>1.8817999999999999</v>
      </c>
      <c r="F20" s="6">
        <f t="shared" si="6"/>
        <v>1.8253459999999999</v>
      </c>
      <c r="G20" s="6">
        <f t="shared" si="6"/>
        <v>1.7705856199999999</v>
      </c>
      <c r="H20" s="6">
        <f t="shared" si="6"/>
        <v>1.7174680513999998</v>
      </c>
      <c r="I20" s="6">
        <f t="shared" si="6"/>
        <v>1.6659440098579998</v>
      </c>
      <c r="J20" s="6">
        <f t="shared" si="6"/>
        <v>1.6159656895622598</v>
      </c>
      <c r="K20" s="6">
        <f t="shared" si="6"/>
        <v>1.567486718875392</v>
      </c>
      <c r="L20" s="6">
        <f t="shared" si="6"/>
        <v>1.5204621173091302</v>
      </c>
      <c r="M20" s="6">
        <f t="shared" si="6"/>
        <v>1.4748482537898562</v>
      </c>
      <c r="N20" s="7">
        <v>-0.03</v>
      </c>
      <c r="O20" s="2" t="s">
        <v>2</v>
      </c>
    </row>
    <row r="21" spans="1:15" x14ac:dyDescent="0.25">
      <c r="A21" s="49" t="s">
        <v>6</v>
      </c>
      <c r="B21" s="2"/>
      <c r="C21" s="6">
        <f t="shared" ref="C21:M21" si="7">365/C20</f>
        <v>182.5</v>
      </c>
      <c r="D21" s="6">
        <f t="shared" si="7"/>
        <v>188.14432989690721</v>
      </c>
      <c r="E21" s="6">
        <f t="shared" si="7"/>
        <v>193.96322669784249</v>
      </c>
      <c r="F21" s="6">
        <f t="shared" si="7"/>
        <v>199.96208937921907</v>
      </c>
      <c r="G21" s="6">
        <f t="shared" si="7"/>
        <v>206.14648389610215</v>
      </c>
      <c r="H21" s="6">
        <f t="shared" si="7"/>
        <v>212.52214834649706</v>
      </c>
      <c r="I21" s="6">
        <f t="shared" si="7"/>
        <v>219.09499829535778</v>
      </c>
      <c r="J21" s="6">
        <f t="shared" si="7"/>
        <v>225.87113226325545</v>
      </c>
      <c r="K21" s="6">
        <f t="shared" si="7"/>
        <v>232.85683738479943</v>
      </c>
      <c r="L21" s="6">
        <f t="shared" si="7"/>
        <v>240.0585952420613</v>
      </c>
      <c r="M21" s="6">
        <f t="shared" si="7"/>
        <v>247.48308787841373</v>
      </c>
      <c r="N21" s="7"/>
      <c r="O21" s="2"/>
    </row>
    <row r="22" spans="1:15" x14ac:dyDescent="0.25">
      <c r="A22" s="49" t="s">
        <v>7</v>
      </c>
      <c r="B22" s="2"/>
      <c r="C22" s="3">
        <v>60</v>
      </c>
      <c r="D22" s="3">
        <v>60</v>
      </c>
      <c r="E22" s="2">
        <v>60</v>
      </c>
      <c r="F22" s="2">
        <v>60</v>
      </c>
      <c r="G22" s="2">
        <v>60</v>
      </c>
      <c r="H22" s="2">
        <v>60</v>
      </c>
      <c r="I22" s="2">
        <v>60</v>
      </c>
      <c r="J22" s="2">
        <v>60</v>
      </c>
      <c r="K22" s="2">
        <v>60</v>
      </c>
      <c r="L22" s="2">
        <v>60</v>
      </c>
      <c r="M22" s="2">
        <v>60</v>
      </c>
      <c r="N22" s="2"/>
      <c r="O22" s="2" t="s">
        <v>4</v>
      </c>
    </row>
    <row r="23" spans="1:15" x14ac:dyDescent="0.25">
      <c r="A23" s="49"/>
      <c r="B23" s="2"/>
      <c r="C23" s="8"/>
      <c r="D23" s="8"/>
      <c r="E23" s="2"/>
      <c r="F23" s="2"/>
      <c r="N23" s="2"/>
      <c r="O23" s="2"/>
    </row>
    <row r="24" spans="1:15" x14ac:dyDescent="0.25">
      <c r="A24" s="1" t="s">
        <v>8</v>
      </c>
      <c r="B24" s="2"/>
      <c r="C24" s="25"/>
      <c r="D24" s="25"/>
      <c r="E24" s="2"/>
      <c r="F24" s="2"/>
      <c r="N24" s="2"/>
      <c r="O24" s="2"/>
    </row>
    <row r="25" spans="1:15" x14ac:dyDescent="0.25">
      <c r="A25" s="50" t="s">
        <v>74</v>
      </c>
      <c r="B25" s="2"/>
      <c r="C25" s="10">
        <f>C11*C14</f>
        <v>225000</v>
      </c>
      <c r="D25" s="10">
        <f t="shared" ref="D25:M25" si="8">D11*D14</f>
        <v>227250</v>
      </c>
      <c r="E25" s="10">
        <f t="shared" si="8"/>
        <v>489648</v>
      </c>
      <c r="F25" s="10">
        <f t="shared" si="8"/>
        <v>494544.48</v>
      </c>
      <c r="G25" s="10">
        <f t="shared" si="8"/>
        <v>499489.92480000004</v>
      </c>
      <c r="H25" s="10">
        <f t="shared" si="8"/>
        <v>210202.01001999999</v>
      </c>
      <c r="I25" s="10">
        <f t="shared" si="8"/>
        <v>169843.22409615997</v>
      </c>
      <c r="J25" s="10">
        <f t="shared" si="8"/>
        <v>257312.48450568234</v>
      </c>
      <c r="K25" s="10">
        <f t="shared" si="8"/>
        <v>346514.14580098557</v>
      </c>
      <c r="L25" s="10">
        <f t="shared" si="8"/>
        <v>437474.10907374433</v>
      </c>
      <c r="M25" s="10">
        <f t="shared" si="8"/>
        <v>459522.80417106109</v>
      </c>
      <c r="N25" s="18"/>
      <c r="O25" s="2"/>
    </row>
    <row r="26" spans="1:15" x14ac:dyDescent="0.25">
      <c r="A26" s="50" t="s">
        <v>75</v>
      </c>
      <c r="B26" s="2"/>
      <c r="C26" s="11">
        <f>C12*C15</f>
        <v>30000</v>
      </c>
      <c r="D26" s="11">
        <f t="shared" ref="D26:M26" si="9">D12*D15</f>
        <v>30928.324999999997</v>
      </c>
      <c r="E26" s="11">
        <f t="shared" si="9"/>
        <v>12730.800000000001</v>
      </c>
      <c r="F26" s="11">
        <f t="shared" si="9"/>
        <v>13142.773992500001</v>
      </c>
      <c r="G26" s="11">
        <f t="shared" si="9"/>
        <v>13928.171523750001</v>
      </c>
      <c r="H26" s="11">
        <f t="shared" si="9"/>
        <v>11592.740743</v>
      </c>
      <c r="I26" s="11">
        <f t="shared" si="9"/>
        <v>11343.4968170255</v>
      </c>
      <c r="J26" s="11">
        <f t="shared" si="9"/>
        <v>13682.346752851679</v>
      </c>
      <c r="K26" s="11">
        <f t="shared" si="9"/>
        <v>15201.240976651394</v>
      </c>
      <c r="L26" s="11">
        <f t="shared" si="9"/>
        <v>15167.988262014969</v>
      </c>
      <c r="M26" s="11">
        <f t="shared" si="9"/>
        <v>15455.038362457404</v>
      </c>
    </row>
    <row r="27" spans="1:15" x14ac:dyDescent="0.25">
      <c r="A27" s="49" t="s">
        <v>76</v>
      </c>
      <c r="C27" s="39">
        <f>+C16*C13</f>
        <v>15000</v>
      </c>
      <c r="D27" s="39">
        <f t="shared" ref="D27:M27" si="10">+D16*D13</f>
        <v>15604.5</v>
      </c>
      <c r="E27" s="39">
        <f t="shared" si="10"/>
        <v>16233.361350000003</v>
      </c>
      <c r="F27" s="39">
        <f t="shared" si="10"/>
        <v>16887.565812405002</v>
      </c>
      <c r="G27" s="39">
        <f t="shared" si="10"/>
        <v>17568.134714644926</v>
      </c>
      <c r="H27" s="39">
        <f t="shared" si="10"/>
        <v>18276.130543645115</v>
      </c>
      <c r="I27" s="39">
        <f t="shared" si="10"/>
        <v>19012.658604554013</v>
      </c>
      <c r="J27" s="39">
        <f t="shared" si="10"/>
        <v>19778.868746317541</v>
      </c>
      <c r="K27" s="39">
        <f t="shared" si="10"/>
        <v>20575.957156794138</v>
      </c>
      <c r="L27" s="39">
        <f t="shared" si="10"/>
        <v>21405.168230212945</v>
      </c>
      <c r="M27" s="39">
        <f t="shared" si="10"/>
        <v>22267.796509890526</v>
      </c>
      <c r="N27" s="18"/>
      <c r="O27" s="2"/>
    </row>
    <row r="28" spans="1:15" x14ac:dyDescent="0.25">
      <c r="A28" s="9"/>
      <c r="B28" s="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"/>
      <c r="O28" s="2"/>
    </row>
    <row r="29" spans="1:15" x14ac:dyDescent="0.25">
      <c r="A29" s="2" t="s">
        <v>9</v>
      </c>
      <c r="B29" s="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"/>
      <c r="O29" s="2"/>
    </row>
    <row r="30" spans="1:15" x14ac:dyDescent="0.25">
      <c r="A30" s="2"/>
      <c r="B30" s="2"/>
      <c r="C30" s="24">
        <f>SUM(C25:C27)*0.75</f>
        <v>202500</v>
      </c>
      <c r="D30" s="24">
        <f t="shared" ref="D30" si="11">SUM(D25:D27)*0.75</f>
        <v>205337.11875000002</v>
      </c>
      <c r="E30" s="24">
        <f>SUM(E25:E27)*0.5</f>
        <v>259306.080675</v>
      </c>
      <c r="F30" s="24">
        <f>SUM(F25:F27)*0.5</f>
        <v>262287.40990245249</v>
      </c>
      <c r="G30" s="24">
        <f>SUM(G25:G27)*0.5</f>
        <v>265493.11551919748</v>
      </c>
      <c r="H30" s="24">
        <f>SUM(H25:H27)*0.25</f>
        <v>60017.720326661278</v>
      </c>
      <c r="I30" s="24">
        <f>SUM(I25:I27)*0.25</f>
        <v>50049.844879434873</v>
      </c>
      <c r="J30" s="24">
        <f>SUM(J25:J27)*0.25</f>
        <v>72693.42500121289</v>
      </c>
      <c r="K30" s="24">
        <f>SUM(K25:K27)*0.25</f>
        <v>95572.835983607773</v>
      </c>
      <c r="L30" s="24">
        <f>SUM(L25:L27)*0.2</f>
        <v>94809.453113194453</v>
      </c>
      <c r="M30" s="24">
        <f>SUM(M25:M27)*0.2</f>
        <v>99449.127808681806</v>
      </c>
      <c r="N30" s="7"/>
      <c r="O30" s="2"/>
    </row>
    <row r="31" spans="1:15" x14ac:dyDescent="0.25">
      <c r="B31" s="2"/>
      <c r="C31" s="11"/>
      <c r="D31" s="11"/>
      <c r="E31" s="11"/>
      <c r="F31" s="11"/>
      <c r="N31" s="2"/>
      <c r="O31" s="2"/>
    </row>
    <row r="32" spans="1:15" x14ac:dyDescent="0.25">
      <c r="A32" s="15" t="s">
        <v>124</v>
      </c>
      <c r="B32" s="2"/>
      <c r="C32" s="11"/>
      <c r="D32" s="11"/>
      <c r="E32" s="11"/>
      <c r="F32" s="11"/>
      <c r="N32" s="2"/>
      <c r="O32" s="2"/>
    </row>
    <row r="33" spans="1:15" x14ac:dyDescent="0.25">
      <c r="A33" s="49" t="s">
        <v>10</v>
      </c>
      <c r="B33" s="2"/>
      <c r="C33" s="11">
        <f>(SUM(C25:C27)*0.75)</f>
        <v>202500</v>
      </c>
      <c r="D33" s="11">
        <f>(SUM(D25:D27)*0.75)</f>
        <v>205337.11875000002</v>
      </c>
      <c r="E33" s="11">
        <f>(SUM(E25:E27)*0.5)</f>
        <v>259306.080675</v>
      </c>
      <c r="F33" s="11">
        <f t="shared" ref="F33:M33" si="12">(SUM(F25:F27)*$N$33)</f>
        <v>78686.222970735747</v>
      </c>
      <c r="G33" s="11">
        <f t="shared" si="12"/>
        <v>79647.934655759236</v>
      </c>
      <c r="H33" s="11">
        <f t="shared" si="12"/>
        <v>36010.632195996768</v>
      </c>
      <c r="I33" s="11">
        <f t="shared" si="12"/>
        <v>30029.906927660923</v>
      </c>
      <c r="J33" s="11">
        <f t="shared" si="12"/>
        <v>43616.055000727734</v>
      </c>
      <c r="K33" s="11">
        <f t="shared" si="12"/>
        <v>57343.701590164659</v>
      </c>
      <c r="L33" s="11">
        <f t="shared" si="12"/>
        <v>71107.089834895829</v>
      </c>
      <c r="M33" s="11">
        <f t="shared" si="12"/>
        <v>74586.845856511354</v>
      </c>
      <c r="N33" s="18">
        <v>0.15</v>
      </c>
      <c r="O33" s="2" t="s">
        <v>77</v>
      </c>
    </row>
    <row r="34" spans="1:15" x14ac:dyDescent="0.25">
      <c r="A34" s="49" t="s">
        <v>11</v>
      </c>
      <c r="B34" s="2"/>
      <c r="C34" s="11">
        <f t="shared" ref="C34:M34" si="13">SUM(C25:C27)*$N$34</f>
        <v>29700</v>
      </c>
      <c r="D34" s="11">
        <f t="shared" si="13"/>
        <v>30116.11075</v>
      </c>
      <c r="E34" s="11">
        <f t="shared" si="13"/>
        <v>57047.337748500002</v>
      </c>
      <c r="F34" s="11">
        <f t="shared" si="13"/>
        <v>57703.230178539547</v>
      </c>
      <c r="G34" s="11">
        <f t="shared" si="13"/>
        <v>58408.485414223447</v>
      </c>
      <c r="H34" s="11">
        <f t="shared" si="13"/>
        <v>26407.796943730962</v>
      </c>
      <c r="I34" s="11">
        <f t="shared" si="13"/>
        <v>22021.931746951344</v>
      </c>
      <c r="J34" s="11">
        <f t="shared" si="13"/>
        <v>31985.107000533673</v>
      </c>
      <c r="K34" s="11">
        <f t="shared" si="13"/>
        <v>42052.047832787423</v>
      </c>
      <c r="L34" s="11">
        <f t="shared" si="13"/>
        <v>52145.19921225695</v>
      </c>
      <c r="M34" s="11">
        <f t="shared" si="13"/>
        <v>54697.020294774993</v>
      </c>
      <c r="N34" s="48">
        <v>0.11</v>
      </c>
      <c r="O34" s="2" t="s">
        <v>12</v>
      </c>
    </row>
    <row r="35" spans="1:15" x14ac:dyDescent="0.25">
      <c r="A35" s="49" t="s">
        <v>13</v>
      </c>
      <c r="B35" s="2"/>
      <c r="C35" s="11">
        <v>10000</v>
      </c>
      <c r="D35" s="11">
        <v>10000</v>
      </c>
      <c r="E35" s="11">
        <v>10000</v>
      </c>
      <c r="F35" s="11">
        <v>10000</v>
      </c>
      <c r="G35" s="11">
        <v>10000</v>
      </c>
      <c r="H35" s="11">
        <v>10000</v>
      </c>
      <c r="I35" s="11">
        <v>10000</v>
      </c>
      <c r="J35" s="11">
        <v>10000</v>
      </c>
      <c r="K35" s="11">
        <v>10000</v>
      </c>
      <c r="L35" s="11">
        <v>10000</v>
      </c>
      <c r="M35" s="11">
        <v>10000</v>
      </c>
      <c r="N35" s="4"/>
      <c r="O35" s="2"/>
    </row>
    <row r="36" spans="1:15" x14ac:dyDescent="0.25">
      <c r="A36" s="49" t="s">
        <v>125</v>
      </c>
      <c r="B36" s="2"/>
      <c r="C36" s="11">
        <v>25000</v>
      </c>
      <c r="D36" s="11">
        <f>C36</f>
        <v>25000</v>
      </c>
      <c r="E36" s="11">
        <f t="shared" ref="E36:M36" si="14">D36</f>
        <v>25000</v>
      </c>
      <c r="F36" s="11">
        <f t="shared" si="14"/>
        <v>25000</v>
      </c>
      <c r="G36" s="11">
        <f t="shared" si="14"/>
        <v>25000</v>
      </c>
      <c r="H36" s="11">
        <f t="shared" si="14"/>
        <v>25000</v>
      </c>
      <c r="I36" s="11">
        <f t="shared" si="14"/>
        <v>25000</v>
      </c>
      <c r="J36" s="11">
        <f t="shared" si="14"/>
        <v>25000</v>
      </c>
      <c r="K36" s="11">
        <f t="shared" si="14"/>
        <v>25000</v>
      </c>
      <c r="L36" s="11">
        <f t="shared" si="14"/>
        <v>25000</v>
      </c>
      <c r="M36" s="11">
        <f t="shared" si="14"/>
        <v>25000</v>
      </c>
      <c r="N36" s="2"/>
      <c r="O36" s="2"/>
    </row>
    <row r="37" spans="1:15" x14ac:dyDescent="0.25">
      <c r="A37" s="2"/>
      <c r="B37" s="2"/>
      <c r="C37" s="11"/>
      <c r="D37" s="11"/>
      <c r="E37" s="11"/>
      <c r="F37" s="11"/>
      <c r="N37" s="2"/>
      <c r="O37" s="2"/>
    </row>
    <row r="38" spans="1:15" x14ac:dyDescent="0.25">
      <c r="A38" s="2"/>
      <c r="B38" s="2"/>
      <c r="C38" s="11"/>
      <c r="D38" s="11"/>
      <c r="E38" s="11"/>
      <c r="F38" s="11"/>
      <c r="N38" s="2"/>
      <c r="O38" s="2"/>
    </row>
    <row r="39" spans="1:15" x14ac:dyDescent="0.25">
      <c r="A39" s="49" t="s">
        <v>14</v>
      </c>
      <c r="B39" s="2"/>
      <c r="C39" s="26">
        <f>$C$56/$N39</f>
        <v>11666.666666666666</v>
      </c>
      <c r="D39" s="26">
        <f t="shared" ref="D39:M39" si="15">$C$56/$N39</f>
        <v>11666.666666666666</v>
      </c>
      <c r="E39" s="26">
        <f t="shared" si="15"/>
        <v>11666.666666666666</v>
      </c>
      <c r="F39" s="26">
        <f t="shared" si="15"/>
        <v>11666.666666666666</v>
      </c>
      <c r="G39" s="26">
        <f t="shared" si="15"/>
        <v>11666.666666666666</v>
      </c>
      <c r="H39" s="26">
        <f t="shared" si="15"/>
        <v>11666.666666666666</v>
      </c>
      <c r="I39" s="26">
        <f t="shared" si="15"/>
        <v>11666.666666666666</v>
      </c>
      <c r="J39" s="26">
        <f t="shared" si="15"/>
        <v>11666.666666666666</v>
      </c>
      <c r="K39" s="26">
        <f t="shared" si="15"/>
        <v>11666.666666666666</v>
      </c>
      <c r="L39" s="26">
        <f t="shared" si="15"/>
        <v>11666.666666666666</v>
      </c>
      <c r="M39" s="26">
        <f t="shared" si="15"/>
        <v>11666.666666666666</v>
      </c>
      <c r="N39" s="2">
        <v>30</v>
      </c>
      <c r="O39" s="2" t="s">
        <v>15</v>
      </c>
    </row>
    <row r="40" spans="1:15" x14ac:dyDescent="0.25">
      <c r="A40" s="49"/>
      <c r="B40" s="2"/>
      <c r="C40" s="11"/>
      <c r="D40" s="11"/>
      <c r="E40" s="11"/>
      <c r="F40" s="11"/>
      <c r="N40" s="12"/>
      <c r="O40" s="2"/>
    </row>
    <row r="41" spans="1:15" x14ac:dyDescent="0.25">
      <c r="A41" s="49" t="s">
        <v>16</v>
      </c>
      <c r="B41" s="2"/>
      <c r="C41" s="41">
        <f>C66*$N$41</f>
        <v>17071.068849730116</v>
      </c>
      <c r="D41" s="41">
        <f t="shared" ref="D41:M41" si="16">D66*$N$41</f>
        <v>16190.077315123657</v>
      </c>
      <c r="E41" s="41">
        <f t="shared" si="16"/>
        <v>15422.500066483095</v>
      </c>
      <c r="F41" s="41">
        <f t="shared" si="16"/>
        <v>14626.586692772225</v>
      </c>
      <c r="G41" s="41">
        <f t="shared" si="16"/>
        <v>13871.748248270052</v>
      </c>
      <c r="H41" s="41">
        <f t="shared" si="16"/>
        <v>13155.864967352287</v>
      </c>
      <c r="I41" s="41">
        <f t="shared" si="16"/>
        <v>12476.92647974574</v>
      </c>
      <c r="J41" s="41">
        <f t="shared" si="16"/>
        <v>11833.026164931129</v>
      </c>
      <c r="K41" s="41">
        <f t="shared" si="16"/>
        <v>11222.355797899845</v>
      </c>
      <c r="L41" s="41">
        <f t="shared" si="16"/>
        <v>10643.200471228678</v>
      </c>
      <c r="M41" s="41">
        <f t="shared" si="16"/>
        <v>10093.933779212486</v>
      </c>
      <c r="N41" s="48">
        <v>0.04</v>
      </c>
      <c r="O41" s="2" t="s">
        <v>126</v>
      </c>
    </row>
    <row r="42" spans="1:15" x14ac:dyDescent="0.25">
      <c r="A42" s="49" t="s">
        <v>17</v>
      </c>
      <c r="B42" s="2"/>
      <c r="C42" s="41">
        <f t="shared" ref="C42:M42" si="17">$N$42*C67</f>
        <v>2847.9301670909294</v>
      </c>
      <c r="D42" s="41">
        <f t="shared" si="17"/>
        <v>24383.201746774717</v>
      </c>
      <c r="E42" s="41">
        <f t="shared" si="17"/>
        <v>38744.044895863553</v>
      </c>
      <c r="F42" s="41">
        <f t="shared" si="17"/>
        <v>37604.776899948323</v>
      </c>
      <c r="G42" s="41">
        <f t="shared" si="17"/>
        <v>36679.662983067872</v>
      </c>
      <c r="H42" s="41">
        <f t="shared" si="17"/>
        <v>28762.930712439997</v>
      </c>
      <c r="I42" s="41">
        <f t="shared" si="17"/>
        <v>28469.602795857521</v>
      </c>
      <c r="J42" s="41">
        <f t="shared" si="17"/>
        <v>25252.751079034446</v>
      </c>
      <c r="K42" s="41">
        <f t="shared" si="17"/>
        <v>18634.5178097311</v>
      </c>
      <c r="L42" s="41">
        <f t="shared" si="17"/>
        <v>5172.1223885215586</v>
      </c>
      <c r="M42" s="41">
        <f t="shared" si="17"/>
        <v>0</v>
      </c>
      <c r="N42" s="4">
        <v>0.08</v>
      </c>
      <c r="O42" s="2" t="s">
        <v>18</v>
      </c>
    </row>
    <row r="43" spans="1:15" x14ac:dyDescent="0.25">
      <c r="A43" s="49"/>
      <c r="B43" s="2"/>
      <c r="C43" s="11"/>
      <c r="D43" s="11"/>
      <c r="E43" s="11"/>
      <c r="F43" s="11"/>
      <c r="N43" s="2"/>
      <c r="O43" s="2"/>
    </row>
    <row r="44" spans="1:15" x14ac:dyDescent="0.25">
      <c r="A44" s="49" t="s">
        <v>19</v>
      </c>
      <c r="B44" s="2"/>
      <c r="C44" s="55">
        <f>SUM(C25:C27)-SUM(C30:C42)</f>
        <v>-231285.66568348772</v>
      </c>
      <c r="D44" s="55">
        <f t="shared" ref="D44:M44" si="18">SUM(D25:D27)-SUM(D30:D42)</f>
        <v>-254247.46897856501</v>
      </c>
      <c r="E44" s="55">
        <f t="shared" si="18"/>
        <v>-157880.54937751318</v>
      </c>
      <c r="F44" s="55">
        <f t="shared" si="18"/>
        <v>26999.926493790001</v>
      </c>
      <c r="G44" s="55">
        <f t="shared" si="18"/>
        <v>30218.617551210162</v>
      </c>
      <c r="H44" s="55">
        <f t="shared" si="18"/>
        <v>29049.269493797183</v>
      </c>
      <c r="I44" s="55">
        <f t="shared" si="18"/>
        <v>10484.500021422427</v>
      </c>
      <c r="J44" s="55">
        <f t="shared" si="18"/>
        <v>58726.669091745047</v>
      </c>
      <c r="K44" s="55">
        <f t="shared" si="18"/>
        <v>110799.21825357364</v>
      </c>
      <c r="L44" s="55">
        <f t="shared" si="18"/>
        <v>193503.53387920809</v>
      </c>
      <c r="M44" s="55">
        <f t="shared" si="18"/>
        <v>211752.04463756172</v>
      </c>
      <c r="N44" s="4"/>
      <c r="O44" s="2"/>
    </row>
    <row r="45" spans="1:15" x14ac:dyDescent="0.25">
      <c r="A45" s="51" t="s">
        <v>20</v>
      </c>
      <c r="B45" s="2"/>
      <c r="C45" s="11">
        <f t="shared" ref="C45:M45" si="19">IF(C44&lt;0,0,C44*$N$45)</f>
        <v>0</v>
      </c>
      <c r="D45" s="11">
        <f t="shared" si="19"/>
        <v>0</v>
      </c>
      <c r="E45" s="11">
        <f t="shared" si="19"/>
        <v>0</v>
      </c>
      <c r="F45" s="11">
        <f t="shared" si="19"/>
        <v>5399.9852987580007</v>
      </c>
      <c r="G45" s="11">
        <f t="shared" si="19"/>
        <v>6043.7235102420327</v>
      </c>
      <c r="H45" s="11">
        <f t="shared" si="19"/>
        <v>5809.8538987594366</v>
      </c>
      <c r="I45" s="11">
        <f t="shared" si="19"/>
        <v>2096.9000042844855</v>
      </c>
      <c r="J45" s="11">
        <f t="shared" si="19"/>
        <v>11745.33381834901</v>
      </c>
      <c r="K45" s="11">
        <f t="shared" si="19"/>
        <v>22159.843650714727</v>
      </c>
      <c r="L45" s="11">
        <f t="shared" si="19"/>
        <v>38700.706775841616</v>
      </c>
      <c r="M45" s="11">
        <f t="shared" si="19"/>
        <v>42350.408927512348</v>
      </c>
      <c r="N45" s="7">
        <v>0.2</v>
      </c>
      <c r="O45" s="2" t="s">
        <v>89</v>
      </c>
    </row>
    <row r="46" spans="1:15" ht="15.75" thickBot="1" x14ac:dyDescent="0.3">
      <c r="A46" s="49" t="s">
        <v>21</v>
      </c>
      <c r="B46" s="2"/>
      <c r="C46" s="56">
        <f t="shared" ref="C46:M46" si="20">C44-C45</f>
        <v>-231285.66568348772</v>
      </c>
      <c r="D46" s="56">
        <f t="shared" si="20"/>
        <v>-254247.46897856501</v>
      </c>
      <c r="E46" s="56">
        <f t="shared" si="20"/>
        <v>-157880.54937751318</v>
      </c>
      <c r="F46" s="56">
        <f t="shared" si="20"/>
        <v>21599.941195031999</v>
      </c>
      <c r="G46" s="56">
        <f t="shared" si="20"/>
        <v>24174.894040968131</v>
      </c>
      <c r="H46" s="56">
        <f t="shared" si="20"/>
        <v>23239.415595037746</v>
      </c>
      <c r="I46" s="56">
        <f t="shared" si="20"/>
        <v>8387.6000171379419</v>
      </c>
      <c r="J46" s="56">
        <f t="shared" si="20"/>
        <v>46981.335273396035</v>
      </c>
      <c r="K46" s="56">
        <f t="shared" si="20"/>
        <v>88639.374602858908</v>
      </c>
      <c r="L46" s="56">
        <f t="shared" si="20"/>
        <v>154802.82710336646</v>
      </c>
      <c r="M46" s="56">
        <f t="shared" si="20"/>
        <v>169401.63571004936</v>
      </c>
      <c r="N46" s="2"/>
      <c r="O46" s="2"/>
    </row>
    <row r="47" spans="1:15" ht="15.75" thickTop="1" x14ac:dyDescent="0.25">
      <c r="A47" s="2"/>
      <c r="B47" s="2"/>
      <c r="C47" s="2"/>
      <c r="D47" s="2"/>
      <c r="E47" s="2"/>
      <c r="F47" s="2"/>
      <c r="N47" s="2"/>
      <c r="O47" s="2"/>
    </row>
    <row r="48" spans="1:15" x14ac:dyDescent="0.25">
      <c r="B48" s="2"/>
      <c r="C48" s="74" t="s">
        <v>22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2"/>
      <c r="O48" s="2"/>
    </row>
    <row r="49" spans="1:15" x14ac:dyDescent="0.25">
      <c r="A49" s="1" t="s">
        <v>23</v>
      </c>
      <c r="B49" s="2"/>
      <c r="C49" s="2"/>
      <c r="D49" s="2"/>
      <c r="E49" s="2"/>
      <c r="F49" s="2"/>
      <c r="N49" s="2"/>
      <c r="O49" s="2"/>
    </row>
    <row r="50" spans="1:15" x14ac:dyDescent="0.25">
      <c r="A50" s="49" t="s">
        <v>24</v>
      </c>
      <c r="B50" s="2"/>
      <c r="C50" s="11">
        <v>10000</v>
      </c>
      <c r="D50" s="11">
        <v>10000</v>
      </c>
      <c r="E50" s="11">
        <v>10000</v>
      </c>
      <c r="F50" s="11">
        <v>10000</v>
      </c>
      <c r="G50" s="11">
        <v>10000</v>
      </c>
      <c r="H50" s="11">
        <v>10000</v>
      </c>
      <c r="I50" s="11">
        <v>10000</v>
      </c>
      <c r="J50" s="11">
        <v>10000</v>
      </c>
      <c r="K50" s="11">
        <v>10000</v>
      </c>
      <c r="L50" s="11">
        <v>10000</v>
      </c>
      <c r="M50" s="11">
        <v>10000</v>
      </c>
      <c r="N50" s="10"/>
      <c r="O50" s="2"/>
    </row>
    <row r="51" spans="1:15" x14ac:dyDescent="0.25">
      <c r="A51" s="49" t="s">
        <v>25</v>
      </c>
      <c r="B51" s="2"/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101952</v>
      </c>
      <c r="N51" s="10"/>
      <c r="O51" s="2"/>
    </row>
    <row r="52" spans="1:15" x14ac:dyDescent="0.25">
      <c r="A52" s="49" t="s">
        <v>26</v>
      </c>
      <c r="B52" s="2"/>
      <c r="C52" s="10">
        <f>C19/365*C26</f>
        <v>14794.520547945205</v>
      </c>
      <c r="D52" s="10">
        <f t="shared" ref="D52:M52" si="21">D19/365*D26</f>
        <v>15252.324657534244</v>
      </c>
      <c r="E52" s="10">
        <f t="shared" si="21"/>
        <v>6278.2027397260272</v>
      </c>
      <c r="F52" s="10">
        <f t="shared" si="21"/>
        <v>5401.1399969178083</v>
      </c>
      <c r="G52" s="10">
        <f t="shared" si="21"/>
        <v>5723.9061056506853</v>
      </c>
      <c r="H52" s="10">
        <f t="shared" si="21"/>
        <v>4764.1400313698632</v>
      </c>
      <c r="I52" s="10">
        <f t="shared" si="21"/>
        <v>3729.3688165563285</v>
      </c>
      <c r="J52" s="10">
        <f t="shared" si="21"/>
        <v>4498.3057817594563</v>
      </c>
      <c r="K52" s="10">
        <f t="shared" si="21"/>
        <v>4997.6682662963485</v>
      </c>
      <c r="L52" s="10">
        <f t="shared" si="21"/>
        <v>3740.0519002228689</v>
      </c>
      <c r="M52" s="10">
        <f t="shared" si="21"/>
        <v>3810.8313770442915</v>
      </c>
      <c r="N52" s="2"/>
      <c r="O52" s="2"/>
    </row>
    <row r="53" spans="1:15" x14ac:dyDescent="0.25">
      <c r="A53" s="49" t="s">
        <v>27</v>
      </c>
      <c r="B53" s="2"/>
      <c r="C53" s="10">
        <f>C30/365*C21</f>
        <v>101250</v>
      </c>
      <c r="D53" s="10">
        <f t="shared" ref="D53:M53" si="22">D30/365*D21</f>
        <v>105843.87564432991</v>
      </c>
      <c r="E53" s="10">
        <f t="shared" si="22"/>
        <v>137796.8331783399</v>
      </c>
      <c r="F53" s="10">
        <f t="shared" si="22"/>
        <v>143691.88630673446</v>
      </c>
      <c r="G53" s="10">
        <f t="shared" si="22"/>
        <v>149946.49935042256</v>
      </c>
      <c r="H53" s="10">
        <f t="shared" si="22"/>
        <v>34945.46537720898</v>
      </c>
      <c r="I53" s="10">
        <f t="shared" si="22"/>
        <v>30042.933365870424</v>
      </c>
      <c r="J53" s="10">
        <f t="shared" si="22"/>
        <v>44984.51017292602</v>
      </c>
      <c r="K53" s="10">
        <f t="shared" si="22"/>
        <v>60972.022813805655</v>
      </c>
      <c r="L53" s="10">
        <f t="shared" si="22"/>
        <v>62355.682548004203</v>
      </c>
      <c r="M53" s="10">
        <f t="shared" si="22"/>
        <v>67430.074621664651</v>
      </c>
      <c r="N53" s="2"/>
      <c r="O53" s="2"/>
    </row>
    <row r="54" spans="1:15" x14ac:dyDescent="0.25">
      <c r="A54" s="49"/>
      <c r="B54" s="2"/>
      <c r="C54" s="2"/>
      <c r="D54" s="2"/>
      <c r="E54" s="2"/>
      <c r="F54" s="2"/>
      <c r="N54" s="2"/>
      <c r="O54" s="2"/>
    </row>
    <row r="55" spans="1:15" x14ac:dyDescent="0.25">
      <c r="A55" s="49" t="s">
        <v>28</v>
      </c>
      <c r="B55" s="2"/>
      <c r="C55" s="10">
        <v>100000</v>
      </c>
      <c r="D55" s="10">
        <f t="shared" ref="D55:M55" si="23">C55</f>
        <v>100000</v>
      </c>
      <c r="E55" s="10">
        <f t="shared" si="23"/>
        <v>100000</v>
      </c>
      <c r="F55" s="10">
        <f t="shared" si="23"/>
        <v>100000</v>
      </c>
      <c r="G55" s="10">
        <f t="shared" si="23"/>
        <v>100000</v>
      </c>
      <c r="H55" s="10">
        <f t="shared" si="23"/>
        <v>100000</v>
      </c>
      <c r="I55" s="10">
        <f t="shared" si="23"/>
        <v>100000</v>
      </c>
      <c r="J55" s="10">
        <f t="shared" si="23"/>
        <v>100000</v>
      </c>
      <c r="K55" s="10">
        <f t="shared" si="23"/>
        <v>100000</v>
      </c>
      <c r="L55" s="10">
        <f t="shared" si="23"/>
        <v>100000</v>
      </c>
      <c r="M55" s="10">
        <f t="shared" si="23"/>
        <v>100000</v>
      </c>
      <c r="N55" s="2"/>
      <c r="O55" s="2"/>
    </row>
    <row r="56" spans="1:15" x14ac:dyDescent="0.25">
      <c r="A56" s="49" t="s">
        <v>29</v>
      </c>
      <c r="B56" s="2"/>
      <c r="C56" s="11">
        <v>350000</v>
      </c>
      <c r="D56" s="11">
        <f t="shared" ref="D56:M56" si="24">$C$56</f>
        <v>350000</v>
      </c>
      <c r="E56" s="11">
        <f t="shared" si="24"/>
        <v>350000</v>
      </c>
      <c r="F56" s="11">
        <f t="shared" si="24"/>
        <v>350000</v>
      </c>
      <c r="G56" s="11">
        <f t="shared" si="24"/>
        <v>350000</v>
      </c>
      <c r="H56" s="11">
        <f t="shared" si="24"/>
        <v>350000</v>
      </c>
      <c r="I56" s="11">
        <f t="shared" si="24"/>
        <v>350000</v>
      </c>
      <c r="J56" s="11">
        <f t="shared" si="24"/>
        <v>350000</v>
      </c>
      <c r="K56" s="11">
        <f t="shared" si="24"/>
        <v>350000</v>
      </c>
      <c r="L56" s="11">
        <f t="shared" si="24"/>
        <v>350000</v>
      </c>
      <c r="M56" s="11">
        <f t="shared" si="24"/>
        <v>350000</v>
      </c>
      <c r="N56" s="2"/>
      <c r="O56" s="2"/>
    </row>
    <row r="57" spans="1:15" x14ac:dyDescent="0.25">
      <c r="A57" s="52" t="s">
        <v>30</v>
      </c>
      <c r="B57" s="2"/>
      <c r="C57" s="11">
        <f>C39</f>
        <v>11666.666666666666</v>
      </c>
      <c r="D57" s="11">
        <f t="shared" ref="D57:M57" si="25">C57+D39</f>
        <v>23333.333333333332</v>
      </c>
      <c r="E57" s="11">
        <f t="shared" si="25"/>
        <v>35000</v>
      </c>
      <c r="F57" s="11">
        <f t="shared" si="25"/>
        <v>46666.666666666664</v>
      </c>
      <c r="G57" s="11">
        <f t="shared" si="25"/>
        <v>58333.333333333328</v>
      </c>
      <c r="H57" s="11">
        <f t="shared" si="25"/>
        <v>70000</v>
      </c>
      <c r="I57" s="11">
        <f t="shared" si="25"/>
        <v>81666.666666666672</v>
      </c>
      <c r="J57" s="11">
        <f t="shared" si="25"/>
        <v>93333.333333333343</v>
      </c>
      <c r="K57" s="11">
        <f t="shared" si="25"/>
        <v>105000.00000000001</v>
      </c>
      <c r="L57" s="11">
        <f t="shared" si="25"/>
        <v>116666.66666666669</v>
      </c>
      <c r="M57" s="11">
        <f t="shared" si="25"/>
        <v>128333.33333333336</v>
      </c>
      <c r="N57" s="2"/>
      <c r="O57" s="2"/>
    </row>
    <row r="58" spans="1:15" x14ac:dyDescent="0.25">
      <c r="A58" s="2"/>
      <c r="B58" s="2"/>
      <c r="C58" s="2"/>
      <c r="D58" s="2"/>
      <c r="E58" s="2"/>
      <c r="F58" s="2"/>
      <c r="N58" s="2"/>
      <c r="O58" s="2"/>
    </row>
    <row r="59" spans="1:15" ht="15.75" thickBot="1" x14ac:dyDescent="0.3">
      <c r="A59" s="1" t="s">
        <v>31</v>
      </c>
      <c r="B59" s="2"/>
      <c r="C59" s="56">
        <f t="shared" ref="C59:M59" si="26">SUM(C50:C56)-C57</f>
        <v>564377.85388127854</v>
      </c>
      <c r="D59" s="56">
        <f t="shared" si="26"/>
        <v>557762.86696853081</v>
      </c>
      <c r="E59" s="56">
        <f t="shared" si="26"/>
        <v>569075.03591806593</v>
      </c>
      <c r="F59" s="56">
        <f t="shared" si="26"/>
        <v>562426.35963698558</v>
      </c>
      <c r="G59" s="56">
        <f t="shared" si="26"/>
        <v>557337.07212273986</v>
      </c>
      <c r="H59" s="56">
        <f t="shared" si="26"/>
        <v>429709.60540857888</v>
      </c>
      <c r="I59" s="56">
        <f t="shared" si="26"/>
        <v>412105.63551576005</v>
      </c>
      <c r="J59" s="56">
        <f t="shared" si="26"/>
        <v>416149.48262135207</v>
      </c>
      <c r="K59" s="56">
        <f t="shared" si="26"/>
        <v>420969.691080102</v>
      </c>
      <c r="L59" s="56">
        <f t="shared" si="26"/>
        <v>409429.06778156041</v>
      </c>
      <c r="M59" s="56">
        <f t="shared" si="26"/>
        <v>504859.57266537554</v>
      </c>
      <c r="N59" s="2"/>
      <c r="O59" s="2"/>
    </row>
    <row r="60" spans="1:15" ht="15.75" thickTop="1" x14ac:dyDescent="0.25">
      <c r="A60" s="1"/>
      <c r="B60" s="2"/>
      <c r="C60" s="14"/>
      <c r="D60" s="14"/>
      <c r="E60" s="14"/>
      <c r="F60" s="14"/>
      <c r="N60" s="2"/>
      <c r="O60" s="2"/>
    </row>
    <row r="61" spans="1:15" x14ac:dyDescent="0.25">
      <c r="A61" s="1" t="s">
        <v>32</v>
      </c>
      <c r="B61" s="2"/>
      <c r="C61" s="2"/>
      <c r="D61" s="2"/>
      <c r="E61" s="2"/>
      <c r="F61" s="2"/>
      <c r="N61" s="2"/>
      <c r="O61" s="2"/>
    </row>
    <row r="62" spans="1:15" x14ac:dyDescent="0.25">
      <c r="A62" s="49" t="s">
        <v>33</v>
      </c>
      <c r="B62" s="2"/>
      <c r="C62" s="11"/>
      <c r="D62" s="11"/>
      <c r="E62" s="11"/>
      <c r="F62" s="11"/>
      <c r="N62" s="2"/>
      <c r="O62" s="2"/>
    </row>
    <row r="63" spans="1:15" x14ac:dyDescent="0.25">
      <c r="A63" s="49" t="s">
        <v>34</v>
      </c>
      <c r="B63" s="2"/>
      <c r="C63" s="11">
        <f>C30/365*C22</f>
        <v>33287.671232876717</v>
      </c>
      <c r="D63" s="11">
        <f t="shared" ref="D63:M63" si="27">D30/365*D22</f>
        <v>33754.04691780822</v>
      </c>
      <c r="E63" s="11">
        <f t="shared" si="27"/>
        <v>42625.657097260279</v>
      </c>
      <c r="F63" s="11">
        <f t="shared" si="27"/>
        <v>43115.738614101778</v>
      </c>
      <c r="G63" s="11">
        <f t="shared" si="27"/>
        <v>43642.70392096397</v>
      </c>
      <c r="H63" s="11">
        <f t="shared" si="27"/>
        <v>9865.9266290402084</v>
      </c>
      <c r="I63" s="11">
        <f t="shared" si="27"/>
        <v>8227.3717610029926</v>
      </c>
      <c r="J63" s="11">
        <f t="shared" si="27"/>
        <v>11949.604109788421</v>
      </c>
      <c r="K63" s="11">
        <f t="shared" si="27"/>
        <v>15710.60317538758</v>
      </c>
      <c r="L63" s="11">
        <f t="shared" si="27"/>
        <v>15585.115580251142</v>
      </c>
      <c r="M63" s="11">
        <f t="shared" si="27"/>
        <v>16347.801831564131</v>
      </c>
      <c r="N63" s="2"/>
      <c r="O63" s="2"/>
    </row>
    <row r="64" spans="1:15" x14ac:dyDescent="0.25">
      <c r="A64" s="49" t="s">
        <v>35</v>
      </c>
      <c r="B64" s="2"/>
      <c r="C64" s="11">
        <f t="shared" ref="C64:M64" si="28">C45</f>
        <v>0</v>
      </c>
      <c r="D64" s="11">
        <f t="shared" si="28"/>
        <v>0</v>
      </c>
      <c r="E64" s="11">
        <f t="shared" si="28"/>
        <v>0</v>
      </c>
      <c r="F64" s="11">
        <f t="shared" si="28"/>
        <v>5399.9852987580007</v>
      </c>
      <c r="G64" s="11">
        <f t="shared" si="28"/>
        <v>6043.7235102420327</v>
      </c>
      <c r="H64" s="11">
        <f t="shared" si="28"/>
        <v>5809.8538987594366</v>
      </c>
      <c r="I64" s="11">
        <f t="shared" si="28"/>
        <v>2096.9000042844855</v>
      </c>
      <c r="J64" s="11">
        <f t="shared" si="28"/>
        <v>11745.33381834901</v>
      </c>
      <c r="K64" s="11">
        <f t="shared" si="28"/>
        <v>22159.843650714727</v>
      </c>
      <c r="L64" s="11">
        <f t="shared" si="28"/>
        <v>38700.706775841616</v>
      </c>
      <c r="M64" s="11">
        <f t="shared" si="28"/>
        <v>42350.408927512348</v>
      </c>
      <c r="N64" s="2"/>
      <c r="O64" s="2"/>
    </row>
    <row r="65" spans="1:15" x14ac:dyDescent="0.25">
      <c r="A65" s="49"/>
      <c r="B65" s="2"/>
      <c r="C65" s="11"/>
      <c r="D65" s="11"/>
      <c r="E65" s="11"/>
      <c r="F65" s="11"/>
      <c r="N65" s="2"/>
    </row>
    <row r="66" spans="1:15" x14ac:dyDescent="0.25">
      <c r="A66" s="49" t="s">
        <v>36</v>
      </c>
      <c r="B66" s="2"/>
      <c r="C66" s="11">
        <f>Mortgage!K4</f>
        <v>426776.72124325286</v>
      </c>
      <c r="D66" s="11">
        <f>Mortgage!L4</f>
        <v>404751.93287809141</v>
      </c>
      <c r="E66" s="11">
        <f>Mortgage!M4</f>
        <v>385562.50166207738</v>
      </c>
      <c r="F66" s="11">
        <f>Mortgage!N4</f>
        <v>365664.66731930565</v>
      </c>
      <c r="G66" s="11">
        <f>Mortgage!O4</f>
        <v>346793.70620675129</v>
      </c>
      <c r="H66" s="11">
        <f>Mortgage!P4</f>
        <v>328896.62418380717</v>
      </c>
      <c r="I66" s="11">
        <f>Mortgage!Q4</f>
        <v>311923.1619936435</v>
      </c>
      <c r="J66" s="11">
        <f>Mortgage!R4</f>
        <v>295825.65412327822</v>
      </c>
      <c r="K66" s="11">
        <f>Mortgage!S4</f>
        <v>280558.89494749613</v>
      </c>
      <c r="L66" s="11">
        <f>Mortgage!T4</f>
        <v>266080.01178071694</v>
      </c>
      <c r="M66" s="11">
        <f>Mortgage!U4</f>
        <v>252348.34448031217</v>
      </c>
      <c r="N66" s="2"/>
    </row>
    <row r="67" spans="1:15" x14ac:dyDescent="0.25">
      <c r="A67" s="49" t="s">
        <v>37</v>
      </c>
      <c r="B67" s="2"/>
      <c r="C67" s="11">
        <v>35599.127088636618</v>
      </c>
      <c r="D67" s="11">
        <v>304790.02183468395</v>
      </c>
      <c r="E67" s="11">
        <v>484300.5611982944</v>
      </c>
      <c r="F67" s="11">
        <v>470059.711249354</v>
      </c>
      <c r="G67" s="11">
        <v>458495.78728834842</v>
      </c>
      <c r="H67" s="11">
        <v>359536.63390549994</v>
      </c>
      <c r="I67" s="11">
        <v>355870.03494821902</v>
      </c>
      <c r="J67" s="11">
        <v>315659.38848793058</v>
      </c>
      <c r="K67" s="11">
        <v>232931.47262163874</v>
      </c>
      <c r="L67" s="11">
        <v>64651.529856519483</v>
      </c>
      <c r="M67" s="11">
        <v>0</v>
      </c>
      <c r="N67" s="2"/>
    </row>
    <row r="68" spans="1:15" x14ac:dyDescent="0.25">
      <c r="A68" s="49"/>
      <c r="B68" s="2"/>
      <c r="C68" s="11"/>
      <c r="D68" s="11"/>
      <c r="E68" s="11"/>
      <c r="F68" s="11"/>
      <c r="N68" s="2"/>
    </row>
    <row r="69" spans="1:15" x14ac:dyDescent="0.25">
      <c r="A69" s="49" t="s">
        <v>38</v>
      </c>
      <c r="B69" s="2"/>
      <c r="C69" s="11"/>
      <c r="D69" s="11"/>
      <c r="E69" s="11"/>
      <c r="F69" s="11"/>
      <c r="N69" s="2"/>
    </row>
    <row r="70" spans="1:15" x14ac:dyDescent="0.25">
      <c r="A70" s="49" t="s">
        <v>39</v>
      </c>
      <c r="B70" s="2"/>
      <c r="C70" s="11">
        <v>300000</v>
      </c>
      <c r="D70" s="11">
        <v>300000</v>
      </c>
      <c r="E70" s="11">
        <v>300000</v>
      </c>
      <c r="F70" s="11">
        <v>300000</v>
      </c>
      <c r="G70" s="11">
        <v>300000</v>
      </c>
      <c r="H70" s="11">
        <v>300000</v>
      </c>
      <c r="I70" s="11">
        <v>300000</v>
      </c>
      <c r="J70" s="11">
        <v>300000</v>
      </c>
      <c r="K70" s="11">
        <v>300000</v>
      </c>
      <c r="L70" s="11">
        <v>300000</v>
      </c>
      <c r="M70" s="11">
        <v>300000</v>
      </c>
      <c r="N70" s="2"/>
      <c r="O70" t="s">
        <v>142</v>
      </c>
    </row>
    <row r="71" spans="1:15" x14ac:dyDescent="0.25">
      <c r="A71" s="53" t="s">
        <v>40</v>
      </c>
      <c r="B71" s="11"/>
      <c r="C71" s="11">
        <f t="shared" ref="C71:M71" si="29">B71+C46</f>
        <v>-231285.66568348772</v>
      </c>
      <c r="D71" s="11">
        <f t="shared" si="29"/>
        <v>-485533.13466205273</v>
      </c>
      <c r="E71" s="11">
        <f t="shared" si="29"/>
        <v>-643413.68403956597</v>
      </c>
      <c r="F71" s="11">
        <f t="shared" si="29"/>
        <v>-621813.74284453399</v>
      </c>
      <c r="G71" s="11">
        <f t="shared" si="29"/>
        <v>-597638.84880356584</v>
      </c>
      <c r="H71" s="11">
        <f t="shared" si="29"/>
        <v>-574399.43320852809</v>
      </c>
      <c r="I71" s="11">
        <f t="shared" si="29"/>
        <v>-566011.83319139015</v>
      </c>
      <c r="J71" s="11">
        <f t="shared" si="29"/>
        <v>-519030.4979179941</v>
      </c>
      <c r="K71" s="11">
        <f t="shared" si="29"/>
        <v>-430391.12331513519</v>
      </c>
      <c r="L71" s="11">
        <f t="shared" si="29"/>
        <v>-275588.29621176876</v>
      </c>
      <c r="M71" s="11">
        <f t="shared" si="29"/>
        <v>-106186.66050171939</v>
      </c>
      <c r="N71" s="2"/>
    </row>
    <row r="72" spans="1:15" x14ac:dyDescent="0.25">
      <c r="A72" s="2"/>
      <c r="B72" s="2"/>
      <c r="C72" s="11"/>
      <c r="D72" s="11"/>
      <c r="E72" s="11"/>
      <c r="F72" s="11"/>
      <c r="N72" s="2"/>
    </row>
    <row r="73" spans="1:15" ht="15.75" thickBot="1" x14ac:dyDescent="0.3">
      <c r="A73" s="1" t="s">
        <v>91</v>
      </c>
      <c r="B73" s="2"/>
      <c r="C73" s="57">
        <f t="shared" ref="C73:M73" si="30">SUM(C63:C71)</f>
        <v>564377.85388127854</v>
      </c>
      <c r="D73" s="57">
        <f t="shared" si="30"/>
        <v>557762.86696853081</v>
      </c>
      <c r="E73" s="57">
        <f t="shared" si="30"/>
        <v>569075.03591806605</v>
      </c>
      <c r="F73" s="57">
        <f t="shared" si="30"/>
        <v>562426.35963698535</v>
      </c>
      <c r="G73" s="57">
        <f t="shared" si="30"/>
        <v>557337.07212273986</v>
      </c>
      <c r="H73" s="57">
        <f t="shared" si="30"/>
        <v>429709.60540857865</v>
      </c>
      <c r="I73" s="57">
        <f t="shared" si="30"/>
        <v>412105.63551575993</v>
      </c>
      <c r="J73" s="57">
        <f t="shared" si="30"/>
        <v>416149.48262135213</v>
      </c>
      <c r="K73" s="57">
        <f t="shared" si="30"/>
        <v>420969.69108010206</v>
      </c>
      <c r="L73" s="57">
        <f t="shared" si="30"/>
        <v>409429.06778156047</v>
      </c>
      <c r="M73" s="57">
        <f t="shared" si="30"/>
        <v>504859.89473766932</v>
      </c>
      <c r="N73" s="2"/>
      <c r="O73" s="2"/>
    </row>
    <row r="74" spans="1:15" ht="15.75" thickTop="1" x14ac:dyDescent="0.25">
      <c r="A74" s="2"/>
      <c r="B74" s="2"/>
      <c r="C74" s="2"/>
      <c r="D74" s="2"/>
      <c r="E74" s="2"/>
      <c r="F74" s="2"/>
      <c r="N74" s="2"/>
      <c r="O74" s="2"/>
    </row>
    <row r="75" spans="1:15" x14ac:dyDescent="0.25">
      <c r="A75" s="15" t="s">
        <v>41</v>
      </c>
      <c r="B75" s="2"/>
      <c r="C75" s="14">
        <f t="shared" ref="C75:M75" si="31">C59-C73</f>
        <v>0</v>
      </c>
      <c r="D75" s="14">
        <f t="shared" si="31"/>
        <v>0</v>
      </c>
      <c r="E75" s="14">
        <f t="shared" si="31"/>
        <v>0</v>
      </c>
      <c r="F75" s="14">
        <f t="shared" si="31"/>
        <v>0</v>
      </c>
      <c r="G75" s="14">
        <f t="shared" si="31"/>
        <v>0</v>
      </c>
      <c r="H75" s="14">
        <f t="shared" si="31"/>
        <v>0</v>
      </c>
      <c r="I75" s="14">
        <f t="shared" si="31"/>
        <v>0</v>
      </c>
      <c r="J75" s="14">
        <f t="shared" si="31"/>
        <v>0</v>
      </c>
      <c r="K75" s="14">
        <f t="shared" si="31"/>
        <v>0</v>
      </c>
      <c r="L75" s="14">
        <f t="shared" si="31"/>
        <v>0</v>
      </c>
      <c r="M75" s="14">
        <f t="shared" si="31"/>
        <v>-0.3220722937840037</v>
      </c>
      <c r="N75" s="2"/>
      <c r="O75" s="2"/>
    </row>
    <row r="76" spans="1:15" x14ac:dyDescent="0.25">
      <c r="A76" s="2"/>
      <c r="B76" s="2"/>
      <c r="C76" s="2"/>
      <c r="D76" s="2"/>
      <c r="E76" s="2"/>
      <c r="F76" s="2"/>
      <c r="N76" s="2"/>
      <c r="O76" s="2"/>
    </row>
    <row r="77" spans="1:15" x14ac:dyDescent="0.25">
      <c r="B77" s="2"/>
      <c r="C77" s="71"/>
      <c r="D77" s="71"/>
      <c r="E77" s="71"/>
      <c r="F77" s="71"/>
      <c r="G77" s="72" t="s">
        <v>42</v>
      </c>
      <c r="H77" s="73"/>
      <c r="I77" s="73"/>
      <c r="J77" s="73"/>
      <c r="K77" s="73"/>
      <c r="L77" s="73"/>
      <c r="M77" s="73"/>
      <c r="N77" s="2"/>
      <c r="O77" s="2"/>
    </row>
    <row r="78" spans="1:15" x14ac:dyDescent="0.25">
      <c r="A78" s="49" t="s">
        <v>43</v>
      </c>
      <c r="B78" s="2"/>
      <c r="C78" s="2"/>
      <c r="D78" s="2"/>
      <c r="E78" s="2"/>
      <c r="F78" s="2"/>
      <c r="N78" s="2"/>
      <c r="O78" s="2"/>
    </row>
    <row r="79" spans="1:15" x14ac:dyDescent="0.25">
      <c r="A79" s="49" t="s">
        <v>44</v>
      </c>
      <c r="B79" s="2"/>
      <c r="C79" s="38">
        <f>SUM(C25:C27)-SUM(C28:C36)</f>
        <v>-199700</v>
      </c>
      <c r="D79" s="38">
        <f t="shared" ref="D79:M79" si="32">SUM(D25:D27)-SUM(D28:D36)</f>
        <v>-202007.52325000003</v>
      </c>
      <c r="E79" s="38">
        <f t="shared" si="32"/>
        <v>-92047.337748499995</v>
      </c>
      <c r="F79" s="38">
        <f t="shared" si="32"/>
        <v>90897.956753177219</v>
      </c>
      <c r="G79" s="38">
        <f t="shared" si="32"/>
        <v>92436.695449214778</v>
      </c>
      <c r="H79" s="38">
        <f t="shared" si="32"/>
        <v>82634.731840256107</v>
      </c>
      <c r="I79" s="38">
        <f t="shared" si="32"/>
        <v>63097.695963692357</v>
      </c>
      <c r="J79" s="38">
        <f t="shared" si="32"/>
        <v>107479.11300237727</v>
      </c>
      <c r="K79" s="38">
        <f t="shared" si="32"/>
        <v>152322.75852787125</v>
      </c>
      <c r="L79" s="38">
        <f t="shared" si="32"/>
        <v>220985.52340562502</v>
      </c>
      <c r="M79" s="38">
        <f t="shared" si="32"/>
        <v>233512.64508344088</v>
      </c>
      <c r="N79" s="2"/>
      <c r="O79" s="2"/>
    </row>
    <row r="80" spans="1:15" x14ac:dyDescent="0.25">
      <c r="A80" s="49" t="s">
        <v>45</v>
      </c>
      <c r="B80" s="2"/>
      <c r="C80" s="38">
        <f t="shared" ref="C80:M80" si="33">C39</f>
        <v>11666.666666666666</v>
      </c>
      <c r="D80" s="38">
        <f t="shared" si="33"/>
        <v>11666.666666666666</v>
      </c>
      <c r="E80" s="38">
        <f t="shared" si="33"/>
        <v>11666.666666666666</v>
      </c>
      <c r="F80" s="38">
        <f t="shared" si="33"/>
        <v>11666.666666666666</v>
      </c>
      <c r="G80" s="38">
        <f t="shared" si="33"/>
        <v>11666.666666666666</v>
      </c>
      <c r="H80" s="38">
        <f t="shared" si="33"/>
        <v>11666.666666666666</v>
      </c>
      <c r="I80" s="38">
        <f t="shared" si="33"/>
        <v>11666.666666666666</v>
      </c>
      <c r="J80" s="38">
        <f t="shared" si="33"/>
        <v>11666.666666666666</v>
      </c>
      <c r="K80" s="38">
        <f t="shared" si="33"/>
        <v>11666.666666666666</v>
      </c>
      <c r="L80" s="38">
        <f t="shared" si="33"/>
        <v>11666.666666666666</v>
      </c>
      <c r="M80" s="38">
        <f t="shared" si="33"/>
        <v>11666.666666666666</v>
      </c>
      <c r="N80" s="2"/>
      <c r="O80" s="2"/>
    </row>
    <row r="81" spans="1:17" x14ac:dyDescent="0.25">
      <c r="A81" s="49" t="s">
        <v>46</v>
      </c>
      <c r="B81" s="2"/>
      <c r="C81" s="60">
        <f t="shared" ref="C81:M81" si="34">C79-C80</f>
        <v>-211366.66666666666</v>
      </c>
      <c r="D81" s="60">
        <f t="shared" si="34"/>
        <v>-213674.18991666668</v>
      </c>
      <c r="E81" s="60">
        <f t="shared" si="34"/>
        <v>-103714.00441516667</v>
      </c>
      <c r="F81" s="60">
        <f t="shared" si="34"/>
        <v>79231.290086510548</v>
      </c>
      <c r="G81" s="60">
        <f t="shared" si="34"/>
        <v>80770.028782548106</v>
      </c>
      <c r="H81" s="60">
        <f t="shared" si="34"/>
        <v>70968.065173589435</v>
      </c>
      <c r="I81" s="60">
        <f t="shared" si="34"/>
        <v>51431.029297025692</v>
      </c>
      <c r="J81" s="60">
        <f t="shared" si="34"/>
        <v>95812.4463357106</v>
      </c>
      <c r="K81" s="60">
        <f t="shared" si="34"/>
        <v>140656.09186120459</v>
      </c>
      <c r="L81" s="60">
        <f t="shared" si="34"/>
        <v>209318.85673895836</v>
      </c>
      <c r="M81" s="60">
        <f t="shared" si="34"/>
        <v>221845.97841677422</v>
      </c>
      <c r="N81" s="2"/>
      <c r="O81" s="2"/>
    </row>
    <row r="82" spans="1:17" x14ac:dyDescent="0.25">
      <c r="A82" s="49" t="s">
        <v>47</v>
      </c>
      <c r="B82" s="2"/>
      <c r="C82" s="38">
        <f>IF(C81&lt;0,0,C81*$N$82)</f>
        <v>0</v>
      </c>
      <c r="D82" s="38">
        <f t="shared" ref="D82:M82" si="35">IF(D81&lt;0,0,D81*$N$82)</f>
        <v>0</v>
      </c>
      <c r="E82" s="38">
        <f t="shared" si="35"/>
        <v>0</v>
      </c>
      <c r="F82" s="38">
        <f t="shared" si="35"/>
        <v>15846.258017302111</v>
      </c>
      <c r="G82" s="38">
        <f t="shared" si="35"/>
        <v>16154.005756509621</v>
      </c>
      <c r="H82" s="38">
        <f t="shared" si="35"/>
        <v>14193.613034717888</v>
      </c>
      <c r="I82" s="38">
        <f t="shared" si="35"/>
        <v>10286.20585940514</v>
      </c>
      <c r="J82" s="38">
        <f t="shared" si="35"/>
        <v>19162.489267142122</v>
      </c>
      <c r="K82" s="38">
        <f t="shared" si="35"/>
        <v>28131.218372240921</v>
      </c>
      <c r="L82" s="38">
        <f t="shared" si="35"/>
        <v>41863.771347791677</v>
      </c>
      <c r="M82" s="38">
        <f t="shared" si="35"/>
        <v>44369.195683354847</v>
      </c>
      <c r="N82" s="7">
        <v>0.2</v>
      </c>
      <c r="O82" s="2" t="s">
        <v>89</v>
      </c>
    </row>
    <row r="83" spans="1:17" x14ac:dyDescent="0.25">
      <c r="A83" s="49" t="s">
        <v>48</v>
      </c>
      <c r="B83" s="2"/>
      <c r="C83" s="60">
        <f t="shared" ref="C83:M83" si="36">C81-C82</f>
        <v>-211366.66666666666</v>
      </c>
      <c r="D83" s="60">
        <f t="shared" si="36"/>
        <v>-213674.18991666668</v>
      </c>
      <c r="E83" s="60">
        <f t="shared" si="36"/>
        <v>-103714.00441516667</v>
      </c>
      <c r="F83" s="60">
        <f t="shared" si="36"/>
        <v>63385.032069208435</v>
      </c>
      <c r="G83" s="60">
        <f t="shared" si="36"/>
        <v>64616.023026038485</v>
      </c>
      <c r="H83" s="60">
        <f t="shared" si="36"/>
        <v>56774.452138871551</v>
      </c>
      <c r="I83" s="60">
        <f t="shared" si="36"/>
        <v>41144.823437620551</v>
      </c>
      <c r="J83" s="60">
        <f t="shared" si="36"/>
        <v>76649.957068568474</v>
      </c>
      <c r="K83" s="60">
        <f t="shared" si="36"/>
        <v>112524.87348896367</v>
      </c>
      <c r="L83" s="60">
        <f t="shared" si="36"/>
        <v>167455.08539116668</v>
      </c>
      <c r="M83" s="60">
        <f t="shared" si="36"/>
        <v>177476.78273341939</v>
      </c>
      <c r="N83" s="2"/>
      <c r="O83" s="2"/>
    </row>
    <row r="84" spans="1:17" x14ac:dyDescent="0.25">
      <c r="A84" s="49" t="s">
        <v>49</v>
      </c>
      <c r="B84" s="2"/>
      <c r="C84" s="38">
        <f t="shared" ref="C84:M84" si="37">C80</f>
        <v>11666.666666666666</v>
      </c>
      <c r="D84" s="38">
        <f t="shared" si="37"/>
        <v>11666.666666666666</v>
      </c>
      <c r="E84" s="38">
        <f t="shared" si="37"/>
        <v>11666.666666666666</v>
      </c>
      <c r="F84" s="38">
        <f t="shared" si="37"/>
        <v>11666.666666666666</v>
      </c>
      <c r="G84" s="38">
        <f t="shared" si="37"/>
        <v>11666.666666666666</v>
      </c>
      <c r="H84" s="38">
        <f t="shared" si="37"/>
        <v>11666.666666666666</v>
      </c>
      <c r="I84" s="38">
        <f t="shared" si="37"/>
        <v>11666.666666666666</v>
      </c>
      <c r="J84" s="38">
        <f t="shared" si="37"/>
        <v>11666.666666666666</v>
      </c>
      <c r="K84" s="38">
        <f t="shared" si="37"/>
        <v>11666.666666666666</v>
      </c>
      <c r="L84" s="38">
        <f t="shared" si="37"/>
        <v>11666.666666666666</v>
      </c>
      <c r="M84" s="38">
        <f t="shared" si="37"/>
        <v>11666.666666666666</v>
      </c>
      <c r="N84" s="2"/>
      <c r="O84" s="2"/>
    </row>
    <row r="85" spans="1:17" ht="15.75" thickBot="1" x14ac:dyDescent="0.3">
      <c r="A85" s="49" t="s">
        <v>50</v>
      </c>
      <c r="B85" s="2"/>
      <c r="C85" s="61">
        <f t="shared" ref="C85:M85" si="38">C83+C84</f>
        <v>-199700</v>
      </c>
      <c r="D85" s="61">
        <f t="shared" si="38"/>
        <v>-202007.52325000003</v>
      </c>
      <c r="E85" s="61">
        <f t="shared" si="38"/>
        <v>-92047.337748499995</v>
      </c>
      <c r="F85" s="61">
        <f t="shared" si="38"/>
        <v>75051.698735875107</v>
      </c>
      <c r="G85" s="61">
        <f t="shared" si="38"/>
        <v>76282.689692705157</v>
      </c>
      <c r="H85" s="61">
        <f t="shared" si="38"/>
        <v>68441.118805538223</v>
      </c>
      <c r="I85" s="61">
        <f t="shared" si="38"/>
        <v>52811.490104287215</v>
      </c>
      <c r="J85" s="61">
        <f t="shared" si="38"/>
        <v>88316.623735235145</v>
      </c>
      <c r="K85" s="61">
        <f t="shared" si="38"/>
        <v>124191.54015563034</v>
      </c>
      <c r="L85" s="61">
        <f t="shared" si="38"/>
        <v>179121.75205783334</v>
      </c>
      <c r="M85" s="61">
        <f t="shared" si="38"/>
        <v>189143.44940008604</v>
      </c>
      <c r="N85" s="2"/>
      <c r="O85" s="2"/>
    </row>
    <row r="86" spans="1:17" ht="15.75" thickTop="1" x14ac:dyDescent="0.25">
      <c r="A86" s="2"/>
      <c r="B86" s="2"/>
      <c r="C86" s="2"/>
      <c r="D86" s="2"/>
      <c r="E86" s="2"/>
      <c r="F86" s="2"/>
      <c r="N86" s="2"/>
      <c r="O86" s="2"/>
    </row>
    <row r="87" spans="1:17" x14ac:dyDescent="0.25">
      <c r="A87" s="15" t="s">
        <v>51</v>
      </c>
      <c r="B87" s="2"/>
      <c r="C87" s="2"/>
      <c r="D87" s="2"/>
      <c r="E87" s="2"/>
      <c r="F87" s="2"/>
      <c r="N87" s="2"/>
      <c r="O87" s="2"/>
    </row>
    <row r="88" spans="1:17" x14ac:dyDescent="0.25">
      <c r="A88" s="49" t="s">
        <v>52</v>
      </c>
      <c r="B88" s="38">
        <f>-C55</f>
        <v>-100000</v>
      </c>
      <c r="C88" s="39"/>
      <c r="D88" s="39"/>
      <c r="E88" s="38"/>
      <c r="F88" s="38"/>
      <c r="G88" s="39"/>
      <c r="H88" s="39"/>
      <c r="I88" s="39"/>
      <c r="J88" s="39"/>
      <c r="K88" s="39"/>
      <c r="L88" s="39"/>
      <c r="M88" s="39"/>
      <c r="N88" s="30" t="s">
        <v>92</v>
      </c>
      <c r="O88" s="31">
        <f>-B88</f>
        <v>100000</v>
      </c>
      <c r="P88" t="s">
        <v>103</v>
      </c>
      <c r="Q88" s="35">
        <f>(O88*O89)-O88</f>
        <v>20000</v>
      </c>
    </row>
    <row r="89" spans="1:17" x14ac:dyDescent="0.25">
      <c r="A89" s="49" t="s">
        <v>53</v>
      </c>
      <c r="B89" s="38"/>
      <c r="C89" s="39"/>
      <c r="D89" s="39"/>
      <c r="E89" s="38"/>
      <c r="F89" s="38"/>
      <c r="G89" s="39"/>
      <c r="H89" s="39"/>
      <c r="I89" s="39"/>
      <c r="J89" s="39"/>
      <c r="K89" s="39"/>
      <c r="L89" s="39"/>
      <c r="M89" s="39">
        <f>-(B88*O89)</f>
        <v>120000</v>
      </c>
      <c r="N89" s="30" t="s">
        <v>102</v>
      </c>
      <c r="O89" s="33">
        <v>1.2</v>
      </c>
    </row>
    <row r="90" spans="1:17" x14ac:dyDescent="0.25">
      <c r="A90" s="49" t="s">
        <v>54</v>
      </c>
      <c r="B90" s="38">
        <f>-C56</f>
        <v>-350000</v>
      </c>
      <c r="C90" s="39"/>
      <c r="D90" s="39"/>
      <c r="E90" s="38"/>
      <c r="F90" s="38"/>
      <c r="G90" s="39"/>
      <c r="H90" s="39"/>
      <c r="I90" s="39"/>
      <c r="J90" s="39"/>
      <c r="K90" s="39"/>
      <c r="L90" s="39"/>
      <c r="M90" s="39"/>
      <c r="N90" t="s">
        <v>92</v>
      </c>
      <c r="O90" s="35">
        <f>M56-M57</f>
        <v>221666.66666666663</v>
      </c>
      <c r="P90" t="s">
        <v>103</v>
      </c>
      <c r="Q90" s="29">
        <f>O90*O92-O90</f>
        <v>110833.33333333331</v>
      </c>
    </row>
    <row r="91" spans="1:17" x14ac:dyDescent="0.25">
      <c r="A91" s="49" t="s">
        <v>55</v>
      </c>
      <c r="B91" s="38"/>
      <c r="C91" s="38"/>
      <c r="D91" s="38"/>
      <c r="E91" s="38"/>
      <c r="F91" s="38"/>
      <c r="G91" s="39"/>
      <c r="H91" s="39"/>
      <c r="I91" s="39"/>
      <c r="J91" s="39"/>
      <c r="K91" s="39"/>
      <c r="L91" s="39"/>
      <c r="M91" s="39">
        <f>O90*O92</f>
        <v>332499.99999999994</v>
      </c>
      <c r="N91" s="34" t="s">
        <v>93</v>
      </c>
      <c r="O91" s="29"/>
    </row>
    <row r="92" spans="1:17" x14ac:dyDescent="0.25">
      <c r="A92" s="49" t="s">
        <v>56</v>
      </c>
      <c r="B92" s="38"/>
      <c r="C92" s="38"/>
      <c r="D92" s="38"/>
      <c r="E92" s="38"/>
      <c r="F92" s="38"/>
      <c r="G92" s="39"/>
      <c r="H92" s="39"/>
      <c r="I92" s="39"/>
      <c r="J92" s="39"/>
      <c r="K92" s="39"/>
      <c r="L92" s="39"/>
      <c r="M92" s="39">
        <f>-(Q92*O93)</f>
        <v>-26166.666666666664</v>
      </c>
      <c r="N92" s="5" t="s">
        <v>94</v>
      </c>
      <c r="O92" s="33">
        <v>1.5</v>
      </c>
      <c r="P92" t="s">
        <v>104</v>
      </c>
      <c r="Q92" s="29">
        <f>Q88+Q90</f>
        <v>130833.33333333331</v>
      </c>
    </row>
    <row r="93" spans="1:17" x14ac:dyDescent="0.25">
      <c r="A93" s="2"/>
      <c r="B93" s="2"/>
      <c r="C93" s="2"/>
      <c r="D93" s="2"/>
      <c r="E93" s="2"/>
      <c r="F93" s="2"/>
      <c r="N93" s="32" t="s">
        <v>95</v>
      </c>
      <c r="O93" s="33">
        <v>0.2</v>
      </c>
    </row>
    <row r="94" spans="1:17" x14ac:dyDescent="0.25">
      <c r="A94" s="15" t="s">
        <v>57</v>
      </c>
      <c r="B94" s="2"/>
      <c r="C94" s="2"/>
      <c r="D94" s="2"/>
      <c r="E94" s="2"/>
      <c r="F94" s="2"/>
      <c r="N94" s="2"/>
      <c r="O94" s="2"/>
    </row>
    <row r="95" spans="1:17" x14ac:dyDescent="0.25">
      <c r="A95" s="49" t="s">
        <v>26</v>
      </c>
      <c r="B95" s="2"/>
      <c r="C95" s="14">
        <f t="shared" ref="C95:M95" si="39">-(C52-B52)</f>
        <v>-14794.520547945205</v>
      </c>
      <c r="D95" s="14">
        <f t="shared" si="39"/>
        <v>-457.80410958903849</v>
      </c>
      <c r="E95" s="14">
        <f t="shared" si="39"/>
        <v>8974.1219178082174</v>
      </c>
      <c r="F95" s="14">
        <f t="shared" si="39"/>
        <v>877.0627428082189</v>
      </c>
      <c r="G95" s="14">
        <f t="shared" si="39"/>
        <v>-322.766108732877</v>
      </c>
      <c r="H95" s="14">
        <f t="shared" si="39"/>
        <v>959.76607428082207</v>
      </c>
      <c r="I95" s="14">
        <f t="shared" si="39"/>
        <v>1034.7712148135347</v>
      </c>
      <c r="J95" s="14">
        <f t="shared" si="39"/>
        <v>-768.93696520312778</v>
      </c>
      <c r="K95" s="14">
        <f t="shared" si="39"/>
        <v>-499.36248453689223</v>
      </c>
      <c r="L95" s="14">
        <f t="shared" si="39"/>
        <v>1257.6163660734796</v>
      </c>
      <c r="M95" s="14">
        <f t="shared" si="39"/>
        <v>-70.779476821422577</v>
      </c>
      <c r="N95" s="2"/>
      <c r="O95" s="2"/>
    </row>
    <row r="96" spans="1:17" x14ac:dyDescent="0.25">
      <c r="A96" s="49" t="s">
        <v>27</v>
      </c>
      <c r="B96" s="2"/>
      <c r="C96" s="14">
        <f t="shared" ref="C96:M96" si="40">-(C53-B53)</f>
        <v>-101250</v>
      </c>
      <c r="D96" s="14">
        <f t="shared" si="40"/>
        <v>-4593.8756443299062</v>
      </c>
      <c r="E96" s="14">
        <f t="shared" si="40"/>
        <v>-31952.957534009998</v>
      </c>
      <c r="F96" s="14">
        <f t="shared" si="40"/>
        <v>-5895.0531283945602</v>
      </c>
      <c r="G96" s="14">
        <f t="shared" si="40"/>
        <v>-6254.6130436880921</v>
      </c>
      <c r="H96" s="14">
        <f t="shared" si="40"/>
        <v>115001.03397321358</v>
      </c>
      <c r="I96" s="14">
        <f t="shared" si="40"/>
        <v>4902.5320113385569</v>
      </c>
      <c r="J96" s="14">
        <f t="shared" si="40"/>
        <v>-14941.576807055597</v>
      </c>
      <c r="K96" s="14">
        <f t="shared" si="40"/>
        <v>-15987.512640879635</v>
      </c>
      <c r="L96" s="14">
        <f t="shared" si="40"/>
        <v>-1383.6597341985471</v>
      </c>
      <c r="M96" s="14">
        <f t="shared" si="40"/>
        <v>-5074.3920736604487</v>
      </c>
      <c r="N96" s="2"/>
      <c r="O96" s="2"/>
    </row>
    <row r="97" spans="1:15" x14ac:dyDescent="0.25">
      <c r="A97" s="49" t="s">
        <v>34</v>
      </c>
      <c r="B97" s="2"/>
      <c r="C97" s="38">
        <f t="shared" ref="C97:M97" si="41">(C63-B63)</f>
        <v>33287.671232876717</v>
      </c>
      <c r="D97" s="38">
        <f t="shared" si="41"/>
        <v>466.3756849315032</v>
      </c>
      <c r="E97" s="38">
        <f t="shared" si="41"/>
        <v>8871.6101794520582</v>
      </c>
      <c r="F97" s="38">
        <f t="shared" si="41"/>
        <v>490.08151684149925</v>
      </c>
      <c r="G97" s="38">
        <f t="shared" si="41"/>
        <v>526.96530686219194</v>
      </c>
      <c r="H97" s="38">
        <f t="shared" si="41"/>
        <v>-33776.777291923761</v>
      </c>
      <c r="I97" s="38">
        <f t="shared" si="41"/>
        <v>-1638.5548680372158</v>
      </c>
      <c r="J97" s="38">
        <f t="shared" si="41"/>
        <v>3722.2323487854283</v>
      </c>
      <c r="K97" s="38">
        <f t="shared" si="41"/>
        <v>3760.9990655991587</v>
      </c>
      <c r="L97" s="38">
        <f t="shared" si="41"/>
        <v>-125.48759513643745</v>
      </c>
      <c r="M97" s="38">
        <f t="shared" si="41"/>
        <v>762.68625131298904</v>
      </c>
      <c r="N97" s="2"/>
      <c r="O97" s="2"/>
    </row>
    <row r="98" spans="1:15" x14ac:dyDescent="0.25">
      <c r="A98" s="49" t="s">
        <v>35</v>
      </c>
      <c r="B98" s="2"/>
      <c r="C98" s="14">
        <f t="shared" ref="C98:M98" si="42">C82-B82</f>
        <v>0</v>
      </c>
      <c r="D98" s="14">
        <f t="shared" si="42"/>
        <v>0</v>
      </c>
      <c r="E98" s="14">
        <f t="shared" si="42"/>
        <v>0</v>
      </c>
      <c r="F98" s="14">
        <f t="shared" si="42"/>
        <v>15846.258017302111</v>
      </c>
      <c r="G98" s="14">
        <f t="shared" si="42"/>
        <v>307.74773920751068</v>
      </c>
      <c r="H98" s="14">
        <f t="shared" si="42"/>
        <v>-1960.3927217917335</v>
      </c>
      <c r="I98" s="14">
        <f t="shared" si="42"/>
        <v>-3907.4071753127482</v>
      </c>
      <c r="J98" s="14">
        <f t="shared" si="42"/>
        <v>8876.2834077369826</v>
      </c>
      <c r="K98" s="14">
        <f t="shared" si="42"/>
        <v>8968.7291050987988</v>
      </c>
      <c r="L98" s="14">
        <f t="shared" si="42"/>
        <v>13732.552975550756</v>
      </c>
      <c r="M98" s="14">
        <f t="shared" si="42"/>
        <v>2505.4243355631697</v>
      </c>
      <c r="N98" s="2"/>
      <c r="O98" s="2"/>
    </row>
    <row r="99" spans="1:15" x14ac:dyDescent="0.25">
      <c r="A99" s="2"/>
      <c r="B99" s="2"/>
      <c r="C99" s="2"/>
      <c r="D99" s="2"/>
      <c r="E99" s="2"/>
      <c r="F99" s="2"/>
      <c r="N99" s="2"/>
      <c r="O99" s="2"/>
    </row>
    <row r="100" spans="1:15" x14ac:dyDescent="0.25">
      <c r="A100" s="15" t="s">
        <v>58</v>
      </c>
      <c r="B100" s="2"/>
      <c r="C100" s="2"/>
      <c r="D100" s="2"/>
      <c r="E100" s="2"/>
      <c r="F100" s="2"/>
      <c r="N100" s="2"/>
      <c r="O100" s="2"/>
    </row>
    <row r="101" spans="1:15" x14ac:dyDescent="0.25">
      <c r="A101" s="49" t="s">
        <v>26</v>
      </c>
      <c r="B101" s="2"/>
      <c r="C101" s="2"/>
      <c r="D101" s="2"/>
      <c r="E101" s="2"/>
      <c r="F101" s="2"/>
      <c r="M101" s="35">
        <f>M52</f>
        <v>3810.8313770442915</v>
      </c>
      <c r="N101" s="2"/>
      <c r="O101" s="2"/>
    </row>
    <row r="102" spans="1:15" x14ac:dyDescent="0.25">
      <c r="A102" s="49" t="s">
        <v>27</v>
      </c>
      <c r="B102" s="2"/>
      <c r="C102" s="2"/>
      <c r="D102" s="2"/>
      <c r="E102" s="2"/>
      <c r="F102" s="2"/>
      <c r="M102" s="35">
        <f>M53</f>
        <v>67430.074621664651</v>
      </c>
      <c r="N102" s="2"/>
      <c r="O102" s="2"/>
    </row>
    <row r="103" spans="1:15" x14ac:dyDescent="0.25">
      <c r="A103" s="49" t="s">
        <v>34</v>
      </c>
      <c r="B103" s="2"/>
      <c r="C103" s="2"/>
      <c r="D103" s="2"/>
      <c r="E103" s="2"/>
      <c r="F103" s="2"/>
      <c r="M103" s="35">
        <f>-M63</f>
        <v>-16347.801831564131</v>
      </c>
      <c r="N103" s="2"/>
      <c r="O103" s="2"/>
    </row>
    <row r="104" spans="1:15" x14ac:dyDescent="0.25">
      <c r="A104" s="49" t="s">
        <v>35</v>
      </c>
      <c r="B104" s="2"/>
      <c r="C104" s="2"/>
      <c r="D104" s="2"/>
      <c r="E104" s="2"/>
      <c r="F104" s="2"/>
      <c r="M104" s="35">
        <f>-M82</f>
        <v>-44369.195683354847</v>
      </c>
      <c r="N104" s="2"/>
      <c r="O104" s="2"/>
    </row>
    <row r="105" spans="1:15" x14ac:dyDescent="0.25">
      <c r="A105" s="2"/>
      <c r="B105" s="2"/>
      <c r="C105" s="2"/>
      <c r="D105" s="2"/>
      <c r="E105" s="2"/>
      <c r="F105" s="2"/>
      <c r="N105" s="2"/>
      <c r="O105" s="2"/>
    </row>
    <row r="106" spans="1:15" x14ac:dyDescent="0.25">
      <c r="A106" s="15" t="s">
        <v>59</v>
      </c>
      <c r="B106" s="2"/>
      <c r="C106" s="2"/>
      <c r="D106" s="2"/>
      <c r="E106" s="2"/>
      <c r="F106" s="2"/>
      <c r="G106" s="2"/>
      <c r="H106" s="2"/>
    </row>
    <row r="107" spans="1:15" x14ac:dyDescent="0.25">
      <c r="A107" s="54" t="s">
        <v>59</v>
      </c>
      <c r="B107" s="39">
        <f>-(C55+C56)</f>
        <v>-450000</v>
      </c>
      <c r="C107" s="39">
        <f t="shared" ref="C107:M107" si="43">SUM(C85:C105)</f>
        <v>-282456.84931506845</v>
      </c>
      <c r="D107" s="39">
        <f t="shared" si="43"/>
        <v>-206592.82731898749</v>
      </c>
      <c r="E107" s="39">
        <f t="shared" si="43"/>
        <v>-106154.56318524972</v>
      </c>
      <c r="F107" s="39">
        <f t="shared" si="43"/>
        <v>86370.047884432381</v>
      </c>
      <c r="G107" s="39">
        <f t="shared" si="43"/>
        <v>70540.023586353884</v>
      </c>
      <c r="H107" s="39">
        <f t="shared" si="43"/>
        <v>148664.74883931715</v>
      </c>
      <c r="I107" s="39">
        <f t="shared" si="43"/>
        <v>53202.831287089342</v>
      </c>
      <c r="J107" s="39">
        <f t="shared" si="43"/>
        <v>85204.625719498828</v>
      </c>
      <c r="K107" s="39">
        <f t="shared" si="43"/>
        <v>120434.39320091177</v>
      </c>
      <c r="L107" s="39">
        <f t="shared" si="43"/>
        <v>192602.77407012257</v>
      </c>
      <c r="M107" s="39">
        <f t="shared" si="43"/>
        <v>624123.63025360357</v>
      </c>
    </row>
    <row r="108" spans="1:15" x14ac:dyDescent="0.25">
      <c r="A108" s="54" t="s">
        <v>96</v>
      </c>
      <c r="B108" s="39">
        <f>-PV($B$81,B109,,B107)</f>
        <v>-450000</v>
      </c>
      <c r="C108" s="39">
        <f t="shared" ref="C108:M108" si="44">-PV($B$110,C109,,C107)</f>
        <v>-254465.63001357517</v>
      </c>
      <c r="D108" s="39">
        <f t="shared" si="44"/>
        <v>-167675.37319940544</v>
      </c>
      <c r="E108" s="39">
        <f t="shared" si="44"/>
        <v>-77619.301686821738</v>
      </c>
      <c r="F108" s="39">
        <f t="shared" si="44"/>
        <v>56894.62577986245</v>
      </c>
      <c r="G108" s="39">
        <f t="shared" si="44"/>
        <v>41862.070678603763</v>
      </c>
      <c r="H108" s="39">
        <f t="shared" si="44"/>
        <v>79482.245616382716</v>
      </c>
      <c r="I108" s="39">
        <f t="shared" si="44"/>
        <v>25625.591172630957</v>
      </c>
      <c r="J108" s="39">
        <f t="shared" si="44"/>
        <v>36972.544706846355</v>
      </c>
      <c r="K108" s="39">
        <f t="shared" si="44"/>
        <v>47080.787635540371</v>
      </c>
      <c r="L108" s="39">
        <f t="shared" si="44"/>
        <v>67831.707596402528</v>
      </c>
      <c r="M108" s="39">
        <f t="shared" si="44"/>
        <v>198024.01388440854</v>
      </c>
    </row>
    <row r="109" spans="1:15" x14ac:dyDescent="0.25">
      <c r="A109" s="54" t="s">
        <v>97</v>
      </c>
      <c r="B109">
        <v>0</v>
      </c>
      <c r="C109">
        <v>1</v>
      </c>
      <c r="D109">
        <v>2</v>
      </c>
      <c r="E109">
        <v>3</v>
      </c>
      <c r="F109">
        <v>4</v>
      </c>
      <c r="G109">
        <v>5</v>
      </c>
      <c r="H109">
        <v>6</v>
      </c>
      <c r="I109">
        <v>7</v>
      </c>
      <c r="J109">
        <v>8</v>
      </c>
      <c r="K109">
        <v>9</v>
      </c>
      <c r="L109">
        <v>10</v>
      </c>
      <c r="M109">
        <v>11</v>
      </c>
    </row>
    <row r="110" spans="1:15" x14ac:dyDescent="0.25">
      <c r="A110" s="54" t="s">
        <v>98</v>
      </c>
      <c r="B110" s="36">
        <v>0.11</v>
      </c>
    </row>
    <row r="111" spans="1:15" x14ac:dyDescent="0.25">
      <c r="A111" s="54" t="s">
        <v>99</v>
      </c>
      <c r="B111" s="39">
        <f>SUM(B108:B108:M108)</f>
        <v>-395986.717829125</v>
      </c>
    </row>
    <row r="112" spans="1:15" x14ac:dyDescent="0.25">
      <c r="A112" s="54" t="s">
        <v>100</v>
      </c>
      <c r="B112" s="43">
        <f>IRR(B107:M107)</f>
        <v>3.5387814670146733E-2</v>
      </c>
    </row>
    <row r="114" spans="4:13" x14ac:dyDescent="0.25">
      <c r="D114" s="63" t="s">
        <v>116</v>
      </c>
      <c r="E114" s="63"/>
      <c r="F114" s="63"/>
      <c r="G114" s="63"/>
      <c r="H114" s="63"/>
      <c r="I114" s="63"/>
      <c r="J114" s="63"/>
      <c r="K114" s="63"/>
      <c r="M114" t="s">
        <v>143</v>
      </c>
    </row>
    <row r="115" spans="4:13" x14ac:dyDescent="0.25">
      <c r="D115" t="s">
        <v>117</v>
      </c>
      <c r="E115">
        <v>0.84</v>
      </c>
      <c r="G115" t="s">
        <v>105</v>
      </c>
      <c r="H115" t="s">
        <v>106</v>
      </c>
      <c r="I115" t="s">
        <v>107</v>
      </c>
      <c r="J115" t="s">
        <v>108</v>
      </c>
      <c r="K115" t="s">
        <v>109</v>
      </c>
      <c r="M115">
        <f>G116/G118</f>
        <v>0.54322523638681242</v>
      </c>
    </row>
    <row r="116" spans="4:13" x14ac:dyDescent="0.25">
      <c r="D116" t="s">
        <v>110</v>
      </c>
      <c r="E116" s="42">
        <v>2.6800000000000001E-2</v>
      </c>
      <c r="F116" t="s">
        <v>113</v>
      </c>
      <c r="G116" s="14">
        <f>AVERAGE(C66:M66)</f>
        <v>333198.38371079392</v>
      </c>
      <c r="H116" s="21">
        <v>0.54</v>
      </c>
      <c r="I116" s="27">
        <f>N41</f>
        <v>0.04</v>
      </c>
      <c r="J116" s="36">
        <f>I116*(1-$N$45)</f>
        <v>3.2000000000000001E-2</v>
      </c>
      <c r="K116" s="43">
        <f>H116*J116</f>
        <v>1.728E-2</v>
      </c>
      <c r="M116">
        <f>G117/G118</f>
        <v>0.4567747636131877</v>
      </c>
    </row>
    <row r="117" spans="4:13" x14ac:dyDescent="0.25">
      <c r="D117" t="s">
        <v>111</v>
      </c>
      <c r="E117" s="42">
        <v>0.06</v>
      </c>
      <c r="F117" t="s">
        <v>114</v>
      </c>
      <c r="G117" s="14">
        <f>AVERAGE(C67:M67)</f>
        <v>280172.206225375</v>
      </c>
      <c r="H117" s="45">
        <v>0.46</v>
      </c>
      <c r="I117" s="27">
        <f>N42</f>
        <v>0.08</v>
      </c>
      <c r="J117" s="36">
        <f>I117*(1-$N$45)</f>
        <v>6.4000000000000001E-2</v>
      </c>
      <c r="K117" s="43">
        <f>H117*J117</f>
        <v>2.9440000000000001E-2</v>
      </c>
    </row>
    <row r="118" spans="4:13" ht="16.5" customHeight="1" x14ac:dyDescent="0.25">
      <c r="D118" t="s">
        <v>112</v>
      </c>
      <c r="E118" s="42">
        <f>E115*(E117-E116)+E116</f>
        <v>5.4687999999999994E-2</v>
      </c>
      <c r="G118" s="14">
        <f>SUM(G116:G117)</f>
        <v>613370.58993616886</v>
      </c>
      <c r="H118" s="21">
        <f>SUM(H116:H117)</f>
        <v>1</v>
      </c>
    </row>
    <row r="119" spans="4:13" x14ac:dyDescent="0.25">
      <c r="G119" s="2"/>
      <c r="H119" s="21"/>
    </row>
    <row r="120" spans="4:13" x14ac:dyDescent="0.25">
      <c r="F120" t="s">
        <v>39</v>
      </c>
      <c r="G120" s="14">
        <f>AVERAGE(C70:M70)</f>
        <v>300000</v>
      </c>
      <c r="H120" s="21">
        <f>G120/$G$122</f>
        <v>0.28102182804189446</v>
      </c>
    </row>
    <row r="121" spans="4:13" x14ac:dyDescent="0.25">
      <c r="F121" t="s">
        <v>40</v>
      </c>
      <c r="G121" s="14">
        <f>AVERAGE(C71:M71)</f>
        <v>-459208.4473072493</v>
      </c>
      <c r="H121" s="21">
        <v>0</v>
      </c>
      <c r="I121" s="42">
        <f>E118</f>
        <v>5.4687999999999994E-2</v>
      </c>
      <c r="J121" s="42">
        <f>E118</f>
        <v>5.4687999999999994E-2</v>
      </c>
      <c r="K121" s="36">
        <f>H121*J121</f>
        <v>0</v>
      </c>
    </row>
    <row r="122" spans="4:13" x14ac:dyDescent="0.25">
      <c r="G122" s="14">
        <f>SUM(G116:G121)</f>
        <v>1067532.7325650884</v>
      </c>
      <c r="K122" s="42"/>
    </row>
    <row r="123" spans="4:13" x14ac:dyDescent="0.25">
      <c r="J123" s="44" t="s">
        <v>115</v>
      </c>
      <c r="K123" s="42">
        <f>SUM(K116:K121)</f>
        <v>4.6719999999999998E-2</v>
      </c>
    </row>
  </sheetData>
  <conditionalFormatting sqref="C46 E46:M46">
    <cfRule type="cellIs" dxfId="6" priority="6" operator="lessThan">
      <formula>0</formula>
    </cfRule>
  </conditionalFormatting>
  <conditionalFormatting sqref="C85 E85:M85">
    <cfRule type="cellIs" dxfId="5" priority="5" operator="lessThan">
      <formula>0</formula>
    </cfRule>
  </conditionalFormatting>
  <conditionalFormatting sqref="B107:C107 E107:M107">
    <cfRule type="cellIs" dxfId="4" priority="4" operator="lessThan">
      <formula>0</formula>
    </cfRule>
  </conditionalFormatting>
  <conditionalFormatting sqref="D46">
    <cfRule type="cellIs" dxfId="3" priority="3" operator="lessThan">
      <formula>0</formula>
    </cfRule>
  </conditionalFormatting>
  <conditionalFormatting sqref="D85">
    <cfRule type="cellIs" dxfId="2" priority="2" operator="lessThan">
      <formula>0</formula>
    </cfRule>
  </conditionalFormatting>
  <conditionalFormatting sqref="D107">
    <cfRule type="cellIs" dxfId="1" priority="1" operator="lessThan">
      <formula>0</formula>
    </cfRule>
  </conditionalFormatting>
  <hyperlinks>
    <hyperlink ref="B1" r:id="rId1"/>
    <hyperlink ref="E1" r:id="rId2"/>
  </hyperlinks>
  <pageMargins left="0.7" right="0.7" top="0.75" bottom="0.75" header="0.3" footer="0.3"/>
  <pageSetup orientation="portrait" horizontalDpi="4294967295" verticalDpi="4294967295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Button 1">
              <controlPr defaultSize="0" print="0" autoFill="0" autoPict="0" macro="[0]!Macro1">
                <anchor moveWithCells="1" sizeWithCells="1">
                  <from>
                    <xdr:col>13</xdr:col>
                    <xdr:colOff>381000</xdr:colOff>
                    <xdr:row>74</xdr:row>
                    <xdr:rowOff>19050</xdr:rowOff>
                  </from>
                  <to>
                    <xdr:col>14</xdr:col>
                    <xdr:colOff>628650</xdr:colOff>
                    <xdr:row>76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N27"/>
  <sheetViews>
    <sheetView workbookViewId="0">
      <selection activeCell="A2" sqref="A2:N2"/>
    </sheetView>
  </sheetViews>
  <sheetFormatPr defaultRowHeight="15" x14ac:dyDescent="0.25"/>
  <cols>
    <col min="1" max="1" width="36" bestFit="1" customWidth="1"/>
    <col min="2" max="2" width="12.5703125" bestFit="1" customWidth="1"/>
    <col min="3" max="3" width="12.28515625" bestFit="1" customWidth="1"/>
    <col min="4" max="4" width="17" bestFit="1" customWidth="1"/>
    <col min="5" max="5" width="13.28515625" bestFit="1" customWidth="1"/>
    <col min="6" max="6" width="12" bestFit="1" customWidth="1"/>
    <col min="7" max="7" width="11.5703125" bestFit="1" customWidth="1"/>
    <col min="8" max="8" width="11.85546875" bestFit="1" customWidth="1"/>
    <col min="9" max="12" width="11.5703125" bestFit="1" customWidth="1"/>
    <col min="13" max="13" width="13.28515625" bestFit="1" customWidth="1"/>
    <col min="14" max="14" width="4.5703125" bestFit="1" customWidth="1"/>
  </cols>
  <sheetData>
    <row r="2" spans="1:14" x14ac:dyDescent="0.25">
      <c r="A2" s="75" t="s">
        <v>59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x14ac:dyDescent="0.25">
      <c r="B3">
        <v>0</v>
      </c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</row>
    <row r="4" spans="1:14" x14ac:dyDescent="0.25">
      <c r="A4" t="s">
        <v>59</v>
      </c>
      <c r="B4" s="21">
        <f>'Realistic (IRR=WACC)'!B107</f>
        <v>-450000</v>
      </c>
      <c r="C4" s="21">
        <f>'Realistic (IRR=WACC)'!C107</f>
        <v>-282456.84931506845</v>
      </c>
      <c r="D4" s="21">
        <f>'Realistic (IRR=WACC)'!D107</f>
        <v>-206592.82731898749</v>
      </c>
      <c r="E4" s="21">
        <f>'Realistic (IRR=WACC)'!E107</f>
        <v>-106154.56318524972</v>
      </c>
      <c r="F4" s="21">
        <f>'Realistic (IRR=WACC)'!F107</f>
        <v>86370.047884432381</v>
      </c>
      <c r="G4" s="21">
        <f>'Realistic (IRR=WACC)'!G107</f>
        <v>70540.023586353884</v>
      </c>
      <c r="H4" s="21">
        <f>'Realistic (IRR=WACC)'!H107</f>
        <v>148664.74883931715</v>
      </c>
      <c r="I4" s="21">
        <f>'Realistic (IRR=WACC)'!I107</f>
        <v>53202.831287089342</v>
      </c>
      <c r="J4" s="21">
        <f>'Realistic (IRR=WACC)'!J107</f>
        <v>85204.625719498828</v>
      </c>
      <c r="K4" s="21">
        <f>'Realistic (IRR=WACC)'!K107</f>
        <v>120434.39320091177</v>
      </c>
      <c r="L4" s="21">
        <f>'Realistic (IRR=WACC)'!L107</f>
        <v>192602.77407012257</v>
      </c>
      <c r="M4" s="21">
        <f>'Realistic (IRR=WACC)'!M107</f>
        <v>624123.63025360357</v>
      </c>
      <c r="N4" s="27">
        <v>0.5</v>
      </c>
    </row>
    <row r="5" spans="1:14" x14ac:dyDescent="0.25">
      <c r="A5" t="s">
        <v>96</v>
      </c>
      <c r="B5" s="28">
        <f t="shared" ref="B5:M5" si="0">-PV($B$13,B3,,B4)</f>
        <v>-450000</v>
      </c>
      <c r="C5" s="28">
        <f t="shared" si="0"/>
        <v>-254465.63001357517</v>
      </c>
      <c r="D5" s="28">
        <f t="shared" si="0"/>
        <v>-167675.37319940544</v>
      </c>
      <c r="E5" s="28">
        <f t="shared" si="0"/>
        <v>-77619.301686821738</v>
      </c>
      <c r="F5" s="28">
        <f t="shared" si="0"/>
        <v>56894.62577986245</v>
      </c>
      <c r="G5" s="28">
        <f t="shared" si="0"/>
        <v>41862.070678603763</v>
      </c>
      <c r="H5" s="28">
        <f t="shared" si="0"/>
        <v>79482.245616382716</v>
      </c>
      <c r="I5" s="28">
        <f t="shared" si="0"/>
        <v>25625.591172630957</v>
      </c>
      <c r="J5" s="28">
        <f t="shared" si="0"/>
        <v>36972.544706846355</v>
      </c>
      <c r="K5" s="28">
        <f t="shared" si="0"/>
        <v>47080.787635540371</v>
      </c>
      <c r="L5" s="28">
        <f t="shared" si="0"/>
        <v>67831.707596402528</v>
      </c>
      <c r="M5" s="28">
        <f t="shared" si="0"/>
        <v>198024.01388440854</v>
      </c>
    </row>
    <row r="6" spans="1:14" x14ac:dyDescent="0.25">
      <c r="A6" s="46" t="s">
        <v>121</v>
      </c>
      <c r="E6">
        <v>-50000</v>
      </c>
      <c r="F6" s="28">
        <v>11550</v>
      </c>
      <c r="G6" s="28">
        <f>(1+$N$6)*F6</f>
        <v>16747.5</v>
      </c>
      <c r="H6" s="28">
        <f>(1+$N$6)*G6</f>
        <v>24283.875</v>
      </c>
      <c r="I6" s="28">
        <f>(1+$N$6)*H6</f>
        <v>35211.618750000001</v>
      </c>
      <c r="J6" s="28">
        <f>(1+$N$6)*I6</f>
        <v>51056.847187500003</v>
      </c>
      <c r="K6" s="28">
        <f>(1+$N$6)*J6</f>
        <v>74032.428421874996</v>
      </c>
      <c r="L6" s="28">
        <f t="shared" ref="L6:M6" si="1">(1+$N$6)*K6</f>
        <v>107347.02121171875</v>
      </c>
      <c r="M6" s="28">
        <f t="shared" si="1"/>
        <v>155653.18075699217</v>
      </c>
      <c r="N6" s="27">
        <v>0.45</v>
      </c>
    </row>
    <row r="7" spans="1:14" x14ac:dyDescent="0.25">
      <c r="A7" s="46" t="s">
        <v>118</v>
      </c>
      <c r="E7" s="28">
        <f t="shared" ref="E7:M7" si="2">-PV($B$13,E3,,E6)</f>
        <v>-36559.569065047508</v>
      </c>
      <c r="F7" s="28">
        <f t="shared" si="2"/>
        <v>7608.3427513747511</v>
      </c>
      <c r="G7" s="28">
        <f t="shared" si="2"/>
        <v>9938.8261166607099</v>
      </c>
      <c r="H7" s="28">
        <f t="shared" si="2"/>
        <v>12983.151233475703</v>
      </c>
      <c r="I7" s="28">
        <f t="shared" si="2"/>
        <v>16959.972332017809</v>
      </c>
      <c r="J7" s="28">
        <f t="shared" si="2"/>
        <v>22154.918812095333</v>
      </c>
      <c r="K7" s="28">
        <f t="shared" si="2"/>
        <v>28941.110159944346</v>
      </c>
      <c r="L7" s="28">
        <f t="shared" si="2"/>
        <v>37805.954713440813</v>
      </c>
      <c r="M7" s="28">
        <f t="shared" si="2"/>
        <v>49386.157058098346</v>
      </c>
    </row>
    <row r="9" spans="1:14" x14ac:dyDescent="0.25">
      <c r="A9" t="s">
        <v>120</v>
      </c>
      <c r="B9" s="29">
        <f t="shared" ref="B9:M9" si="3">B4+B6</f>
        <v>-450000</v>
      </c>
      <c r="C9" s="29">
        <f t="shared" si="3"/>
        <v>-282456.84931506845</v>
      </c>
      <c r="D9" s="29">
        <f>D4+D6</f>
        <v>-206592.82731898749</v>
      </c>
      <c r="E9" s="29">
        <f t="shared" si="3"/>
        <v>-156154.56318524972</v>
      </c>
      <c r="F9" s="29">
        <f t="shared" si="3"/>
        <v>97920.047884432381</v>
      </c>
      <c r="G9" s="29">
        <f t="shared" si="3"/>
        <v>87287.523586353884</v>
      </c>
      <c r="H9" s="29">
        <f t="shared" si="3"/>
        <v>172948.62383931715</v>
      </c>
      <c r="I9" s="29">
        <f t="shared" si="3"/>
        <v>88414.450037089351</v>
      </c>
      <c r="J9" s="29">
        <f t="shared" si="3"/>
        <v>136261.47290699882</v>
      </c>
      <c r="K9" s="29">
        <f t="shared" si="3"/>
        <v>194466.82162278675</v>
      </c>
      <c r="L9" s="29">
        <f t="shared" si="3"/>
        <v>299949.7952818413</v>
      </c>
      <c r="M9" s="29">
        <f t="shared" si="3"/>
        <v>779776.81101059576</v>
      </c>
    </row>
    <row r="10" spans="1:14" x14ac:dyDescent="0.25">
      <c r="A10" t="s">
        <v>119</v>
      </c>
      <c r="B10" s="28">
        <f t="shared" ref="B10:M10" si="4">SUM(B5,B7)</f>
        <v>-450000</v>
      </c>
      <c r="C10" s="28">
        <f t="shared" si="4"/>
        <v>-254465.63001357517</v>
      </c>
      <c r="D10" s="28">
        <f t="shared" si="4"/>
        <v>-167675.37319940544</v>
      </c>
      <c r="E10" s="28">
        <f t="shared" si="4"/>
        <v>-114178.87075186925</v>
      </c>
      <c r="F10" s="28">
        <f t="shared" si="4"/>
        <v>64502.968531237202</v>
      </c>
      <c r="G10" s="28">
        <f t="shared" si="4"/>
        <v>51800.896795264474</v>
      </c>
      <c r="H10" s="28">
        <f t="shared" si="4"/>
        <v>92465.396849858414</v>
      </c>
      <c r="I10" s="28">
        <f t="shared" si="4"/>
        <v>42585.563504648766</v>
      </c>
      <c r="J10" s="28">
        <f t="shared" si="4"/>
        <v>59127.463518941688</v>
      </c>
      <c r="K10" s="28">
        <f t="shared" si="4"/>
        <v>76021.897795484721</v>
      </c>
      <c r="L10" s="28">
        <f t="shared" si="4"/>
        <v>105637.66230984335</v>
      </c>
      <c r="M10" s="28">
        <f t="shared" si="4"/>
        <v>247410.1709425069</v>
      </c>
    </row>
    <row r="11" spans="1:14" ht="15.75" customHeight="1" x14ac:dyDescent="0.25"/>
    <row r="12" spans="1:14" x14ac:dyDescent="0.25">
      <c r="A12" t="s">
        <v>128</v>
      </c>
      <c r="B12">
        <v>11</v>
      </c>
    </row>
    <row r="13" spans="1:14" x14ac:dyDescent="0.25">
      <c r="A13" t="s">
        <v>98</v>
      </c>
      <c r="B13" s="27">
        <v>0.11</v>
      </c>
    </row>
    <row r="14" spans="1:14" x14ac:dyDescent="0.25">
      <c r="A14" t="s">
        <v>99</v>
      </c>
      <c r="B14" s="28">
        <f>SUM(B10:M10)</f>
        <v>-246767.85371706446</v>
      </c>
    </row>
    <row r="15" spans="1:14" x14ac:dyDescent="0.25">
      <c r="A15" t="s">
        <v>100</v>
      </c>
      <c r="B15" s="42">
        <f>IRR(B9:M9)</f>
        <v>6.9103142284910657E-2</v>
      </c>
    </row>
    <row r="20" spans="5:9" x14ac:dyDescent="0.25">
      <c r="E20" s="21"/>
    </row>
    <row r="21" spans="5:9" x14ac:dyDescent="0.25">
      <c r="E21" s="21"/>
    </row>
    <row r="25" spans="5:9" x14ac:dyDescent="0.25">
      <c r="E25" s="21"/>
    </row>
    <row r="26" spans="5:9" x14ac:dyDescent="0.25">
      <c r="E26" s="21"/>
    </row>
    <row r="27" spans="5:9" x14ac:dyDescent="0.25">
      <c r="I27" s="43"/>
    </row>
  </sheetData>
  <mergeCells count="1">
    <mergeCell ref="A2:N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22"/>
  <sheetViews>
    <sheetView zoomScaleNormal="100" workbookViewId="0">
      <selection activeCell="I25" sqref="I25"/>
    </sheetView>
  </sheetViews>
  <sheetFormatPr defaultRowHeight="15" x14ac:dyDescent="0.25"/>
  <cols>
    <col min="1" max="1" width="44.28515625" bestFit="1" customWidth="1"/>
    <col min="2" max="2" width="13.42578125" bestFit="1" customWidth="1"/>
    <col min="3" max="3" width="19.42578125" bestFit="1" customWidth="1"/>
    <col min="4" max="4" width="12.5703125" bestFit="1" customWidth="1"/>
    <col min="5" max="5" width="14.42578125" customWidth="1"/>
    <col min="6" max="6" width="13.85546875" customWidth="1"/>
    <col min="7" max="7" width="13.42578125" bestFit="1" customWidth="1"/>
    <col min="9" max="10" width="11.5703125" bestFit="1" customWidth="1"/>
    <col min="11" max="11" width="12" bestFit="1" customWidth="1"/>
    <col min="12" max="12" width="12.5703125" bestFit="1" customWidth="1"/>
    <col min="13" max="13" width="10" bestFit="1" customWidth="1"/>
  </cols>
  <sheetData>
    <row r="1" spans="1:9" x14ac:dyDescent="0.25">
      <c r="A1" t="s">
        <v>60</v>
      </c>
      <c r="B1" s="16" t="s">
        <v>61</v>
      </c>
      <c r="E1" s="16" t="s">
        <v>62</v>
      </c>
    </row>
    <row r="2" spans="1:9" x14ac:dyDescent="0.25">
      <c r="A2" s="1" t="s">
        <v>0</v>
      </c>
      <c r="B2" s="2"/>
      <c r="C2" s="2"/>
      <c r="D2" s="2"/>
      <c r="E2" s="2"/>
      <c r="F2" s="2"/>
      <c r="G2" s="2"/>
    </row>
    <row r="3" spans="1:9" hidden="1" x14ac:dyDescent="0.25">
      <c r="A3" s="1"/>
      <c r="B3" s="2"/>
      <c r="C3" s="2"/>
      <c r="D3" s="2"/>
      <c r="E3" s="2"/>
      <c r="F3" s="2"/>
      <c r="G3" s="2"/>
    </row>
    <row r="4" spans="1:9" ht="30" hidden="1" x14ac:dyDescent="0.25">
      <c r="A4" s="13" t="s">
        <v>67</v>
      </c>
      <c r="C4" s="7">
        <f>SUM(C5:C7)</f>
        <v>1</v>
      </c>
      <c r="D4" s="17">
        <v>300000</v>
      </c>
      <c r="F4" s="40" t="s">
        <v>101</v>
      </c>
      <c r="G4" s="2" t="s">
        <v>70</v>
      </c>
    </row>
    <row r="5" spans="1:9" hidden="1" x14ac:dyDescent="0.25">
      <c r="A5" s="13" t="s">
        <v>65</v>
      </c>
      <c r="C5" s="18">
        <v>0.75</v>
      </c>
      <c r="D5" s="19">
        <f>$D$4*C5</f>
        <v>225000</v>
      </c>
      <c r="F5" s="17">
        <v>8000</v>
      </c>
      <c r="G5" s="62">
        <f>D5/F5</f>
        <v>28.125</v>
      </c>
    </row>
    <row r="6" spans="1:9" hidden="1" x14ac:dyDescent="0.25">
      <c r="A6" s="2" t="s">
        <v>68</v>
      </c>
      <c r="C6" s="18">
        <v>0.1</v>
      </c>
      <c r="D6" s="19">
        <f>$D$4*C6</f>
        <v>30000</v>
      </c>
      <c r="F6" s="22">
        <v>25</v>
      </c>
      <c r="G6" s="21">
        <f>D6/F6</f>
        <v>1200</v>
      </c>
    </row>
    <row r="7" spans="1:9" hidden="1" x14ac:dyDescent="0.25">
      <c r="A7" t="s">
        <v>66</v>
      </c>
      <c r="C7" s="18">
        <v>0.15</v>
      </c>
      <c r="D7" s="19">
        <f>$D$4*C7</f>
        <v>45000</v>
      </c>
      <c r="F7" s="22">
        <v>50</v>
      </c>
      <c r="G7" s="21">
        <v>300</v>
      </c>
    </row>
    <row r="8" spans="1:9" x14ac:dyDescent="0.25">
      <c r="B8" s="19"/>
      <c r="D8" s="22"/>
      <c r="E8" s="21"/>
    </row>
    <row r="9" spans="1:9" x14ac:dyDescent="0.25">
      <c r="A9" s="2"/>
      <c r="B9" s="2"/>
      <c r="C9" s="58">
        <v>2014</v>
      </c>
      <c r="D9" s="58">
        <v>2015</v>
      </c>
      <c r="E9" s="58">
        <v>2016</v>
      </c>
      <c r="F9" s="58">
        <v>2017</v>
      </c>
      <c r="G9" s="58">
        <v>2018</v>
      </c>
    </row>
    <row r="10" spans="1:9" x14ac:dyDescent="0.25">
      <c r="A10" s="1" t="s">
        <v>1</v>
      </c>
      <c r="B10" s="2"/>
      <c r="C10" s="2"/>
      <c r="D10" s="2"/>
      <c r="E10" s="2"/>
      <c r="F10" s="2"/>
      <c r="G10" s="2"/>
    </row>
    <row r="11" spans="1:9" x14ac:dyDescent="0.25">
      <c r="A11" s="49" t="s">
        <v>63</v>
      </c>
      <c r="B11" s="2"/>
      <c r="C11" s="3">
        <f>G5</f>
        <v>28.125</v>
      </c>
      <c r="D11" s="3">
        <f>(1+$H11)*C11</f>
        <v>28.125</v>
      </c>
      <c r="E11" s="59">
        <v>60</v>
      </c>
      <c r="F11" s="3">
        <f>(1+$H11)*E11</f>
        <v>60</v>
      </c>
      <c r="G11" s="3">
        <v>60</v>
      </c>
      <c r="H11" s="4"/>
      <c r="I11" s="2"/>
    </row>
    <row r="12" spans="1:9" x14ac:dyDescent="0.25">
      <c r="A12" s="49" t="s">
        <v>69</v>
      </c>
      <c r="B12" s="2"/>
      <c r="C12" s="3">
        <f>G6</f>
        <v>1200</v>
      </c>
      <c r="D12" s="3">
        <f>C12+(1+$H$12)</f>
        <v>1201.0999999999999</v>
      </c>
      <c r="E12" s="3">
        <v>480</v>
      </c>
      <c r="F12" s="3">
        <f>E12+(1+$H$12)</f>
        <v>481.1</v>
      </c>
      <c r="G12" s="3">
        <v>495</v>
      </c>
      <c r="H12" s="4">
        <v>0.1</v>
      </c>
      <c r="I12" s="2" t="s">
        <v>2</v>
      </c>
    </row>
    <row r="13" spans="1:9" x14ac:dyDescent="0.25">
      <c r="A13" s="49" t="s">
        <v>64</v>
      </c>
      <c r="B13" s="2"/>
      <c r="C13" s="3">
        <f>G7</f>
        <v>300</v>
      </c>
      <c r="D13" s="3">
        <f t="shared" ref="D13:G16" si="0">(1+$H13)*C13</f>
        <v>303</v>
      </c>
      <c r="E13" s="3">
        <f t="shared" si="0"/>
        <v>306.03000000000003</v>
      </c>
      <c r="F13" s="3">
        <f t="shared" si="0"/>
        <v>309.09030000000001</v>
      </c>
      <c r="G13" s="3">
        <f t="shared" si="0"/>
        <v>312.18120300000004</v>
      </c>
      <c r="H13" s="4">
        <v>0.01</v>
      </c>
      <c r="I13" s="2" t="s">
        <v>2</v>
      </c>
    </row>
    <row r="14" spans="1:9" x14ac:dyDescent="0.25">
      <c r="A14" s="49" t="s">
        <v>71</v>
      </c>
      <c r="B14" s="2"/>
      <c r="C14" s="5">
        <f>F5</f>
        <v>8000</v>
      </c>
      <c r="D14" s="5">
        <f t="shared" si="0"/>
        <v>8080</v>
      </c>
      <c r="E14" s="5">
        <f t="shared" si="0"/>
        <v>8160.8</v>
      </c>
      <c r="F14" s="5">
        <f t="shared" si="0"/>
        <v>8242.4079999999994</v>
      </c>
      <c r="G14" s="5">
        <f t="shared" si="0"/>
        <v>8324.8320800000001</v>
      </c>
      <c r="H14" s="4">
        <v>0.01</v>
      </c>
      <c r="I14" s="2" t="s">
        <v>2</v>
      </c>
    </row>
    <row r="15" spans="1:9" x14ac:dyDescent="0.25">
      <c r="A15" s="49" t="s">
        <v>72</v>
      </c>
      <c r="B15" s="2"/>
      <c r="C15" s="5">
        <f>F6</f>
        <v>25</v>
      </c>
      <c r="D15" s="5">
        <f t="shared" si="0"/>
        <v>25.75</v>
      </c>
      <c r="E15" s="5">
        <f t="shared" si="0"/>
        <v>26.522500000000001</v>
      </c>
      <c r="F15" s="5">
        <f t="shared" si="0"/>
        <v>27.318175</v>
      </c>
      <c r="G15" s="5">
        <f t="shared" si="0"/>
        <v>28.137720250000001</v>
      </c>
      <c r="H15" s="4">
        <v>0.03</v>
      </c>
      <c r="I15" s="2" t="s">
        <v>2</v>
      </c>
    </row>
    <row r="16" spans="1:9" x14ac:dyDescent="0.25">
      <c r="A16" s="49" t="s">
        <v>73</v>
      </c>
      <c r="B16" s="2"/>
      <c r="C16" s="20">
        <f>F7</f>
        <v>50</v>
      </c>
      <c r="D16" s="20">
        <f t="shared" si="0"/>
        <v>51.5</v>
      </c>
      <c r="E16" s="20">
        <f t="shared" si="0"/>
        <v>53.045000000000002</v>
      </c>
      <c r="F16" s="20">
        <f t="shared" si="0"/>
        <v>54.63635</v>
      </c>
      <c r="G16" s="20">
        <f t="shared" si="0"/>
        <v>56.275440500000002</v>
      </c>
      <c r="H16" s="7">
        <v>0.03</v>
      </c>
      <c r="I16" s="2" t="s">
        <v>2</v>
      </c>
    </row>
    <row r="17" spans="1:9" x14ac:dyDescent="0.25">
      <c r="A17" s="2"/>
      <c r="B17" s="2"/>
      <c r="C17" s="20"/>
      <c r="D17" s="2"/>
      <c r="E17" s="2"/>
      <c r="F17" s="2"/>
      <c r="H17" s="2"/>
      <c r="I17" s="2"/>
    </row>
    <row r="18" spans="1:9" x14ac:dyDescent="0.25">
      <c r="A18" s="1" t="s">
        <v>3</v>
      </c>
      <c r="B18" s="2"/>
      <c r="C18" s="2"/>
      <c r="D18" s="2"/>
      <c r="E18" s="2"/>
      <c r="F18" s="2"/>
      <c r="H18" s="2"/>
      <c r="I18" s="2"/>
    </row>
    <row r="19" spans="1:9" x14ac:dyDescent="0.25">
      <c r="A19" s="49" t="s">
        <v>127</v>
      </c>
      <c r="B19" s="2"/>
      <c r="C19" s="2">
        <v>180</v>
      </c>
      <c r="D19" s="2">
        <v>180</v>
      </c>
      <c r="E19" s="2">
        <v>180</v>
      </c>
      <c r="F19" s="2">
        <v>150</v>
      </c>
      <c r="G19" s="23">
        <v>150</v>
      </c>
      <c r="H19" s="2"/>
      <c r="I19" s="2" t="s">
        <v>4</v>
      </c>
    </row>
    <row r="20" spans="1:9" x14ac:dyDescent="0.25">
      <c r="A20" s="49" t="s">
        <v>5</v>
      </c>
      <c r="B20" s="2"/>
      <c r="C20" s="6">
        <v>2</v>
      </c>
      <c r="D20" s="6">
        <f>(1+$H20)*C20</f>
        <v>1.94</v>
      </c>
      <c r="E20" s="6">
        <f>(1+$H20)*D20</f>
        <v>1.8817999999999999</v>
      </c>
      <c r="F20" s="6">
        <f>(1+$H20)*E20</f>
        <v>1.8253459999999999</v>
      </c>
      <c r="G20" s="6">
        <f>(1+$H20)*F20</f>
        <v>1.7705856199999999</v>
      </c>
      <c r="H20" s="7">
        <v>-0.03</v>
      </c>
      <c r="I20" s="2" t="s">
        <v>2</v>
      </c>
    </row>
    <row r="21" spans="1:9" x14ac:dyDescent="0.25">
      <c r="A21" s="49" t="s">
        <v>6</v>
      </c>
      <c r="B21" s="2"/>
      <c r="C21" s="6">
        <f t="shared" ref="C21:G21" si="1">365/C20</f>
        <v>182.5</v>
      </c>
      <c r="D21" s="6">
        <f t="shared" si="1"/>
        <v>188.14432989690721</v>
      </c>
      <c r="E21" s="6">
        <f t="shared" si="1"/>
        <v>193.96322669784249</v>
      </c>
      <c r="F21" s="6">
        <f t="shared" si="1"/>
        <v>199.96208937921907</v>
      </c>
      <c r="G21" s="6">
        <f t="shared" si="1"/>
        <v>206.14648389610215</v>
      </c>
      <c r="H21" s="7"/>
      <c r="I21" s="2"/>
    </row>
    <row r="22" spans="1:9" x14ac:dyDescent="0.25">
      <c r="A22" s="49" t="s">
        <v>7</v>
      </c>
      <c r="B22" s="2"/>
      <c r="C22" s="3">
        <v>60</v>
      </c>
      <c r="D22" s="2">
        <v>60</v>
      </c>
      <c r="E22" s="2">
        <v>60</v>
      </c>
      <c r="F22" s="2">
        <v>60</v>
      </c>
      <c r="G22" s="2">
        <v>60</v>
      </c>
      <c r="H22" s="2"/>
      <c r="I22" s="2" t="s">
        <v>4</v>
      </c>
    </row>
    <row r="23" spans="1:9" x14ac:dyDescent="0.25">
      <c r="A23" s="49"/>
      <c r="B23" s="2"/>
      <c r="H23" s="2"/>
      <c r="I23" s="2"/>
    </row>
    <row r="24" spans="1:9" x14ac:dyDescent="0.25">
      <c r="A24" s="49"/>
      <c r="B24" s="2"/>
      <c r="C24" s="76" t="s">
        <v>140</v>
      </c>
      <c r="D24" s="76"/>
      <c r="E24" s="76"/>
      <c r="F24" s="76"/>
      <c r="G24" s="76"/>
      <c r="H24" s="2"/>
      <c r="I24" s="2"/>
    </row>
    <row r="25" spans="1:9" x14ac:dyDescent="0.25">
      <c r="A25" s="1"/>
      <c r="B25" s="2"/>
      <c r="C25" s="25"/>
      <c r="D25" s="2"/>
      <c r="E25" s="2"/>
      <c r="F25" s="2"/>
      <c r="H25" s="2"/>
      <c r="I25" s="2"/>
    </row>
    <row r="26" spans="1:9" x14ac:dyDescent="0.25">
      <c r="A26" s="50" t="s">
        <v>74</v>
      </c>
      <c r="B26" s="2"/>
      <c r="C26" s="10">
        <f t="shared" ref="C26:G27" si="2">C11*C14</f>
        <v>225000</v>
      </c>
      <c r="D26" s="10">
        <f t="shared" si="2"/>
        <v>227250</v>
      </c>
      <c r="E26" s="10">
        <f t="shared" si="2"/>
        <v>489648</v>
      </c>
      <c r="F26" s="10">
        <f t="shared" si="2"/>
        <v>494544.48</v>
      </c>
      <c r="G26" s="10">
        <f t="shared" si="2"/>
        <v>499489.92480000004</v>
      </c>
      <c r="H26" s="18"/>
      <c r="I26" s="2"/>
    </row>
    <row r="27" spans="1:9" x14ac:dyDescent="0.25">
      <c r="A27" s="50" t="s">
        <v>75</v>
      </c>
      <c r="B27" s="2"/>
      <c r="C27" s="11">
        <f t="shared" si="2"/>
        <v>30000</v>
      </c>
      <c r="D27" s="11">
        <f t="shared" si="2"/>
        <v>30928.324999999997</v>
      </c>
      <c r="E27" s="11">
        <f t="shared" si="2"/>
        <v>12730.800000000001</v>
      </c>
      <c r="F27" s="11">
        <f t="shared" si="2"/>
        <v>13142.773992500001</v>
      </c>
      <c r="G27" s="11">
        <f t="shared" si="2"/>
        <v>13928.171523750001</v>
      </c>
    </row>
    <row r="28" spans="1:9" x14ac:dyDescent="0.25">
      <c r="A28" s="49" t="s">
        <v>76</v>
      </c>
      <c r="C28" s="39">
        <f>+C16*C13</f>
        <v>15000</v>
      </c>
      <c r="D28" s="39">
        <f t="shared" ref="D28:G28" si="3">+D16*D13</f>
        <v>15604.5</v>
      </c>
      <c r="E28" s="39">
        <f t="shared" si="3"/>
        <v>16233.361350000003</v>
      </c>
      <c r="F28" s="39">
        <f t="shared" si="3"/>
        <v>16887.565812405002</v>
      </c>
      <c r="G28" s="39">
        <f t="shared" si="3"/>
        <v>17568.134714644926</v>
      </c>
      <c r="H28" s="18"/>
      <c r="I28" s="2"/>
    </row>
    <row r="29" spans="1:9" x14ac:dyDescent="0.25">
      <c r="A29" s="9"/>
      <c r="B29" s="2"/>
      <c r="C29" s="24"/>
      <c r="D29" s="24"/>
      <c r="E29" s="24"/>
      <c r="F29" s="24"/>
      <c r="G29" s="24"/>
      <c r="H29" s="2"/>
      <c r="I29" s="2"/>
    </row>
    <row r="30" spans="1:9" x14ac:dyDescent="0.25">
      <c r="A30" s="2" t="s">
        <v>9</v>
      </c>
      <c r="B30" s="2"/>
      <c r="C30" s="24"/>
      <c r="D30" s="24"/>
      <c r="E30" s="24"/>
      <c r="F30" s="24"/>
      <c r="G30" s="24"/>
      <c r="H30" s="2"/>
      <c r="I30" s="2"/>
    </row>
    <row r="31" spans="1:9" x14ac:dyDescent="0.25">
      <c r="A31" s="2"/>
      <c r="B31" s="2"/>
      <c r="C31" s="24">
        <f>SUM(C26:C28)*0.75</f>
        <v>202500</v>
      </c>
      <c r="D31" s="24">
        <f t="shared" ref="D31" si="4">SUM(D26:D28)*0.75</f>
        <v>205337.11875000002</v>
      </c>
      <c r="E31" s="24">
        <f>SUM(E26:E28)*0.5</f>
        <v>259306.080675</v>
      </c>
      <c r="F31" s="24">
        <f>SUM(F26:F28)*0.5</f>
        <v>262287.40990245249</v>
      </c>
      <c r="G31" s="24">
        <f>SUM(G26:G28)*0.5</f>
        <v>265493.11551919748</v>
      </c>
      <c r="H31" s="7"/>
      <c r="I31" s="2"/>
    </row>
    <row r="32" spans="1:9" x14ac:dyDescent="0.25">
      <c r="B32" s="2"/>
      <c r="C32" s="11"/>
      <c r="D32" s="11"/>
      <c r="E32" s="11"/>
      <c r="F32" s="11"/>
      <c r="H32" s="2"/>
      <c r="I32" s="2"/>
    </row>
    <row r="33" spans="1:9" x14ac:dyDescent="0.25">
      <c r="A33" s="15" t="s">
        <v>124</v>
      </c>
      <c r="B33" s="2"/>
      <c r="C33" s="11"/>
      <c r="D33" s="11"/>
      <c r="E33" s="11"/>
      <c r="F33" s="11"/>
      <c r="H33" s="2"/>
      <c r="I33" s="2"/>
    </row>
    <row r="34" spans="1:9" x14ac:dyDescent="0.25">
      <c r="A34" s="49" t="s">
        <v>10</v>
      </c>
      <c r="B34" s="2"/>
      <c r="C34" s="11">
        <f>(SUM(C26:C28)*0.75)</f>
        <v>202500</v>
      </c>
      <c r="D34" s="11">
        <f>(SUM(D26:D28)*0.75)</f>
        <v>205337.11875000002</v>
      </c>
      <c r="E34" s="11">
        <f>(SUM(E26:E28)*0.5)</f>
        <v>259306.080675</v>
      </c>
      <c r="F34" s="11">
        <f>(SUM(F26:F28)*$H$34)</f>
        <v>78686.222970735747</v>
      </c>
      <c r="G34" s="11">
        <f>(SUM(G26:G28)*$H$34)</f>
        <v>79647.934655759236</v>
      </c>
      <c r="H34" s="18">
        <v>0.15</v>
      </c>
      <c r="I34" s="2" t="s">
        <v>77</v>
      </c>
    </row>
    <row r="35" spans="1:9" x14ac:dyDescent="0.25">
      <c r="A35" s="49" t="s">
        <v>11</v>
      </c>
      <c r="B35" s="2"/>
      <c r="C35" s="11">
        <f>SUM(C26:C28)*$H$35</f>
        <v>29700</v>
      </c>
      <c r="D35" s="11">
        <f>SUM(D26:D28)*$H$35</f>
        <v>30116.11075</v>
      </c>
      <c r="E35" s="11">
        <f>SUM(E26:E28)*$H$35</f>
        <v>57047.337748500002</v>
      </c>
      <c r="F35" s="11">
        <f>SUM(F26:F28)*$H$35</f>
        <v>57703.230178539547</v>
      </c>
      <c r="G35" s="11">
        <f>SUM(G26:G28)*$H$35</f>
        <v>58408.485414223447</v>
      </c>
      <c r="H35" s="48">
        <v>0.11</v>
      </c>
      <c r="I35" s="2" t="s">
        <v>12</v>
      </c>
    </row>
    <row r="36" spans="1:9" x14ac:dyDescent="0.25">
      <c r="A36" s="49" t="s">
        <v>13</v>
      </c>
      <c r="B36" s="2"/>
      <c r="C36" s="11">
        <v>10000</v>
      </c>
      <c r="D36" s="11">
        <v>10000</v>
      </c>
      <c r="E36" s="11">
        <v>10000</v>
      </c>
      <c r="F36" s="11">
        <v>10000</v>
      </c>
      <c r="G36" s="11">
        <v>10000</v>
      </c>
      <c r="H36" s="4"/>
      <c r="I36" s="2"/>
    </row>
    <row r="37" spans="1:9" x14ac:dyDescent="0.25">
      <c r="A37" s="49" t="s">
        <v>125</v>
      </c>
      <c r="B37" s="2"/>
      <c r="C37" s="11">
        <v>25000</v>
      </c>
      <c r="D37" s="11">
        <f>C37</f>
        <v>25000</v>
      </c>
      <c r="E37" s="11">
        <f t="shared" ref="E37:G37" si="5">D37</f>
        <v>25000</v>
      </c>
      <c r="F37" s="11">
        <f t="shared" si="5"/>
        <v>25000</v>
      </c>
      <c r="G37" s="11">
        <f t="shared" si="5"/>
        <v>25000</v>
      </c>
      <c r="H37" s="2"/>
      <c r="I37" s="2"/>
    </row>
    <row r="38" spans="1:9" x14ac:dyDescent="0.25">
      <c r="A38" s="2"/>
      <c r="B38" s="2"/>
      <c r="C38" s="11"/>
      <c r="D38" s="11"/>
      <c r="E38" s="11"/>
      <c r="F38" s="11"/>
      <c r="H38" s="2"/>
      <c r="I38" s="2"/>
    </row>
    <row r="39" spans="1:9" x14ac:dyDescent="0.25">
      <c r="A39" s="2"/>
      <c r="B39" s="2"/>
      <c r="C39" s="11"/>
      <c r="D39" s="11"/>
      <c r="E39" s="11"/>
      <c r="F39" s="11"/>
      <c r="H39" s="2"/>
      <c r="I39" s="2"/>
    </row>
    <row r="40" spans="1:9" x14ac:dyDescent="0.25">
      <c r="A40" s="49" t="s">
        <v>14</v>
      </c>
      <c r="B40" s="2"/>
      <c r="C40" s="26">
        <f>$C$57/$H40</f>
        <v>11666.666666666666</v>
      </c>
      <c r="D40" s="26">
        <f>$C$57/$H40</f>
        <v>11666.666666666666</v>
      </c>
      <c r="E40" s="26">
        <f>$C$57/$H40</f>
        <v>11666.666666666666</v>
      </c>
      <c r="F40" s="26">
        <f>$C$57/$H40</f>
        <v>11666.666666666666</v>
      </c>
      <c r="G40" s="26">
        <f>$C$57/$H40</f>
        <v>11666.666666666666</v>
      </c>
      <c r="H40" s="2">
        <v>30</v>
      </c>
      <c r="I40" s="2" t="s">
        <v>15</v>
      </c>
    </row>
    <row r="41" spans="1:9" x14ac:dyDescent="0.25">
      <c r="A41" s="49"/>
      <c r="B41" s="2"/>
      <c r="C41" s="11"/>
      <c r="D41" s="11"/>
      <c r="E41" s="11"/>
      <c r="F41" s="11"/>
      <c r="H41" s="12"/>
      <c r="I41" s="2"/>
    </row>
    <row r="42" spans="1:9" x14ac:dyDescent="0.25">
      <c r="A42" s="49" t="s">
        <v>16</v>
      </c>
      <c r="B42" s="2"/>
      <c r="C42" s="41">
        <f>C70*$H$42</f>
        <v>17071.068849730116</v>
      </c>
      <c r="D42" s="41">
        <f>D70*$H$42</f>
        <v>16190.077315123657</v>
      </c>
      <c r="E42" s="41">
        <f>E70*$H$42</f>
        <v>15422.500066483095</v>
      </c>
      <c r="F42" s="41">
        <f>F70*$H$42</f>
        <v>14626.586692772225</v>
      </c>
      <c r="G42" s="41">
        <f>G70*$H$42</f>
        <v>13871.748248270052</v>
      </c>
      <c r="H42" s="48">
        <v>0.04</v>
      </c>
      <c r="I42" s="2" t="s">
        <v>126</v>
      </c>
    </row>
    <row r="43" spans="1:9" x14ac:dyDescent="0.25">
      <c r="A43" s="49" t="s">
        <v>17</v>
      </c>
      <c r="B43" s="2"/>
      <c r="C43" s="41">
        <f>$H$43*C71</f>
        <v>29913.147558395285</v>
      </c>
      <c r="D43" s="41">
        <f>$H$43*D71</f>
        <v>53805.855399357883</v>
      </c>
      <c r="E43" s="41">
        <f>$H$43*E71</f>
        <v>80386.912042276905</v>
      </c>
      <c r="F43" s="41">
        <f>$H$43*F71</f>
        <v>83289.191062964703</v>
      </c>
      <c r="G43" s="41">
        <f>$H$43*G71</f>
        <v>86294.708951158042</v>
      </c>
      <c r="H43" s="4">
        <v>0.08</v>
      </c>
      <c r="I43" s="2" t="s">
        <v>18</v>
      </c>
    </row>
    <row r="44" spans="1:9" x14ac:dyDescent="0.25">
      <c r="A44" s="49"/>
      <c r="B44" s="2"/>
      <c r="C44" s="11"/>
      <c r="D44" s="11"/>
      <c r="E44" s="11"/>
      <c r="F44" s="11"/>
      <c r="H44" s="2"/>
      <c r="I44" s="2"/>
    </row>
    <row r="45" spans="1:9" x14ac:dyDescent="0.25">
      <c r="A45" s="49" t="s">
        <v>19</v>
      </c>
      <c r="B45" s="2"/>
      <c r="C45" s="55">
        <f>SUM(C26:C28)-SUM(C31:C43)</f>
        <v>-258350.8830747921</v>
      </c>
      <c r="D45" s="55">
        <f t="shared" ref="D45:G45" si="6">SUM(D26:D28)-SUM(D31:D43)</f>
        <v>-283670.12263114826</v>
      </c>
      <c r="E45" s="55">
        <f t="shared" si="6"/>
        <v>-199523.4165239266</v>
      </c>
      <c r="F45" s="55">
        <f t="shared" si="6"/>
        <v>-18684.487669226364</v>
      </c>
      <c r="G45" s="55">
        <f t="shared" si="6"/>
        <v>-19396.428416879964</v>
      </c>
      <c r="H45" s="4"/>
      <c r="I45" s="2"/>
    </row>
    <row r="46" spans="1:9" x14ac:dyDescent="0.25">
      <c r="A46" s="51" t="s">
        <v>20</v>
      </c>
      <c r="B46" s="2"/>
      <c r="C46" s="11">
        <f>IF(C45&lt;0,0,C45*$H$46)</f>
        <v>0</v>
      </c>
      <c r="D46" s="11">
        <f>IF(D45&lt;0,0,D45*$H$46)</f>
        <v>0</v>
      </c>
      <c r="E46" s="11">
        <f>IF(E45&lt;0,0,E45*$H$46)</f>
        <v>0</v>
      </c>
      <c r="F46" s="11">
        <f>IF(F45&lt;0,0,F45*$H$46)</f>
        <v>0</v>
      </c>
      <c r="G46" s="11">
        <f>IF(G45&lt;0,0,G45*$H$46)</f>
        <v>0</v>
      </c>
      <c r="H46" s="7">
        <v>0.2</v>
      </c>
      <c r="I46" s="2" t="s">
        <v>89</v>
      </c>
    </row>
    <row r="47" spans="1:9" ht="15.75" thickBot="1" x14ac:dyDescent="0.3">
      <c r="A47" s="49" t="s">
        <v>21</v>
      </c>
      <c r="B47" s="2"/>
      <c r="C47" s="56">
        <f t="shared" ref="C47:G47" si="7">C45-C46</f>
        <v>-258350.8830747921</v>
      </c>
      <c r="D47" s="56">
        <f t="shared" si="7"/>
        <v>-283670.12263114826</v>
      </c>
      <c r="E47" s="56">
        <f t="shared" si="7"/>
        <v>-199523.4165239266</v>
      </c>
      <c r="F47" s="56">
        <f t="shared" si="7"/>
        <v>-18684.487669226364</v>
      </c>
      <c r="G47" s="56">
        <f t="shared" si="7"/>
        <v>-19396.428416879964</v>
      </c>
      <c r="H47" s="2"/>
      <c r="I47" s="2"/>
    </row>
    <row r="48" spans="1:9" ht="15.75" thickTop="1" x14ac:dyDescent="0.25">
      <c r="A48" s="2"/>
      <c r="B48" s="2"/>
      <c r="C48" s="2"/>
      <c r="D48" s="2"/>
      <c r="E48" s="2"/>
      <c r="F48" s="2"/>
      <c r="H48" s="2"/>
      <c r="I48" s="2"/>
    </row>
    <row r="49" spans="1:10" x14ac:dyDescent="0.25">
      <c r="B49" s="2"/>
      <c r="C49" s="76" t="s">
        <v>22</v>
      </c>
      <c r="D49" s="76"/>
      <c r="E49" s="76"/>
      <c r="F49" s="76"/>
      <c r="G49" s="76"/>
      <c r="H49" s="2"/>
    </row>
    <row r="50" spans="1:10" x14ac:dyDescent="0.25">
      <c r="A50" s="1" t="s">
        <v>23</v>
      </c>
      <c r="B50" s="2"/>
      <c r="C50" s="2"/>
      <c r="D50" s="2"/>
      <c r="E50" s="2"/>
      <c r="F50" s="2"/>
      <c r="H50" s="2"/>
      <c r="I50" s="2" t="s">
        <v>122</v>
      </c>
      <c r="J50" t="s">
        <v>123</v>
      </c>
    </row>
    <row r="51" spans="1:10" x14ac:dyDescent="0.25">
      <c r="A51" s="49" t="s">
        <v>24</v>
      </c>
      <c r="B51" s="2"/>
      <c r="C51" s="11">
        <v>10000</v>
      </c>
      <c r="D51" s="11">
        <v>10000</v>
      </c>
      <c r="E51" s="11">
        <v>10000</v>
      </c>
      <c r="F51" s="11">
        <v>10000</v>
      </c>
      <c r="G51" s="11">
        <v>10000</v>
      </c>
      <c r="H51" s="10"/>
      <c r="I51" s="2"/>
      <c r="J51" s="35">
        <f>G51</f>
        <v>10000</v>
      </c>
    </row>
    <row r="52" spans="1:10" x14ac:dyDescent="0.25">
      <c r="A52" s="49" t="s">
        <v>25</v>
      </c>
      <c r="B52" s="2"/>
      <c r="C52" s="11">
        <v>0</v>
      </c>
      <c r="D52" s="11"/>
      <c r="E52" s="11"/>
      <c r="F52" s="11"/>
      <c r="G52" s="11"/>
      <c r="H52" s="10"/>
      <c r="I52" s="2"/>
    </row>
    <row r="53" spans="1:10" x14ac:dyDescent="0.25">
      <c r="A53" s="49" t="s">
        <v>26</v>
      </c>
      <c r="B53" s="2"/>
      <c r="C53" s="10">
        <f t="shared" ref="C53:G53" si="8">C19/365*C27</f>
        <v>14794.520547945205</v>
      </c>
      <c r="D53" s="10">
        <f t="shared" si="8"/>
        <v>15252.324657534244</v>
      </c>
      <c r="E53" s="10">
        <f t="shared" si="8"/>
        <v>6278.2027397260272</v>
      </c>
      <c r="F53" s="10">
        <f t="shared" si="8"/>
        <v>5401.1399969178083</v>
      </c>
      <c r="G53" s="10">
        <f t="shared" si="8"/>
        <v>5723.9061056506853</v>
      </c>
      <c r="H53" s="7">
        <v>0.5</v>
      </c>
      <c r="I53" s="2"/>
      <c r="J53" s="29">
        <f>G53*H53</f>
        <v>2861.9530528253426</v>
      </c>
    </row>
    <row r="54" spans="1:10" x14ac:dyDescent="0.25">
      <c r="A54" s="49" t="s">
        <v>27</v>
      </c>
      <c r="B54" s="2"/>
      <c r="C54" s="10">
        <f>C26/365*C21</f>
        <v>112500</v>
      </c>
      <c r="D54" s="10">
        <f t="shared" ref="D54:G54" si="9">D26/365*D21</f>
        <v>117139.17525773196</v>
      </c>
      <c r="E54" s="10">
        <f t="shared" si="9"/>
        <v>260201.93431820595</v>
      </c>
      <c r="F54" s="10">
        <f t="shared" si="9"/>
        <v>270931.91099112172</v>
      </c>
      <c r="G54" s="10">
        <f t="shared" si="9"/>
        <v>282104.36092889996</v>
      </c>
      <c r="H54" s="7">
        <v>0.5</v>
      </c>
      <c r="I54" s="2"/>
      <c r="J54" s="29">
        <f>G54*H54</f>
        <v>141052.18046444998</v>
      </c>
    </row>
    <row r="55" spans="1:10" x14ac:dyDescent="0.25">
      <c r="A55" s="49"/>
      <c r="B55" s="2"/>
      <c r="C55" s="2"/>
      <c r="D55" s="2"/>
      <c r="E55" s="2"/>
      <c r="F55" s="2"/>
      <c r="H55" s="2"/>
      <c r="I55" s="2"/>
    </row>
    <row r="56" spans="1:10" x14ac:dyDescent="0.25">
      <c r="A56" s="49" t="s">
        <v>28</v>
      </c>
      <c r="B56" s="2"/>
      <c r="C56" s="10">
        <v>100000</v>
      </c>
      <c r="D56" s="10">
        <f t="shared" ref="D56:G56" si="10">C56</f>
        <v>100000</v>
      </c>
      <c r="E56" s="10">
        <f t="shared" si="10"/>
        <v>100000</v>
      </c>
      <c r="F56" s="10">
        <f t="shared" si="10"/>
        <v>100000</v>
      </c>
      <c r="G56" s="10">
        <f t="shared" si="10"/>
        <v>100000</v>
      </c>
      <c r="H56" s="7">
        <v>0.75</v>
      </c>
      <c r="I56" s="35">
        <f>G56*H56</f>
        <v>75000</v>
      </c>
    </row>
    <row r="57" spans="1:10" x14ac:dyDescent="0.25">
      <c r="A57" s="49" t="s">
        <v>29</v>
      </c>
      <c r="B57" s="2"/>
      <c r="C57" s="11">
        <v>350000</v>
      </c>
      <c r="D57" s="11">
        <f t="shared" ref="D57:G57" si="11">$C$57</f>
        <v>350000</v>
      </c>
      <c r="E57" s="11">
        <f t="shared" si="11"/>
        <v>350000</v>
      </c>
      <c r="F57" s="11">
        <f t="shared" si="11"/>
        <v>350000</v>
      </c>
      <c r="G57" s="11">
        <f t="shared" si="11"/>
        <v>350000</v>
      </c>
      <c r="H57" s="7">
        <v>0.75</v>
      </c>
      <c r="I57" s="35">
        <f>G57*H57</f>
        <v>262500</v>
      </c>
    </row>
    <row r="58" spans="1:10" x14ac:dyDescent="0.25">
      <c r="A58" s="52" t="s">
        <v>30</v>
      </c>
      <c r="B58" s="2"/>
      <c r="C58" s="11">
        <f>C40</f>
        <v>11666.666666666666</v>
      </c>
      <c r="D58" s="11">
        <f t="shared" ref="D58:G58" si="12">C58+D40</f>
        <v>23333.333333333332</v>
      </c>
      <c r="E58" s="11">
        <f t="shared" si="12"/>
        <v>35000</v>
      </c>
      <c r="F58" s="11">
        <f t="shared" si="12"/>
        <v>46666.666666666664</v>
      </c>
      <c r="G58" s="11">
        <f t="shared" si="12"/>
        <v>58333.333333333328</v>
      </c>
      <c r="H58" s="2"/>
      <c r="I58" s="2"/>
    </row>
    <row r="59" spans="1:10" x14ac:dyDescent="0.25">
      <c r="A59" s="2"/>
      <c r="B59" s="2"/>
      <c r="C59" s="2"/>
      <c r="D59" s="2"/>
      <c r="E59" s="2"/>
      <c r="F59" s="2"/>
      <c r="H59" s="2"/>
      <c r="I59" s="2"/>
    </row>
    <row r="60" spans="1:10" ht="15.75" thickBot="1" x14ac:dyDescent="0.3">
      <c r="A60" s="1" t="s">
        <v>31</v>
      </c>
      <c r="B60" s="2"/>
      <c r="C60" s="56">
        <f t="shared" ref="C60:G60" si="13">SUM(C51:C57)-C58</f>
        <v>575627.85388127854</v>
      </c>
      <c r="D60" s="56">
        <f t="shared" si="13"/>
        <v>569058.1665819328</v>
      </c>
      <c r="E60" s="56">
        <f t="shared" si="13"/>
        <v>691480.13705793198</v>
      </c>
      <c r="F60" s="56">
        <f t="shared" si="13"/>
        <v>689666.38432137284</v>
      </c>
      <c r="G60" s="56">
        <f t="shared" si="13"/>
        <v>689494.93370121729</v>
      </c>
      <c r="H60" s="2"/>
      <c r="I60" s="2"/>
    </row>
    <row r="61" spans="1:10" ht="15.75" thickTop="1" x14ac:dyDescent="0.25">
      <c r="A61" s="1"/>
      <c r="B61" s="2"/>
      <c r="C61" s="14"/>
      <c r="D61" s="14"/>
      <c r="E61" s="14"/>
      <c r="F61" s="14"/>
      <c r="H61" s="2"/>
      <c r="I61" s="2"/>
    </row>
    <row r="62" spans="1:10" x14ac:dyDescent="0.25">
      <c r="A62" s="1" t="s">
        <v>32</v>
      </c>
      <c r="B62" s="2"/>
      <c r="C62" s="2"/>
      <c r="D62" s="2"/>
      <c r="E62" s="2"/>
      <c r="F62" s="2"/>
      <c r="H62" s="2"/>
      <c r="I62" s="2"/>
    </row>
    <row r="63" spans="1:10" x14ac:dyDescent="0.25">
      <c r="A63" s="49" t="s">
        <v>33</v>
      </c>
      <c r="B63" s="2"/>
      <c r="C63" s="11"/>
      <c r="D63" s="11"/>
      <c r="E63" s="11"/>
      <c r="F63" s="11"/>
      <c r="H63" s="2"/>
      <c r="I63" s="2"/>
    </row>
    <row r="64" spans="1:10" x14ac:dyDescent="0.25">
      <c r="A64" s="49" t="s">
        <v>34</v>
      </c>
      <c r="B64" s="2"/>
      <c r="C64" s="11">
        <f>C31/365*C22</f>
        <v>33287.671232876717</v>
      </c>
      <c r="D64" s="11">
        <f t="shared" ref="D64:G64" si="14">D31/365*D22</f>
        <v>33754.04691780822</v>
      </c>
      <c r="E64" s="11">
        <f t="shared" si="14"/>
        <v>42625.657097260279</v>
      </c>
      <c r="F64" s="11">
        <f t="shared" si="14"/>
        <v>43115.738614101778</v>
      </c>
      <c r="G64" s="11">
        <f t="shared" si="14"/>
        <v>43642.70392096397</v>
      </c>
      <c r="H64" s="2"/>
      <c r="I64" s="2"/>
      <c r="J64" s="35">
        <f>-G64</f>
        <v>-43642.70392096397</v>
      </c>
    </row>
    <row r="65" spans="1:13" x14ac:dyDescent="0.25">
      <c r="A65" s="49" t="s">
        <v>35</v>
      </c>
      <c r="B65" s="2"/>
      <c r="C65" s="11">
        <f t="shared" ref="C65:G65" si="15">C46</f>
        <v>0</v>
      </c>
      <c r="D65" s="11">
        <f t="shared" si="15"/>
        <v>0</v>
      </c>
      <c r="E65" s="11">
        <f t="shared" si="15"/>
        <v>0</v>
      </c>
      <c r="F65" s="11">
        <f t="shared" si="15"/>
        <v>0</v>
      </c>
      <c r="G65" s="11">
        <f t="shared" si="15"/>
        <v>0</v>
      </c>
      <c r="H65" s="2"/>
      <c r="I65" s="64"/>
      <c r="J65" s="65"/>
    </row>
    <row r="66" spans="1:13" x14ac:dyDescent="0.25">
      <c r="A66" s="49"/>
      <c r="B66" s="2"/>
      <c r="C66" s="11"/>
      <c r="D66" s="11"/>
      <c r="E66" s="11"/>
      <c r="F66" s="11"/>
      <c r="G66" s="11"/>
      <c r="H66" s="2" t="s">
        <v>129</v>
      </c>
      <c r="I66">
        <f>SUM(I51:I65)</f>
        <v>337500</v>
      </c>
      <c r="J66" s="66">
        <f>SUM(J51:J65)</f>
        <v>110271.42959631135</v>
      </c>
    </row>
    <row r="67" spans="1:13" x14ac:dyDescent="0.25">
      <c r="A67" s="49"/>
      <c r="B67" s="2"/>
      <c r="C67" s="11"/>
      <c r="D67" s="11"/>
      <c r="E67" s="11"/>
      <c r="F67" s="11"/>
      <c r="G67" s="11"/>
      <c r="H67" s="2" t="s">
        <v>130</v>
      </c>
      <c r="I67" s="67"/>
      <c r="J67" s="68"/>
    </row>
    <row r="68" spans="1:13" x14ac:dyDescent="0.25">
      <c r="A68" s="49"/>
      <c r="B68" s="2"/>
      <c r="C68" s="11"/>
      <c r="D68" s="11"/>
      <c r="E68" s="11"/>
      <c r="F68" s="11"/>
      <c r="H68" s="2" t="s">
        <v>129</v>
      </c>
      <c r="J68" s="66">
        <f>J66</f>
        <v>110271.42959631135</v>
      </c>
    </row>
    <row r="69" spans="1:13" x14ac:dyDescent="0.25">
      <c r="A69" s="49"/>
      <c r="B69" s="2"/>
      <c r="C69" s="11"/>
      <c r="D69" s="11"/>
      <c r="E69" s="11"/>
      <c r="F69" s="11"/>
      <c r="H69" s="2"/>
      <c r="I69" t="s">
        <v>131</v>
      </c>
      <c r="J69" t="s">
        <v>132</v>
      </c>
      <c r="K69" t="s">
        <v>106</v>
      </c>
      <c r="L69" t="s">
        <v>133</v>
      </c>
      <c r="M69" t="s">
        <v>134</v>
      </c>
    </row>
    <row r="70" spans="1:13" x14ac:dyDescent="0.25">
      <c r="A70" s="49" t="s">
        <v>36</v>
      </c>
      <c r="B70" s="2"/>
      <c r="C70" s="11">
        <f>Mortgage!K4</f>
        <v>426776.72124325286</v>
      </c>
      <c r="D70" s="11">
        <f>Mortgage!L4</f>
        <v>404751.93287809141</v>
      </c>
      <c r="E70" s="11">
        <f>Mortgage!M4</f>
        <v>385562.50166207738</v>
      </c>
      <c r="F70" s="11">
        <f>Mortgage!N4</f>
        <v>365664.66731930565</v>
      </c>
      <c r="G70" s="11">
        <f>Mortgage!O4</f>
        <v>346793.70620675129</v>
      </c>
      <c r="H70" s="2"/>
      <c r="I70" s="35">
        <f>I66</f>
        <v>337500</v>
      </c>
      <c r="J70" s="35">
        <f>G70-I70</f>
        <v>9293.7062067512888</v>
      </c>
      <c r="K70" s="69">
        <f>J70/(J70+J71)</f>
        <v>8.5421855002154809E-3</v>
      </c>
      <c r="L70" s="39">
        <f>J68*K70</f>
        <v>941.9590069856431</v>
      </c>
      <c r="M70" s="35">
        <f>I70+L70</f>
        <v>338441.95900698565</v>
      </c>
    </row>
    <row r="71" spans="1:13" x14ac:dyDescent="0.25">
      <c r="A71" s="49" t="s">
        <v>37</v>
      </c>
      <c r="B71" s="2"/>
      <c r="C71" s="11">
        <v>373914.34447994106</v>
      </c>
      <c r="D71" s="11">
        <v>672573.19249197352</v>
      </c>
      <c r="E71" s="11">
        <v>1004836.4005284612</v>
      </c>
      <c r="F71" s="11">
        <v>1041114.8882870587</v>
      </c>
      <c r="G71" s="11">
        <v>1078683.8618894755</v>
      </c>
      <c r="H71" s="2"/>
      <c r="J71" s="35">
        <f>G71</f>
        <v>1078683.8618894755</v>
      </c>
      <c r="K71" s="69">
        <f>J71/(J70+J71)</f>
        <v>0.99145781449978454</v>
      </c>
      <c r="L71" s="39">
        <f>J68*K71</f>
        <v>109329.47058932572</v>
      </c>
      <c r="M71" s="47">
        <f>L71</f>
        <v>109329.47058932572</v>
      </c>
    </row>
    <row r="72" spans="1:13" x14ac:dyDescent="0.25">
      <c r="A72" s="49"/>
      <c r="B72" s="2"/>
      <c r="C72" s="11"/>
      <c r="D72" s="11"/>
      <c r="E72" s="11"/>
      <c r="F72" s="11"/>
      <c r="H72" s="2"/>
    </row>
    <row r="73" spans="1:13" x14ac:dyDescent="0.25">
      <c r="A73" s="49" t="s">
        <v>38</v>
      </c>
      <c r="B73" s="2"/>
      <c r="C73" s="11"/>
      <c r="D73" s="11"/>
      <c r="E73" s="11"/>
      <c r="F73" s="11"/>
      <c r="H73" s="2"/>
    </row>
    <row r="74" spans="1:13" x14ac:dyDescent="0.25">
      <c r="A74" s="49" t="s">
        <v>39</v>
      </c>
      <c r="B74" s="2"/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2"/>
    </row>
    <row r="75" spans="1:13" x14ac:dyDescent="0.25">
      <c r="A75" s="53" t="s">
        <v>40</v>
      </c>
      <c r="B75" s="11"/>
      <c r="C75" s="11">
        <f>B75+C47</f>
        <v>-258350.8830747921</v>
      </c>
      <c r="D75" s="11">
        <f>C75+D47</f>
        <v>-542021.0057059403</v>
      </c>
      <c r="E75" s="11">
        <f>D75+E47</f>
        <v>-741544.42222986696</v>
      </c>
      <c r="F75" s="11">
        <f>E75+F47</f>
        <v>-760228.90989909333</v>
      </c>
      <c r="G75" s="11">
        <f>F75+G47</f>
        <v>-779625.33831597329</v>
      </c>
      <c r="H75" s="2"/>
    </row>
    <row r="76" spans="1:13" x14ac:dyDescent="0.25">
      <c r="A76" s="2"/>
      <c r="B76" s="2"/>
      <c r="C76" s="11"/>
      <c r="D76" s="11"/>
      <c r="E76" s="11"/>
      <c r="F76" s="11"/>
      <c r="H76" s="2"/>
    </row>
    <row r="77" spans="1:13" ht="15.75" thickBot="1" x14ac:dyDescent="0.3">
      <c r="A77" s="1" t="s">
        <v>91</v>
      </c>
      <c r="B77" s="2"/>
      <c r="C77" s="57">
        <f>SUM(C64:C75)</f>
        <v>575627.85388127854</v>
      </c>
      <c r="D77" s="57">
        <f>SUM(D64:D75)</f>
        <v>569058.16658193292</v>
      </c>
      <c r="E77" s="57">
        <f>SUM(E64:E75)</f>
        <v>691480.13705793186</v>
      </c>
      <c r="F77" s="57">
        <f>SUM(F64:F75)</f>
        <v>689666.38432137284</v>
      </c>
      <c r="G77" s="57">
        <f>SUM(G64:G75)</f>
        <v>689494.93370121741</v>
      </c>
      <c r="H77" s="2"/>
      <c r="I77" s="2"/>
    </row>
    <row r="78" spans="1:13" ht="15.75" thickTop="1" x14ac:dyDescent="0.25">
      <c r="A78" s="2"/>
      <c r="B78" s="2"/>
      <c r="C78" s="2"/>
      <c r="D78" s="2"/>
      <c r="E78" s="2"/>
      <c r="F78" s="2"/>
      <c r="H78" s="2"/>
      <c r="I78" s="2"/>
    </row>
    <row r="79" spans="1:13" x14ac:dyDescent="0.25">
      <c r="A79" s="15" t="s">
        <v>41</v>
      </c>
      <c r="B79" s="2"/>
      <c r="C79" s="14">
        <f>C60-C77</f>
        <v>0</v>
      </c>
      <c r="D79" s="14">
        <f>D60-D77</f>
        <v>0</v>
      </c>
      <c r="E79" s="14">
        <f>E60-E77</f>
        <v>0</v>
      </c>
      <c r="F79" s="14">
        <f>F60-F77</f>
        <v>0</v>
      </c>
      <c r="G79" s="14">
        <f>G60-G77</f>
        <v>0</v>
      </c>
      <c r="H79" s="2"/>
      <c r="I79" s="2"/>
    </row>
    <row r="80" spans="1:13" s="65" customFormat="1" x14ac:dyDescent="0.25"/>
    <row r="82" spans="1:7" x14ac:dyDescent="0.25">
      <c r="A82" s="44" t="s">
        <v>135</v>
      </c>
    </row>
    <row r="83" spans="1:7" x14ac:dyDescent="0.25">
      <c r="A83" s="54" t="s">
        <v>136</v>
      </c>
      <c r="B83" s="35">
        <f>-C70</f>
        <v>-426776.72124325286</v>
      </c>
    </row>
    <row r="84" spans="1:7" x14ac:dyDescent="0.25">
      <c r="A84" s="54" t="s">
        <v>137</v>
      </c>
      <c r="C84" s="35">
        <f>C70-D70</f>
        <v>22024.788365161454</v>
      </c>
      <c r="D84" s="35">
        <f t="shared" ref="D84:F84" si="16">D70-E70</f>
        <v>19189.431216014025</v>
      </c>
      <c r="E84" s="35">
        <f t="shared" si="16"/>
        <v>19897.834342771734</v>
      </c>
      <c r="F84" s="35">
        <f t="shared" si="16"/>
        <v>18870.96111255436</v>
      </c>
    </row>
    <row r="85" spans="1:7" x14ac:dyDescent="0.25">
      <c r="A85" s="54" t="s">
        <v>83</v>
      </c>
      <c r="C85" s="29">
        <f>C42</f>
        <v>17071.068849730116</v>
      </c>
      <c r="D85" s="29">
        <f t="shared" ref="D85:G85" si="17">D42</f>
        <v>16190.077315123657</v>
      </c>
      <c r="E85" s="29">
        <f t="shared" si="17"/>
        <v>15422.500066483095</v>
      </c>
      <c r="F85" s="29">
        <f t="shared" si="17"/>
        <v>14626.586692772225</v>
      </c>
      <c r="G85" s="29">
        <f t="shared" si="17"/>
        <v>13871.748248270052</v>
      </c>
    </row>
    <row r="86" spans="1:7" x14ac:dyDescent="0.25">
      <c r="A86" s="54" t="s">
        <v>138</v>
      </c>
      <c r="B86" s="65"/>
      <c r="C86" s="65"/>
      <c r="D86" s="65"/>
      <c r="E86" s="65"/>
      <c r="F86" s="65"/>
      <c r="G86" s="70">
        <f>M70</f>
        <v>338441.95900698565</v>
      </c>
    </row>
    <row r="87" spans="1:7" x14ac:dyDescent="0.25">
      <c r="A87" s="54" t="s">
        <v>129</v>
      </c>
      <c r="B87" s="35">
        <f>SUM(B83:B86)</f>
        <v>-426776.72124325286</v>
      </c>
      <c r="C87" s="35">
        <f t="shared" ref="C87:G87" si="18">SUM(C83:C86)</f>
        <v>39095.85721489157</v>
      </c>
      <c r="D87" s="35">
        <f t="shared" si="18"/>
        <v>35379.508531137682</v>
      </c>
      <c r="E87" s="35">
        <f t="shared" si="18"/>
        <v>35320.334409254829</v>
      </c>
      <c r="F87" s="35">
        <f t="shared" si="18"/>
        <v>33497.547805326583</v>
      </c>
      <c r="G87" s="35">
        <f t="shared" si="18"/>
        <v>352313.70725525572</v>
      </c>
    </row>
    <row r="88" spans="1:7" x14ac:dyDescent="0.25">
      <c r="A88" s="54" t="s">
        <v>135</v>
      </c>
      <c r="B88" s="27">
        <f>IRR(B87:G87)</f>
        <v>3.5986814275452472E-2</v>
      </c>
    </row>
    <row r="90" spans="1:7" x14ac:dyDescent="0.25">
      <c r="A90" s="44" t="s">
        <v>139</v>
      </c>
    </row>
    <row r="91" spans="1:7" x14ac:dyDescent="0.25">
      <c r="A91" s="54" t="s">
        <v>136</v>
      </c>
      <c r="B91" s="35">
        <f>-C71</f>
        <v>-373914.34447994106</v>
      </c>
    </row>
    <row r="92" spans="1:7" x14ac:dyDescent="0.25">
      <c r="A92" s="54" t="s">
        <v>137</v>
      </c>
      <c r="C92" s="35">
        <f>C71-D71</f>
        <v>-298658.84801203245</v>
      </c>
      <c r="D92" s="35">
        <f t="shared" ref="D92:F92" si="19">D71-E71</f>
        <v>-332263.20803648769</v>
      </c>
      <c r="E92" s="35">
        <f t="shared" si="19"/>
        <v>-36278.487758597475</v>
      </c>
      <c r="F92" s="35">
        <f t="shared" si="19"/>
        <v>-37568.973602416809</v>
      </c>
    </row>
    <row r="93" spans="1:7" x14ac:dyDescent="0.25">
      <c r="A93" s="54" t="s">
        <v>83</v>
      </c>
      <c r="C93" s="29">
        <f>C43</f>
        <v>29913.147558395285</v>
      </c>
      <c r="D93" s="29">
        <f t="shared" ref="D93:G93" si="20">D43</f>
        <v>53805.855399357883</v>
      </c>
      <c r="E93" s="29">
        <f t="shared" si="20"/>
        <v>80386.912042276905</v>
      </c>
      <c r="F93" s="29">
        <f t="shared" si="20"/>
        <v>83289.191062964703</v>
      </c>
      <c r="G93" s="29">
        <f t="shared" si="20"/>
        <v>86294.708951158042</v>
      </c>
    </row>
    <row r="94" spans="1:7" x14ac:dyDescent="0.25">
      <c r="A94" s="54" t="s">
        <v>138</v>
      </c>
      <c r="B94" s="65"/>
      <c r="C94" s="65"/>
      <c r="D94" s="65"/>
      <c r="E94" s="65"/>
      <c r="F94" s="65"/>
      <c r="G94" s="70">
        <f>M71</f>
        <v>109329.47058932572</v>
      </c>
    </row>
    <row r="95" spans="1:7" x14ac:dyDescent="0.25">
      <c r="A95" s="54" t="s">
        <v>129</v>
      </c>
      <c r="B95" s="35">
        <f>SUM(B91:B94)</f>
        <v>-373914.34447994106</v>
      </c>
      <c r="C95" s="35">
        <f t="shared" ref="C95" si="21">SUM(C91:C94)</f>
        <v>-268745.70045363717</v>
      </c>
      <c r="D95" s="35">
        <f t="shared" ref="D95" si="22">SUM(D91:D94)</f>
        <v>-278457.35263712984</v>
      </c>
      <c r="E95" s="35">
        <f t="shared" ref="E95" si="23">SUM(E91:E94)</f>
        <v>44108.424283679429</v>
      </c>
      <c r="F95" s="35">
        <f t="shared" ref="F95" si="24">SUM(F91:F94)</f>
        <v>45720.217460547894</v>
      </c>
      <c r="G95" s="35">
        <f t="shared" ref="G95" si="25">SUM(G91:G94)</f>
        <v>195624.17954048375</v>
      </c>
    </row>
    <row r="96" spans="1:7" x14ac:dyDescent="0.25">
      <c r="A96" s="54" t="s">
        <v>135</v>
      </c>
      <c r="B96" s="27">
        <f>IRR(B95:G95)</f>
        <v>-0.27764742683587051</v>
      </c>
    </row>
    <row r="122" ht="16.5" customHeight="1" x14ac:dyDescent="0.25"/>
  </sheetData>
  <mergeCells count="2">
    <mergeCell ref="C49:G49"/>
    <mergeCell ref="C24:G24"/>
  </mergeCells>
  <conditionalFormatting sqref="C47:G47">
    <cfRule type="cellIs" dxfId="0" priority="3" operator="lessThan">
      <formula>0</formula>
    </cfRule>
  </conditionalFormatting>
  <hyperlinks>
    <hyperlink ref="B1" r:id="rId1"/>
    <hyperlink ref="E1" r:id="rId2"/>
  </hyperlinks>
  <pageMargins left="0.7" right="0.7" top="0.75" bottom="0.75" header="0.3" footer="0.3"/>
  <pageSetup orientation="portrait" horizontalDpi="4294967295" verticalDpi="4294967295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182"/>
  <sheetViews>
    <sheetView workbookViewId="0">
      <selection activeCell="K4" sqref="K4"/>
    </sheetView>
  </sheetViews>
  <sheetFormatPr defaultRowHeight="15" x14ac:dyDescent="0.25"/>
  <cols>
    <col min="1" max="1" width="17.28515625" bestFit="1" customWidth="1"/>
    <col min="2" max="2" width="11.5703125" bestFit="1" customWidth="1"/>
    <col min="6" max="6" width="9.85546875" bestFit="1" customWidth="1"/>
    <col min="7" max="7" width="11.85546875" bestFit="1" customWidth="1"/>
    <col min="8" max="8" width="9.5703125" style="21" bestFit="1" customWidth="1"/>
    <col min="9" max="9" width="14.42578125" customWidth="1"/>
    <col min="11" max="21" width="11.85546875" bestFit="1" customWidth="1"/>
  </cols>
  <sheetData>
    <row r="1" spans="1:21" x14ac:dyDescent="0.25">
      <c r="A1" t="s">
        <v>78</v>
      </c>
      <c r="C1" t="s">
        <v>84</v>
      </c>
      <c r="E1" t="s">
        <v>85</v>
      </c>
      <c r="F1" t="s">
        <v>87</v>
      </c>
      <c r="G1" t="s">
        <v>82</v>
      </c>
      <c r="H1" s="21" t="s">
        <v>83</v>
      </c>
      <c r="I1" t="s">
        <v>86</v>
      </c>
    </row>
    <row r="2" spans="1:21" x14ac:dyDescent="0.25">
      <c r="A2" t="s">
        <v>79</v>
      </c>
      <c r="B2" s="37">
        <v>450000</v>
      </c>
      <c r="E2">
        <v>1</v>
      </c>
      <c r="F2" s="28">
        <f>I2-H2</f>
        <v>1982.6173812509551</v>
      </c>
      <c r="G2">
        <f>B2</f>
        <v>450000</v>
      </c>
      <c r="H2" s="21">
        <f>(G2*$B$4)/12</f>
        <v>1125</v>
      </c>
      <c r="I2" s="28">
        <f>PMT($B$4/12,$C$3,-G2)</f>
        <v>3107.6173812509551</v>
      </c>
      <c r="K2" t="s">
        <v>90</v>
      </c>
    </row>
    <row r="3" spans="1:21" x14ac:dyDescent="0.25">
      <c r="A3" t="s">
        <v>80</v>
      </c>
      <c r="B3">
        <v>15</v>
      </c>
      <c r="C3">
        <f>B3*12</f>
        <v>180</v>
      </c>
      <c r="E3">
        <v>2</v>
      </c>
      <c r="F3" s="28">
        <f t="shared" ref="F3:F66" si="0">I3-H3</f>
        <v>1973.8823330722037</v>
      </c>
      <c r="G3" s="28">
        <f>G2-F2</f>
        <v>448017.38261874905</v>
      </c>
      <c r="H3" s="21">
        <f>(G3*$B$4)/12</f>
        <v>1120.0434565468724</v>
      </c>
      <c r="I3" s="28">
        <f t="shared" ref="I3:I66" si="1">PMT($B$4/12,$C$3,-G3)</f>
        <v>3093.9257896190761</v>
      </c>
      <c r="K3">
        <v>1</v>
      </c>
      <c r="L3">
        <v>2</v>
      </c>
      <c r="M3">
        <v>3</v>
      </c>
      <c r="N3">
        <v>4</v>
      </c>
      <c r="O3">
        <v>5</v>
      </c>
      <c r="P3">
        <v>6</v>
      </c>
      <c r="Q3">
        <v>7</v>
      </c>
      <c r="R3">
        <v>8</v>
      </c>
      <c r="S3">
        <v>9</v>
      </c>
      <c r="T3">
        <v>10</v>
      </c>
      <c r="U3">
        <v>11</v>
      </c>
    </row>
    <row r="4" spans="1:21" x14ac:dyDescent="0.25">
      <c r="A4" t="s">
        <v>81</v>
      </c>
      <c r="B4" s="27">
        <v>0.03</v>
      </c>
      <c r="E4">
        <v>3</v>
      </c>
      <c r="F4" s="28">
        <f t="shared" si="0"/>
        <v>1965.1857699119967</v>
      </c>
      <c r="G4" s="28">
        <f t="shared" ref="G4:G67" si="2">G3-F3</f>
        <v>446043.50028567686</v>
      </c>
      <c r="H4" s="21">
        <f t="shared" ref="H4:H66" si="3">(G4*$B$4)/12</f>
        <v>1115.1087507141922</v>
      </c>
      <c r="I4" s="28">
        <f t="shared" si="1"/>
        <v>3080.2945206261888</v>
      </c>
      <c r="K4" s="28">
        <f>G14</f>
        <v>426776.72124325286</v>
      </c>
      <c r="L4" s="28">
        <f>G26</f>
        <v>404751.93287809141</v>
      </c>
      <c r="M4" s="28">
        <f>G37</f>
        <v>385562.50166207738</v>
      </c>
      <c r="N4" s="28">
        <f>G49</f>
        <v>365664.66731930565</v>
      </c>
      <c r="O4" s="28">
        <f>G61</f>
        <v>346793.70620675129</v>
      </c>
      <c r="P4" s="28">
        <f>G73</f>
        <v>328896.62418380717</v>
      </c>
      <c r="Q4" s="28">
        <f>G85</f>
        <v>311923.1619936435</v>
      </c>
      <c r="R4" s="28">
        <f>G97</f>
        <v>295825.65412327822</v>
      </c>
      <c r="S4" s="28">
        <f>G109</f>
        <v>280558.89494749613</v>
      </c>
      <c r="T4" s="28">
        <f>G121</f>
        <v>266080.01178071694</v>
      </c>
      <c r="U4" s="28">
        <f>G133</f>
        <v>252348.34448031217</v>
      </c>
    </row>
    <row r="5" spans="1:21" x14ac:dyDescent="0.25">
      <c r="E5">
        <v>4</v>
      </c>
      <c r="F5" s="28">
        <f t="shared" si="0"/>
        <v>1956.5275222124085</v>
      </c>
      <c r="G5" s="28">
        <f t="shared" si="2"/>
        <v>444078.31451576488</v>
      </c>
      <c r="H5" s="21">
        <f t="shared" si="3"/>
        <v>1110.1957862894121</v>
      </c>
      <c r="I5" s="28">
        <f t="shared" si="1"/>
        <v>3066.7233085018206</v>
      </c>
      <c r="K5" s="28"/>
    </row>
    <row r="6" spans="1:21" x14ac:dyDescent="0.25">
      <c r="A6" t="s">
        <v>88</v>
      </c>
      <c r="E6">
        <v>5</v>
      </c>
      <c r="F6" s="28">
        <f t="shared" si="0"/>
        <v>1947.9074211625548</v>
      </c>
      <c r="G6" s="28">
        <f t="shared" si="2"/>
        <v>442121.78699355246</v>
      </c>
      <c r="H6" s="21">
        <f t="shared" si="3"/>
        <v>1105.3044674838811</v>
      </c>
      <c r="I6" s="28">
        <f t="shared" si="1"/>
        <v>3053.2118886464359</v>
      </c>
    </row>
    <row r="7" spans="1:21" x14ac:dyDescent="0.25">
      <c r="A7">
        <v>1</v>
      </c>
      <c r="B7" s="29">
        <f>SUM(H2:H13)</f>
        <v>13177.625117386986</v>
      </c>
      <c r="E7">
        <v>6</v>
      </c>
      <c r="F7" s="28">
        <f t="shared" si="0"/>
        <v>1939.3252986953</v>
      </c>
      <c r="G7" s="28">
        <f t="shared" si="2"/>
        <v>440173.87957238994</v>
      </c>
      <c r="H7" s="21">
        <f t="shared" si="3"/>
        <v>1100.4346989309749</v>
      </c>
      <c r="I7" s="28">
        <f t="shared" si="1"/>
        <v>3039.759997626275</v>
      </c>
    </row>
    <row r="8" spans="1:21" x14ac:dyDescent="0.25">
      <c r="A8">
        <v>2</v>
      </c>
      <c r="B8" s="29">
        <f>SUM(H14:H25)</f>
        <v>12497.563647491446</v>
      </c>
      <c r="E8">
        <v>7</v>
      </c>
      <c r="F8" s="28">
        <f t="shared" si="0"/>
        <v>1930.7809874839822</v>
      </c>
      <c r="G8" s="28">
        <f t="shared" si="2"/>
        <v>438234.55427369464</v>
      </c>
      <c r="H8" s="21">
        <f t="shared" si="3"/>
        <v>1095.5863856842366</v>
      </c>
      <c r="I8" s="28">
        <f t="shared" si="1"/>
        <v>3026.3673731682188</v>
      </c>
    </row>
    <row r="9" spans="1:21" x14ac:dyDescent="0.25">
      <c r="A9">
        <v>3</v>
      </c>
      <c r="B9" s="29">
        <f>SUM(H26:H37)</f>
        <v>11852.598304456151</v>
      </c>
      <c r="E9">
        <v>8</v>
      </c>
      <c r="F9" s="28">
        <f t="shared" si="0"/>
        <v>1922.2743209391499</v>
      </c>
      <c r="G9" s="28">
        <f t="shared" si="2"/>
        <v>436303.77328621066</v>
      </c>
      <c r="H9" s="21">
        <f t="shared" si="3"/>
        <v>1090.7594332155265</v>
      </c>
      <c r="I9" s="28">
        <f t="shared" si="1"/>
        <v>3013.0337541546764</v>
      </c>
    </row>
    <row r="10" spans="1:21" x14ac:dyDescent="0.25">
      <c r="A10">
        <v>4</v>
      </c>
      <c r="B10" s="29">
        <f>SUM(H38:H49)</f>
        <v>11240.917872420294</v>
      </c>
      <c r="E10">
        <v>9</v>
      </c>
      <c r="F10" s="28">
        <f t="shared" si="0"/>
        <v>1913.8051332053135</v>
      </c>
      <c r="G10" s="28">
        <f t="shared" si="2"/>
        <v>434381.49896527152</v>
      </c>
      <c r="H10" s="21">
        <f t="shared" si="3"/>
        <v>1085.9537474131787</v>
      </c>
      <c r="I10" s="28">
        <f t="shared" si="1"/>
        <v>2999.7588806184922</v>
      </c>
    </row>
    <row r="11" spans="1:21" x14ac:dyDescent="0.25">
      <c r="A11">
        <v>5</v>
      </c>
      <c r="B11" s="29">
        <f>SUM(H50:H61)</f>
        <v>10660.804607458253</v>
      </c>
      <c r="E11">
        <v>10</v>
      </c>
      <c r="F11" s="28">
        <f t="shared" si="0"/>
        <v>1905.3732591577134</v>
      </c>
      <c r="G11" s="28">
        <f t="shared" si="2"/>
        <v>432467.6938320662</v>
      </c>
      <c r="H11" s="21">
        <f t="shared" si="3"/>
        <v>1081.1692345801655</v>
      </c>
      <c r="I11" s="28">
        <f t="shared" si="1"/>
        <v>2986.5424937378789</v>
      </c>
    </row>
    <row r="12" spans="1:21" x14ac:dyDescent="0.25">
      <c r="A12">
        <v>6</v>
      </c>
      <c r="B12" s="29">
        <f>SUM(H62:H73)</f>
        <v>10110.629413746659</v>
      </c>
      <c r="E12">
        <v>11</v>
      </c>
      <c r="F12" s="28">
        <f t="shared" si="0"/>
        <v>1896.9785343990982</v>
      </c>
      <c r="G12" s="28">
        <f t="shared" si="2"/>
        <v>430562.3205729085</v>
      </c>
      <c r="H12" s="21">
        <f t="shared" si="3"/>
        <v>1076.4058014322711</v>
      </c>
      <c r="I12" s="28">
        <f t="shared" si="1"/>
        <v>2973.3843358313693</v>
      </c>
    </row>
    <row r="13" spans="1:21" x14ac:dyDescent="0.25">
      <c r="A13">
        <v>7</v>
      </c>
      <c r="B13" s="29">
        <f>SUM(H74:H85)</f>
        <v>9588.8472686764235</v>
      </c>
      <c r="E13">
        <v>12</v>
      </c>
      <c r="F13" s="28">
        <f t="shared" si="0"/>
        <v>1888.6207952565214</v>
      </c>
      <c r="G13" s="28">
        <f t="shared" si="2"/>
        <v>428665.34203850938</v>
      </c>
      <c r="H13" s="21">
        <f t="shared" si="3"/>
        <v>1071.6633550962733</v>
      </c>
      <c r="I13" s="28">
        <f t="shared" si="1"/>
        <v>2960.2841503527948</v>
      </c>
    </row>
    <row r="14" spans="1:21" x14ac:dyDescent="0.25">
      <c r="A14">
        <v>8</v>
      </c>
      <c r="B14" s="29">
        <f>SUM(H86:H97)</f>
        <v>9093.9928840623215</v>
      </c>
      <c r="E14">
        <v>13</v>
      </c>
      <c r="F14" s="28">
        <f t="shared" si="0"/>
        <v>1880.2998787781492</v>
      </c>
      <c r="G14" s="28">
        <f t="shared" si="2"/>
        <v>426776.72124325286</v>
      </c>
      <c r="H14" s="21">
        <f t="shared" si="3"/>
        <v>1066.941803108132</v>
      </c>
      <c r="I14" s="28">
        <f t="shared" si="1"/>
        <v>2947.2416818862812</v>
      </c>
    </row>
    <row r="15" spans="1:21" x14ac:dyDescent="0.25">
      <c r="A15">
        <v>9</v>
      </c>
      <c r="B15" s="29">
        <f>SUM(H98:H109)</f>
        <v>8624.6765912657575</v>
      </c>
      <c r="E15">
        <v>14</v>
      </c>
      <c r="F15" s="28">
        <f t="shared" si="0"/>
        <v>1872.0156227300829</v>
      </c>
      <c r="G15" s="28">
        <f t="shared" si="2"/>
        <v>424896.42136447469</v>
      </c>
      <c r="H15" s="21">
        <f t="shared" si="3"/>
        <v>1062.2410534111866</v>
      </c>
      <c r="I15" s="28">
        <f t="shared" si="1"/>
        <v>2934.2566761412695</v>
      </c>
    </row>
    <row r="16" spans="1:21" x14ac:dyDescent="0.25">
      <c r="A16">
        <v>10</v>
      </c>
      <c r="B16" s="29">
        <f>SUM(H110:H121)</f>
        <v>8179.5804386751888</v>
      </c>
      <c r="E16">
        <v>15</v>
      </c>
      <c r="F16" s="28">
        <f t="shared" si="0"/>
        <v>1863.7678655931984</v>
      </c>
      <c r="G16" s="28">
        <f t="shared" si="2"/>
        <v>423024.40574174462</v>
      </c>
      <c r="H16" s="21">
        <f t="shared" si="3"/>
        <v>1057.5610143543615</v>
      </c>
      <c r="I16" s="28">
        <f t="shared" si="1"/>
        <v>2921.3288799475599</v>
      </c>
    </row>
    <row r="17" spans="1:11" x14ac:dyDescent="0.25">
      <c r="A17">
        <v>11</v>
      </c>
      <c r="B17" s="29">
        <f>SUM(H122:H133)</f>
        <v>7757.4544905849889</v>
      </c>
      <c r="E17">
        <v>16</v>
      </c>
      <c r="F17" s="28">
        <f t="shared" si="0"/>
        <v>1855.5564465599939</v>
      </c>
      <c r="G17" s="28">
        <f t="shared" si="2"/>
        <v>421160.63787615142</v>
      </c>
      <c r="H17" s="21">
        <f t="shared" si="3"/>
        <v>1052.9015946903785</v>
      </c>
      <c r="I17" s="28">
        <f t="shared" si="1"/>
        <v>2908.4580412503724</v>
      </c>
    </row>
    <row r="18" spans="1:11" x14ac:dyDescent="0.25">
      <c r="E18">
        <v>17</v>
      </c>
      <c r="F18" s="28">
        <f t="shared" si="0"/>
        <v>1847.3812055314554</v>
      </c>
      <c r="G18" s="28">
        <f t="shared" si="2"/>
        <v>419305.0814295914</v>
      </c>
      <c r="H18" s="21">
        <f t="shared" si="3"/>
        <v>1048.2627035739786</v>
      </c>
      <c r="I18" s="28">
        <f t="shared" si="1"/>
        <v>2895.643909105434</v>
      </c>
    </row>
    <row r="19" spans="1:11" x14ac:dyDescent="0.25">
      <c r="E19">
        <v>18</v>
      </c>
      <c r="F19" s="28">
        <f t="shared" si="0"/>
        <v>1839.241983113938</v>
      </c>
      <c r="G19" s="28">
        <f t="shared" si="2"/>
        <v>417457.70022405992</v>
      </c>
      <c r="H19" s="21">
        <f t="shared" si="3"/>
        <v>1043.6442505601497</v>
      </c>
      <c r="I19" s="28">
        <f t="shared" si="1"/>
        <v>2882.8862336740876</v>
      </c>
    </row>
    <row r="20" spans="1:11" x14ac:dyDescent="0.25">
      <c r="E20">
        <v>19</v>
      </c>
      <c r="F20" s="28">
        <f t="shared" si="0"/>
        <v>1831.1386206160528</v>
      </c>
      <c r="G20" s="28">
        <f t="shared" si="2"/>
        <v>415618.458240946</v>
      </c>
      <c r="H20" s="21">
        <f t="shared" si="3"/>
        <v>1039.046145602365</v>
      </c>
      <c r="I20" s="28">
        <f t="shared" si="1"/>
        <v>2870.1847662184177</v>
      </c>
    </row>
    <row r="21" spans="1:11" x14ac:dyDescent="0.25">
      <c r="E21">
        <v>20</v>
      </c>
      <c r="F21" s="28">
        <f t="shared" si="0"/>
        <v>1823.0709600455791</v>
      </c>
      <c r="G21" s="28">
        <f t="shared" si="2"/>
        <v>413787.31962032994</v>
      </c>
      <c r="H21" s="21">
        <f t="shared" si="3"/>
        <v>1034.4682990508247</v>
      </c>
      <c r="I21" s="28">
        <f t="shared" si="1"/>
        <v>2857.5392590964038</v>
      </c>
    </row>
    <row r="22" spans="1:11" x14ac:dyDescent="0.25">
      <c r="E22">
        <v>21</v>
      </c>
      <c r="F22" s="28">
        <f t="shared" si="0"/>
        <v>1815.038844106379</v>
      </c>
      <c r="G22" s="28">
        <f t="shared" si="2"/>
        <v>411964.24866028439</v>
      </c>
      <c r="H22" s="21">
        <f t="shared" si="3"/>
        <v>1029.9106216507109</v>
      </c>
      <c r="I22" s="28">
        <f t="shared" si="1"/>
        <v>2844.9494657570899</v>
      </c>
      <c r="K22" s="28"/>
    </row>
    <row r="23" spans="1:11" x14ac:dyDescent="0.25">
      <c r="E23">
        <v>22</v>
      </c>
      <c r="F23" s="28">
        <f t="shared" si="0"/>
        <v>1807.0421161953323</v>
      </c>
      <c r="G23" s="28">
        <f t="shared" si="2"/>
        <v>410149.20981617802</v>
      </c>
      <c r="H23" s="21">
        <f t="shared" si="3"/>
        <v>1025.3730245404449</v>
      </c>
      <c r="I23" s="28">
        <f t="shared" si="1"/>
        <v>2832.4151407357772</v>
      </c>
    </row>
    <row r="24" spans="1:11" x14ac:dyDescent="0.25">
      <c r="E24">
        <v>23</v>
      </c>
      <c r="F24" s="28">
        <f t="shared" si="0"/>
        <v>1799.0806203992843</v>
      </c>
      <c r="G24" s="28">
        <f t="shared" si="2"/>
        <v>408342.1676999827</v>
      </c>
      <c r="H24" s="21">
        <f t="shared" si="3"/>
        <v>1020.8554192499568</v>
      </c>
      <c r="I24" s="28">
        <f t="shared" si="1"/>
        <v>2819.9360396492411</v>
      </c>
    </row>
    <row r="25" spans="1:11" x14ac:dyDescent="0.25">
      <c r="E25">
        <v>24</v>
      </c>
      <c r="F25" s="28">
        <f t="shared" si="0"/>
        <v>1791.1542014920065</v>
      </c>
      <c r="G25" s="28">
        <f t="shared" si="2"/>
        <v>406543.08707958343</v>
      </c>
      <c r="H25" s="21">
        <f t="shared" si="3"/>
        <v>1016.3577176989585</v>
      </c>
      <c r="I25" s="28">
        <f t="shared" si="1"/>
        <v>2807.5119191909648</v>
      </c>
    </row>
    <row r="26" spans="1:11" x14ac:dyDescent="0.25">
      <c r="E26">
        <v>25</v>
      </c>
      <c r="F26" s="28">
        <f t="shared" si="0"/>
        <v>1783.2627049311641</v>
      </c>
      <c r="G26" s="28">
        <f t="shared" si="2"/>
        <v>404751.93287809141</v>
      </c>
      <c r="H26" s="21">
        <f t="shared" si="3"/>
        <v>1011.8798321952285</v>
      </c>
      <c r="I26" s="28">
        <f t="shared" si="1"/>
        <v>2795.1425371263927</v>
      </c>
    </row>
    <row r="27" spans="1:11" x14ac:dyDescent="0.25">
      <c r="E27">
        <v>26</v>
      </c>
      <c r="F27" s="28">
        <f t="shared" si="0"/>
        <v>1775.4059768553134</v>
      </c>
      <c r="G27" s="28">
        <f t="shared" si="2"/>
        <v>402968.67017316027</v>
      </c>
      <c r="H27" s="21">
        <f t="shared" si="3"/>
        <v>1007.4216754329005</v>
      </c>
      <c r="I27" s="28">
        <f t="shared" si="1"/>
        <v>2782.8276522882138</v>
      </c>
    </row>
    <row r="28" spans="1:11" x14ac:dyDescent="0.25">
      <c r="E28">
        <v>27</v>
      </c>
      <c r="F28" s="28">
        <f t="shared" si="0"/>
        <v>1767.5838640808906</v>
      </c>
      <c r="G28" s="28">
        <f t="shared" si="2"/>
        <v>401193.26419630495</v>
      </c>
      <c r="H28" s="21">
        <f t="shared" si="3"/>
        <v>1002.9831604907623</v>
      </c>
      <c r="I28" s="28">
        <f t="shared" si="1"/>
        <v>2770.5670245716528</v>
      </c>
    </row>
    <row r="29" spans="1:11" x14ac:dyDescent="0.25">
      <c r="E29">
        <v>28</v>
      </c>
      <c r="F29" s="28">
        <f t="shared" si="0"/>
        <v>1759.796214099234</v>
      </c>
      <c r="G29" s="28">
        <f t="shared" si="2"/>
        <v>399425.68033222406</v>
      </c>
      <c r="H29" s="21">
        <f t="shared" si="3"/>
        <v>998.56420083056003</v>
      </c>
      <c r="I29" s="28">
        <f t="shared" si="1"/>
        <v>2758.3604149297939</v>
      </c>
    </row>
    <row r="30" spans="1:11" x14ac:dyDescent="0.25">
      <c r="E30">
        <v>29</v>
      </c>
      <c r="F30" s="28">
        <f t="shared" si="0"/>
        <v>1752.042875073606</v>
      </c>
      <c r="G30" s="28">
        <f t="shared" si="2"/>
        <v>397665.88411812484</v>
      </c>
      <c r="H30" s="21">
        <f t="shared" si="3"/>
        <v>994.16471029531203</v>
      </c>
      <c r="I30" s="28">
        <f t="shared" si="1"/>
        <v>2746.207585368918</v>
      </c>
    </row>
    <row r="31" spans="1:11" x14ac:dyDescent="0.25">
      <c r="E31">
        <v>30</v>
      </c>
      <c r="F31" s="28">
        <f t="shared" si="0"/>
        <v>1744.3236958362327</v>
      </c>
      <c r="G31" s="28">
        <f t="shared" si="2"/>
        <v>395913.84124305123</v>
      </c>
      <c r="H31" s="21">
        <f t="shared" si="3"/>
        <v>989.78460310762796</v>
      </c>
      <c r="I31" s="28">
        <f t="shared" si="1"/>
        <v>2734.1082989438605</v>
      </c>
    </row>
    <row r="32" spans="1:11" x14ac:dyDescent="0.25">
      <c r="E32">
        <v>31</v>
      </c>
      <c r="F32" s="28">
        <f t="shared" si="0"/>
        <v>1736.6385258853593</v>
      </c>
      <c r="G32" s="28">
        <f t="shared" si="2"/>
        <v>394169.51754721499</v>
      </c>
      <c r="H32" s="21">
        <f t="shared" si="3"/>
        <v>985.42379386803748</v>
      </c>
      <c r="I32" s="28">
        <f t="shared" si="1"/>
        <v>2722.0623197533969</v>
      </c>
    </row>
    <row r="33" spans="5:9" x14ac:dyDescent="0.25">
      <c r="E33">
        <v>32</v>
      </c>
      <c r="F33" s="28">
        <f t="shared" si="0"/>
        <v>1728.9872153823148</v>
      </c>
      <c r="G33" s="28">
        <f t="shared" si="2"/>
        <v>392432.87902132963</v>
      </c>
      <c r="H33" s="21">
        <f t="shared" si="3"/>
        <v>981.08219755332402</v>
      </c>
      <c r="I33" s="28">
        <f t="shared" si="1"/>
        <v>2710.0694129356389</v>
      </c>
    </row>
    <row r="34" spans="5:9" x14ac:dyDescent="0.25">
      <c r="E34">
        <v>33</v>
      </c>
      <c r="F34" s="28">
        <f t="shared" si="0"/>
        <v>1721.369615148586</v>
      </c>
      <c r="G34" s="28">
        <f t="shared" si="2"/>
        <v>390703.89180594729</v>
      </c>
      <c r="H34" s="21">
        <f t="shared" si="3"/>
        <v>976.75972951486813</v>
      </c>
      <c r="I34" s="28">
        <f t="shared" si="1"/>
        <v>2698.129344663454</v>
      </c>
    </row>
    <row r="35" spans="5:9" x14ac:dyDescent="0.25">
      <c r="E35">
        <v>34</v>
      </c>
      <c r="F35" s="28">
        <f t="shared" si="0"/>
        <v>1713.7855766629173</v>
      </c>
      <c r="G35" s="28">
        <f t="shared" si="2"/>
        <v>388982.52219079871</v>
      </c>
      <c r="H35" s="21">
        <f t="shared" si="3"/>
        <v>972.45630547699682</v>
      </c>
      <c r="I35" s="28">
        <f t="shared" si="1"/>
        <v>2686.2418821399142</v>
      </c>
    </row>
    <row r="36" spans="5:9" x14ac:dyDescent="0.25">
      <c r="E36">
        <v>35</v>
      </c>
      <c r="F36" s="28">
        <f t="shared" si="0"/>
        <v>1706.2349520584089</v>
      </c>
      <c r="G36" s="28">
        <f t="shared" si="2"/>
        <v>387268.73661413579</v>
      </c>
      <c r="H36" s="21">
        <f t="shared" si="3"/>
        <v>968.17184153533947</v>
      </c>
      <c r="I36" s="28">
        <f t="shared" si="1"/>
        <v>2674.4067935937483</v>
      </c>
    </row>
    <row r="37" spans="5:9" x14ac:dyDescent="0.25">
      <c r="E37">
        <v>36</v>
      </c>
      <c r="F37" s="28">
        <f t="shared" si="0"/>
        <v>1698.7175941196333</v>
      </c>
      <c r="G37" s="28">
        <f t="shared" si="2"/>
        <v>385562.50166207738</v>
      </c>
      <c r="H37" s="21">
        <f t="shared" si="3"/>
        <v>963.90625415519344</v>
      </c>
      <c r="I37" s="28">
        <f t="shared" si="1"/>
        <v>2662.6238482748267</v>
      </c>
    </row>
    <row r="38" spans="5:9" x14ac:dyDescent="0.25">
      <c r="E38">
        <v>37</v>
      </c>
      <c r="F38" s="28">
        <f t="shared" si="0"/>
        <v>1691.2333562797699</v>
      </c>
      <c r="G38" s="28">
        <f t="shared" si="2"/>
        <v>383863.78406795772</v>
      </c>
      <c r="H38" s="21">
        <f t="shared" si="3"/>
        <v>959.65946016989426</v>
      </c>
      <c r="I38" s="28">
        <f t="shared" si="1"/>
        <v>2650.8928164496642</v>
      </c>
    </row>
    <row r="39" spans="5:9" x14ac:dyDescent="0.25">
      <c r="E39">
        <v>38</v>
      </c>
      <c r="F39" s="28">
        <f t="shared" si="0"/>
        <v>1683.7820926177446</v>
      </c>
      <c r="G39" s="28">
        <f t="shared" si="2"/>
        <v>382172.55071167793</v>
      </c>
      <c r="H39" s="21">
        <f t="shared" si="3"/>
        <v>955.43137677919469</v>
      </c>
      <c r="I39" s="28">
        <f t="shared" si="1"/>
        <v>2639.2134693969392</v>
      </c>
    </row>
    <row r="40" spans="5:9" x14ac:dyDescent="0.25">
      <c r="E40">
        <v>39</v>
      </c>
      <c r="F40" s="28">
        <f t="shared" si="0"/>
        <v>1676.3636578553815</v>
      </c>
      <c r="G40" s="28">
        <f t="shared" si="2"/>
        <v>380488.76861906017</v>
      </c>
      <c r="H40" s="21">
        <f t="shared" si="3"/>
        <v>951.22192154765037</v>
      </c>
      <c r="I40" s="28">
        <f t="shared" si="1"/>
        <v>2627.5855794030317</v>
      </c>
    </row>
    <row r="41" spans="5:9" x14ac:dyDescent="0.25">
      <c r="E41">
        <v>40</v>
      </c>
      <c r="F41" s="28">
        <f t="shared" si="0"/>
        <v>1668.9779073545783</v>
      </c>
      <c r="G41" s="28">
        <f t="shared" si="2"/>
        <v>378812.4049612048</v>
      </c>
      <c r="H41" s="21">
        <f t="shared" si="3"/>
        <v>947.03101240301203</v>
      </c>
      <c r="I41" s="28">
        <f t="shared" si="1"/>
        <v>2616.0089197575903</v>
      </c>
    </row>
    <row r="42" spans="5:9" x14ac:dyDescent="0.25">
      <c r="E42">
        <v>41</v>
      </c>
      <c r="F42" s="28">
        <f t="shared" si="0"/>
        <v>1661.6246971144783</v>
      </c>
      <c r="G42" s="28">
        <f t="shared" si="2"/>
        <v>377143.4270538502</v>
      </c>
      <c r="H42" s="21">
        <f t="shared" si="3"/>
        <v>942.8585676346255</v>
      </c>
      <c r="I42" s="28">
        <f t="shared" si="1"/>
        <v>2604.4832647491039</v>
      </c>
    </row>
    <row r="43" spans="5:9" x14ac:dyDescent="0.25">
      <c r="E43">
        <v>42</v>
      </c>
      <c r="F43" s="28">
        <f t="shared" si="0"/>
        <v>1654.3038837686672</v>
      </c>
      <c r="G43" s="28">
        <f t="shared" si="2"/>
        <v>375481.80235673574</v>
      </c>
      <c r="H43" s="21">
        <f t="shared" si="3"/>
        <v>938.70450589183929</v>
      </c>
      <c r="I43" s="28">
        <f t="shared" si="1"/>
        <v>2593.0083896605065</v>
      </c>
    </row>
    <row r="44" spans="5:9" x14ac:dyDescent="0.25">
      <c r="E44">
        <v>43</v>
      </c>
      <c r="F44" s="28">
        <f t="shared" si="0"/>
        <v>1647.0153245823767</v>
      </c>
      <c r="G44" s="28">
        <f t="shared" si="2"/>
        <v>373827.49847296707</v>
      </c>
      <c r="H44" s="21">
        <f t="shared" si="3"/>
        <v>934.56874618241761</v>
      </c>
      <c r="I44" s="28">
        <f t="shared" si="1"/>
        <v>2581.5840707647944</v>
      </c>
    </row>
    <row r="45" spans="5:9" x14ac:dyDescent="0.25">
      <c r="E45">
        <v>44</v>
      </c>
      <c r="F45" s="28">
        <f t="shared" si="0"/>
        <v>1639.7588774497012</v>
      </c>
      <c r="G45" s="28">
        <f t="shared" si="2"/>
        <v>372180.48314838466</v>
      </c>
      <c r="H45" s="21">
        <f t="shared" si="3"/>
        <v>930.45120787096164</v>
      </c>
      <c r="I45" s="28">
        <f t="shared" si="1"/>
        <v>2570.210085320663</v>
      </c>
    </row>
    <row r="46" spans="5:9" x14ac:dyDescent="0.25">
      <c r="E46">
        <v>45</v>
      </c>
      <c r="F46" s="28">
        <f t="shared" si="0"/>
        <v>1632.5344008908296</v>
      </c>
      <c r="G46" s="28">
        <f t="shared" si="2"/>
        <v>370540.72427093494</v>
      </c>
      <c r="H46" s="21">
        <f t="shared" si="3"/>
        <v>926.35181067733731</v>
      </c>
      <c r="I46" s="28">
        <f t="shared" si="1"/>
        <v>2558.8862115681668</v>
      </c>
    </row>
    <row r="47" spans="5:9" x14ac:dyDescent="0.25">
      <c r="E47">
        <v>46</v>
      </c>
      <c r="F47" s="28">
        <f t="shared" si="0"/>
        <v>1625.3417540492824</v>
      </c>
      <c r="G47" s="28">
        <f t="shared" si="2"/>
        <v>368908.18987004412</v>
      </c>
      <c r="H47" s="21">
        <f t="shared" si="3"/>
        <v>922.27047467511022</v>
      </c>
      <c r="I47" s="28">
        <f t="shared" si="1"/>
        <v>2547.6122287243925</v>
      </c>
    </row>
    <row r="48" spans="5:9" x14ac:dyDescent="0.25">
      <c r="E48">
        <v>47</v>
      </c>
      <c r="F48" s="28">
        <f t="shared" si="0"/>
        <v>1618.1807966891688</v>
      </c>
      <c r="G48" s="28">
        <f t="shared" si="2"/>
        <v>367282.84811599483</v>
      </c>
      <c r="H48" s="21">
        <f t="shared" si="3"/>
        <v>918.20712028998696</v>
      </c>
      <c r="I48" s="28">
        <f t="shared" si="1"/>
        <v>2536.3879169791558</v>
      </c>
    </row>
    <row r="49" spans="5:9" x14ac:dyDescent="0.25">
      <c r="E49">
        <v>48</v>
      </c>
      <c r="F49" s="28">
        <f t="shared" si="0"/>
        <v>1611.0513891924525</v>
      </c>
      <c r="G49" s="28">
        <f t="shared" si="2"/>
        <v>365664.66731930565</v>
      </c>
      <c r="H49" s="21">
        <f t="shared" si="3"/>
        <v>914.16166829826409</v>
      </c>
      <c r="I49" s="28">
        <f t="shared" si="1"/>
        <v>2525.2130574907164</v>
      </c>
    </row>
    <row r="50" spans="5:9" x14ac:dyDescent="0.25">
      <c r="E50">
        <v>49</v>
      </c>
      <c r="F50" s="28">
        <f t="shared" si="0"/>
        <v>1603.9533925562268</v>
      </c>
      <c r="G50" s="28">
        <f t="shared" si="2"/>
        <v>364053.61593011318</v>
      </c>
      <c r="H50" s="21">
        <f t="shared" si="3"/>
        <v>910.13403982528291</v>
      </c>
      <c r="I50" s="28">
        <f t="shared" si="1"/>
        <v>2514.0874323815096</v>
      </c>
    </row>
    <row r="51" spans="5:9" x14ac:dyDescent="0.25">
      <c r="E51">
        <v>50</v>
      </c>
      <c r="F51" s="28">
        <f t="shared" si="0"/>
        <v>1596.8866683900078</v>
      </c>
      <c r="G51" s="28">
        <f t="shared" si="2"/>
        <v>362449.66253755696</v>
      </c>
      <c r="H51" s="21">
        <f t="shared" si="3"/>
        <v>906.12415634389242</v>
      </c>
      <c r="I51" s="28">
        <f t="shared" si="1"/>
        <v>2503.0108247339003</v>
      </c>
    </row>
    <row r="52" spans="5:9" x14ac:dyDescent="0.25">
      <c r="E52">
        <v>51</v>
      </c>
      <c r="F52" s="28">
        <f t="shared" si="0"/>
        <v>1589.8510789130351</v>
      </c>
      <c r="G52" s="28">
        <f t="shared" si="2"/>
        <v>360852.77586916694</v>
      </c>
      <c r="H52" s="21">
        <f t="shared" si="3"/>
        <v>902.13193967291727</v>
      </c>
      <c r="I52" s="28">
        <f t="shared" si="1"/>
        <v>2491.9830185859523</v>
      </c>
    </row>
    <row r="53" spans="5:9" x14ac:dyDescent="0.25">
      <c r="E53">
        <v>52</v>
      </c>
      <c r="F53" s="28">
        <f t="shared" si="0"/>
        <v>1582.8464869515824</v>
      </c>
      <c r="G53" s="28">
        <f t="shared" si="2"/>
        <v>359262.92479025392</v>
      </c>
      <c r="H53" s="21">
        <f t="shared" si="3"/>
        <v>898.1573119756348</v>
      </c>
      <c r="I53" s="28">
        <f t="shared" si="1"/>
        <v>2481.0037989272173</v>
      </c>
    </row>
    <row r="54" spans="5:9" x14ac:dyDescent="0.25">
      <c r="E54">
        <v>53</v>
      </c>
      <c r="F54" s="28">
        <f t="shared" si="0"/>
        <v>1575.8727559362887</v>
      </c>
      <c r="G54" s="28">
        <f t="shared" si="2"/>
        <v>357680.07830330235</v>
      </c>
      <c r="H54" s="21">
        <f t="shared" si="3"/>
        <v>894.20019575825575</v>
      </c>
      <c r="I54" s="28">
        <f t="shared" si="1"/>
        <v>2470.0729516945444</v>
      </c>
    </row>
    <row r="55" spans="5:9" x14ac:dyDescent="0.25">
      <c r="E55">
        <v>54</v>
      </c>
      <c r="F55" s="28">
        <f t="shared" si="0"/>
        <v>1568.9297498994906</v>
      </c>
      <c r="G55" s="28">
        <f t="shared" si="2"/>
        <v>356104.20554736606</v>
      </c>
      <c r="H55" s="21">
        <f t="shared" si="3"/>
        <v>890.26051386841516</v>
      </c>
      <c r="I55" s="28">
        <f t="shared" si="1"/>
        <v>2459.1902637679059</v>
      </c>
    </row>
    <row r="56" spans="5:9" x14ac:dyDescent="0.25">
      <c r="E56">
        <v>55</v>
      </c>
      <c r="F56" s="28">
        <f t="shared" si="0"/>
        <v>1562.0173334725741</v>
      </c>
      <c r="G56" s="28">
        <f t="shared" si="2"/>
        <v>354535.27579746657</v>
      </c>
      <c r="H56" s="21">
        <f t="shared" si="3"/>
        <v>886.33818949366639</v>
      </c>
      <c r="I56" s="28">
        <f t="shared" si="1"/>
        <v>2448.3555229662406</v>
      </c>
    </row>
    <row r="57" spans="5:9" x14ac:dyDescent="0.25">
      <c r="E57">
        <v>56</v>
      </c>
      <c r="F57" s="28">
        <f t="shared" si="0"/>
        <v>1555.1353718833343</v>
      </c>
      <c r="G57" s="28">
        <f t="shared" si="2"/>
        <v>352973.25846399402</v>
      </c>
      <c r="H57" s="21">
        <f t="shared" si="3"/>
        <v>882.43314615998497</v>
      </c>
      <c r="I57" s="28">
        <f t="shared" si="1"/>
        <v>2437.5685180433193</v>
      </c>
    </row>
    <row r="58" spans="5:9" x14ac:dyDescent="0.25">
      <c r="E58">
        <v>57</v>
      </c>
      <c r="F58" s="28">
        <f t="shared" si="0"/>
        <v>1548.283730953347</v>
      </c>
      <c r="G58" s="28">
        <f t="shared" si="2"/>
        <v>351418.12309211068</v>
      </c>
      <c r="H58" s="21">
        <f t="shared" si="3"/>
        <v>878.5453077302767</v>
      </c>
      <c r="I58" s="28">
        <f t="shared" si="1"/>
        <v>2426.8290386836238</v>
      </c>
    </row>
    <row r="59" spans="5:9" x14ac:dyDescent="0.25">
      <c r="E59">
        <v>58</v>
      </c>
      <c r="F59" s="28">
        <f t="shared" si="0"/>
        <v>1541.4622770953556</v>
      </c>
      <c r="G59" s="28">
        <f t="shared" si="2"/>
        <v>349869.83936115733</v>
      </c>
      <c r="H59" s="21">
        <f t="shared" si="3"/>
        <v>874.67459840289337</v>
      </c>
      <c r="I59" s="28">
        <f t="shared" si="1"/>
        <v>2416.1368754982491</v>
      </c>
    </row>
    <row r="60" spans="5:9" x14ac:dyDescent="0.25">
      <c r="E60">
        <v>59</v>
      </c>
      <c r="F60" s="28">
        <f t="shared" si="0"/>
        <v>1534.6708773106629</v>
      </c>
      <c r="G60" s="28">
        <f t="shared" si="2"/>
        <v>348328.37708406197</v>
      </c>
      <c r="H60" s="21">
        <f t="shared" si="3"/>
        <v>870.82094271015478</v>
      </c>
      <c r="I60" s="28">
        <f t="shared" si="1"/>
        <v>2405.4918200208176</v>
      </c>
    </row>
    <row r="61" spans="5:9" x14ac:dyDescent="0.25">
      <c r="E61">
        <v>60</v>
      </c>
      <c r="F61" s="28">
        <f t="shared" si="0"/>
        <v>1527.9093991865388</v>
      </c>
      <c r="G61" s="28">
        <f t="shared" si="2"/>
        <v>346793.70620675129</v>
      </c>
      <c r="H61" s="21">
        <f t="shared" si="3"/>
        <v>866.98426551687817</v>
      </c>
      <c r="I61" s="28">
        <f t="shared" si="1"/>
        <v>2394.893664703417</v>
      </c>
    </row>
    <row r="62" spans="5:9" x14ac:dyDescent="0.25">
      <c r="E62">
        <v>61</v>
      </c>
      <c r="F62" s="28">
        <f t="shared" si="0"/>
        <v>1521.1777108936408</v>
      </c>
      <c r="G62" s="28">
        <f t="shared" si="2"/>
        <v>345265.79680756474</v>
      </c>
      <c r="H62" s="21">
        <f t="shared" si="3"/>
        <v>863.1644920189118</v>
      </c>
      <c r="I62" s="28">
        <f t="shared" si="1"/>
        <v>2384.3422029125527</v>
      </c>
    </row>
    <row r="63" spans="5:9" x14ac:dyDescent="0.25">
      <c r="E63">
        <v>62</v>
      </c>
      <c r="F63" s="28">
        <f t="shared" si="0"/>
        <v>1514.4756811834427</v>
      </c>
      <c r="G63" s="28">
        <f t="shared" si="2"/>
        <v>343744.61909667111</v>
      </c>
      <c r="H63" s="21">
        <f t="shared" si="3"/>
        <v>859.36154774167778</v>
      </c>
      <c r="I63" s="28">
        <f t="shared" si="1"/>
        <v>2373.8372289251206</v>
      </c>
    </row>
    <row r="64" spans="5:9" x14ac:dyDescent="0.25">
      <c r="E64">
        <v>63</v>
      </c>
      <c r="F64" s="28">
        <f t="shared" si="0"/>
        <v>1507.803179385673</v>
      </c>
      <c r="G64" s="28">
        <f t="shared" si="2"/>
        <v>342230.14341548766</v>
      </c>
      <c r="H64" s="21">
        <f t="shared" si="3"/>
        <v>855.57535853871912</v>
      </c>
      <c r="I64" s="28">
        <f t="shared" si="1"/>
        <v>2363.3785379243923</v>
      </c>
    </row>
    <row r="65" spans="5:9" x14ac:dyDescent="0.25">
      <c r="E65">
        <v>64</v>
      </c>
      <c r="F65" s="28">
        <f t="shared" si="0"/>
        <v>1501.1600754057727</v>
      </c>
      <c r="G65" s="28">
        <f t="shared" si="2"/>
        <v>340722.340236102</v>
      </c>
      <c r="H65" s="21">
        <f t="shared" si="3"/>
        <v>851.80585059025498</v>
      </c>
      <c r="I65" s="28">
        <f t="shared" si="1"/>
        <v>2352.9659259960276</v>
      </c>
    </row>
    <row r="66" spans="5:9" x14ac:dyDescent="0.25">
      <c r="E66">
        <v>65</v>
      </c>
      <c r="F66" s="28">
        <f t="shared" si="0"/>
        <v>1494.5462397223514</v>
      </c>
      <c r="G66" s="28">
        <f t="shared" si="2"/>
        <v>339221.18016069621</v>
      </c>
      <c r="H66" s="21">
        <f t="shared" si="3"/>
        <v>848.05295040174053</v>
      </c>
      <c r="I66" s="28">
        <f t="shared" si="1"/>
        <v>2342.5991901240918</v>
      </c>
    </row>
    <row r="67" spans="5:9" x14ac:dyDescent="0.25">
      <c r="E67">
        <v>66</v>
      </c>
      <c r="F67" s="28">
        <f t="shared" ref="F67:F130" si="4">I67-H67</f>
        <v>1487.9615433846693</v>
      </c>
      <c r="G67" s="28">
        <f t="shared" si="2"/>
        <v>337726.63392097387</v>
      </c>
      <c r="H67" s="21">
        <f t="shared" ref="H67:H130" si="5">(G67*$B$4)/12</f>
        <v>844.31658480243459</v>
      </c>
      <c r="I67" s="28">
        <f t="shared" ref="I67:I130" si="6">PMT($B$4/12,$C$3,-G67)</f>
        <v>2332.2781281871039</v>
      </c>
    </row>
    <row r="68" spans="5:9" x14ac:dyDescent="0.25">
      <c r="E68">
        <v>67</v>
      </c>
      <c r="F68" s="28">
        <f t="shared" si="4"/>
        <v>1481.40585801012</v>
      </c>
      <c r="G68" s="28">
        <f t="shared" ref="G68:G131" si="7">G67-F67</f>
        <v>336238.67237758922</v>
      </c>
      <c r="H68" s="21">
        <f t="shared" si="5"/>
        <v>840.59668094397296</v>
      </c>
      <c r="I68" s="28">
        <f t="shared" si="6"/>
        <v>2322.0025389540929</v>
      </c>
    </row>
    <row r="69" spans="5:9" x14ac:dyDescent="0.25">
      <c r="E69">
        <v>68</v>
      </c>
      <c r="F69" s="28">
        <f t="shared" si="4"/>
        <v>1474.8790557817247</v>
      </c>
      <c r="G69" s="28">
        <f t="shared" si="7"/>
        <v>334757.26651957911</v>
      </c>
      <c r="H69" s="21">
        <f t="shared" si="5"/>
        <v>836.89316629894768</v>
      </c>
      <c r="I69" s="28">
        <f t="shared" si="6"/>
        <v>2311.7722220806722</v>
      </c>
    </row>
    <row r="70" spans="5:9" x14ac:dyDescent="0.25">
      <c r="E70">
        <v>69</v>
      </c>
      <c r="F70" s="28">
        <f t="shared" si="4"/>
        <v>1468.3810094456448</v>
      </c>
      <c r="G70" s="28">
        <f t="shared" si="7"/>
        <v>333282.38746379741</v>
      </c>
      <c r="H70" s="21">
        <f t="shared" si="5"/>
        <v>833.20596865949346</v>
      </c>
      <c r="I70" s="28">
        <f t="shared" si="6"/>
        <v>2301.5869781051383</v>
      </c>
    </row>
    <row r="71" spans="5:9" x14ac:dyDescent="0.25">
      <c r="E71">
        <v>70</v>
      </c>
      <c r="F71" s="28">
        <f t="shared" si="4"/>
        <v>1461.9115923086993</v>
      </c>
      <c r="G71" s="28">
        <f t="shared" si="7"/>
        <v>331814.00645435177</v>
      </c>
      <c r="H71" s="21">
        <f t="shared" si="5"/>
        <v>829.53501613587935</v>
      </c>
      <c r="I71" s="28">
        <f t="shared" si="6"/>
        <v>2291.4466084445785</v>
      </c>
    </row>
    <row r="72" spans="5:9" x14ac:dyDescent="0.25">
      <c r="E72">
        <v>71</v>
      </c>
      <c r="F72" s="28">
        <f t="shared" si="4"/>
        <v>1455.4706782358912</v>
      </c>
      <c r="G72" s="28">
        <f t="shared" si="7"/>
        <v>330352.09486204304</v>
      </c>
      <c r="H72" s="21">
        <f t="shared" si="5"/>
        <v>825.88023715510747</v>
      </c>
      <c r="I72" s="28">
        <f t="shared" si="6"/>
        <v>2281.3509153909986</v>
      </c>
    </row>
    <row r="73" spans="5:9" x14ac:dyDescent="0.25">
      <c r="E73">
        <v>72</v>
      </c>
      <c r="F73" s="28">
        <f t="shared" si="4"/>
        <v>1449.058141647954</v>
      </c>
      <c r="G73" s="28">
        <f t="shared" si="7"/>
        <v>328896.62418380717</v>
      </c>
      <c r="H73" s="21">
        <f t="shared" si="5"/>
        <v>822.24156045951793</v>
      </c>
      <c r="I73" s="28">
        <f t="shared" si="6"/>
        <v>2271.2997021074721</v>
      </c>
    </row>
    <row r="74" spans="5:9" x14ac:dyDescent="0.25">
      <c r="E74">
        <v>73</v>
      </c>
      <c r="F74" s="28">
        <f t="shared" si="4"/>
        <v>1442.6738575188997</v>
      </c>
      <c r="G74" s="28">
        <f t="shared" si="7"/>
        <v>327447.56604215922</v>
      </c>
      <c r="H74" s="21">
        <f t="shared" si="5"/>
        <v>818.61891510539806</v>
      </c>
      <c r="I74" s="28">
        <f t="shared" si="6"/>
        <v>2261.2927726242979</v>
      </c>
    </row>
    <row r="75" spans="5:9" x14ac:dyDescent="0.25">
      <c r="E75">
        <v>74</v>
      </c>
      <c r="F75" s="28">
        <f t="shared" si="4"/>
        <v>1436.3177013735817</v>
      </c>
      <c r="G75" s="28">
        <f t="shared" si="7"/>
        <v>326004.89218464034</v>
      </c>
      <c r="H75" s="21">
        <f t="shared" si="5"/>
        <v>815.01223046160078</v>
      </c>
      <c r="I75" s="28">
        <f t="shared" si="6"/>
        <v>2251.3299318351824</v>
      </c>
    </row>
    <row r="76" spans="5:9" x14ac:dyDescent="0.25">
      <c r="E76">
        <v>75</v>
      </c>
      <c r="F76" s="28">
        <f t="shared" si="4"/>
        <v>1429.9895492852665</v>
      </c>
      <c r="G76" s="28">
        <f t="shared" si="7"/>
        <v>324568.57448326674</v>
      </c>
      <c r="H76" s="21">
        <f t="shared" si="5"/>
        <v>811.42143620816671</v>
      </c>
      <c r="I76" s="28">
        <f t="shared" si="6"/>
        <v>2241.4109854934331</v>
      </c>
    </row>
    <row r="77" spans="5:9" x14ac:dyDescent="0.25">
      <c r="E77">
        <v>76</v>
      </c>
      <c r="F77" s="28">
        <f t="shared" si="4"/>
        <v>1423.6892778732217</v>
      </c>
      <c r="G77" s="28">
        <f t="shared" si="7"/>
        <v>323138.58493398147</v>
      </c>
      <c r="H77" s="21">
        <f t="shared" si="5"/>
        <v>807.84646233495369</v>
      </c>
      <c r="I77" s="28">
        <f t="shared" si="6"/>
        <v>2231.5357402081754</v>
      </c>
    </row>
    <row r="78" spans="5:9" x14ac:dyDescent="0.25">
      <c r="E78">
        <v>77</v>
      </c>
      <c r="F78" s="28">
        <f t="shared" si="4"/>
        <v>1417.4167643003061</v>
      </c>
      <c r="G78" s="28">
        <f t="shared" si="7"/>
        <v>321714.89565610827</v>
      </c>
      <c r="H78" s="21">
        <f t="shared" si="5"/>
        <v>804.28723914027069</v>
      </c>
      <c r="I78" s="28">
        <f t="shared" si="6"/>
        <v>2221.7040034405768</v>
      </c>
    </row>
    <row r="79" spans="5:9" x14ac:dyDescent="0.25">
      <c r="E79">
        <v>78</v>
      </c>
      <c r="F79" s="28">
        <f t="shared" si="4"/>
        <v>1411.1718862705766</v>
      </c>
      <c r="G79" s="28">
        <f t="shared" si="7"/>
        <v>320297.47889180796</v>
      </c>
      <c r="H79" s="21">
        <f t="shared" si="5"/>
        <v>800.74369722951985</v>
      </c>
      <c r="I79" s="28">
        <f t="shared" si="6"/>
        <v>2211.9155835000965</v>
      </c>
    </row>
    <row r="80" spans="5:9" x14ac:dyDescent="0.25">
      <c r="E80">
        <v>79</v>
      </c>
      <c r="F80" s="28">
        <f t="shared" si="4"/>
        <v>1404.9545220269038</v>
      </c>
      <c r="G80" s="28">
        <f t="shared" si="7"/>
        <v>318886.30700553738</v>
      </c>
      <c r="H80" s="21">
        <f t="shared" si="5"/>
        <v>797.21576751384339</v>
      </c>
      <c r="I80" s="28">
        <f t="shared" si="6"/>
        <v>2202.170289540747</v>
      </c>
    </row>
    <row r="81" spans="5:9" x14ac:dyDescent="0.25">
      <c r="E81">
        <v>80</v>
      </c>
      <c r="F81" s="28">
        <f t="shared" si="4"/>
        <v>1398.7645503485983</v>
      </c>
      <c r="G81" s="28">
        <f t="shared" si="7"/>
        <v>317481.35248351051</v>
      </c>
      <c r="H81" s="21">
        <f t="shared" si="5"/>
        <v>793.70338120877625</v>
      </c>
      <c r="I81" s="28">
        <f t="shared" si="6"/>
        <v>2192.4679315573744</v>
      </c>
    </row>
    <row r="82" spans="5:9" x14ac:dyDescent="0.25">
      <c r="E82">
        <v>81</v>
      </c>
      <c r="F82" s="28">
        <f t="shared" si="4"/>
        <v>1392.6018505490451</v>
      </c>
      <c r="G82" s="28">
        <f t="shared" si="7"/>
        <v>316082.58793316188</v>
      </c>
      <c r="H82" s="21">
        <f t="shared" si="5"/>
        <v>790.20646983290465</v>
      </c>
      <c r="I82" s="28">
        <f t="shared" si="6"/>
        <v>2182.8083203819497</v>
      </c>
    </row>
    <row r="83" spans="5:9" x14ac:dyDescent="0.25">
      <c r="E83">
        <v>82</v>
      </c>
      <c r="F83" s="28">
        <f t="shared" si="4"/>
        <v>1386.4663024733545</v>
      </c>
      <c r="G83" s="28">
        <f t="shared" si="7"/>
        <v>314689.98608261283</v>
      </c>
      <c r="H83" s="21">
        <f t="shared" si="5"/>
        <v>786.72496520653203</v>
      </c>
      <c r="I83" s="28">
        <f t="shared" si="6"/>
        <v>2173.1912676798866</v>
      </c>
    </row>
    <row r="84" spans="5:9" x14ac:dyDescent="0.25">
      <c r="E84">
        <v>83</v>
      </c>
      <c r="F84" s="28">
        <f t="shared" si="4"/>
        <v>1380.3577864960157</v>
      </c>
      <c r="G84" s="28">
        <f t="shared" si="7"/>
        <v>313303.5197801395</v>
      </c>
      <c r="H84" s="21">
        <f t="shared" si="5"/>
        <v>783.25879945034876</v>
      </c>
      <c r="I84" s="28">
        <f t="shared" si="6"/>
        <v>2163.6165859463645</v>
      </c>
    </row>
    <row r="85" spans="5:9" x14ac:dyDescent="0.25">
      <c r="E85">
        <v>84</v>
      </c>
      <c r="F85" s="28">
        <f t="shared" si="4"/>
        <v>1374.276183518567</v>
      </c>
      <c r="G85" s="28">
        <f t="shared" si="7"/>
        <v>311923.1619936435</v>
      </c>
      <c r="H85" s="21">
        <f t="shared" si="5"/>
        <v>779.80790498410863</v>
      </c>
      <c r="I85" s="28">
        <f t="shared" si="6"/>
        <v>2154.0840885026755</v>
      </c>
    </row>
    <row r="86" spans="5:9" x14ac:dyDescent="0.25">
      <c r="E86">
        <v>85</v>
      </c>
      <c r="F86" s="28">
        <f t="shared" si="4"/>
        <v>1368.2213749672705</v>
      </c>
      <c r="G86" s="28">
        <f t="shared" si="7"/>
        <v>310548.88581012492</v>
      </c>
      <c r="H86" s="21">
        <f t="shared" si="5"/>
        <v>776.3722145253123</v>
      </c>
      <c r="I86" s="28">
        <f t="shared" si="6"/>
        <v>2144.5935894925829</v>
      </c>
    </row>
    <row r="87" spans="5:9" x14ac:dyDescent="0.25">
      <c r="E87">
        <v>86</v>
      </c>
      <c r="F87" s="28">
        <f t="shared" si="4"/>
        <v>1362.1932427908059</v>
      </c>
      <c r="G87" s="28">
        <f t="shared" si="7"/>
        <v>309180.66443515767</v>
      </c>
      <c r="H87" s="21">
        <f t="shared" si="5"/>
        <v>772.95166108789408</v>
      </c>
      <c r="I87" s="28">
        <f t="shared" si="6"/>
        <v>2135.1449038787</v>
      </c>
    </row>
    <row r="88" spans="5:9" x14ac:dyDescent="0.25">
      <c r="E88">
        <v>87</v>
      </c>
      <c r="F88" s="28">
        <f t="shared" si="4"/>
        <v>1356.1916694579622</v>
      </c>
      <c r="G88" s="28">
        <f t="shared" si="7"/>
        <v>307818.47119236685</v>
      </c>
      <c r="H88" s="21">
        <f t="shared" si="5"/>
        <v>769.54617798091704</v>
      </c>
      <c r="I88" s="28">
        <f t="shared" si="6"/>
        <v>2125.7378474388793</v>
      </c>
    </row>
    <row r="89" spans="5:9" x14ac:dyDescent="0.25">
      <c r="E89">
        <v>88</v>
      </c>
      <c r="F89" s="28">
        <f t="shared" si="4"/>
        <v>1350.2165379553512</v>
      </c>
      <c r="G89" s="28">
        <f t="shared" si="7"/>
        <v>306462.27952290891</v>
      </c>
      <c r="H89" s="21">
        <f t="shared" si="5"/>
        <v>766.15569880727219</v>
      </c>
      <c r="I89" s="28">
        <f t="shared" si="6"/>
        <v>2116.3722367626233</v>
      </c>
    </row>
    <row r="90" spans="5:9" x14ac:dyDescent="0.25">
      <c r="E90">
        <v>89</v>
      </c>
      <c r="F90" s="28">
        <f t="shared" si="4"/>
        <v>1344.2677317851226</v>
      </c>
      <c r="G90" s="28">
        <f t="shared" si="7"/>
        <v>305112.06298495358</v>
      </c>
      <c r="H90" s="21">
        <f t="shared" si="5"/>
        <v>762.78015746238395</v>
      </c>
      <c r="I90" s="28">
        <f t="shared" si="6"/>
        <v>2107.0478892475066</v>
      </c>
    </row>
    <row r="91" spans="5:9" x14ac:dyDescent="0.25">
      <c r="E91">
        <v>90</v>
      </c>
      <c r="F91" s="28">
        <f t="shared" si="4"/>
        <v>1338.3451349626957</v>
      </c>
      <c r="G91" s="28">
        <f t="shared" si="7"/>
        <v>303767.79525316844</v>
      </c>
      <c r="H91" s="21">
        <f t="shared" si="5"/>
        <v>759.41948813292117</v>
      </c>
      <c r="I91" s="28">
        <f t="shared" si="6"/>
        <v>2097.764623095617</v>
      </c>
    </row>
    <row r="92" spans="5:9" x14ac:dyDescent="0.25">
      <c r="E92">
        <v>91</v>
      </c>
      <c r="F92" s="28">
        <f t="shared" si="4"/>
        <v>1332.4486320144965</v>
      </c>
      <c r="G92" s="28">
        <f t="shared" si="7"/>
        <v>302429.45011820574</v>
      </c>
      <c r="H92" s="21">
        <f t="shared" si="5"/>
        <v>756.07362529551438</v>
      </c>
      <c r="I92" s="28">
        <f t="shared" si="6"/>
        <v>2088.5222573100109</v>
      </c>
    </row>
    <row r="93" spans="5:9" x14ac:dyDescent="0.25">
      <c r="E93">
        <v>92</v>
      </c>
      <c r="F93" s="28">
        <f t="shared" si="4"/>
        <v>1326.5781079757057</v>
      </c>
      <c r="G93" s="28">
        <f t="shared" si="7"/>
        <v>301097.00148619124</v>
      </c>
      <c r="H93" s="21">
        <f t="shared" si="5"/>
        <v>752.74250371547805</v>
      </c>
      <c r="I93" s="28">
        <f t="shared" si="6"/>
        <v>2079.3206116911838</v>
      </c>
    </row>
    <row r="94" spans="5:9" x14ac:dyDescent="0.25">
      <c r="E94">
        <v>93</v>
      </c>
      <c r="F94" s="28">
        <f t="shared" si="4"/>
        <v>1320.7334483880172</v>
      </c>
      <c r="G94" s="28">
        <f t="shared" si="7"/>
        <v>299770.42337821552</v>
      </c>
      <c r="H94" s="21">
        <f t="shared" si="5"/>
        <v>749.42605844553873</v>
      </c>
      <c r="I94" s="28">
        <f t="shared" si="6"/>
        <v>2070.159506833556</v>
      </c>
    </row>
    <row r="95" spans="5:9" x14ac:dyDescent="0.25">
      <c r="E95">
        <v>94</v>
      </c>
      <c r="F95" s="28">
        <f t="shared" si="4"/>
        <v>1314.9145392974092</v>
      </c>
      <c r="G95" s="28">
        <f t="shared" si="7"/>
        <v>298449.68992982752</v>
      </c>
      <c r="H95" s="21">
        <f t="shared" si="5"/>
        <v>746.12422482456884</v>
      </c>
      <c r="I95" s="28">
        <f t="shared" si="6"/>
        <v>2061.0387641219781</v>
      </c>
    </row>
    <row r="96" spans="5:9" x14ac:dyDescent="0.25">
      <c r="E96">
        <v>95</v>
      </c>
      <c r="F96" s="28">
        <f t="shared" si="4"/>
        <v>1309.1212672519191</v>
      </c>
      <c r="G96" s="28">
        <f t="shared" si="7"/>
        <v>297134.77539053012</v>
      </c>
      <c r="H96" s="21">
        <f t="shared" si="5"/>
        <v>742.83693847632537</v>
      </c>
      <c r="I96" s="28">
        <f t="shared" si="6"/>
        <v>2051.9582057282446</v>
      </c>
    </row>
    <row r="97" spans="5:9" x14ac:dyDescent="0.25">
      <c r="E97">
        <v>96</v>
      </c>
      <c r="F97" s="28">
        <f t="shared" si="4"/>
        <v>1303.3535192994325</v>
      </c>
      <c r="G97" s="28">
        <f t="shared" si="7"/>
        <v>295825.65412327822</v>
      </c>
      <c r="H97" s="21">
        <f t="shared" si="5"/>
        <v>739.56413530819555</v>
      </c>
      <c r="I97" s="28">
        <f t="shared" si="6"/>
        <v>2042.917654607628</v>
      </c>
    </row>
    <row r="98" spans="5:9" x14ac:dyDescent="0.25">
      <c r="E98">
        <v>97</v>
      </c>
      <c r="F98" s="28">
        <f t="shared" si="4"/>
        <v>1297.6111829854826</v>
      </c>
      <c r="G98" s="28">
        <f t="shared" si="7"/>
        <v>294522.3006039788</v>
      </c>
      <c r="H98" s="21">
        <f t="shared" si="5"/>
        <v>736.30575150994707</v>
      </c>
      <c r="I98" s="28">
        <f t="shared" si="6"/>
        <v>2033.9169344954296</v>
      </c>
    </row>
    <row r="99" spans="5:9" x14ac:dyDescent="0.25">
      <c r="E99">
        <v>98</v>
      </c>
      <c r="F99" s="28">
        <f t="shared" si="4"/>
        <v>1291.8941463510544</v>
      </c>
      <c r="G99" s="28">
        <f t="shared" si="7"/>
        <v>293224.68942099332</v>
      </c>
      <c r="H99" s="21">
        <f t="shared" si="5"/>
        <v>733.06172355248327</v>
      </c>
      <c r="I99" s="28">
        <f t="shared" si="6"/>
        <v>2024.9558699035376</v>
      </c>
    </row>
    <row r="100" spans="5:9" x14ac:dyDescent="0.25">
      <c r="E100">
        <v>99</v>
      </c>
      <c r="F100" s="28">
        <f t="shared" si="4"/>
        <v>1286.2022979304056</v>
      </c>
      <c r="G100" s="28">
        <f t="shared" si="7"/>
        <v>291932.7952746423</v>
      </c>
      <c r="H100" s="21">
        <f t="shared" si="5"/>
        <v>729.83198818660583</v>
      </c>
      <c r="I100" s="28">
        <f t="shared" si="6"/>
        <v>2016.0342861170116</v>
      </c>
    </row>
    <row r="101" spans="5:9" x14ac:dyDescent="0.25">
      <c r="E101">
        <v>100</v>
      </c>
      <c r="F101" s="28">
        <f t="shared" si="4"/>
        <v>1280.5355267488906</v>
      </c>
      <c r="G101" s="28">
        <f t="shared" si="7"/>
        <v>290646.59297671187</v>
      </c>
      <c r="H101" s="21">
        <f t="shared" si="5"/>
        <v>726.61648244177968</v>
      </c>
      <c r="I101" s="28">
        <f t="shared" si="6"/>
        <v>2007.1520091906702</v>
      </c>
    </row>
    <row r="102" spans="5:9" x14ac:dyDescent="0.25">
      <c r="E102">
        <v>101</v>
      </c>
      <c r="F102" s="28">
        <f t="shared" si="4"/>
        <v>1274.8937223207981</v>
      </c>
      <c r="G102" s="28">
        <f t="shared" si="7"/>
        <v>289366.057449963</v>
      </c>
      <c r="H102" s="21">
        <f t="shared" si="5"/>
        <v>723.4151436249075</v>
      </c>
      <c r="I102" s="28">
        <f t="shared" si="6"/>
        <v>1998.3088659457057</v>
      </c>
    </row>
    <row r="103" spans="5:9" x14ac:dyDescent="0.25">
      <c r="E103">
        <v>102</v>
      </c>
      <c r="F103" s="28">
        <f t="shared" si="4"/>
        <v>1269.2767746471959</v>
      </c>
      <c r="G103" s="28">
        <f t="shared" si="7"/>
        <v>288091.16372764221</v>
      </c>
      <c r="H103" s="21">
        <f t="shared" si="5"/>
        <v>720.22790931910549</v>
      </c>
      <c r="I103" s="28">
        <f t="shared" si="6"/>
        <v>1989.5046839663014</v>
      </c>
    </row>
    <row r="104" spans="5:9" x14ac:dyDescent="0.25">
      <c r="E104">
        <v>103</v>
      </c>
      <c r="F104" s="28">
        <f t="shared" si="4"/>
        <v>1263.6845742137878</v>
      </c>
      <c r="G104" s="28">
        <f t="shared" si="7"/>
        <v>286821.88695299503</v>
      </c>
      <c r="H104" s="21">
        <f t="shared" si="5"/>
        <v>717.05471738248752</v>
      </c>
      <c r="I104" s="28">
        <f t="shared" si="6"/>
        <v>1980.7392915962753</v>
      </c>
    </row>
    <row r="105" spans="5:9" x14ac:dyDescent="0.25">
      <c r="E105">
        <v>104</v>
      </c>
      <c r="F105" s="28">
        <f t="shared" si="4"/>
        <v>1258.1170119887765</v>
      </c>
      <c r="G105" s="28">
        <f t="shared" si="7"/>
        <v>285558.20237878122</v>
      </c>
      <c r="H105" s="21">
        <f t="shared" si="5"/>
        <v>713.89550594695299</v>
      </c>
      <c r="I105" s="28">
        <f t="shared" si="6"/>
        <v>1972.0125179357296</v>
      </c>
    </row>
    <row r="106" spans="5:9" x14ac:dyDescent="0.25">
      <c r="E106">
        <v>105</v>
      </c>
      <c r="F106" s="28">
        <f t="shared" si="4"/>
        <v>1252.5739794207402</v>
      </c>
      <c r="G106" s="28">
        <f t="shared" si="7"/>
        <v>284300.08536679245</v>
      </c>
      <c r="H106" s="21">
        <f t="shared" si="5"/>
        <v>710.75021341698118</v>
      </c>
      <c r="I106" s="28">
        <f t="shared" si="6"/>
        <v>1963.3241928377213</v>
      </c>
    </row>
    <row r="107" spans="5:9" x14ac:dyDescent="0.25">
      <c r="E107">
        <v>106</v>
      </c>
      <c r="F107" s="28">
        <f t="shared" si="4"/>
        <v>1247.0553684365132</v>
      </c>
      <c r="G107" s="28">
        <f t="shared" si="7"/>
        <v>283047.51138737169</v>
      </c>
      <c r="H107" s="21">
        <f t="shared" si="5"/>
        <v>707.61877846842924</v>
      </c>
      <c r="I107" s="28">
        <f t="shared" si="6"/>
        <v>1954.6741469049423</v>
      </c>
    </row>
    <row r="108" spans="5:9" x14ac:dyDescent="0.25">
      <c r="E108">
        <v>107</v>
      </c>
      <c r="F108" s="28">
        <f t="shared" si="4"/>
        <v>1241.5610714390805</v>
      </c>
      <c r="G108" s="28">
        <f t="shared" si="7"/>
        <v>281800.45601893519</v>
      </c>
      <c r="H108" s="21">
        <f t="shared" si="5"/>
        <v>704.50114004733803</v>
      </c>
      <c r="I108" s="28">
        <f t="shared" si="6"/>
        <v>1946.0622114864186</v>
      </c>
    </row>
    <row r="109" spans="5:9" x14ac:dyDescent="0.25">
      <c r="E109">
        <v>108</v>
      </c>
      <c r="F109" s="28">
        <f t="shared" si="4"/>
        <v>1236.0909813054814</v>
      </c>
      <c r="G109" s="28">
        <f t="shared" si="7"/>
        <v>280558.89494749613</v>
      </c>
      <c r="H109" s="21">
        <f t="shared" si="5"/>
        <v>701.39723736874032</v>
      </c>
      <c r="I109" s="28">
        <f t="shared" si="6"/>
        <v>1937.4882186742218</v>
      </c>
    </row>
    <row r="110" spans="5:9" x14ac:dyDescent="0.25">
      <c r="E110">
        <v>109</v>
      </c>
      <c r="F110" s="28">
        <f t="shared" si="4"/>
        <v>1230.6449913847177</v>
      </c>
      <c r="G110" s="28">
        <f t="shared" si="7"/>
        <v>279322.80396619067</v>
      </c>
      <c r="H110" s="21">
        <f t="shared" si="5"/>
        <v>698.30700991547667</v>
      </c>
      <c r="I110" s="28">
        <f t="shared" si="6"/>
        <v>1928.9520013001943</v>
      </c>
    </row>
    <row r="111" spans="5:9" x14ac:dyDescent="0.25">
      <c r="E111">
        <v>110</v>
      </c>
      <c r="F111" s="28">
        <f t="shared" si="4"/>
        <v>1225.2229954956756</v>
      </c>
      <c r="G111" s="28">
        <f t="shared" si="7"/>
        <v>278092.15897480596</v>
      </c>
      <c r="H111" s="21">
        <f t="shared" si="5"/>
        <v>695.23039743701486</v>
      </c>
      <c r="I111" s="28">
        <f t="shared" si="6"/>
        <v>1920.4533929326906</v>
      </c>
    </row>
    <row r="112" spans="5:9" x14ac:dyDescent="0.25">
      <c r="E112">
        <v>111</v>
      </c>
      <c r="F112" s="28">
        <f t="shared" si="4"/>
        <v>1219.8248879250577</v>
      </c>
      <c r="G112" s="28">
        <f t="shared" si="7"/>
        <v>276866.93597931031</v>
      </c>
      <c r="H112" s="21">
        <f t="shared" si="5"/>
        <v>692.16733994827575</v>
      </c>
      <c r="I112" s="28">
        <f t="shared" si="6"/>
        <v>1911.9922278733336</v>
      </c>
    </row>
    <row r="113" spans="5:9" x14ac:dyDescent="0.25">
      <c r="E113">
        <v>112</v>
      </c>
      <c r="F113" s="28">
        <f t="shared" si="4"/>
        <v>1214.4505634253187</v>
      </c>
      <c r="G113" s="28">
        <f t="shared" si="7"/>
        <v>275647.11109138525</v>
      </c>
      <c r="H113" s="21">
        <f t="shared" si="5"/>
        <v>689.11777772846301</v>
      </c>
      <c r="I113" s="28">
        <f t="shared" si="6"/>
        <v>1903.5683411537816</v>
      </c>
    </row>
    <row r="114" spans="5:9" x14ac:dyDescent="0.25">
      <c r="E114">
        <v>113</v>
      </c>
      <c r="F114" s="28">
        <f t="shared" si="4"/>
        <v>1209.0999172126139</v>
      </c>
      <c r="G114" s="28">
        <f t="shared" si="7"/>
        <v>274432.66052795993</v>
      </c>
      <c r="H114" s="21">
        <f t="shared" si="5"/>
        <v>686.08165131989983</v>
      </c>
      <c r="I114" s="28">
        <f t="shared" si="6"/>
        <v>1895.1815685325139</v>
      </c>
    </row>
    <row r="115" spans="5:9" x14ac:dyDescent="0.25">
      <c r="E115">
        <v>114</v>
      </c>
      <c r="F115" s="28">
        <f t="shared" si="4"/>
        <v>1203.7728449647589</v>
      </c>
      <c r="G115" s="28">
        <f t="shared" si="7"/>
        <v>273223.56061074731</v>
      </c>
      <c r="H115" s="21">
        <f t="shared" si="5"/>
        <v>683.05890152686823</v>
      </c>
      <c r="I115" s="28">
        <f t="shared" si="6"/>
        <v>1886.8317464916272</v>
      </c>
    </row>
    <row r="116" spans="5:9" x14ac:dyDescent="0.25">
      <c r="E116">
        <v>115</v>
      </c>
      <c r="F116" s="28">
        <f t="shared" si="4"/>
        <v>1198.469242819192</v>
      </c>
      <c r="G116" s="28">
        <f t="shared" si="7"/>
        <v>272019.78776578256</v>
      </c>
      <c r="H116" s="21">
        <f t="shared" si="5"/>
        <v>680.04946941445644</v>
      </c>
      <c r="I116" s="28">
        <f t="shared" si="6"/>
        <v>1878.5187122336483</v>
      </c>
    </row>
    <row r="117" spans="5:9" x14ac:dyDescent="0.25">
      <c r="E117">
        <v>116</v>
      </c>
      <c r="F117" s="28">
        <f t="shared" si="4"/>
        <v>1193.1890073709519</v>
      </c>
      <c r="G117" s="28">
        <f t="shared" si="7"/>
        <v>270821.31852296338</v>
      </c>
      <c r="H117" s="21">
        <f t="shared" si="5"/>
        <v>677.05329630740846</v>
      </c>
      <c r="I117" s="28">
        <f t="shared" si="6"/>
        <v>1870.2423036783605</v>
      </c>
    </row>
    <row r="118" spans="5:9" x14ac:dyDescent="0.25">
      <c r="E118">
        <v>117</v>
      </c>
      <c r="F118" s="28">
        <f t="shared" si="4"/>
        <v>1187.9320356706603</v>
      </c>
      <c r="G118" s="28">
        <f t="shared" si="7"/>
        <v>269628.12951559242</v>
      </c>
      <c r="H118" s="21">
        <f t="shared" si="5"/>
        <v>674.070323788981</v>
      </c>
      <c r="I118" s="28">
        <f t="shared" si="6"/>
        <v>1862.0023594596414</v>
      </c>
    </row>
    <row r="119" spans="5:9" x14ac:dyDescent="0.25">
      <c r="E119">
        <v>118</v>
      </c>
      <c r="F119" s="28">
        <f t="shared" si="4"/>
        <v>1182.6982252225148</v>
      </c>
      <c r="G119" s="28">
        <f t="shared" si="7"/>
        <v>268440.19747992174</v>
      </c>
      <c r="H119" s="21">
        <f t="shared" si="5"/>
        <v>671.10049369980436</v>
      </c>
      <c r="I119" s="28">
        <f t="shared" si="6"/>
        <v>1853.7987189223193</v>
      </c>
    </row>
    <row r="120" spans="5:9" x14ac:dyDescent="0.25">
      <c r="E120">
        <v>119</v>
      </c>
      <c r="F120" s="28">
        <f t="shared" si="4"/>
        <v>1177.4874739822908</v>
      </c>
      <c r="G120" s="28">
        <f t="shared" si="7"/>
        <v>267257.49925469921</v>
      </c>
      <c r="H120" s="21">
        <f t="shared" si="5"/>
        <v>668.14374813674806</v>
      </c>
      <c r="I120" s="28">
        <f t="shared" si="6"/>
        <v>1845.631222119039</v>
      </c>
    </row>
    <row r="121" spans="5:9" x14ac:dyDescent="0.25">
      <c r="E121">
        <v>120</v>
      </c>
      <c r="F121" s="28">
        <f t="shared" si="4"/>
        <v>1172.2996803553519</v>
      </c>
      <c r="G121" s="28">
        <f t="shared" si="7"/>
        <v>266080.01178071694</v>
      </c>
      <c r="H121" s="21">
        <f t="shared" si="5"/>
        <v>665.20002945179237</v>
      </c>
      <c r="I121" s="28">
        <f t="shared" si="6"/>
        <v>1837.4997098071442</v>
      </c>
    </row>
    <row r="122" spans="5:9" x14ac:dyDescent="0.25">
      <c r="E122">
        <v>121</v>
      </c>
      <c r="F122" s="28">
        <f t="shared" si="4"/>
        <v>1167.1347431946688</v>
      </c>
      <c r="G122" s="28">
        <f t="shared" si="7"/>
        <v>264907.71210036159</v>
      </c>
      <c r="H122" s="21">
        <f t="shared" si="5"/>
        <v>662.26928025090399</v>
      </c>
      <c r="I122" s="28">
        <f t="shared" si="6"/>
        <v>1829.4040234455726</v>
      </c>
    </row>
    <row r="123" spans="5:9" x14ac:dyDescent="0.25">
      <c r="E123">
        <v>122</v>
      </c>
      <c r="F123" s="28">
        <f t="shared" si="4"/>
        <v>1161.992561798847</v>
      </c>
      <c r="G123" s="28">
        <f t="shared" si="7"/>
        <v>263740.57735716691</v>
      </c>
      <c r="H123" s="21">
        <f t="shared" si="5"/>
        <v>659.3514433929173</v>
      </c>
      <c r="I123" s="28">
        <f t="shared" si="6"/>
        <v>1821.3440051917644</v>
      </c>
    </row>
    <row r="124" spans="5:9" x14ac:dyDescent="0.25">
      <c r="E124">
        <v>123</v>
      </c>
      <c r="F124" s="28">
        <f t="shared" si="4"/>
        <v>1156.8730359101658</v>
      </c>
      <c r="G124" s="28">
        <f t="shared" si="7"/>
        <v>262578.58479536808</v>
      </c>
      <c r="H124" s="21">
        <f t="shared" si="5"/>
        <v>656.4464619884202</v>
      </c>
      <c r="I124" s="28">
        <f t="shared" si="6"/>
        <v>1813.319497898586</v>
      </c>
    </row>
    <row r="125" spans="5:9" x14ac:dyDescent="0.25">
      <c r="E125">
        <v>124</v>
      </c>
      <c r="F125" s="28">
        <f t="shared" si="4"/>
        <v>1151.7760657126191</v>
      </c>
      <c r="G125" s="28">
        <f t="shared" si="7"/>
        <v>261421.71175945792</v>
      </c>
      <c r="H125" s="21">
        <f t="shared" si="5"/>
        <v>653.55427939864478</v>
      </c>
      <c r="I125" s="28">
        <f t="shared" si="6"/>
        <v>1805.3303451112638</v>
      </c>
    </row>
    <row r="126" spans="5:9" x14ac:dyDescent="0.25">
      <c r="E126">
        <v>125</v>
      </c>
      <c r="F126" s="28">
        <f t="shared" si="4"/>
        <v>1146.7015518299727</v>
      </c>
      <c r="G126" s="28">
        <f t="shared" si="7"/>
        <v>260269.9356937453</v>
      </c>
      <c r="H126" s="21">
        <f t="shared" si="5"/>
        <v>650.67483923436328</v>
      </c>
      <c r="I126" s="28">
        <f t="shared" si="6"/>
        <v>1797.3763910643361</v>
      </c>
    </row>
    <row r="127" spans="5:9" x14ac:dyDescent="0.25">
      <c r="E127">
        <v>126</v>
      </c>
      <c r="F127" s="28">
        <f t="shared" si="4"/>
        <v>1141.6493953238273</v>
      </c>
      <c r="G127" s="28">
        <f t="shared" si="7"/>
        <v>259123.23414191534</v>
      </c>
      <c r="H127" s="21">
        <f t="shared" si="5"/>
        <v>647.80808535478832</v>
      </c>
      <c r="I127" s="28">
        <f t="shared" si="6"/>
        <v>1789.4574806786156</v>
      </c>
    </row>
    <row r="128" spans="5:9" x14ac:dyDescent="0.25">
      <c r="E128">
        <v>127</v>
      </c>
      <c r="F128" s="28">
        <f t="shared" si="4"/>
        <v>1136.6194976916859</v>
      </c>
      <c r="G128" s="28">
        <f t="shared" si="7"/>
        <v>257981.58474659151</v>
      </c>
      <c r="H128" s="21">
        <f t="shared" si="5"/>
        <v>644.95396186647883</v>
      </c>
      <c r="I128" s="28">
        <f t="shared" si="6"/>
        <v>1781.5734595581648</v>
      </c>
    </row>
    <row r="129" spans="5:9" x14ac:dyDescent="0.25">
      <c r="E129">
        <v>128</v>
      </c>
      <c r="F129" s="28">
        <f t="shared" si="4"/>
        <v>1131.6117608650366</v>
      </c>
      <c r="G129" s="28">
        <f t="shared" si="7"/>
        <v>256844.96524889983</v>
      </c>
      <c r="H129" s="21">
        <f t="shared" si="5"/>
        <v>642.11241312224956</v>
      </c>
      <c r="I129" s="28">
        <f t="shared" si="6"/>
        <v>1773.7241739872861</v>
      </c>
    </row>
    <row r="130" spans="5:9" x14ac:dyDescent="0.25">
      <c r="E130">
        <v>129</v>
      </c>
      <c r="F130" s="28">
        <f t="shared" si="4"/>
        <v>1126.6260872074386</v>
      </c>
      <c r="G130" s="28">
        <f t="shared" si="7"/>
        <v>255713.3534880348</v>
      </c>
      <c r="H130" s="21">
        <f t="shared" si="5"/>
        <v>639.28338372008704</v>
      </c>
      <c r="I130" s="28">
        <f t="shared" si="6"/>
        <v>1765.9094709275255</v>
      </c>
    </row>
    <row r="131" spans="5:9" x14ac:dyDescent="0.25">
      <c r="E131">
        <v>130</v>
      </c>
      <c r="F131" s="28">
        <f t="shared" ref="F131:F182" si="8">I131-H131</f>
        <v>1121.6623795126206</v>
      </c>
      <c r="G131" s="28">
        <f t="shared" si="7"/>
        <v>254586.72740082737</v>
      </c>
      <c r="H131" s="21">
        <f t="shared" ref="H131:H182" si="9">(G131*$B$4)/12</f>
        <v>636.46681850206835</v>
      </c>
      <c r="I131" s="28">
        <f t="shared" ref="I131:I182" si="10">PMT($B$4/12,$C$3,-G131)</f>
        <v>1758.1291980146889</v>
      </c>
    </row>
    <row r="132" spans="5:9" x14ac:dyDescent="0.25">
      <c r="E132">
        <v>131</v>
      </c>
      <c r="F132" s="28">
        <f t="shared" si="8"/>
        <v>1116.7205410025826</v>
      </c>
      <c r="G132" s="28">
        <f t="shared" ref="G132:G182" si="11">G131-F131</f>
        <v>253465.06502131475</v>
      </c>
      <c r="H132" s="21">
        <f t="shared" si="9"/>
        <v>633.66266255328685</v>
      </c>
      <c r="I132" s="28">
        <f t="shared" si="10"/>
        <v>1750.3832035558694</v>
      </c>
    </row>
    <row r="133" spans="5:9" x14ac:dyDescent="0.25">
      <c r="E133">
        <v>132</v>
      </c>
      <c r="F133" s="28">
        <f t="shared" si="8"/>
        <v>1111.8004753257121</v>
      </c>
      <c r="G133" s="28">
        <f t="shared" si="11"/>
        <v>252348.34448031217</v>
      </c>
      <c r="H133" s="21">
        <f t="shared" si="9"/>
        <v>630.87086120078038</v>
      </c>
      <c r="I133" s="28">
        <f t="shared" si="10"/>
        <v>1742.6713365264925</v>
      </c>
    </row>
    <row r="134" spans="5:9" x14ac:dyDescent="0.25">
      <c r="E134">
        <v>133</v>
      </c>
      <c r="F134" s="28">
        <f t="shared" si="8"/>
        <v>1106.9020865549037</v>
      </c>
      <c r="G134" s="28">
        <f t="shared" si="11"/>
        <v>251236.54400498644</v>
      </c>
      <c r="H134" s="21">
        <f t="shared" si="9"/>
        <v>628.09136001246611</v>
      </c>
      <c r="I134" s="28">
        <f t="shared" si="10"/>
        <v>1734.9934465673698</v>
      </c>
    </row>
    <row r="135" spans="5:9" x14ac:dyDescent="0.25">
      <c r="E135">
        <v>134</v>
      </c>
      <c r="F135" s="28">
        <f t="shared" si="8"/>
        <v>1102.0252791856888</v>
      </c>
      <c r="G135" s="28">
        <f t="shared" si="11"/>
        <v>250129.64191843153</v>
      </c>
      <c r="H135" s="21">
        <f t="shared" si="9"/>
        <v>625.32410479607881</v>
      </c>
      <c r="I135" s="28">
        <f t="shared" si="10"/>
        <v>1727.3493839817675</v>
      </c>
    </row>
    <row r="136" spans="5:9" x14ac:dyDescent="0.25">
      <c r="E136">
        <v>135</v>
      </c>
      <c r="F136" s="28">
        <f t="shared" si="8"/>
        <v>1097.1699581343744</v>
      </c>
      <c r="G136" s="28">
        <f t="shared" si="11"/>
        <v>249027.61663924585</v>
      </c>
      <c r="H136" s="21">
        <f t="shared" si="9"/>
        <v>622.56904159811461</v>
      </c>
      <c r="I136" s="28">
        <f t="shared" si="10"/>
        <v>1719.738999732489</v>
      </c>
    </row>
    <row r="137" spans="5:9" x14ac:dyDescent="0.25">
      <c r="E137">
        <v>136</v>
      </c>
      <c r="F137" s="28">
        <f t="shared" si="8"/>
        <v>1092.3360287361884</v>
      </c>
      <c r="G137" s="28">
        <f t="shared" si="11"/>
        <v>247930.44668111147</v>
      </c>
      <c r="H137" s="21">
        <f t="shared" si="9"/>
        <v>619.82611670277868</v>
      </c>
      <c r="I137" s="28">
        <f t="shared" si="10"/>
        <v>1712.1621454389669</v>
      </c>
    </row>
    <row r="138" spans="5:9" x14ac:dyDescent="0.25">
      <c r="E138">
        <v>137</v>
      </c>
      <c r="F138" s="28">
        <f t="shared" si="8"/>
        <v>1087.5233967434351</v>
      </c>
      <c r="G138" s="28">
        <f t="shared" si="11"/>
        <v>246838.11065237527</v>
      </c>
      <c r="H138" s="21">
        <f t="shared" si="9"/>
        <v>617.0952766309382</v>
      </c>
      <c r="I138" s="28">
        <f t="shared" si="10"/>
        <v>1704.6186733743732</v>
      </c>
    </row>
    <row r="139" spans="5:9" x14ac:dyDescent="0.25">
      <c r="E139">
        <v>138</v>
      </c>
      <c r="F139" s="28">
        <f t="shared" si="8"/>
        <v>1082.731968323656</v>
      </c>
      <c r="G139" s="28">
        <f t="shared" si="11"/>
        <v>245750.58725563184</v>
      </c>
      <c r="H139" s="21">
        <f t="shared" si="9"/>
        <v>614.37646813907952</v>
      </c>
      <c r="I139" s="28">
        <f t="shared" si="10"/>
        <v>1697.1084364627354</v>
      </c>
    </row>
    <row r="140" spans="5:9" x14ac:dyDescent="0.25">
      <c r="E140">
        <v>139</v>
      </c>
      <c r="F140" s="28">
        <f t="shared" si="8"/>
        <v>1077.9616500578018</v>
      </c>
      <c r="G140" s="28">
        <f t="shared" si="11"/>
        <v>244667.85528730819</v>
      </c>
      <c r="H140" s="21">
        <f t="shared" si="9"/>
        <v>611.66963821827051</v>
      </c>
      <c r="I140" s="28">
        <f t="shared" si="10"/>
        <v>1689.6312882760722</v>
      </c>
    </row>
    <row r="141" spans="5:9" x14ac:dyDescent="0.25">
      <c r="E141">
        <v>140</v>
      </c>
      <c r="F141" s="28">
        <f t="shared" si="8"/>
        <v>1073.2123489384089</v>
      </c>
      <c r="G141" s="28">
        <f t="shared" si="11"/>
        <v>243589.89363725038</v>
      </c>
      <c r="H141" s="21">
        <f t="shared" si="9"/>
        <v>608.9747340931259</v>
      </c>
      <c r="I141" s="28">
        <f t="shared" si="10"/>
        <v>1682.1870830315349</v>
      </c>
    </row>
    <row r="142" spans="5:9" x14ac:dyDescent="0.25">
      <c r="E142">
        <v>141</v>
      </c>
      <c r="F142" s="28">
        <f t="shared" si="8"/>
        <v>1068.4839723677903</v>
      </c>
      <c r="G142" s="28">
        <f t="shared" si="11"/>
        <v>242516.68128831199</v>
      </c>
      <c r="H142" s="21">
        <f t="shared" si="9"/>
        <v>606.29170322077994</v>
      </c>
      <c r="I142" s="28">
        <f t="shared" si="10"/>
        <v>1674.7756755885703</v>
      </c>
    </row>
    <row r="143" spans="5:9" x14ac:dyDescent="0.25">
      <c r="E143">
        <v>142</v>
      </c>
      <c r="F143" s="28">
        <f t="shared" si="8"/>
        <v>1063.7764281562249</v>
      </c>
      <c r="G143" s="28">
        <f t="shared" si="11"/>
        <v>241448.19731594418</v>
      </c>
      <c r="H143" s="21">
        <f t="shared" si="9"/>
        <v>603.62049328986041</v>
      </c>
      <c r="I143" s="28">
        <f t="shared" si="10"/>
        <v>1667.3969214460853</v>
      </c>
    </row>
    <row r="144" spans="5:9" x14ac:dyDescent="0.25">
      <c r="E144">
        <v>143</v>
      </c>
      <c r="F144" s="28">
        <f t="shared" si="8"/>
        <v>1059.0896245201634</v>
      </c>
      <c r="G144" s="28">
        <f t="shared" si="11"/>
        <v>240384.42088778797</v>
      </c>
      <c r="H144" s="21">
        <f t="shared" si="9"/>
        <v>600.96105221946993</v>
      </c>
      <c r="I144" s="28">
        <f t="shared" si="10"/>
        <v>1660.0506767396334</v>
      </c>
    </row>
    <row r="145" spans="5:9" x14ac:dyDescent="0.25">
      <c r="E145">
        <v>144</v>
      </c>
      <c r="F145" s="28">
        <f t="shared" si="8"/>
        <v>1054.4234700804386</v>
      </c>
      <c r="G145" s="28">
        <f t="shared" si="11"/>
        <v>239325.33126326781</v>
      </c>
      <c r="H145" s="21">
        <f t="shared" si="9"/>
        <v>598.3133281581695</v>
      </c>
      <c r="I145" s="28">
        <f t="shared" si="10"/>
        <v>1652.7367982386081</v>
      </c>
    </row>
    <row r="146" spans="5:9" x14ac:dyDescent="0.25">
      <c r="E146">
        <v>145</v>
      </c>
      <c r="F146" s="28">
        <f t="shared" si="8"/>
        <v>1049.777873860482</v>
      </c>
      <c r="G146" s="28">
        <f t="shared" si="11"/>
        <v>238270.90779318736</v>
      </c>
      <c r="H146" s="21">
        <f t="shared" si="9"/>
        <v>595.67726948296843</v>
      </c>
      <c r="I146" s="28">
        <f t="shared" si="10"/>
        <v>1645.4551433434506</v>
      </c>
    </row>
    <row r="147" spans="5:9" x14ac:dyDescent="0.25">
      <c r="E147">
        <v>146</v>
      </c>
      <c r="F147" s="28">
        <f t="shared" si="8"/>
        <v>1045.1527452845521</v>
      </c>
      <c r="G147" s="28">
        <f t="shared" si="11"/>
        <v>237221.12991932689</v>
      </c>
      <c r="H147" s="21">
        <f t="shared" si="9"/>
        <v>593.05282479831715</v>
      </c>
      <c r="I147" s="28">
        <f t="shared" si="10"/>
        <v>1638.2055700828694</v>
      </c>
    </row>
    <row r="148" spans="5:9" x14ac:dyDescent="0.25">
      <c r="E148">
        <v>147</v>
      </c>
      <c r="F148" s="28">
        <f t="shared" si="8"/>
        <v>1040.5479941759672</v>
      </c>
      <c r="G148" s="28">
        <f t="shared" si="11"/>
        <v>236175.97717404235</v>
      </c>
      <c r="H148" s="21">
        <f t="shared" si="9"/>
        <v>590.43994293510582</v>
      </c>
      <c r="I148" s="28">
        <f t="shared" si="10"/>
        <v>1630.9879371110731</v>
      </c>
    </row>
    <row r="149" spans="5:9" x14ac:dyDescent="0.25">
      <c r="E149">
        <v>148</v>
      </c>
      <c r="F149" s="28">
        <f t="shared" si="8"/>
        <v>1035.9635307553472</v>
      </c>
      <c r="G149" s="28">
        <f t="shared" si="11"/>
        <v>235135.42917986639</v>
      </c>
      <c r="H149" s="21">
        <f t="shared" si="9"/>
        <v>587.83857294966595</v>
      </c>
      <c r="I149" s="28">
        <f t="shared" si="10"/>
        <v>1623.802103705013</v>
      </c>
    </row>
    <row r="150" spans="5:9" x14ac:dyDescent="0.25">
      <c r="E150">
        <v>149</v>
      </c>
      <c r="F150" s="28">
        <f t="shared" si="8"/>
        <v>1031.3992656388632</v>
      </c>
      <c r="G150" s="28">
        <f t="shared" si="11"/>
        <v>234099.46564911105</v>
      </c>
      <c r="H150" s="21">
        <f t="shared" si="9"/>
        <v>585.24866412277754</v>
      </c>
      <c r="I150" s="28">
        <f t="shared" si="10"/>
        <v>1616.6479297616409</v>
      </c>
    </row>
    <row r="151" spans="5:9" x14ac:dyDescent="0.25">
      <c r="E151">
        <v>150</v>
      </c>
      <c r="F151" s="28">
        <f t="shared" si="8"/>
        <v>1026.8551098364965</v>
      </c>
      <c r="G151" s="28">
        <f t="shared" si="11"/>
        <v>233068.06638347218</v>
      </c>
      <c r="H151" s="21">
        <f t="shared" si="9"/>
        <v>582.6701659586804</v>
      </c>
      <c r="I151" s="28">
        <f t="shared" si="10"/>
        <v>1609.5252757951769</v>
      </c>
    </row>
    <row r="152" spans="5:9" x14ac:dyDescent="0.25">
      <c r="E152">
        <v>151</v>
      </c>
      <c r="F152" s="28">
        <f t="shared" si="8"/>
        <v>1022.3309747503005</v>
      </c>
      <c r="G152" s="28">
        <f t="shared" si="11"/>
        <v>232041.21127363568</v>
      </c>
      <c r="H152" s="21">
        <f t="shared" si="9"/>
        <v>580.10302818408911</v>
      </c>
      <c r="I152" s="28">
        <f t="shared" si="10"/>
        <v>1602.4340029343896</v>
      </c>
    </row>
    <row r="153" spans="5:9" x14ac:dyDescent="0.25">
      <c r="E153">
        <v>152</v>
      </c>
      <c r="F153" s="28">
        <f t="shared" si="8"/>
        <v>1017.8267721726755</v>
      </c>
      <c r="G153" s="28">
        <f t="shared" si="11"/>
        <v>231018.88029888537</v>
      </c>
      <c r="H153" s="21">
        <f t="shared" si="9"/>
        <v>577.54720074721342</v>
      </c>
      <c r="I153" s="28">
        <f t="shared" si="10"/>
        <v>1595.373972919889</v>
      </c>
    </row>
    <row r="154" spans="5:9" x14ac:dyDescent="0.25">
      <c r="E154">
        <v>153</v>
      </c>
      <c r="F154" s="28">
        <f t="shared" si="8"/>
        <v>1013.3424142846487</v>
      </c>
      <c r="G154" s="28">
        <f t="shared" si="11"/>
        <v>230001.0535267127</v>
      </c>
      <c r="H154" s="21">
        <f t="shared" si="9"/>
        <v>575.00263381678167</v>
      </c>
      <c r="I154" s="28">
        <f t="shared" si="10"/>
        <v>1588.3450481014304</v>
      </c>
    </row>
    <row r="155" spans="5:9" x14ac:dyDescent="0.25">
      <c r="E155">
        <v>154</v>
      </c>
      <c r="F155" s="28">
        <f t="shared" si="8"/>
        <v>1008.8778136541609</v>
      </c>
      <c r="G155" s="28">
        <f t="shared" si="11"/>
        <v>228987.71111242805</v>
      </c>
      <c r="H155" s="21">
        <f t="shared" si="9"/>
        <v>572.4692777810701</v>
      </c>
      <c r="I155" s="28">
        <f t="shared" si="10"/>
        <v>1581.3470914352311</v>
      </c>
    </row>
    <row r="156" spans="5:9" x14ac:dyDescent="0.25">
      <c r="E156">
        <v>155</v>
      </c>
      <c r="F156" s="28">
        <f t="shared" si="8"/>
        <v>1004.4328832343626</v>
      </c>
      <c r="G156" s="28">
        <f t="shared" si="11"/>
        <v>227978.83329877388</v>
      </c>
      <c r="H156" s="21">
        <f t="shared" si="9"/>
        <v>569.94708324693465</v>
      </c>
      <c r="I156" s="28">
        <f t="shared" si="10"/>
        <v>1574.3799664812973</v>
      </c>
    </row>
    <row r="157" spans="5:9" x14ac:dyDescent="0.25">
      <c r="E157">
        <v>156</v>
      </c>
      <c r="F157" s="28">
        <f t="shared" si="8"/>
        <v>1000.0075363619172</v>
      </c>
      <c r="G157" s="28">
        <f t="shared" si="11"/>
        <v>226974.40041553951</v>
      </c>
      <c r="H157" s="21">
        <f t="shared" si="9"/>
        <v>567.43600103884876</v>
      </c>
      <c r="I157" s="28">
        <f t="shared" si="10"/>
        <v>1567.443537400766</v>
      </c>
    </row>
    <row r="158" spans="5:9" x14ac:dyDescent="0.25">
      <c r="E158">
        <v>157</v>
      </c>
      <c r="F158" s="28">
        <f t="shared" si="8"/>
        <v>995.60168675531042</v>
      </c>
      <c r="G158" s="28">
        <f t="shared" si="11"/>
        <v>225974.39287917758</v>
      </c>
      <c r="H158" s="21">
        <f t="shared" si="9"/>
        <v>564.93598219794387</v>
      </c>
      <c r="I158" s="28">
        <f t="shared" si="10"/>
        <v>1560.5376689532543</v>
      </c>
    </row>
    <row r="159" spans="5:9" x14ac:dyDescent="0.25">
      <c r="E159">
        <v>158</v>
      </c>
      <c r="F159" s="28">
        <f t="shared" si="8"/>
        <v>991.21524851316826</v>
      </c>
      <c r="G159" s="28">
        <f t="shared" si="11"/>
        <v>224978.79119242227</v>
      </c>
      <c r="H159" s="21">
        <f t="shared" si="9"/>
        <v>562.44697798105562</v>
      </c>
      <c r="I159" s="28">
        <f t="shared" si="10"/>
        <v>1553.6622264942239</v>
      </c>
    </row>
    <row r="160" spans="5:9" x14ac:dyDescent="0.25">
      <c r="E160">
        <v>159</v>
      </c>
      <c r="F160" s="28">
        <f t="shared" si="8"/>
        <v>986.84813611258323</v>
      </c>
      <c r="G160" s="28">
        <f t="shared" si="11"/>
        <v>223987.57594390909</v>
      </c>
      <c r="H160" s="21">
        <f t="shared" si="9"/>
        <v>559.96893985977272</v>
      </c>
      <c r="I160" s="28">
        <f t="shared" si="10"/>
        <v>1546.817075972356</v>
      </c>
    </row>
    <row r="161" spans="5:9" x14ac:dyDescent="0.25">
      <c r="E161">
        <v>160</v>
      </c>
      <c r="F161" s="28">
        <f t="shared" si="8"/>
        <v>982.50026440744557</v>
      </c>
      <c r="G161" s="28">
        <f t="shared" si="11"/>
        <v>223000.7278077965</v>
      </c>
      <c r="H161" s="21">
        <f t="shared" si="9"/>
        <v>557.50181951949128</v>
      </c>
      <c r="I161" s="28">
        <f t="shared" si="10"/>
        <v>1540.0020839269368</v>
      </c>
    </row>
    <row r="162" spans="5:9" x14ac:dyDescent="0.25">
      <c r="E162">
        <v>161</v>
      </c>
      <c r="F162" s="28">
        <f t="shared" si="8"/>
        <v>978.17154862678387</v>
      </c>
      <c r="G162" s="28">
        <f t="shared" si="11"/>
        <v>222018.22754338905</v>
      </c>
      <c r="H162" s="21">
        <f t="shared" si="9"/>
        <v>555.04556885847262</v>
      </c>
      <c r="I162" s="28">
        <f t="shared" si="10"/>
        <v>1533.2171174852565</v>
      </c>
    </row>
    <row r="163" spans="5:9" x14ac:dyDescent="0.25">
      <c r="E163">
        <v>162</v>
      </c>
      <c r="F163" s="28">
        <f t="shared" si="8"/>
        <v>973.86190437311132</v>
      </c>
      <c r="G163" s="28">
        <f t="shared" si="11"/>
        <v>221040.05599476225</v>
      </c>
      <c r="H163" s="21">
        <f t="shared" si="9"/>
        <v>552.60013998690567</v>
      </c>
      <c r="I163" s="28">
        <f t="shared" si="10"/>
        <v>1526.462044360017</v>
      </c>
    </row>
    <row r="164" spans="5:9" x14ac:dyDescent="0.25">
      <c r="E164">
        <v>163</v>
      </c>
      <c r="F164" s="28">
        <f t="shared" si="8"/>
        <v>969.57124762078172</v>
      </c>
      <c r="G164" s="28">
        <f t="shared" si="11"/>
        <v>220066.19409038915</v>
      </c>
      <c r="H164" s="21">
        <f t="shared" si="9"/>
        <v>550.16548522597293</v>
      </c>
      <c r="I164" s="28">
        <f t="shared" si="10"/>
        <v>1519.7367328467546</v>
      </c>
    </row>
    <row r="165" spans="5:9" x14ac:dyDescent="0.25">
      <c r="E165">
        <v>164</v>
      </c>
      <c r="F165" s="28">
        <f t="shared" si="8"/>
        <v>965.29949471435043</v>
      </c>
      <c r="G165" s="28">
        <f t="shared" si="11"/>
        <v>219096.62284276838</v>
      </c>
      <c r="H165" s="21">
        <f t="shared" si="9"/>
        <v>547.74155710692094</v>
      </c>
      <c r="I165" s="28">
        <f t="shared" si="10"/>
        <v>1513.0410518212714</v>
      </c>
    </row>
    <row r="166" spans="5:9" x14ac:dyDescent="0.25">
      <c r="E166">
        <v>165</v>
      </c>
      <c r="F166" s="28">
        <f t="shared" si="8"/>
        <v>961.04656236694279</v>
      </c>
      <c r="G166" s="28">
        <f t="shared" si="11"/>
        <v>218131.32334805402</v>
      </c>
      <c r="H166" s="21">
        <f t="shared" si="9"/>
        <v>545.32830837013501</v>
      </c>
      <c r="I166" s="28">
        <f t="shared" si="10"/>
        <v>1506.3748707370778</v>
      </c>
    </row>
    <row r="167" spans="5:9" x14ac:dyDescent="0.25">
      <c r="E167">
        <v>166</v>
      </c>
      <c r="F167" s="28">
        <f t="shared" si="8"/>
        <v>956.81236765863116</v>
      </c>
      <c r="G167" s="28">
        <f t="shared" si="11"/>
        <v>217170.27678568708</v>
      </c>
      <c r="H167" s="21">
        <f t="shared" si="9"/>
        <v>542.92569196421766</v>
      </c>
      <c r="I167" s="28">
        <f t="shared" si="10"/>
        <v>1499.7380596228488</v>
      </c>
    </row>
    <row r="168" spans="5:9" x14ac:dyDescent="0.25">
      <c r="E168">
        <v>167</v>
      </c>
      <c r="F168" s="28">
        <f t="shared" si="8"/>
        <v>952.59682803481837</v>
      </c>
      <c r="G168" s="28">
        <f t="shared" si="11"/>
        <v>216213.46441802845</v>
      </c>
      <c r="H168" s="21">
        <f t="shared" si="9"/>
        <v>540.53366104507109</v>
      </c>
      <c r="I168" s="28">
        <f t="shared" si="10"/>
        <v>1493.1304890798895</v>
      </c>
    </row>
    <row r="169" spans="5:9" x14ac:dyDescent="0.25">
      <c r="E169">
        <v>168</v>
      </c>
      <c r="F169" s="28">
        <f t="shared" si="8"/>
        <v>948.39986130462603</v>
      </c>
      <c r="G169" s="28">
        <f t="shared" si="11"/>
        <v>215260.86758999364</v>
      </c>
      <c r="H169" s="21">
        <f t="shared" si="9"/>
        <v>538.15216897498408</v>
      </c>
      <c r="I169" s="28">
        <f t="shared" si="10"/>
        <v>1486.5520302796101</v>
      </c>
    </row>
    <row r="170" spans="5:9" x14ac:dyDescent="0.25">
      <c r="E170">
        <v>169</v>
      </c>
      <c r="F170" s="28">
        <f t="shared" si="8"/>
        <v>944.22138563929605</v>
      </c>
      <c r="G170" s="28">
        <f t="shared" si="11"/>
        <v>214312.46772868902</v>
      </c>
      <c r="H170" s="21">
        <f t="shared" si="9"/>
        <v>535.78116932172259</v>
      </c>
      <c r="I170" s="28">
        <f t="shared" si="10"/>
        <v>1480.0025549610186</v>
      </c>
    </row>
    <row r="171" spans="5:9" x14ac:dyDescent="0.25">
      <c r="E171">
        <v>170</v>
      </c>
      <c r="F171" s="28">
        <f t="shared" si="8"/>
        <v>940.06131957059108</v>
      </c>
      <c r="G171" s="28">
        <f t="shared" si="11"/>
        <v>213368.24634304972</v>
      </c>
      <c r="H171" s="21">
        <f t="shared" si="9"/>
        <v>533.42061585762428</v>
      </c>
      <c r="I171" s="28">
        <f t="shared" si="10"/>
        <v>1473.4819354282154</v>
      </c>
    </row>
    <row r="172" spans="5:9" x14ac:dyDescent="0.25">
      <c r="E172">
        <v>171</v>
      </c>
      <c r="F172" s="28">
        <f t="shared" si="8"/>
        <v>935.91958198920804</v>
      </c>
      <c r="G172" s="28">
        <f t="shared" si="11"/>
        <v>212428.18502347913</v>
      </c>
      <c r="H172" s="21">
        <f t="shared" si="9"/>
        <v>531.07046255869784</v>
      </c>
      <c r="I172" s="28">
        <f t="shared" si="10"/>
        <v>1466.9900445479059</v>
      </c>
    </row>
    <row r="173" spans="5:9" x14ac:dyDescent="0.25">
      <c r="E173">
        <v>172</v>
      </c>
      <c r="F173" s="28">
        <f t="shared" si="8"/>
        <v>931.79609214319692</v>
      </c>
      <c r="G173" s="28">
        <f t="shared" si="11"/>
        <v>211492.26544148993</v>
      </c>
      <c r="H173" s="21">
        <f t="shared" si="9"/>
        <v>528.73066360372479</v>
      </c>
      <c r="I173" s="28">
        <f t="shared" si="10"/>
        <v>1460.5267557469217</v>
      </c>
    </row>
    <row r="174" spans="5:9" x14ac:dyDescent="0.25">
      <c r="E174">
        <v>173</v>
      </c>
      <c r="F174" s="28">
        <f t="shared" si="8"/>
        <v>927.69076963638634</v>
      </c>
      <c r="G174" s="28">
        <f t="shared" si="11"/>
        <v>210560.46934934673</v>
      </c>
      <c r="H174" s="21">
        <f t="shared" si="9"/>
        <v>526.40117337336676</v>
      </c>
      <c r="I174" s="28">
        <f t="shared" si="10"/>
        <v>1454.0919430097531</v>
      </c>
    </row>
    <row r="175" spans="5:9" x14ac:dyDescent="0.25">
      <c r="E175">
        <v>174</v>
      </c>
      <c r="F175" s="28">
        <f t="shared" si="8"/>
        <v>923.6035344268148</v>
      </c>
      <c r="G175" s="28">
        <f t="shared" si="11"/>
        <v>209632.77857971034</v>
      </c>
      <c r="H175" s="21">
        <f t="shared" si="9"/>
        <v>524.08194644927585</v>
      </c>
      <c r="I175" s="28">
        <f t="shared" si="10"/>
        <v>1447.6854808760907</v>
      </c>
    </row>
    <row r="176" spans="5:9" x14ac:dyDescent="0.25">
      <c r="E176">
        <v>175</v>
      </c>
      <c r="F176" s="28">
        <f t="shared" si="8"/>
        <v>919.53430682517183</v>
      </c>
      <c r="G176" s="28">
        <f t="shared" si="11"/>
        <v>208709.17504528354</v>
      </c>
      <c r="H176" s="21">
        <f t="shared" si="9"/>
        <v>521.7729376132088</v>
      </c>
      <c r="I176" s="28">
        <f t="shared" si="10"/>
        <v>1441.3072444383806</v>
      </c>
    </row>
    <row r="177" spans="5:9" x14ac:dyDescent="0.25">
      <c r="E177">
        <v>176</v>
      </c>
      <c r="F177" s="28">
        <f t="shared" si="8"/>
        <v>915.48300749324267</v>
      </c>
      <c r="G177" s="28">
        <f t="shared" si="11"/>
        <v>207789.64073845837</v>
      </c>
      <c r="H177" s="21">
        <f t="shared" si="9"/>
        <v>519.47410184614591</v>
      </c>
      <c r="I177" s="28">
        <f t="shared" si="10"/>
        <v>1434.9571093393886</v>
      </c>
    </row>
    <row r="178" spans="5:9" x14ac:dyDescent="0.25">
      <c r="E178">
        <v>177</v>
      </c>
      <c r="F178" s="28">
        <f t="shared" si="8"/>
        <v>911.44955744236256</v>
      </c>
      <c r="G178" s="28">
        <f t="shared" si="11"/>
        <v>206874.15773096512</v>
      </c>
      <c r="H178" s="21">
        <f t="shared" si="9"/>
        <v>517.18539432741284</v>
      </c>
      <c r="I178" s="28">
        <f t="shared" si="10"/>
        <v>1428.6349517697754</v>
      </c>
    </row>
    <row r="179" spans="5:9" x14ac:dyDescent="0.25">
      <c r="E179">
        <v>178</v>
      </c>
      <c r="F179" s="28">
        <f t="shared" si="8"/>
        <v>907.43387803187659</v>
      </c>
      <c r="G179" s="28">
        <f t="shared" si="11"/>
        <v>205962.70817352275</v>
      </c>
      <c r="H179" s="21">
        <f t="shared" si="9"/>
        <v>514.90677043380686</v>
      </c>
      <c r="I179" s="28">
        <f t="shared" si="10"/>
        <v>1422.3406484656834</v>
      </c>
    </row>
    <row r="180" spans="5:9" x14ac:dyDescent="0.25">
      <c r="E180">
        <v>179</v>
      </c>
      <c r="F180" s="28">
        <f t="shared" si="8"/>
        <v>903.43589096760536</v>
      </c>
      <c r="G180" s="28">
        <f t="shared" si="11"/>
        <v>205055.27429549088</v>
      </c>
      <c r="H180" s="21">
        <f t="shared" si="9"/>
        <v>512.6381857387272</v>
      </c>
      <c r="I180" s="28">
        <f t="shared" si="10"/>
        <v>1416.0740767063326</v>
      </c>
    </row>
    <row r="181" spans="5:9" x14ac:dyDescent="0.25">
      <c r="E181">
        <v>180</v>
      </c>
      <c r="F181" s="28">
        <f t="shared" si="8"/>
        <v>899.45551830032014</v>
      </c>
      <c r="G181" s="28">
        <f t="shared" si="11"/>
        <v>204151.83840452327</v>
      </c>
      <c r="H181" s="21">
        <f t="shared" si="9"/>
        <v>510.37959601130814</v>
      </c>
      <c r="I181" s="28">
        <f t="shared" si="10"/>
        <v>1409.8351143116283</v>
      </c>
    </row>
    <row r="182" spans="5:9" x14ac:dyDescent="0.25">
      <c r="E182">
        <v>181</v>
      </c>
      <c r="F182" s="28">
        <f t="shared" si="8"/>
        <v>895.49268242422158</v>
      </c>
      <c r="G182" s="28">
        <f t="shared" si="11"/>
        <v>203252.38288622294</v>
      </c>
      <c r="H182" s="21">
        <f t="shared" si="9"/>
        <v>508.13095721555737</v>
      </c>
      <c r="I182" s="28">
        <f t="shared" si="10"/>
        <v>1403.623639639779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Realistic (IRR=WACC)</vt:lpstr>
      <vt:lpstr>Optimistic</vt:lpstr>
      <vt:lpstr>Bankruptcy</vt:lpstr>
      <vt:lpstr>Mortgage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2013-12-19T19:53:54Z</dcterms:created>
  <dcterms:modified xsi:type="dcterms:W3CDTF">2019-07-26T22:29:30Z</dcterms:modified>
</cp:coreProperties>
</file>