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60" windowHeight="7680" firstSheet="1" activeTab="1"/>
  </bookViews>
  <sheets>
    <sheet name="Financial Statements" sheetId="1" r:id="rId1"/>
    <sheet name="Finacial statement-Neutral" sheetId="8" r:id="rId2"/>
    <sheet name="Amort" sheetId="2" r:id="rId3"/>
    <sheet name="Good1" sheetId="3" r:id="rId4"/>
    <sheet name="Bad 2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S157" i="8" l="1"/>
  <c r="U153" i="8"/>
  <c r="T154" i="8"/>
  <c r="O142" i="8"/>
  <c r="C177" i="6"/>
  <c r="F175" i="3"/>
  <c r="Q162" i="8"/>
  <c r="Q157" i="8"/>
  <c r="Q154" i="8"/>
  <c r="R150" i="8"/>
  <c r="R149" i="8"/>
  <c r="J147" i="8"/>
  <c r="Q146" i="8"/>
  <c r="R146" i="8" s="1"/>
  <c r="O139" i="8"/>
  <c r="M126" i="8"/>
  <c r="Q153" i="8" s="1"/>
  <c r="L126" i="8"/>
  <c r="K126" i="8"/>
  <c r="J126" i="8"/>
  <c r="I126" i="8"/>
  <c r="H126" i="8"/>
  <c r="G126" i="8"/>
  <c r="F126" i="8"/>
  <c r="E126" i="8"/>
  <c r="D126" i="8"/>
  <c r="M118" i="8"/>
  <c r="L118" i="8"/>
  <c r="K118" i="8"/>
  <c r="J118" i="8"/>
  <c r="I118" i="8"/>
  <c r="H118" i="8"/>
  <c r="G118" i="8"/>
  <c r="F118" i="8"/>
  <c r="E118" i="8"/>
  <c r="D118" i="8"/>
  <c r="M109" i="8"/>
  <c r="L109" i="8"/>
  <c r="K109" i="8"/>
  <c r="J109" i="8"/>
  <c r="I109" i="8"/>
  <c r="H109" i="8"/>
  <c r="G109" i="8"/>
  <c r="F109" i="8"/>
  <c r="E109" i="8"/>
  <c r="D109" i="8"/>
  <c r="C147" i="8" s="1"/>
  <c r="C163" i="8" s="1"/>
  <c r="M108" i="8"/>
  <c r="L108" i="8"/>
  <c r="K108" i="8"/>
  <c r="J108" i="8"/>
  <c r="I108" i="8"/>
  <c r="H108" i="8"/>
  <c r="G108" i="8"/>
  <c r="F108" i="8"/>
  <c r="E108" i="8"/>
  <c r="D108" i="8"/>
  <c r="M94" i="8"/>
  <c r="L94" i="8"/>
  <c r="K94" i="8"/>
  <c r="J94" i="8"/>
  <c r="I94" i="8"/>
  <c r="H94" i="8"/>
  <c r="G94" i="8"/>
  <c r="F94" i="8"/>
  <c r="E94" i="8"/>
  <c r="D94" i="8"/>
  <c r="M93" i="8"/>
  <c r="L93" i="8"/>
  <c r="K93" i="8"/>
  <c r="J93" i="8"/>
  <c r="I93" i="8"/>
  <c r="H93" i="8"/>
  <c r="G93" i="8"/>
  <c r="F93" i="8"/>
  <c r="E93" i="8"/>
  <c r="D93" i="8"/>
  <c r="M92" i="8"/>
  <c r="L92" i="8"/>
  <c r="K92" i="8"/>
  <c r="J92" i="8"/>
  <c r="J112" i="8" s="1"/>
  <c r="K112" i="8" s="1"/>
  <c r="L112" i="8" s="1"/>
  <c r="M112" i="8" s="1"/>
  <c r="M91" i="8"/>
  <c r="L91" i="8"/>
  <c r="K91" i="8"/>
  <c r="J91" i="8"/>
  <c r="I91" i="8"/>
  <c r="H91" i="8"/>
  <c r="G91" i="8"/>
  <c r="F91" i="8"/>
  <c r="E91" i="8"/>
  <c r="D91" i="8"/>
  <c r="D110" i="8" s="1"/>
  <c r="E110" i="8" s="1"/>
  <c r="F110" i="8" s="1"/>
  <c r="G110" i="8" s="1"/>
  <c r="H110" i="8" s="1"/>
  <c r="I110" i="8" s="1"/>
  <c r="J110" i="8" s="1"/>
  <c r="K110" i="8" s="1"/>
  <c r="L110" i="8" s="1"/>
  <c r="M110" i="8" s="1"/>
  <c r="M90" i="8"/>
  <c r="M140" i="8" s="1"/>
  <c r="M143" i="8" s="1"/>
  <c r="L90" i="8"/>
  <c r="L140" i="8" s="1"/>
  <c r="L143" i="8" s="1"/>
  <c r="K90" i="8"/>
  <c r="K140" i="8" s="1"/>
  <c r="K143" i="8" s="1"/>
  <c r="J90" i="8"/>
  <c r="J140" i="8" s="1"/>
  <c r="J143" i="8" s="1"/>
  <c r="I90" i="8"/>
  <c r="I140" i="8" s="1"/>
  <c r="I143" i="8" s="1"/>
  <c r="H90" i="8"/>
  <c r="H140" i="8" s="1"/>
  <c r="H143" i="8" s="1"/>
  <c r="G90" i="8"/>
  <c r="G140" i="8" s="1"/>
  <c r="G143" i="8" s="1"/>
  <c r="F90" i="8"/>
  <c r="F140" i="8" s="1"/>
  <c r="F143" i="8" s="1"/>
  <c r="E90" i="8"/>
  <c r="E140" i="8" s="1"/>
  <c r="E143" i="8" s="1"/>
  <c r="D90" i="8"/>
  <c r="D140" i="8" s="1"/>
  <c r="D143" i="8" s="1"/>
  <c r="N82" i="8"/>
  <c r="M81" i="8"/>
  <c r="M127" i="8" s="1"/>
  <c r="L81" i="8"/>
  <c r="L127" i="8" s="1"/>
  <c r="K81" i="8"/>
  <c r="K127" i="8" s="1"/>
  <c r="J81" i="8"/>
  <c r="J127" i="8" s="1"/>
  <c r="I81" i="8"/>
  <c r="I127" i="8" s="1"/>
  <c r="H81" i="8"/>
  <c r="H127" i="8" s="1"/>
  <c r="G81" i="8"/>
  <c r="G127" i="8" s="1"/>
  <c r="F81" i="8"/>
  <c r="F127" i="8" s="1"/>
  <c r="E81" i="8"/>
  <c r="E127" i="8" s="1"/>
  <c r="D81" i="8"/>
  <c r="D127" i="8" s="1"/>
  <c r="F70" i="8"/>
  <c r="E70" i="8"/>
  <c r="D70" i="8"/>
  <c r="F69" i="8"/>
  <c r="E69" i="8"/>
  <c r="D69" i="8"/>
  <c r="M68" i="8"/>
  <c r="L68" i="8"/>
  <c r="K68" i="8"/>
  <c r="J68" i="8"/>
  <c r="I68" i="8"/>
  <c r="H68" i="8"/>
  <c r="G68" i="8"/>
  <c r="D68" i="8"/>
  <c r="M67" i="8"/>
  <c r="L67" i="8"/>
  <c r="K67" i="8"/>
  <c r="J67" i="8"/>
  <c r="I67" i="8"/>
  <c r="H67" i="8"/>
  <c r="G67" i="8"/>
  <c r="D67" i="8"/>
  <c r="M66" i="8"/>
  <c r="L66" i="8"/>
  <c r="K66" i="8"/>
  <c r="J66" i="8"/>
  <c r="I66" i="8"/>
  <c r="H66" i="8"/>
  <c r="G66" i="8"/>
  <c r="D66" i="8"/>
  <c r="D61" i="8"/>
  <c r="M45" i="8"/>
  <c r="M117" i="8" s="1"/>
  <c r="L45" i="8"/>
  <c r="L117" i="8" s="1"/>
  <c r="K45" i="8"/>
  <c r="K117" i="8" s="1"/>
  <c r="J45" i="8"/>
  <c r="J117" i="8" s="1"/>
  <c r="I45" i="8"/>
  <c r="I117" i="8" s="1"/>
  <c r="H45" i="8"/>
  <c r="H117" i="8" s="1"/>
  <c r="G45" i="8"/>
  <c r="G117" i="8" s="1"/>
  <c r="F45" i="8"/>
  <c r="F117" i="8" s="1"/>
  <c r="E45" i="8"/>
  <c r="E117" i="8" s="1"/>
  <c r="D45" i="8"/>
  <c r="D117" i="8" s="1"/>
  <c r="M43" i="8"/>
  <c r="L43" i="8"/>
  <c r="K43" i="8"/>
  <c r="J43" i="8"/>
  <c r="I43" i="8"/>
  <c r="H43" i="8"/>
  <c r="G43" i="8"/>
  <c r="F43" i="8"/>
  <c r="E43" i="8"/>
  <c r="D43" i="8"/>
  <c r="M42" i="8"/>
  <c r="M116" i="8" s="1"/>
  <c r="L42" i="8"/>
  <c r="L116" i="8" s="1"/>
  <c r="K42" i="8"/>
  <c r="K116" i="8" s="1"/>
  <c r="J42" i="8"/>
  <c r="J116" i="8" s="1"/>
  <c r="I42" i="8"/>
  <c r="I116" i="8" s="1"/>
  <c r="H42" i="8"/>
  <c r="H116" i="8" s="1"/>
  <c r="G42" i="8"/>
  <c r="G116" i="8" s="1"/>
  <c r="F42" i="8"/>
  <c r="F116" i="8" s="1"/>
  <c r="E42" i="8"/>
  <c r="E116" i="8" s="1"/>
  <c r="D42" i="8"/>
  <c r="D116" i="8" s="1"/>
  <c r="M40" i="8"/>
  <c r="L40" i="8"/>
  <c r="K40" i="8"/>
  <c r="J40" i="8"/>
  <c r="I40" i="8"/>
  <c r="H40" i="8"/>
  <c r="G40" i="8"/>
  <c r="F40" i="8"/>
  <c r="E40" i="8"/>
  <c r="D40" i="8"/>
  <c r="M39" i="8"/>
  <c r="M115" i="8" s="1"/>
  <c r="L39" i="8"/>
  <c r="L115" i="8" s="1"/>
  <c r="K39" i="8"/>
  <c r="K115" i="8" s="1"/>
  <c r="J39" i="8"/>
  <c r="J115" i="8" s="1"/>
  <c r="I39" i="8"/>
  <c r="I115" i="8" s="1"/>
  <c r="H39" i="8"/>
  <c r="H115" i="8" s="1"/>
  <c r="G39" i="8"/>
  <c r="G115" i="8" s="1"/>
  <c r="F39" i="8"/>
  <c r="F115" i="8" s="1"/>
  <c r="E39" i="8"/>
  <c r="E115" i="8" s="1"/>
  <c r="D39" i="8"/>
  <c r="D115" i="8" s="1"/>
  <c r="E34" i="8"/>
  <c r="E73" i="8" s="1"/>
  <c r="D34" i="8"/>
  <c r="D73" i="8" s="1"/>
  <c r="E33" i="8"/>
  <c r="E72" i="8" s="1"/>
  <c r="D33" i="8"/>
  <c r="D72" i="8" s="1"/>
  <c r="M30" i="8"/>
  <c r="L30" i="8"/>
  <c r="K30" i="8"/>
  <c r="J30" i="8"/>
  <c r="I30" i="8"/>
  <c r="H30" i="8"/>
  <c r="G30" i="8"/>
  <c r="F30" i="8"/>
  <c r="E30" i="8"/>
  <c r="D30" i="8"/>
  <c r="M29" i="8"/>
  <c r="M82" i="8" s="1"/>
  <c r="L29" i="8"/>
  <c r="L82" i="8" s="1"/>
  <c r="K29" i="8"/>
  <c r="K82" i="8" s="1"/>
  <c r="J29" i="8"/>
  <c r="J82" i="8" s="1"/>
  <c r="I29" i="8"/>
  <c r="I82" i="8" s="1"/>
  <c r="H29" i="8"/>
  <c r="H82" i="8" s="1"/>
  <c r="G29" i="8"/>
  <c r="G82" i="8" s="1"/>
  <c r="F29" i="8"/>
  <c r="F82" i="8" s="1"/>
  <c r="E29" i="8"/>
  <c r="E82" i="8" s="1"/>
  <c r="D29" i="8"/>
  <c r="D82" i="8" s="1"/>
  <c r="F24" i="8"/>
  <c r="F68" i="8" s="1"/>
  <c r="E24" i="8"/>
  <c r="E68" i="8" s="1"/>
  <c r="F23" i="8"/>
  <c r="F67" i="8" s="1"/>
  <c r="E23" i="8"/>
  <c r="E67" i="8" s="1"/>
  <c r="F22" i="8"/>
  <c r="F66" i="8" s="1"/>
  <c r="E22" i="8"/>
  <c r="E66" i="8" s="1"/>
  <c r="N16" i="8"/>
  <c r="N15" i="8"/>
  <c r="E15" i="8"/>
  <c r="F15" i="8" s="1"/>
  <c r="G15" i="8" s="1"/>
  <c r="H15" i="8" s="1"/>
  <c r="N14" i="8"/>
  <c r="M12" i="8"/>
  <c r="M27" i="8" s="1"/>
  <c r="M71" i="8" s="1"/>
  <c r="M77" i="8" s="1"/>
  <c r="L12" i="8"/>
  <c r="L16" i="8" s="1"/>
  <c r="K12" i="8"/>
  <c r="K27" i="8" s="1"/>
  <c r="K71" i="8" s="1"/>
  <c r="K77" i="8" s="1"/>
  <c r="J12" i="8"/>
  <c r="J16" i="8" s="1"/>
  <c r="I12" i="8"/>
  <c r="I27" i="8" s="1"/>
  <c r="I71" i="8" s="1"/>
  <c r="I77" i="8" s="1"/>
  <c r="H12" i="8"/>
  <c r="H16" i="8" s="1"/>
  <c r="G12" i="8"/>
  <c r="G27" i="8" s="1"/>
  <c r="G71" i="8" s="1"/>
  <c r="G77" i="8" s="1"/>
  <c r="F12" i="8"/>
  <c r="F16" i="8" s="1"/>
  <c r="E12" i="8"/>
  <c r="E27" i="8" s="1"/>
  <c r="E71" i="8" s="1"/>
  <c r="E77" i="8" s="1"/>
  <c r="D12" i="8"/>
  <c r="D16" i="8" s="1"/>
  <c r="D64" i="8" s="1"/>
  <c r="G11" i="8"/>
  <c r="G70" i="8" s="1"/>
  <c r="N10" i="8"/>
  <c r="G10" i="8"/>
  <c r="G69" i="8" s="1"/>
  <c r="F9" i="8"/>
  <c r="F64" i="8" s="1"/>
  <c r="E9" i="8"/>
  <c r="I8" i="8"/>
  <c r="G8" i="8"/>
  <c r="G65" i="8" s="1"/>
  <c r="F8" i="8"/>
  <c r="E8" i="8"/>
  <c r="E65" i="8" s="1"/>
  <c r="D8" i="8"/>
  <c r="D65" i="8" s="1"/>
  <c r="F7" i="8"/>
  <c r="E7" i="8"/>
  <c r="E6" i="8"/>
  <c r="E61" i="8" s="1"/>
  <c r="F5" i="8"/>
  <c r="F62" i="8" s="1"/>
  <c r="E5" i="8"/>
  <c r="E62" i="8" s="1"/>
  <c r="G124" i="8" l="1"/>
  <c r="G105" i="8"/>
  <c r="K124" i="8"/>
  <c r="K105" i="8"/>
  <c r="I15" i="8"/>
  <c r="J15" i="8" s="1"/>
  <c r="H65" i="8"/>
  <c r="E124" i="8"/>
  <c r="E105" i="8"/>
  <c r="I124" i="8"/>
  <c r="I105" i="8"/>
  <c r="M124" i="8"/>
  <c r="M105" i="8"/>
  <c r="F65" i="8"/>
  <c r="I65" i="8"/>
  <c r="G5" i="8"/>
  <c r="F6" i="8"/>
  <c r="G7" i="8"/>
  <c r="G9" i="8"/>
  <c r="H10" i="8"/>
  <c r="H11" i="8"/>
  <c r="D14" i="8"/>
  <c r="D63" i="8" s="1"/>
  <c r="F14" i="8"/>
  <c r="F63" i="8" s="1"/>
  <c r="H14" i="8"/>
  <c r="J14" i="8"/>
  <c r="L14" i="8"/>
  <c r="E16" i="8"/>
  <c r="E64" i="8" s="1"/>
  <c r="G16" i="8"/>
  <c r="I16" i="8"/>
  <c r="K16" i="8"/>
  <c r="M16" i="8"/>
  <c r="D27" i="8"/>
  <c r="D71" i="8" s="1"/>
  <c r="D77" i="8" s="1"/>
  <c r="F27" i="8"/>
  <c r="F71" i="8" s="1"/>
  <c r="F77" i="8" s="1"/>
  <c r="H27" i="8"/>
  <c r="H71" i="8" s="1"/>
  <c r="H77" i="8" s="1"/>
  <c r="J27" i="8"/>
  <c r="J71" i="8" s="1"/>
  <c r="J77" i="8" s="1"/>
  <c r="L27" i="8"/>
  <c r="L71" i="8" s="1"/>
  <c r="L77" i="8" s="1"/>
  <c r="F33" i="8"/>
  <c r="F34" i="8"/>
  <c r="D55" i="8"/>
  <c r="D119" i="8" s="1"/>
  <c r="F55" i="8"/>
  <c r="H55" i="8"/>
  <c r="J55" i="8"/>
  <c r="L55" i="8"/>
  <c r="D62" i="8"/>
  <c r="D85" i="8" s="1"/>
  <c r="E14" i="8"/>
  <c r="E63" i="8" s="1"/>
  <c r="G14" i="8"/>
  <c r="I14" i="8"/>
  <c r="K14" i="8"/>
  <c r="M14" i="8"/>
  <c r="E55" i="8"/>
  <c r="G55" i="8"/>
  <c r="I55" i="8"/>
  <c r="K55" i="8"/>
  <c r="M55" i="8"/>
  <c r="D114" i="8"/>
  <c r="E114" i="8" s="1"/>
  <c r="F114" i="8" s="1"/>
  <c r="G114" i="8" s="1"/>
  <c r="H114" i="8" s="1"/>
  <c r="I114" i="8" s="1"/>
  <c r="J114" i="8" s="1"/>
  <c r="K114" i="8" s="1"/>
  <c r="L114" i="8" s="1"/>
  <c r="M114" i="8" s="1"/>
  <c r="P128" i="8"/>
  <c r="R154" i="8"/>
  <c r="M147" i="8"/>
  <c r="N147" i="8" s="1"/>
  <c r="M148" i="8" s="1"/>
  <c r="R153" i="8"/>
  <c r="Q145" i="8" s="1"/>
  <c r="R145" i="8" s="1"/>
  <c r="E75" i="8" l="1"/>
  <c r="E85" i="8"/>
  <c r="D75" i="8"/>
  <c r="E119" i="8"/>
  <c r="F119" i="8" s="1"/>
  <c r="G33" i="8"/>
  <c r="F72" i="8"/>
  <c r="J124" i="8"/>
  <c r="J105" i="8"/>
  <c r="J153" i="8" s="1"/>
  <c r="F124" i="8"/>
  <c r="F105" i="8"/>
  <c r="F153" i="8" s="1"/>
  <c r="I11" i="8"/>
  <c r="H70" i="8"/>
  <c r="G64" i="8"/>
  <c r="H9" i="8"/>
  <c r="G6" i="8"/>
  <c r="F61" i="8"/>
  <c r="M159" i="8"/>
  <c r="K15" i="8"/>
  <c r="J65" i="8"/>
  <c r="K154" i="8"/>
  <c r="G154" i="8"/>
  <c r="E121" i="8"/>
  <c r="G34" i="8"/>
  <c r="F73" i="8"/>
  <c r="L124" i="8"/>
  <c r="L105" i="8"/>
  <c r="L153" i="8" s="1"/>
  <c r="H124" i="8"/>
  <c r="H105" i="8"/>
  <c r="H153" i="8" s="1"/>
  <c r="D124" i="8"/>
  <c r="D105" i="8"/>
  <c r="D153" i="8" s="1"/>
  <c r="I10" i="8"/>
  <c r="H69" i="8"/>
  <c r="G63" i="8"/>
  <c r="H7" i="8"/>
  <c r="G62" i="8"/>
  <c r="H5" i="8"/>
  <c r="M154" i="8"/>
  <c r="M160" i="8"/>
  <c r="I154" i="8"/>
  <c r="E154" i="8"/>
  <c r="K153" i="8"/>
  <c r="G153" i="8"/>
  <c r="H62" i="8" l="1"/>
  <c r="I5" i="8"/>
  <c r="H63" i="8"/>
  <c r="I7" i="8"/>
  <c r="E153" i="8"/>
  <c r="M153" i="8"/>
  <c r="F85" i="8"/>
  <c r="F75" i="8"/>
  <c r="H64" i="8"/>
  <c r="I9" i="8"/>
  <c r="G119" i="8"/>
  <c r="F121" i="8"/>
  <c r="D121" i="8"/>
  <c r="E79" i="8"/>
  <c r="I69" i="8"/>
  <c r="J10" i="8"/>
  <c r="D154" i="8"/>
  <c r="H154" i="8"/>
  <c r="L154" i="8"/>
  <c r="G73" i="8"/>
  <c r="H34" i="8"/>
  <c r="K65" i="8"/>
  <c r="L15" i="8"/>
  <c r="I153" i="8"/>
  <c r="G61" i="8"/>
  <c r="H6" i="8"/>
  <c r="I70" i="8"/>
  <c r="J11" i="8"/>
  <c r="F154" i="8"/>
  <c r="J154" i="8"/>
  <c r="G72" i="8"/>
  <c r="H33" i="8"/>
  <c r="N84" i="8"/>
  <c r="E84" i="8" s="1"/>
  <c r="N83" i="8"/>
  <c r="E83" i="8" s="1"/>
  <c r="D79" i="8"/>
  <c r="D88" i="8" s="1"/>
  <c r="I33" i="8" l="1"/>
  <c r="H72" i="8"/>
  <c r="K11" i="8"/>
  <c r="J70" i="8"/>
  <c r="I6" i="8"/>
  <c r="H61" i="8"/>
  <c r="E88" i="8"/>
  <c r="H119" i="8"/>
  <c r="G121" i="8"/>
  <c r="I63" i="8"/>
  <c r="J7" i="8"/>
  <c r="I62" i="8"/>
  <c r="J5" i="8"/>
  <c r="D139" i="8"/>
  <c r="D141" i="8" s="1"/>
  <c r="D96" i="8"/>
  <c r="G85" i="8"/>
  <c r="G75" i="8"/>
  <c r="M15" i="8"/>
  <c r="M65" i="8" s="1"/>
  <c r="L65" i="8"/>
  <c r="I34" i="8"/>
  <c r="H73" i="8"/>
  <c r="K10" i="8"/>
  <c r="J69" i="8"/>
  <c r="I64" i="8"/>
  <c r="J9" i="8"/>
  <c r="F84" i="8"/>
  <c r="F83" i="8"/>
  <c r="F79" i="8"/>
  <c r="F88" i="8" l="1"/>
  <c r="G83" i="8"/>
  <c r="G79" i="8"/>
  <c r="G88" i="8" s="1"/>
  <c r="G84" i="8"/>
  <c r="D98" i="8"/>
  <c r="D131" i="8" s="1"/>
  <c r="D97" i="8"/>
  <c r="D125" i="8" s="1"/>
  <c r="J62" i="8"/>
  <c r="K5" i="8"/>
  <c r="J63" i="8"/>
  <c r="K7" i="8"/>
  <c r="H85" i="8"/>
  <c r="H75" i="8"/>
  <c r="J64" i="8"/>
  <c r="K9" i="8"/>
  <c r="K69" i="8"/>
  <c r="L10" i="8"/>
  <c r="I73" i="8"/>
  <c r="J34" i="8"/>
  <c r="D142" i="8"/>
  <c r="D155" i="8" s="1"/>
  <c r="D144" i="8"/>
  <c r="D163" i="8" s="1"/>
  <c r="I85" i="8"/>
  <c r="I119" i="8"/>
  <c r="H121" i="8"/>
  <c r="E139" i="8"/>
  <c r="E141" i="8" s="1"/>
  <c r="E96" i="8"/>
  <c r="I61" i="8"/>
  <c r="J6" i="8"/>
  <c r="K70" i="8"/>
  <c r="L11" i="8"/>
  <c r="I72" i="8"/>
  <c r="J33" i="8"/>
  <c r="K63" i="8" l="1"/>
  <c r="L7" i="8"/>
  <c r="K62" i="8"/>
  <c r="L5" i="8"/>
  <c r="D134" i="8"/>
  <c r="D136" i="8" s="1"/>
  <c r="K33" i="8"/>
  <c r="J72" i="8"/>
  <c r="M11" i="8"/>
  <c r="M70" i="8" s="1"/>
  <c r="L70" i="8"/>
  <c r="K6" i="8"/>
  <c r="J61" i="8"/>
  <c r="E98" i="8"/>
  <c r="E97" i="8"/>
  <c r="E125" i="8" s="1"/>
  <c r="I75" i="8"/>
  <c r="E142" i="8"/>
  <c r="E155" i="8" s="1"/>
  <c r="J119" i="8"/>
  <c r="I121" i="8"/>
  <c r="K34" i="8"/>
  <c r="J73" i="8"/>
  <c r="M10" i="8"/>
  <c r="M69" i="8" s="1"/>
  <c r="L69" i="8"/>
  <c r="K64" i="8"/>
  <c r="L9" i="8"/>
  <c r="H84" i="8"/>
  <c r="I84" i="8" s="1"/>
  <c r="J84" i="8" s="1"/>
  <c r="K84" i="8" s="1"/>
  <c r="L84" i="8" s="1"/>
  <c r="M84" i="8" s="1"/>
  <c r="H83" i="8"/>
  <c r="H79" i="8"/>
  <c r="H88" i="8" s="1"/>
  <c r="J85" i="8"/>
  <c r="E131" i="8"/>
  <c r="G139" i="8"/>
  <c r="G141" i="8" s="1"/>
  <c r="G96" i="8"/>
  <c r="F139" i="8"/>
  <c r="F141" i="8" s="1"/>
  <c r="F96" i="8"/>
  <c r="F98" i="8" l="1"/>
  <c r="F97" i="8"/>
  <c r="F125" i="8" s="1"/>
  <c r="G97" i="8"/>
  <c r="G125" i="8" s="1"/>
  <c r="F131" i="8"/>
  <c r="H139" i="8"/>
  <c r="H141" i="8" s="1"/>
  <c r="H96" i="8"/>
  <c r="K73" i="8"/>
  <c r="L34" i="8"/>
  <c r="I79" i="8"/>
  <c r="I88" i="8" s="1"/>
  <c r="I83" i="8"/>
  <c r="K61" i="8"/>
  <c r="L6" i="8"/>
  <c r="K72" i="8"/>
  <c r="L33" i="8"/>
  <c r="L62" i="8"/>
  <c r="M5" i="8"/>
  <c r="M62" i="8" s="1"/>
  <c r="L63" i="8"/>
  <c r="M7" i="8"/>
  <c r="M63" i="8" s="1"/>
  <c r="F142" i="8"/>
  <c r="F155" i="8" s="1"/>
  <c r="G144" i="8"/>
  <c r="G142" i="8"/>
  <c r="L64" i="8"/>
  <c r="M9" i="8"/>
  <c r="M64" i="8" s="1"/>
  <c r="K119" i="8"/>
  <c r="J121" i="8"/>
  <c r="E144" i="8"/>
  <c r="E163" i="8" s="1"/>
  <c r="E134" i="8"/>
  <c r="E136" i="8" s="1"/>
  <c r="J75" i="8"/>
  <c r="K85" i="8"/>
  <c r="G155" i="8" l="1"/>
  <c r="F144" i="8"/>
  <c r="F163" i="8" s="1"/>
  <c r="M85" i="8"/>
  <c r="M33" i="8"/>
  <c r="M72" i="8" s="1"/>
  <c r="L72" i="8"/>
  <c r="M6" i="8"/>
  <c r="M61" i="8" s="1"/>
  <c r="L61" i="8"/>
  <c r="H142" i="8"/>
  <c r="H155" i="8" s="1"/>
  <c r="F134" i="8"/>
  <c r="F136" i="8" s="1"/>
  <c r="J83" i="8"/>
  <c r="J79" i="8"/>
  <c r="L119" i="8"/>
  <c r="K121" i="8"/>
  <c r="G163" i="8"/>
  <c r="L85" i="8"/>
  <c r="K75" i="8"/>
  <c r="I139" i="8"/>
  <c r="I141" i="8" s="1"/>
  <c r="I96" i="8"/>
  <c r="M34" i="8"/>
  <c r="M73" i="8" s="1"/>
  <c r="L73" i="8"/>
  <c r="H98" i="8"/>
  <c r="H97" i="8"/>
  <c r="H125" i="8" s="1"/>
  <c r="G131" i="8"/>
  <c r="H131" i="8" s="1"/>
  <c r="G98" i="8"/>
  <c r="I144" i="8" l="1"/>
  <c r="I163" i="8" s="1"/>
  <c r="I142" i="8"/>
  <c r="I155" i="8" s="1"/>
  <c r="H134" i="8"/>
  <c r="H136" i="8" s="1"/>
  <c r="I98" i="8"/>
  <c r="I131" i="8" s="1"/>
  <c r="I97" i="8"/>
  <c r="I125" i="8" s="1"/>
  <c r="K83" i="8"/>
  <c r="K79" i="8"/>
  <c r="M119" i="8"/>
  <c r="M121" i="8" s="1"/>
  <c r="L121" i="8"/>
  <c r="J88" i="8"/>
  <c r="H144" i="8"/>
  <c r="H163" i="8" s="1"/>
  <c r="L75" i="8"/>
  <c r="G134" i="8"/>
  <c r="G136" i="8" s="1"/>
  <c r="M75" i="8"/>
  <c r="K88" i="8" l="1"/>
  <c r="I134" i="8"/>
  <c r="I136" i="8" s="1"/>
  <c r="M79" i="8"/>
  <c r="M83" i="8"/>
  <c r="L83" i="8"/>
  <c r="L79" i="8"/>
  <c r="L88" i="8" s="1"/>
  <c r="J139" i="8"/>
  <c r="J141" i="8" s="1"/>
  <c r="J96" i="8"/>
  <c r="J98" i="8" l="1"/>
  <c r="J131" i="8" s="1"/>
  <c r="J97" i="8"/>
  <c r="J125" i="8" s="1"/>
  <c r="J142" i="8"/>
  <c r="J155" i="8" s="1"/>
  <c r="M88" i="8"/>
  <c r="K139" i="8"/>
  <c r="K141" i="8" s="1"/>
  <c r="K96" i="8"/>
  <c r="L139" i="8"/>
  <c r="L141" i="8" s="1"/>
  <c r="L96" i="8"/>
  <c r="L142" i="8" l="1"/>
  <c r="L155" i="8" s="1"/>
  <c r="K144" i="8"/>
  <c r="K163" i="8" s="1"/>
  <c r="K142" i="8"/>
  <c r="K155" i="8" s="1"/>
  <c r="J144" i="8"/>
  <c r="J163" i="8" s="1"/>
  <c r="J134" i="8"/>
  <c r="J136" i="8" s="1"/>
  <c r="L98" i="8"/>
  <c r="L97" i="8"/>
  <c r="L125" i="8" s="1"/>
  <c r="K98" i="8"/>
  <c r="K131" i="8" s="1"/>
  <c r="K97" i="8"/>
  <c r="K125" i="8" s="1"/>
  <c r="M139" i="8"/>
  <c r="M141" i="8" s="1"/>
  <c r="M96" i="8"/>
  <c r="M98" i="8" l="1"/>
  <c r="M97" i="8"/>
  <c r="M125" i="8" s="1"/>
  <c r="K134" i="8"/>
  <c r="K136" i="8" s="1"/>
  <c r="L144" i="8"/>
  <c r="L163" i="8" s="1"/>
  <c r="M142" i="8"/>
  <c r="M144" i="8" s="1"/>
  <c r="L131" i="8"/>
  <c r="L134" i="8" s="1"/>
  <c r="L136" i="8" s="1"/>
  <c r="M161" i="8" l="1"/>
  <c r="M163" i="8" s="1"/>
  <c r="B164" i="8" s="1"/>
  <c r="M155" i="8"/>
  <c r="M131" i="8"/>
  <c r="Q158" i="8" s="1"/>
  <c r="Q159" i="8" s="1"/>
  <c r="M134" i="8" l="1"/>
  <c r="M136" i="8" s="1"/>
  <c r="R157" i="8"/>
  <c r="R155" i="8"/>
  <c r="Q164" i="8" s="1"/>
  <c r="L166" i="8" l="1"/>
  <c r="J166" i="8"/>
  <c r="H166" i="8"/>
  <c r="F166" i="8"/>
  <c r="D166" i="8"/>
  <c r="M166" i="8"/>
  <c r="K166" i="8"/>
  <c r="I166" i="8"/>
  <c r="G166" i="8"/>
  <c r="E166" i="8"/>
  <c r="C166" i="8"/>
  <c r="C168" i="8" s="1"/>
  <c r="D171" i="3" l="1"/>
  <c r="L176" i="6" l="1"/>
  <c r="I176" i="6"/>
  <c r="H176" i="6"/>
  <c r="E176" i="6"/>
  <c r="D176" i="6"/>
  <c r="L175" i="6"/>
  <c r="L174" i="6"/>
  <c r="K174" i="6"/>
  <c r="J174" i="6"/>
  <c r="I174" i="6"/>
  <c r="H174" i="6"/>
  <c r="G174" i="6"/>
  <c r="F174" i="6"/>
  <c r="E174" i="6"/>
  <c r="D174" i="6"/>
  <c r="J173" i="6"/>
  <c r="C173" i="6"/>
  <c r="C176" i="6" s="1"/>
  <c r="L172" i="6"/>
  <c r="K172" i="6"/>
  <c r="K176" i="6" s="1"/>
  <c r="J172" i="6"/>
  <c r="J176" i="6" s="1"/>
  <c r="I172" i="6"/>
  <c r="H172" i="6"/>
  <c r="G172" i="6"/>
  <c r="G176" i="6" s="1"/>
  <c r="F172" i="6"/>
  <c r="F176" i="6" s="1"/>
  <c r="E172" i="6"/>
  <c r="D172" i="6"/>
  <c r="Q157" i="6"/>
  <c r="Q154" i="6"/>
  <c r="R154" i="6" s="1"/>
  <c r="R150" i="6"/>
  <c r="R149" i="6"/>
  <c r="C147" i="6"/>
  <c r="C163" i="6" s="1"/>
  <c r="Q146" i="6"/>
  <c r="R146" i="6" s="1"/>
  <c r="H143" i="6"/>
  <c r="O139" i="6"/>
  <c r="J127" i="6"/>
  <c r="F127" i="6"/>
  <c r="E127" i="6"/>
  <c r="M126" i="6"/>
  <c r="Q153" i="6" s="1"/>
  <c r="L126" i="6"/>
  <c r="K126" i="6"/>
  <c r="J126" i="6"/>
  <c r="I126" i="6"/>
  <c r="H126" i="6"/>
  <c r="G126" i="6"/>
  <c r="F126" i="6"/>
  <c r="E126" i="6"/>
  <c r="D126" i="6"/>
  <c r="M118" i="6"/>
  <c r="L118" i="6"/>
  <c r="K118" i="6"/>
  <c r="J118" i="6"/>
  <c r="I118" i="6"/>
  <c r="H118" i="6"/>
  <c r="G118" i="6"/>
  <c r="F118" i="6"/>
  <c r="E118" i="6"/>
  <c r="D118" i="6"/>
  <c r="K116" i="6"/>
  <c r="G115" i="6"/>
  <c r="D110" i="6"/>
  <c r="E110" i="6" s="1"/>
  <c r="F110" i="6" s="1"/>
  <c r="G110" i="6" s="1"/>
  <c r="H110" i="6" s="1"/>
  <c r="M109" i="6"/>
  <c r="L109" i="6"/>
  <c r="K109" i="6"/>
  <c r="J109" i="6"/>
  <c r="J91" i="6" s="1"/>
  <c r="I109" i="6"/>
  <c r="I91" i="6" s="1"/>
  <c r="H109" i="6"/>
  <c r="G109" i="6"/>
  <c r="F109" i="6"/>
  <c r="F91" i="6" s="1"/>
  <c r="F140" i="6" s="1"/>
  <c r="F143" i="6" s="1"/>
  <c r="E109" i="6"/>
  <c r="D109" i="6"/>
  <c r="M108" i="6"/>
  <c r="L108" i="6"/>
  <c r="K108" i="6"/>
  <c r="J108" i="6"/>
  <c r="I108" i="6"/>
  <c r="H108" i="6"/>
  <c r="G108" i="6"/>
  <c r="F108" i="6"/>
  <c r="E108" i="6"/>
  <c r="D108" i="6"/>
  <c r="M94" i="6"/>
  <c r="L94" i="6"/>
  <c r="K94" i="6"/>
  <c r="J94" i="6"/>
  <c r="I94" i="6"/>
  <c r="H94" i="6"/>
  <c r="G94" i="6"/>
  <c r="F94" i="6"/>
  <c r="E94" i="6"/>
  <c r="D94" i="6"/>
  <c r="M93" i="6"/>
  <c r="L93" i="6"/>
  <c r="K93" i="6"/>
  <c r="J93" i="6"/>
  <c r="I93" i="6"/>
  <c r="H93" i="6"/>
  <c r="G93" i="6"/>
  <c r="F93" i="6"/>
  <c r="E93" i="6"/>
  <c r="D93" i="6"/>
  <c r="M92" i="6"/>
  <c r="L92" i="6"/>
  <c r="K92" i="6"/>
  <c r="J92" i="6"/>
  <c r="J112" i="6" s="1"/>
  <c r="L91" i="6"/>
  <c r="K91" i="6"/>
  <c r="H91" i="6"/>
  <c r="G91" i="6"/>
  <c r="E91" i="6"/>
  <c r="D91" i="6"/>
  <c r="M90" i="6"/>
  <c r="L90" i="6"/>
  <c r="L140" i="6" s="1"/>
  <c r="L143" i="6" s="1"/>
  <c r="K90" i="6"/>
  <c r="J90" i="6"/>
  <c r="I90" i="6"/>
  <c r="H90" i="6"/>
  <c r="H140" i="6" s="1"/>
  <c r="G90" i="6"/>
  <c r="G140" i="6" s="1"/>
  <c r="G143" i="6" s="1"/>
  <c r="F90" i="6"/>
  <c r="E90" i="6"/>
  <c r="D90" i="6"/>
  <c r="N82" i="6"/>
  <c r="E82" i="6"/>
  <c r="M81" i="6"/>
  <c r="M127" i="6" s="1"/>
  <c r="L81" i="6"/>
  <c r="L127" i="6" s="1"/>
  <c r="K81" i="6"/>
  <c r="K127" i="6" s="1"/>
  <c r="J81" i="6"/>
  <c r="I81" i="6"/>
  <c r="I127" i="6" s="1"/>
  <c r="H81" i="6"/>
  <c r="H127" i="6" s="1"/>
  <c r="G81" i="6"/>
  <c r="G127" i="6" s="1"/>
  <c r="F81" i="6"/>
  <c r="E81" i="6"/>
  <c r="D81" i="6"/>
  <c r="D127" i="6" s="1"/>
  <c r="D73" i="6"/>
  <c r="G70" i="6"/>
  <c r="F70" i="6"/>
  <c r="E70" i="6"/>
  <c r="D70" i="6"/>
  <c r="F69" i="6"/>
  <c r="E69" i="6"/>
  <c r="D69" i="6"/>
  <c r="M68" i="6"/>
  <c r="L68" i="6"/>
  <c r="K68" i="6"/>
  <c r="J68" i="6"/>
  <c r="I68" i="6"/>
  <c r="H68" i="6"/>
  <c r="G68" i="6"/>
  <c r="D68" i="6"/>
  <c r="M67" i="6"/>
  <c r="L67" i="6"/>
  <c r="K67" i="6"/>
  <c r="J67" i="6"/>
  <c r="I67" i="6"/>
  <c r="H67" i="6"/>
  <c r="G67" i="6"/>
  <c r="E67" i="6"/>
  <c r="D67" i="6"/>
  <c r="M66" i="6"/>
  <c r="L66" i="6"/>
  <c r="K66" i="6"/>
  <c r="J66" i="6"/>
  <c r="I66" i="6"/>
  <c r="H66" i="6"/>
  <c r="G66" i="6"/>
  <c r="E66" i="6"/>
  <c r="D66" i="6"/>
  <c r="E64" i="6"/>
  <c r="D61" i="6"/>
  <c r="G55" i="6"/>
  <c r="M45" i="6"/>
  <c r="M117" i="6" s="1"/>
  <c r="L45" i="6"/>
  <c r="L117" i="6" s="1"/>
  <c r="K45" i="6"/>
  <c r="K117" i="6" s="1"/>
  <c r="J45" i="6"/>
  <c r="J117" i="6" s="1"/>
  <c r="I45" i="6"/>
  <c r="I117" i="6" s="1"/>
  <c r="H45" i="6"/>
  <c r="H117" i="6" s="1"/>
  <c r="G45" i="6"/>
  <c r="G117" i="6" s="1"/>
  <c r="F45" i="6"/>
  <c r="F117" i="6" s="1"/>
  <c r="E45" i="6"/>
  <c r="E117" i="6" s="1"/>
  <c r="D45" i="6"/>
  <c r="D117" i="6" s="1"/>
  <c r="M43" i="6"/>
  <c r="L43" i="6"/>
  <c r="K43" i="6"/>
  <c r="J43" i="6"/>
  <c r="I43" i="6"/>
  <c r="H43" i="6"/>
  <c r="G43" i="6"/>
  <c r="G116" i="6" s="1"/>
  <c r="F43" i="6"/>
  <c r="F116" i="6" s="1"/>
  <c r="E43" i="6"/>
  <c r="D43" i="6"/>
  <c r="M42" i="6"/>
  <c r="M116" i="6" s="1"/>
  <c r="L42" i="6"/>
  <c r="L116" i="6" s="1"/>
  <c r="K42" i="6"/>
  <c r="J42" i="6"/>
  <c r="I42" i="6"/>
  <c r="I116" i="6" s="1"/>
  <c r="H42" i="6"/>
  <c r="H116" i="6" s="1"/>
  <c r="G42" i="6"/>
  <c r="F42" i="6"/>
  <c r="E42" i="6"/>
  <c r="E116" i="6" s="1"/>
  <c r="D42" i="6"/>
  <c r="D116" i="6" s="1"/>
  <c r="M40" i="6"/>
  <c r="L40" i="6"/>
  <c r="K40" i="6"/>
  <c r="J40" i="6"/>
  <c r="J55" i="6" s="1"/>
  <c r="I40" i="6"/>
  <c r="H40" i="6"/>
  <c r="G40" i="6"/>
  <c r="F40" i="6"/>
  <c r="E40" i="6"/>
  <c r="D40" i="6"/>
  <c r="M39" i="6"/>
  <c r="M115" i="6" s="1"/>
  <c r="L39" i="6"/>
  <c r="L55" i="6" s="1"/>
  <c r="K39" i="6"/>
  <c r="K55" i="6" s="1"/>
  <c r="J39" i="6"/>
  <c r="I39" i="6"/>
  <c r="I115" i="6" s="1"/>
  <c r="H39" i="6"/>
  <c r="H55" i="6" s="1"/>
  <c r="G39" i="6"/>
  <c r="F39" i="6"/>
  <c r="E39" i="6"/>
  <c r="E115" i="6" s="1"/>
  <c r="D39" i="6"/>
  <c r="E34" i="6"/>
  <c r="F34" i="6" s="1"/>
  <c r="D34" i="6"/>
  <c r="D33" i="6"/>
  <c r="D72" i="6" s="1"/>
  <c r="M30" i="6"/>
  <c r="L30" i="6"/>
  <c r="K30" i="6"/>
  <c r="K82" i="6" s="1"/>
  <c r="J30" i="6"/>
  <c r="J82" i="6" s="1"/>
  <c r="I30" i="6"/>
  <c r="H30" i="6"/>
  <c r="G30" i="6"/>
  <c r="G82" i="6" s="1"/>
  <c r="F30" i="6"/>
  <c r="F82" i="6" s="1"/>
  <c r="E30" i="6"/>
  <c r="D30" i="6"/>
  <c r="M29" i="6"/>
  <c r="M82" i="6" s="1"/>
  <c r="L29" i="6"/>
  <c r="L82" i="6" s="1"/>
  <c r="K29" i="6"/>
  <c r="J29" i="6"/>
  <c r="I29" i="6"/>
  <c r="I82" i="6" s="1"/>
  <c r="H29" i="6"/>
  <c r="H82" i="6" s="1"/>
  <c r="G29" i="6"/>
  <c r="F29" i="6"/>
  <c r="E29" i="6"/>
  <c r="D29" i="6"/>
  <c r="D82" i="6" s="1"/>
  <c r="K27" i="6"/>
  <c r="K71" i="6" s="1"/>
  <c r="K77" i="6" s="1"/>
  <c r="F24" i="6"/>
  <c r="F68" i="6" s="1"/>
  <c r="E24" i="6"/>
  <c r="E68" i="6" s="1"/>
  <c r="F23" i="6"/>
  <c r="F67" i="6" s="1"/>
  <c r="E23" i="6"/>
  <c r="F22" i="6"/>
  <c r="F66" i="6" s="1"/>
  <c r="E22" i="6"/>
  <c r="N16" i="6"/>
  <c r="N15" i="6"/>
  <c r="N14" i="6"/>
  <c r="D14" i="6"/>
  <c r="D63" i="6" s="1"/>
  <c r="M12" i="6"/>
  <c r="M16" i="6" s="1"/>
  <c r="L12" i="6"/>
  <c r="L27" i="6" s="1"/>
  <c r="L71" i="6" s="1"/>
  <c r="L77" i="6" s="1"/>
  <c r="K12" i="6"/>
  <c r="K14" i="6" s="1"/>
  <c r="J12" i="6"/>
  <c r="J14" i="6" s="1"/>
  <c r="I12" i="6"/>
  <c r="I16" i="6" s="1"/>
  <c r="H12" i="6"/>
  <c r="H27" i="6" s="1"/>
  <c r="H71" i="6" s="1"/>
  <c r="H77" i="6" s="1"/>
  <c r="G12" i="6"/>
  <c r="G27" i="6" s="1"/>
  <c r="G71" i="6" s="1"/>
  <c r="G77" i="6" s="1"/>
  <c r="F12" i="6"/>
  <c r="F14" i="6" s="1"/>
  <c r="E12" i="6"/>
  <c r="E16" i="6" s="1"/>
  <c r="D12" i="6"/>
  <c r="D62" i="6" s="1"/>
  <c r="G11" i="6"/>
  <c r="H11" i="6" s="1"/>
  <c r="N10" i="6"/>
  <c r="H10" i="6"/>
  <c r="I10" i="6" s="1"/>
  <c r="G10" i="6"/>
  <c r="G69" i="6" s="1"/>
  <c r="F9" i="6"/>
  <c r="G9" i="6" s="1"/>
  <c r="E9" i="6"/>
  <c r="I8" i="6"/>
  <c r="G8" i="6"/>
  <c r="F8" i="6"/>
  <c r="E8" i="6"/>
  <c r="D8" i="6"/>
  <c r="E7" i="6"/>
  <c r="E6" i="6"/>
  <c r="E61" i="6" s="1"/>
  <c r="G5" i="6"/>
  <c r="F5" i="6"/>
  <c r="E5" i="6"/>
  <c r="J27" i="6" l="1"/>
  <c r="J71" i="6" s="1"/>
  <c r="J77" i="6" s="1"/>
  <c r="J124" i="6" s="1"/>
  <c r="F16" i="6"/>
  <c r="F64" i="6" s="1"/>
  <c r="D65" i="6"/>
  <c r="D16" i="6"/>
  <c r="D64" i="6" s="1"/>
  <c r="M55" i="6"/>
  <c r="L16" i="6"/>
  <c r="L14" i="6"/>
  <c r="K115" i="6"/>
  <c r="K16" i="6"/>
  <c r="I27" i="6"/>
  <c r="I71" i="6" s="1"/>
  <c r="I77" i="6" s="1"/>
  <c r="H16" i="6"/>
  <c r="H14" i="6"/>
  <c r="G14" i="6"/>
  <c r="G62" i="6"/>
  <c r="G16" i="6"/>
  <c r="F55" i="6"/>
  <c r="K112" i="6"/>
  <c r="L112" i="6" s="1"/>
  <c r="M112" i="6" s="1"/>
  <c r="J140" i="6"/>
  <c r="J143" i="6" s="1"/>
  <c r="K140" i="6"/>
  <c r="K143" i="6" s="1"/>
  <c r="J10" i="6"/>
  <c r="I69" i="6"/>
  <c r="I124" i="6"/>
  <c r="I105" i="6"/>
  <c r="M140" i="6"/>
  <c r="M143" i="6" s="1"/>
  <c r="F73" i="6"/>
  <c r="G34" i="6"/>
  <c r="H9" i="6"/>
  <c r="G64" i="6"/>
  <c r="H70" i="6"/>
  <c r="I11" i="6"/>
  <c r="G124" i="6"/>
  <c r="G105" i="6"/>
  <c r="E65" i="6"/>
  <c r="F15" i="6"/>
  <c r="G15" i="6" s="1"/>
  <c r="K105" i="6"/>
  <c r="K124" i="6"/>
  <c r="E63" i="6"/>
  <c r="H105" i="6"/>
  <c r="H124" i="6"/>
  <c r="L105" i="6"/>
  <c r="L124" i="6"/>
  <c r="I110" i="6"/>
  <c r="J110" i="6" s="1"/>
  <c r="K110" i="6" s="1"/>
  <c r="L110" i="6" s="1"/>
  <c r="M110" i="6" s="1"/>
  <c r="M147" i="6" s="1"/>
  <c r="N147" i="6" s="1"/>
  <c r="M148" i="6" s="1"/>
  <c r="D115" i="6"/>
  <c r="D55" i="6"/>
  <c r="D119" i="6" s="1"/>
  <c r="H69" i="6"/>
  <c r="H5" i="6"/>
  <c r="F7" i="6"/>
  <c r="M14" i="6"/>
  <c r="E27" i="6"/>
  <c r="E71" i="6" s="1"/>
  <c r="E77" i="6" s="1"/>
  <c r="E33" i="6"/>
  <c r="I55" i="6"/>
  <c r="E62" i="6"/>
  <c r="E73" i="6"/>
  <c r="P128" i="6"/>
  <c r="H115" i="6"/>
  <c r="F6" i="6"/>
  <c r="I14" i="6"/>
  <c r="F27" i="6"/>
  <c r="F71" i="6" s="1"/>
  <c r="F77" i="6" s="1"/>
  <c r="J116" i="6"/>
  <c r="E55" i="6"/>
  <c r="F62" i="6"/>
  <c r="E140" i="6"/>
  <c r="E143" i="6" s="1"/>
  <c r="I140" i="6"/>
  <c r="I143" i="6" s="1"/>
  <c r="M91" i="6"/>
  <c r="E14" i="6"/>
  <c r="J16" i="6"/>
  <c r="M27" i="6"/>
  <c r="M71" i="6" s="1"/>
  <c r="M77" i="6" s="1"/>
  <c r="J105" i="6"/>
  <c r="L115" i="6"/>
  <c r="D27" i="6"/>
  <c r="D71" i="6" s="1"/>
  <c r="D77" i="6" s="1"/>
  <c r="F115" i="6"/>
  <c r="J115" i="6"/>
  <c r="D140" i="6"/>
  <c r="D143" i="6" s="1"/>
  <c r="D114" i="6"/>
  <c r="E114" i="6" s="1"/>
  <c r="F114" i="6" s="1"/>
  <c r="G114" i="6" s="1"/>
  <c r="H114" i="6" s="1"/>
  <c r="I114" i="6" s="1"/>
  <c r="J114" i="6" s="1"/>
  <c r="K114" i="6" s="1"/>
  <c r="L114" i="6" s="1"/>
  <c r="M114" i="6" s="1"/>
  <c r="R153" i="6"/>
  <c r="T154" i="6" s="1"/>
  <c r="Q145" i="6" s="1"/>
  <c r="R145" i="6" s="1"/>
  <c r="E119" i="6" l="1"/>
  <c r="F119" i="6" s="1"/>
  <c r="G119" i="6" s="1"/>
  <c r="H119" i="6" s="1"/>
  <c r="I119" i="6" s="1"/>
  <c r="J119" i="6" s="1"/>
  <c r="K119" i="6" s="1"/>
  <c r="L119" i="6" s="1"/>
  <c r="M119" i="6" s="1"/>
  <c r="J153" i="6"/>
  <c r="H153" i="6"/>
  <c r="F33" i="6"/>
  <c r="E72" i="6"/>
  <c r="E85" i="6" s="1"/>
  <c r="F63" i="6"/>
  <c r="G7" i="6"/>
  <c r="K154" i="6"/>
  <c r="H34" i="6"/>
  <c r="G73" i="6"/>
  <c r="I154" i="6"/>
  <c r="J154" i="6"/>
  <c r="M124" i="6"/>
  <c r="M105" i="6"/>
  <c r="F124" i="6"/>
  <c r="F105" i="6"/>
  <c r="E124" i="6"/>
  <c r="E105" i="6"/>
  <c r="H62" i="6"/>
  <c r="I5" i="6"/>
  <c r="L154" i="6"/>
  <c r="K153" i="6"/>
  <c r="H64" i="6"/>
  <c r="I9" i="6"/>
  <c r="D105" i="6"/>
  <c r="D124" i="6"/>
  <c r="D85" i="6"/>
  <c r="D75" i="6"/>
  <c r="L153" i="6"/>
  <c r="E121" i="6"/>
  <c r="H15" i="6"/>
  <c r="G65" i="6"/>
  <c r="J11" i="6"/>
  <c r="I70" i="6"/>
  <c r="J69" i="6"/>
  <c r="K10" i="6"/>
  <c r="F61" i="6"/>
  <c r="G6" i="6"/>
  <c r="F65" i="6"/>
  <c r="H154" i="6"/>
  <c r="I153" i="6"/>
  <c r="E13" i="3"/>
  <c r="F13" i="3" s="1"/>
  <c r="D12" i="3"/>
  <c r="D62" i="3" s="1"/>
  <c r="N10" i="3"/>
  <c r="G10" i="3" s="1"/>
  <c r="Q157" i="3"/>
  <c r="Q154" i="3"/>
  <c r="R149" i="3"/>
  <c r="R150" i="3" s="1"/>
  <c r="O139" i="3" s="1"/>
  <c r="J147" i="3"/>
  <c r="J180" i="3" s="1"/>
  <c r="Q146" i="3"/>
  <c r="R146" i="3" s="1"/>
  <c r="M126" i="3"/>
  <c r="Q153" i="3" s="1"/>
  <c r="L126" i="3"/>
  <c r="K126" i="3"/>
  <c r="J126" i="3"/>
  <c r="I126" i="3"/>
  <c r="H126" i="3"/>
  <c r="G126" i="3"/>
  <c r="F126" i="3"/>
  <c r="E126" i="3"/>
  <c r="D126" i="3"/>
  <c r="M118" i="3"/>
  <c r="L118" i="3"/>
  <c r="K118" i="3"/>
  <c r="J118" i="3"/>
  <c r="I118" i="3"/>
  <c r="H118" i="3"/>
  <c r="G118" i="3"/>
  <c r="F118" i="3"/>
  <c r="E118" i="3"/>
  <c r="D118" i="3"/>
  <c r="M109" i="3"/>
  <c r="L109" i="3"/>
  <c r="K109" i="3"/>
  <c r="J109" i="3"/>
  <c r="J91" i="3" s="1"/>
  <c r="I109" i="3"/>
  <c r="I91" i="3" s="1"/>
  <c r="H109" i="3"/>
  <c r="H91" i="3" s="1"/>
  <c r="G109" i="3"/>
  <c r="F109" i="3"/>
  <c r="F91" i="3" s="1"/>
  <c r="E109" i="3"/>
  <c r="E91" i="3" s="1"/>
  <c r="D109" i="3"/>
  <c r="M108" i="3"/>
  <c r="L108" i="3"/>
  <c r="K108" i="3"/>
  <c r="J108" i="3"/>
  <c r="I108" i="3"/>
  <c r="H108" i="3"/>
  <c r="G108" i="3"/>
  <c r="F108" i="3"/>
  <c r="E108" i="3"/>
  <c r="D108" i="3"/>
  <c r="M94" i="3"/>
  <c r="L94" i="3"/>
  <c r="K94" i="3"/>
  <c r="J94" i="3"/>
  <c r="I94" i="3"/>
  <c r="H94" i="3"/>
  <c r="G94" i="3"/>
  <c r="F94" i="3"/>
  <c r="E94" i="3"/>
  <c r="D94" i="3"/>
  <c r="M93" i="3"/>
  <c r="L93" i="3"/>
  <c r="K93" i="3"/>
  <c r="J93" i="3"/>
  <c r="I93" i="3"/>
  <c r="H93" i="3"/>
  <c r="G93" i="3"/>
  <c r="F93" i="3"/>
  <c r="E93" i="3"/>
  <c r="D93" i="3"/>
  <c r="M92" i="3"/>
  <c r="L92" i="3"/>
  <c r="K92" i="3"/>
  <c r="J92" i="3"/>
  <c r="J112" i="3" s="1"/>
  <c r="M91" i="3"/>
  <c r="L91" i="3"/>
  <c r="M90" i="3"/>
  <c r="M140" i="3" s="1"/>
  <c r="M143" i="3" s="1"/>
  <c r="L90" i="3"/>
  <c r="L140" i="3" s="1"/>
  <c r="L143" i="3" s="1"/>
  <c r="K90" i="3"/>
  <c r="J90" i="3"/>
  <c r="I90" i="3"/>
  <c r="H90" i="3"/>
  <c r="G90" i="3"/>
  <c r="F90" i="3"/>
  <c r="E90" i="3"/>
  <c r="D90" i="3"/>
  <c r="N82" i="3"/>
  <c r="M81" i="3"/>
  <c r="M127" i="3" s="1"/>
  <c r="L81" i="3"/>
  <c r="L127" i="3" s="1"/>
  <c r="K81" i="3"/>
  <c r="K127" i="3" s="1"/>
  <c r="J81" i="3"/>
  <c r="J127" i="3" s="1"/>
  <c r="I81" i="3"/>
  <c r="I127" i="3" s="1"/>
  <c r="H81" i="3"/>
  <c r="H127" i="3" s="1"/>
  <c r="G81" i="3"/>
  <c r="G127" i="3" s="1"/>
  <c r="F81" i="3"/>
  <c r="F127" i="3" s="1"/>
  <c r="E81" i="3"/>
  <c r="E127" i="3" s="1"/>
  <c r="D81" i="3"/>
  <c r="D127" i="3" s="1"/>
  <c r="F70" i="3"/>
  <c r="E70" i="3"/>
  <c r="D70" i="3"/>
  <c r="F69" i="3"/>
  <c r="E69" i="3"/>
  <c r="D69" i="3"/>
  <c r="M68" i="3"/>
  <c r="L68" i="3"/>
  <c r="K68" i="3"/>
  <c r="J68" i="3"/>
  <c r="I68" i="3"/>
  <c r="H68" i="3"/>
  <c r="G68" i="3"/>
  <c r="D68" i="3"/>
  <c r="M67" i="3"/>
  <c r="L67" i="3"/>
  <c r="K67" i="3"/>
  <c r="J67" i="3"/>
  <c r="I67" i="3"/>
  <c r="H67" i="3"/>
  <c r="G67" i="3"/>
  <c r="D67" i="3"/>
  <c r="M66" i="3"/>
  <c r="L66" i="3"/>
  <c r="K66" i="3"/>
  <c r="J66" i="3"/>
  <c r="I66" i="3"/>
  <c r="H66" i="3"/>
  <c r="G66" i="3"/>
  <c r="D66" i="3"/>
  <c r="D61" i="3"/>
  <c r="M45" i="3"/>
  <c r="M117" i="3" s="1"/>
  <c r="L45" i="3"/>
  <c r="L117" i="3" s="1"/>
  <c r="K45" i="3"/>
  <c r="K117" i="3" s="1"/>
  <c r="J45" i="3"/>
  <c r="J117" i="3" s="1"/>
  <c r="I45" i="3"/>
  <c r="I117" i="3" s="1"/>
  <c r="H45" i="3"/>
  <c r="H117" i="3" s="1"/>
  <c r="G45" i="3"/>
  <c r="G117" i="3" s="1"/>
  <c r="F45" i="3"/>
  <c r="F117" i="3" s="1"/>
  <c r="E45" i="3"/>
  <c r="E117" i="3" s="1"/>
  <c r="D45" i="3"/>
  <c r="D117" i="3" s="1"/>
  <c r="M43" i="3"/>
  <c r="L43" i="3"/>
  <c r="K43" i="3"/>
  <c r="J43" i="3"/>
  <c r="I43" i="3"/>
  <c r="H43" i="3"/>
  <c r="G43" i="3"/>
  <c r="F43" i="3"/>
  <c r="E43" i="3"/>
  <c r="D43" i="3"/>
  <c r="M42" i="3"/>
  <c r="L42" i="3"/>
  <c r="K42" i="3"/>
  <c r="J42" i="3"/>
  <c r="I42" i="3"/>
  <c r="H42" i="3"/>
  <c r="G42" i="3"/>
  <c r="F42" i="3"/>
  <c r="E42" i="3"/>
  <c r="D42" i="3"/>
  <c r="M40" i="3"/>
  <c r="L40" i="3"/>
  <c r="K40" i="3"/>
  <c r="J40" i="3"/>
  <c r="I40" i="3"/>
  <c r="H40" i="3"/>
  <c r="G40" i="3"/>
  <c r="F40" i="3"/>
  <c r="E40" i="3"/>
  <c r="D40" i="3"/>
  <c r="D39" i="3"/>
  <c r="D34" i="3"/>
  <c r="E34" i="3" s="1"/>
  <c r="D33" i="3"/>
  <c r="E33" i="3" s="1"/>
  <c r="M30" i="3"/>
  <c r="L30" i="3"/>
  <c r="K30" i="3"/>
  <c r="J30" i="3"/>
  <c r="I30" i="3"/>
  <c r="H30" i="3"/>
  <c r="G30" i="3"/>
  <c r="F30" i="3"/>
  <c r="E30" i="3"/>
  <c r="D30" i="3"/>
  <c r="M29" i="3"/>
  <c r="M82" i="3" s="1"/>
  <c r="L29" i="3"/>
  <c r="K29" i="3"/>
  <c r="J29" i="3"/>
  <c r="I29" i="3"/>
  <c r="I82" i="3" s="1"/>
  <c r="H29" i="3"/>
  <c r="G29" i="3"/>
  <c r="F29" i="3"/>
  <c r="E29" i="3"/>
  <c r="E82" i="3" s="1"/>
  <c r="D29" i="3"/>
  <c r="E24" i="3"/>
  <c r="E68" i="3" s="1"/>
  <c r="E23" i="3"/>
  <c r="F23" i="3" s="1"/>
  <c r="F67" i="3" s="1"/>
  <c r="E22" i="3"/>
  <c r="N16" i="3"/>
  <c r="N15" i="3"/>
  <c r="E15" i="3" s="1"/>
  <c r="F15" i="3" s="1"/>
  <c r="G15" i="3" s="1"/>
  <c r="H15" i="3" s="1"/>
  <c r="N14" i="3"/>
  <c r="G11" i="3"/>
  <c r="G70" i="3" s="1"/>
  <c r="E9" i="3"/>
  <c r="F9" i="3" s="1"/>
  <c r="G9" i="3" s="1"/>
  <c r="I8" i="3"/>
  <c r="G8" i="3"/>
  <c r="F8" i="3"/>
  <c r="E8" i="3"/>
  <c r="D8" i="3"/>
  <c r="D65" i="3" s="1"/>
  <c r="E7" i="3"/>
  <c r="F7" i="3" s="1"/>
  <c r="E6" i="3"/>
  <c r="E5" i="3"/>
  <c r="K82" i="3" l="1"/>
  <c r="G82" i="3"/>
  <c r="P128" i="3"/>
  <c r="D16" i="3"/>
  <c r="D64" i="3" s="1"/>
  <c r="M121" i="6"/>
  <c r="G121" i="6"/>
  <c r="H121" i="6"/>
  <c r="J121" i="6"/>
  <c r="K121" i="6"/>
  <c r="L121" i="6"/>
  <c r="I121" i="6"/>
  <c r="E75" i="6"/>
  <c r="H6" i="6"/>
  <c r="G61" i="6"/>
  <c r="H65" i="6"/>
  <c r="I15" i="6"/>
  <c r="D153" i="6"/>
  <c r="D121" i="6"/>
  <c r="J5" i="6"/>
  <c r="I62" i="6"/>
  <c r="F153" i="6"/>
  <c r="F121" i="6"/>
  <c r="M154" i="6"/>
  <c r="M160" i="6"/>
  <c r="I64" i="6"/>
  <c r="J9" i="6"/>
  <c r="F154" i="6"/>
  <c r="H73" i="6"/>
  <c r="I34" i="6"/>
  <c r="F72" i="6"/>
  <c r="F85" i="6" s="1"/>
  <c r="G33" i="6"/>
  <c r="L10" i="6"/>
  <c r="K69" i="6"/>
  <c r="J70" i="6"/>
  <c r="K11" i="6"/>
  <c r="E153" i="6"/>
  <c r="G153" i="6"/>
  <c r="G63" i="6"/>
  <c r="H7" i="6"/>
  <c r="N84" i="6"/>
  <c r="N83" i="6"/>
  <c r="D79" i="6"/>
  <c r="D88" i="6" s="1"/>
  <c r="D154" i="6"/>
  <c r="G154" i="6"/>
  <c r="E154" i="6"/>
  <c r="M159" i="6"/>
  <c r="M153" i="6"/>
  <c r="H140" i="3"/>
  <c r="H143" i="3" s="1"/>
  <c r="C147" i="3"/>
  <c r="E61" i="3"/>
  <c r="E12" i="3"/>
  <c r="E27" i="3" s="1"/>
  <c r="E71" i="3" s="1"/>
  <c r="E77" i="3" s="1"/>
  <c r="E105" i="3" s="1"/>
  <c r="F24" i="3"/>
  <c r="F68" i="3" s="1"/>
  <c r="E39" i="3"/>
  <c r="E115" i="3" s="1"/>
  <c r="E116" i="3"/>
  <c r="I116" i="3"/>
  <c r="M116" i="3"/>
  <c r="G116" i="3"/>
  <c r="E67" i="3"/>
  <c r="E140" i="3"/>
  <c r="E143" i="3" s="1"/>
  <c r="I140" i="3"/>
  <c r="I143" i="3" s="1"/>
  <c r="H11" i="3"/>
  <c r="D82" i="3"/>
  <c r="H82" i="3"/>
  <c r="L82" i="3"/>
  <c r="D55" i="3"/>
  <c r="D119" i="3" s="1"/>
  <c r="F116" i="3"/>
  <c r="J116" i="3"/>
  <c r="F140" i="3"/>
  <c r="F143" i="3" s="1"/>
  <c r="J140" i="3"/>
  <c r="J143" i="3" s="1"/>
  <c r="D91" i="3"/>
  <c r="D110" i="3" s="1"/>
  <c r="E110" i="3" s="1"/>
  <c r="F110" i="3" s="1"/>
  <c r="G13" i="3"/>
  <c r="H13" i="3" s="1"/>
  <c r="F39" i="3"/>
  <c r="F115" i="3" s="1"/>
  <c r="F12" i="3"/>
  <c r="F6" i="3"/>
  <c r="F61" i="3" s="1"/>
  <c r="E124" i="3"/>
  <c r="E66" i="3"/>
  <c r="F22" i="3"/>
  <c r="F66" i="3" s="1"/>
  <c r="G91" i="3"/>
  <c r="G140" i="3" s="1"/>
  <c r="G143" i="3" s="1"/>
  <c r="K91" i="3"/>
  <c r="K140" i="3" s="1"/>
  <c r="K143" i="3" s="1"/>
  <c r="F5" i="3"/>
  <c r="E72" i="3"/>
  <c r="F33" i="3"/>
  <c r="D73" i="3"/>
  <c r="G7" i="3"/>
  <c r="H9" i="3"/>
  <c r="G69" i="3"/>
  <c r="H10" i="3"/>
  <c r="I15" i="3"/>
  <c r="J15" i="3" s="1"/>
  <c r="D72" i="3"/>
  <c r="F82" i="3"/>
  <c r="J82" i="3"/>
  <c r="K116" i="3"/>
  <c r="D27" i="3"/>
  <c r="D71" i="3" s="1"/>
  <c r="D77" i="3" s="1"/>
  <c r="D14" i="3"/>
  <c r="D63" i="3" s="1"/>
  <c r="D115" i="3"/>
  <c r="D116" i="3"/>
  <c r="H116" i="3"/>
  <c r="L116" i="3"/>
  <c r="R154" i="3"/>
  <c r="R153" i="3"/>
  <c r="T154" i="3" s="1"/>
  <c r="Q145" i="3" s="1"/>
  <c r="R145" i="3" s="1"/>
  <c r="K112" i="3"/>
  <c r="L112" i="3" s="1"/>
  <c r="M112" i="3" s="1"/>
  <c r="D114" i="3"/>
  <c r="E114" i="3" s="1"/>
  <c r="F114" i="3" s="1"/>
  <c r="G114" i="3" s="1"/>
  <c r="H114" i="3" s="1"/>
  <c r="I114" i="3" s="1"/>
  <c r="J114" i="3" s="1"/>
  <c r="K114" i="3" s="1"/>
  <c r="L114" i="3" s="1"/>
  <c r="M114" i="3" s="1"/>
  <c r="C147" i="1"/>
  <c r="R157" i="1"/>
  <c r="S157" i="1"/>
  <c r="G39" i="3" l="1"/>
  <c r="G55" i="3" s="1"/>
  <c r="E16" i="3"/>
  <c r="E64" i="3" s="1"/>
  <c r="E62" i="3"/>
  <c r="E65" i="3"/>
  <c r="D75" i="3"/>
  <c r="N83" i="3" s="1"/>
  <c r="D140" i="3"/>
  <c r="D143" i="3" s="1"/>
  <c r="E84" i="6"/>
  <c r="E79" i="6"/>
  <c r="E83" i="6"/>
  <c r="K70" i="6"/>
  <c r="L11" i="6"/>
  <c r="G72" i="6"/>
  <c r="G75" i="6" s="1"/>
  <c r="H33" i="6"/>
  <c r="D96" i="6"/>
  <c r="D139" i="6"/>
  <c r="D141" i="6" s="1"/>
  <c r="J15" i="6"/>
  <c r="I65" i="6"/>
  <c r="H63" i="6"/>
  <c r="I7" i="6"/>
  <c r="J34" i="6"/>
  <c r="I73" i="6"/>
  <c r="K9" i="6"/>
  <c r="J64" i="6"/>
  <c r="F75" i="6"/>
  <c r="K5" i="6"/>
  <c r="J62" i="6"/>
  <c r="L69" i="6"/>
  <c r="M10" i="6"/>
  <c r="M69" i="6" s="1"/>
  <c r="H61" i="6"/>
  <c r="I6" i="6"/>
  <c r="H70" i="3"/>
  <c r="I11" i="3"/>
  <c r="C163" i="3"/>
  <c r="C180" i="3"/>
  <c r="C183" i="3" s="1"/>
  <c r="F55" i="3"/>
  <c r="G110" i="3"/>
  <c r="H110" i="3" s="1"/>
  <c r="I110" i="3" s="1"/>
  <c r="J110" i="3" s="1"/>
  <c r="K110" i="3" s="1"/>
  <c r="L110" i="3" s="1"/>
  <c r="M110" i="3" s="1"/>
  <c r="M147" i="3" s="1"/>
  <c r="N147" i="3" s="1"/>
  <c r="M148" i="3" s="1"/>
  <c r="E55" i="3"/>
  <c r="E119" i="3" s="1"/>
  <c r="G12" i="3"/>
  <c r="G14" i="3" s="1"/>
  <c r="G63" i="3" s="1"/>
  <c r="E14" i="3"/>
  <c r="E63" i="3" s="1"/>
  <c r="D85" i="3"/>
  <c r="G6" i="3"/>
  <c r="G61" i="3" s="1"/>
  <c r="F16" i="3"/>
  <c r="F64" i="3" s="1"/>
  <c r="F14" i="3"/>
  <c r="F63" i="3" s="1"/>
  <c r="F27" i="3"/>
  <c r="F71" i="3" s="1"/>
  <c r="F77" i="3" s="1"/>
  <c r="F105" i="3" s="1"/>
  <c r="F153" i="3" s="1"/>
  <c r="F65" i="3"/>
  <c r="G115" i="3"/>
  <c r="G65" i="3"/>
  <c r="H12" i="3"/>
  <c r="H39" i="3"/>
  <c r="I13" i="3"/>
  <c r="N84" i="3"/>
  <c r="D79" i="3"/>
  <c r="K15" i="3"/>
  <c r="H7" i="3"/>
  <c r="G33" i="3"/>
  <c r="F72" i="3"/>
  <c r="H69" i="3"/>
  <c r="I10" i="3"/>
  <c r="E73" i="3"/>
  <c r="F34" i="3"/>
  <c r="E121" i="3"/>
  <c r="D105" i="3"/>
  <c r="D124" i="3"/>
  <c r="I9" i="3"/>
  <c r="G5" i="3"/>
  <c r="F62" i="3"/>
  <c r="Q162" i="1"/>
  <c r="Q164" i="1" s="1"/>
  <c r="R155" i="1"/>
  <c r="Q159" i="1"/>
  <c r="E85" i="3" l="1"/>
  <c r="F119" i="3"/>
  <c r="G119" i="3" s="1"/>
  <c r="E75" i="3"/>
  <c r="E83" i="3" s="1"/>
  <c r="E88" i="6"/>
  <c r="E139" i="6" s="1"/>
  <c r="E141" i="6" s="1"/>
  <c r="G85" i="6"/>
  <c r="G84" i="6"/>
  <c r="G83" i="6"/>
  <c r="G79" i="6"/>
  <c r="I63" i="6"/>
  <c r="I85" i="6" s="1"/>
  <c r="J7" i="6"/>
  <c r="H72" i="6"/>
  <c r="H85" i="6" s="1"/>
  <c r="I33" i="6"/>
  <c r="I61" i="6"/>
  <c r="J6" i="6"/>
  <c r="L9" i="6"/>
  <c r="K64" i="6"/>
  <c r="D142" i="6"/>
  <c r="D155" i="6" s="1"/>
  <c r="K62" i="6"/>
  <c r="L5" i="6"/>
  <c r="D97" i="6"/>
  <c r="D125" i="6" s="1"/>
  <c r="L70" i="6"/>
  <c r="M11" i="6"/>
  <c r="M70" i="6" s="1"/>
  <c r="F83" i="6"/>
  <c r="F84" i="6"/>
  <c r="F79" i="6"/>
  <c r="J73" i="6"/>
  <c r="K34" i="6"/>
  <c r="J65" i="6"/>
  <c r="K15" i="6"/>
  <c r="J11" i="3"/>
  <c r="I70" i="3"/>
  <c r="H6" i="3"/>
  <c r="H61" i="3" s="1"/>
  <c r="G16" i="3"/>
  <c r="G64" i="3" s="1"/>
  <c r="G27" i="3"/>
  <c r="G71" i="3" s="1"/>
  <c r="G77" i="3" s="1"/>
  <c r="F124" i="3"/>
  <c r="H55" i="3"/>
  <c r="H115" i="3"/>
  <c r="H16" i="3"/>
  <c r="H64" i="3" s="1"/>
  <c r="H27" i="3"/>
  <c r="H71" i="3" s="1"/>
  <c r="H77" i="3" s="1"/>
  <c r="H65" i="3"/>
  <c r="H14" i="3"/>
  <c r="H63" i="3" s="1"/>
  <c r="I39" i="3"/>
  <c r="J13" i="3"/>
  <c r="I12" i="3"/>
  <c r="E84" i="3"/>
  <c r="I7" i="3"/>
  <c r="D88" i="3"/>
  <c r="F154" i="3"/>
  <c r="G62" i="3"/>
  <c r="H5" i="3"/>
  <c r="J9" i="3"/>
  <c r="D154" i="3"/>
  <c r="D153" i="3"/>
  <c r="E153" i="3"/>
  <c r="D121" i="3"/>
  <c r="I69" i="3"/>
  <c r="J10" i="3"/>
  <c r="E154" i="3"/>
  <c r="F73" i="3"/>
  <c r="F85" i="3" s="1"/>
  <c r="G34" i="3"/>
  <c r="H33" i="3"/>
  <c r="G72" i="3"/>
  <c r="L15" i="3"/>
  <c r="Q154" i="1"/>
  <c r="D33" i="1"/>
  <c r="D34" i="1"/>
  <c r="D73" i="1" s="1"/>
  <c r="I6" i="3" l="1"/>
  <c r="H119" i="3"/>
  <c r="F121" i="3"/>
  <c r="E79" i="3"/>
  <c r="E88" i="3" s="1"/>
  <c r="H75" i="6"/>
  <c r="H84" i="6" s="1"/>
  <c r="I84" i="6" s="1"/>
  <c r="J84" i="6" s="1"/>
  <c r="K84" i="6" s="1"/>
  <c r="L84" i="6" s="1"/>
  <c r="M84" i="6" s="1"/>
  <c r="D98" i="6"/>
  <c r="D131" i="6" s="1"/>
  <c r="D134" i="6" s="1"/>
  <c r="D136" i="6" s="1"/>
  <c r="D144" i="6"/>
  <c r="D163" i="6" s="1"/>
  <c r="E96" i="6"/>
  <c r="E97" i="6" s="1"/>
  <c r="E125" i="6" s="1"/>
  <c r="G88" i="6"/>
  <c r="G96" i="6" s="1"/>
  <c r="L34" i="6"/>
  <c r="K73" i="6"/>
  <c r="L64" i="6"/>
  <c r="M9" i="6"/>
  <c r="M64" i="6" s="1"/>
  <c r="J33" i="6"/>
  <c r="I72" i="6"/>
  <c r="I75" i="6" s="1"/>
  <c r="E142" i="6"/>
  <c r="E155" i="6" s="1"/>
  <c r="L62" i="6"/>
  <c r="M5" i="6"/>
  <c r="M62" i="6" s="1"/>
  <c r="L15" i="6"/>
  <c r="K65" i="6"/>
  <c r="F88" i="6"/>
  <c r="J61" i="6"/>
  <c r="K6" i="6"/>
  <c r="J63" i="6"/>
  <c r="J85" i="6" s="1"/>
  <c r="K7" i="6"/>
  <c r="G124" i="3"/>
  <c r="G154" i="3" s="1"/>
  <c r="G105" i="3"/>
  <c r="J70" i="3"/>
  <c r="K11" i="3"/>
  <c r="F75" i="3"/>
  <c r="F84" i="3" s="1"/>
  <c r="I115" i="3"/>
  <c r="I55" i="3"/>
  <c r="I119" i="3" s="1"/>
  <c r="I27" i="3"/>
  <c r="I71" i="3" s="1"/>
  <c r="I77" i="3" s="1"/>
  <c r="I16" i="3"/>
  <c r="I64" i="3" s="1"/>
  <c r="I14" i="3"/>
  <c r="I63" i="3" s="1"/>
  <c r="I65" i="3"/>
  <c r="K13" i="3"/>
  <c r="J12" i="3"/>
  <c r="J39" i="3"/>
  <c r="H105" i="3"/>
  <c r="H124" i="3"/>
  <c r="J6" i="3"/>
  <c r="I61" i="3"/>
  <c r="G73" i="3"/>
  <c r="G85" i="3" s="1"/>
  <c r="H34" i="3"/>
  <c r="H62" i="3"/>
  <c r="I5" i="3"/>
  <c r="J7" i="3"/>
  <c r="M15" i="3"/>
  <c r="J69" i="3"/>
  <c r="K10" i="3"/>
  <c r="H72" i="3"/>
  <c r="I33" i="3"/>
  <c r="K9" i="3"/>
  <c r="D96" i="3"/>
  <c r="D139" i="3"/>
  <c r="D141" i="3" s="1"/>
  <c r="E34" i="1"/>
  <c r="F34" i="1" s="1"/>
  <c r="G34" i="1" s="1"/>
  <c r="H34" i="1" s="1"/>
  <c r="I34" i="1" s="1"/>
  <c r="J34" i="1" s="1"/>
  <c r="K34" i="1" s="1"/>
  <c r="L34" i="1" s="1"/>
  <c r="M34" i="1" s="1"/>
  <c r="K92" i="1"/>
  <c r="L92" i="1"/>
  <c r="M92" i="1"/>
  <c r="J92" i="1"/>
  <c r="J147" i="1"/>
  <c r="R149" i="1"/>
  <c r="R150" i="1" s="1"/>
  <c r="O139" i="1" s="1"/>
  <c r="Q157" i="1"/>
  <c r="G94" i="1"/>
  <c r="H94" i="1"/>
  <c r="I94" i="1"/>
  <c r="J94" i="1"/>
  <c r="K94" i="1"/>
  <c r="L94" i="1"/>
  <c r="M94" i="1"/>
  <c r="N10" i="1"/>
  <c r="D94" i="1"/>
  <c r="E94" i="1"/>
  <c r="F94" i="1"/>
  <c r="D61" i="1"/>
  <c r="G75" i="3" l="1"/>
  <c r="F83" i="3"/>
  <c r="F79" i="3"/>
  <c r="H83" i="6"/>
  <c r="H79" i="6"/>
  <c r="G139" i="6"/>
  <c r="G141" i="6" s="1"/>
  <c r="G142" i="6" s="1"/>
  <c r="G144" i="6" s="1"/>
  <c r="E144" i="6"/>
  <c r="E163" i="6" s="1"/>
  <c r="K63" i="6"/>
  <c r="K85" i="6" s="1"/>
  <c r="L7" i="6"/>
  <c r="J72" i="6"/>
  <c r="J75" i="6" s="1"/>
  <c r="K33" i="6"/>
  <c r="I83" i="6"/>
  <c r="I79" i="6"/>
  <c r="F96" i="6"/>
  <c r="F139" i="6"/>
  <c r="F141" i="6" s="1"/>
  <c r="G97" i="6"/>
  <c r="G125" i="6" s="1"/>
  <c r="M34" i="6"/>
  <c r="M73" i="6" s="1"/>
  <c r="L73" i="6"/>
  <c r="L6" i="6"/>
  <c r="K61" i="6"/>
  <c r="L65" i="6"/>
  <c r="M15" i="6"/>
  <c r="M65" i="6" s="1"/>
  <c r="E98" i="6"/>
  <c r="E131" i="6" s="1"/>
  <c r="G121" i="3"/>
  <c r="G153" i="3"/>
  <c r="L11" i="3"/>
  <c r="K70" i="3"/>
  <c r="H154" i="3"/>
  <c r="L13" i="3"/>
  <c r="K12" i="3"/>
  <c r="K39" i="3"/>
  <c r="I124" i="3"/>
  <c r="I154" i="3" s="1"/>
  <c r="I105" i="3"/>
  <c r="H153" i="3"/>
  <c r="H121" i="3"/>
  <c r="J115" i="3"/>
  <c r="J55" i="3"/>
  <c r="J119" i="3" s="1"/>
  <c r="J16" i="3"/>
  <c r="J64" i="3" s="1"/>
  <c r="J27" i="3"/>
  <c r="J71" i="3" s="1"/>
  <c r="J77" i="3" s="1"/>
  <c r="J14" i="3"/>
  <c r="J63" i="3" s="1"/>
  <c r="J65" i="3"/>
  <c r="F88" i="3"/>
  <c r="F139" i="3" s="1"/>
  <c r="F141" i="3" s="1"/>
  <c r="K6" i="3"/>
  <c r="J61" i="3"/>
  <c r="L9" i="3"/>
  <c r="E139" i="3"/>
  <c r="E141" i="3" s="1"/>
  <c r="E96" i="3"/>
  <c r="D142" i="3"/>
  <c r="D155" i="3" s="1"/>
  <c r="D181" i="3" s="1"/>
  <c r="I34" i="3"/>
  <c r="H73" i="3"/>
  <c r="H75" i="3" s="1"/>
  <c r="D97" i="3"/>
  <c r="D125" i="3" s="1"/>
  <c r="I72" i="3"/>
  <c r="J33" i="3"/>
  <c r="G83" i="3"/>
  <c r="G84" i="3"/>
  <c r="G79" i="3"/>
  <c r="K69" i="3"/>
  <c r="L10" i="3"/>
  <c r="K7" i="3"/>
  <c r="I62" i="3"/>
  <c r="J5" i="3"/>
  <c r="J112" i="1"/>
  <c r="K112" i="1" s="1"/>
  <c r="L112" i="1" s="1"/>
  <c r="M112" i="1" s="1"/>
  <c r="N82" i="1"/>
  <c r="H88" i="6" l="1"/>
  <c r="J83" i="6"/>
  <c r="J79" i="6"/>
  <c r="H139" i="6"/>
  <c r="H141" i="6" s="1"/>
  <c r="H96" i="6"/>
  <c r="F142" i="6"/>
  <c r="F155" i="6" s="1"/>
  <c r="K72" i="6"/>
  <c r="K75" i="6" s="1"/>
  <c r="L33" i="6"/>
  <c r="M33" i="6" s="1"/>
  <c r="E134" i="6"/>
  <c r="E136" i="6" s="1"/>
  <c r="F97" i="6"/>
  <c r="F125" i="6" s="1"/>
  <c r="L61" i="6"/>
  <c r="M6" i="6"/>
  <c r="M61" i="6" s="1"/>
  <c r="G98" i="6"/>
  <c r="I88" i="6"/>
  <c r="L63" i="6"/>
  <c r="L85" i="6" s="1"/>
  <c r="M7" i="6"/>
  <c r="M63" i="6" s="1"/>
  <c r="M85" i="6" s="1"/>
  <c r="L70" i="3"/>
  <c r="M11" i="3"/>
  <c r="M70" i="3" s="1"/>
  <c r="H85" i="3"/>
  <c r="D144" i="3"/>
  <c r="K55" i="3"/>
  <c r="K119" i="3" s="1"/>
  <c r="K115" i="3"/>
  <c r="K16" i="3"/>
  <c r="K64" i="3" s="1"/>
  <c r="K14" i="3"/>
  <c r="K27" i="3"/>
  <c r="K71" i="3" s="1"/>
  <c r="K77" i="3" s="1"/>
  <c r="K65" i="3"/>
  <c r="J124" i="3"/>
  <c r="J154" i="3" s="1"/>
  <c r="J105" i="3"/>
  <c r="I153" i="3"/>
  <c r="I121" i="3"/>
  <c r="L12" i="3"/>
  <c r="L39" i="3"/>
  <c r="M13" i="3"/>
  <c r="F96" i="3"/>
  <c r="F97" i="3" s="1"/>
  <c r="F125" i="3" s="1"/>
  <c r="L6" i="3"/>
  <c r="K61" i="3"/>
  <c r="H83" i="3"/>
  <c r="H79" i="3"/>
  <c r="H84" i="3"/>
  <c r="I84" i="3" s="1"/>
  <c r="J84" i="3" s="1"/>
  <c r="K84" i="3" s="1"/>
  <c r="L84" i="3" s="1"/>
  <c r="M84" i="3" s="1"/>
  <c r="K63" i="3"/>
  <c r="L7" i="3"/>
  <c r="K33" i="3"/>
  <c r="J72" i="3"/>
  <c r="E97" i="3"/>
  <c r="E125" i="3" s="1"/>
  <c r="F142" i="3"/>
  <c r="F144" i="3" s="1"/>
  <c r="F179" i="3" s="1"/>
  <c r="K5" i="3"/>
  <c r="J62" i="3"/>
  <c r="L69" i="3"/>
  <c r="M10" i="3"/>
  <c r="M69" i="3" s="1"/>
  <c r="G88" i="3"/>
  <c r="I73" i="3"/>
  <c r="I85" i="3" s="1"/>
  <c r="J34" i="3"/>
  <c r="E142" i="3"/>
  <c r="E155" i="3" s="1"/>
  <c r="E181" i="3" s="1"/>
  <c r="D98" i="3"/>
  <c r="D131" i="3" s="1"/>
  <c r="M9" i="3"/>
  <c r="Q146" i="1"/>
  <c r="R146" i="1" s="1"/>
  <c r="I75" i="3" l="1"/>
  <c r="G155" i="6"/>
  <c r="G163" i="6" s="1"/>
  <c r="K83" i="6"/>
  <c r="K79" i="6"/>
  <c r="H142" i="6"/>
  <c r="H155" i="6" s="1"/>
  <c r="I96" i="6"/>
  <c r="I139" i="6"/>
  <c r="I141" i="6" s="1"/>
  <c r="F144" i="6"/>
  <c r="F163" i="6" s="1"/>
  <c r="F98" i="6"/>
  <c r="F131" i="6" s="1"/>
  <c r="G131" i="6" s="1"/>
  <c r="L72" i="6"/>
  <c r="L75" i="6" s="1"/>
  <c r="M72" i="6"/>
  <c r="M75" i="6" s="1"/>
  <c r="H97" i="6"/>
  <c r="H125" i="6" s="1"/>
  <c r="J88" i="6"/>
  <c r="D163" i="3"/>
  <c r="D179" i="3"/>
  <c r="D183" i="3" s="1"/>
  <c r="L27" i="3"/>
  <c r="L71" i="3" s="1"/>
  <c r="L77" i="3" s="1"/>
  <c r="L14" i="3"/>
  <c r="L63" i="3" s="1"/>
  <c r="L16" i="3"/>
  <c r="L64" i="3" s="1"/>
  <c r="L65" i="3"/>
  <c r="M39" i="3"/>
  <c r="M12" i="3"/>
  <c r="K105" i="3"/>
  <c r="K124" i="3"/>
  <c r="K154" i="3" s="1"/>
  <c r="L115" i="3"/>
  <c r="L55" i="3"/>
  <c r="L119" i="3" s="1"/>
  <c r="J153" i="3"/>
  <c r="J121" i="3"/>
  <c r="F98" i="3"/>
  <c r="L61" i="3"/>
  <c r="M6" i="3"/>
  <c r="M61" i="3" s="1"/>
  <c r="E98" i="3"/>
  <c r="E131" i="3" s="1"/>
  <c r="I79" i="3"/>
  <c r="I83" i="3"/>
  <c r="G139" i="3"/>
  <c r="G141" i="3" s="1"/>
  <c r="G96" i="3"/>
  <c r="K62" i="3"/>
  <c r="L5" i="3"/>
  <c r="M7" i="3"/>
  <c r="E144" i="3"/>
  <c r="K34" i="3"/>
  <c r="J73" i="3"/>
  <c r="J75" i="3" s="1"/>
  <c r="F155" i="3"/>
  <c r="K72" i="3"/>
  <c r="L33" i="3"/>
  <c r="H88" i="3"/>
  <c r="D134" i="3"/>
  <c r="D136" i="3" s="1"/>
  <c r="I90" i="1"/>
  <c r="J90" i="1"/>
  <c r="K90" i="1"/>
  <c r="L90" i="1"/>
  <c r="M90" i="1"/>
  <c r="H90" i="1"/>
  <c r="I108" i="1"/>
  <c r="J108" i="1"/>
  <c r="K108" i="1"/>
  <c r="L108" i="1"/>
  <c r="M108" i="1"/>
  <c r="I109" i="1"/>
  <c r="I91" i="1" s="1"/>
  <c r="J109" i="1"/>
  <c r="J91" i="1" s="1"/>
  <c r="K109" i="1"/>
  <c r="K91" i="1" s="1"/>
  <c r="L109" i="1"/>
  <c r="L91" i="1" s="1"/>
  <c r="M109" i="1"/>
  <c r="I118" i="1"/>
  <c r="J118" i="1"/>
  <c r="K118" i="1"/>
  <c r="L118" i="1"/>
  <c r="M118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81" i="1"/>
  <c r="I127" i="1" s="1"/>
  <c r="J81" i="1"/>
  <c r="J127" i="1" s="1"/>
  <c r="K81" i="1"/>
  <c r="K127" i="1" s="1"/>
  <c r="L81" i="1"/>
  <c r="L127" i="1" s="1"/>
  <c r="M81" i="1"/>
  <c r="M127" i="1" s="1"/>
  <c r="L29" i="1"/>
  <c r="N15" i="1"/>
  <c r="E15" i="1" s="1"/>
  <c r="F15" i="1" s="1"/>
  <c r="G15" i="1" s="1"/>
  <c r="H15" i="1" s="1"/>
  <c r="I15" i="1" s="1"/>
  <c r="J15" i="1" s="1"/>
  <c r="H144" i="6" l="1"/>
  <c r="H163" i="6" s="1"/>
  <c r="F134" i="6"/>
  <c r="F136" i="6" s="1"/>
  <c r="H98" i="6"/>
  <c r="H131" i="6" s="1"/>
  <c r="H134" i="6" s="1"/>
  <c r="H136" i="6" s="1"/>
  <c r="M83" i="6"/>
  <c r="M79" i="6"/>
  <c r="L79" i="6"/>
  <c r="L83" i="6"/>
  <c r="J96" i="6"/>
  <c r="J139" i="6"/>
  <c r="J141" i="6" s="1"/>
  <c r="G134" i="6"/>
  <c r="G136" i="6" s="1"/>
  <c r="I142" i="6"/>
  <c r="I155" i="6" s="1"/>
  <c r="I97" i="6"/>
  <c r="I125" i="6" s="1"/>
  <c r="K88" i="6"/>
  <c r="E163" i="3"/>
  <c r="E179" i="3"/>
  <c r="E183" i="3" s="1"/>
  <c r="F163" i="3"/>
  <c r="F181" i="3"/>
  <c r="F183" i="3" s="1"/>
  <c r="J85" i="3"/>
  <c r="M27" i="3"/>
  <c r="M71" i="3" s="1"/>
  <c r="M77" i="3" s="1"/>
  <c r="M16" i="3"/>
  <c r="M64" i="3" s="1"/>
  <c r="M14" i="3"/>
  <c r="M63" i="3" s="1"/>
  <c r="M65" i="3"/>
  <c r="M115" i="3"/>
  <c r="M55" i="3"/>
  <c r="M119" i="3" s="1"/>
  <c r="L105" i="3"/>
  <c r="L124" i="3"/>
  <c r="L154" i="3" s="1"/>
  <c r="K153" i="3"/>
  <c r="K121" i="3"/>
  <c r="I88" i="3"/>
  <c r="I139" i="3" s="1"/>
  <c r="I141" i="3" s="1"/>
  <c r="F131" i="3"/>
  <c r="F134" i="3" s="1"/>
  <c r="F136" i="3" s="1"/>
  <c r="E134" i="3"/>
  <c r="E136" i="3" s="1"/>
  <c r="G97" i="3"/>
  <c r="G125" i="3" s="1"/>
  <c r="G142" i="3"/>
  <c r="G155" i="3" s="1"/>
  <c r="G181" i="3" s="1"/>
  <c r="H96" i="3"/>
  <c r="H139" i="3"/>
  <c r="H141" i="3" s="1"/>
  <c r="L62" i="3"/>
  <c r="M5" i="3"/>
  <c r="M62" i="3" s="1"/>
  <c r="J79" i="3"/>
  <c r="J83" i="3"/>
  <c r="M33" i="3"/>
  <c r="M72" i="3" s="1"/>
  <c r="L72" i="3"/>
  <c r="K73" i="3"/>
  <c r="K75" i="3" s="1"/>
  <c r="L34" i="3"/>
  <c r="L143" i="1"/>
  <c r="L140" i="1"/>
  <c r="J143" i="1"/>
  <c r="J140" i="1"/>
  <c r="K140" i="1"/>
  <c r="K143" i="1" s="1"/>
  <c r="M91" i="1"/>
  <c r="M140" i="1" s="1"/>
  <c r="M143" i="1" s="1"/>
  <c r="I140" i="1"/>
  <c r="I143" i="1" s="1"/>
  <c r="K15" i="1"/>
  <c r="K139" i="6" l="1"/>
  <c r="K141" i="6" s="1"/>
  <c r="K96" i="6"/>
  <c r="J142" i="6"/>
  <c r="J155" i="6" s="1"/>
  <c r="L88" i="6"/>
  <c r="I98" i="6"/>
  <c r="I131" i="6" s="1"/>
  <c r="I134" i="6" s="1"/>
  <c r="I136" i="6" s="1"/>
  <c r="I144" i="6"/>
  <c r="I163" i="6" s="1"/>
  <c r="J97" i="6"/>
  <c r="J125" i="6" s="1"/>
  <c r="M88" i="6"/>
  <c r="K85" i="3"/>
  <c r="L153" i="3"/>
  <c r="L121" i="3"/>
  <c r="M124" i="3"/>
  <c r="M105" i="3"/>
  <c r="I96" i="3"/>
  <c r="I97" i="3" s="1"/>
  <c r="G98" i="3"/>
  <c r="G131" i="3" s="1"/>
  <c r="G134" i="3" s="1"/>
  <c r="G136" i="3" s="1"/>
  <c r="M34" i="3"/>
  <c r="M73" i="3" s="1"/>
  <c r="M75" i="3" s="1"/>
  <c r="L73" i="3"/>
  <c r="L75" i="3" s="1"/>
  <c r="G144" i="3"/>
  <c r="I142" i="3"/>
  <c r="I144" i="3" s="1"/>
  <c r="I179" i="3" s="1"/>
  <c r="J88" i="3"/>
  <c r="H142" i="3"/>
  <c r="H155" i="3" s="1"/>
  <c r="H181" i="3" s="1"/>
  <c r="K83" i="3"/>
  <c r="K79" i="3"/>
  <c r="H97" i="3"/>
  <c r="H125" i="3" s="1"/>
  <c r="L15" i="1"/>
  <c r="M85" i="3" l="1"/>
  <c r="J98" i="6"/>
  <c r="J131" i="6" s="1"/>
  <c r="J134" i="6" s="1"/>
  <c r="J136" i="6" s="1"/>
  <c r="J144" i="6"/>
  <c r="J163" i="6" s="1"/>
  <c r="M139" i="6"/>
  <c r="M141" i="6" s="1"/>
  <c r="M96" i="6"/>
  <c r="K97" i="6"/>
  <c r="K125" i="6" s="1"/>
  <c r="L96" i="6"/>
  <c r="L139" i="6"/>
  <c r="L141" i="6" s="1"/>
  <c r="K142" i="6"/>
  <c r="K155" i="6" s="1"/>
  <c r="G163" i="3"/>
  <c r="G179" i="3"/>
  <c r="G183" i="3" s="1"/>
  <c r="L85" i="3"/>
  <c r="M154" i="3"/>
  <c r="M160" i="3"/>
  <c r="M153" i="3"/>
  <c r="M159" i="3"/>
  <c r="M121" i="3"/>
  <c r="H144" i="3"/>
  <c r="I125" i="3"/>
  <c r="I98" i="3"/>
  <c r="H98" i="3"/>
  <c r="H131" i="3" s="1"/>
  <c r="H134" i="3" s="1"/>
  <c r="H136" i="3" s="1"/>
  <c r="K88" i="3"/>
  <c r="K139" i="3" s="1"/>
  <c r="K141" i="3" s="1"/>
  <c r="L83" i="3"/>
  <c r="L79" i="3"/>
  <c r="J96" i="3"/>
  <c r="J139" i="3"/>
  <c r="J141" i="3" s="1"/>
  <c r="M79" i="3"/>
  <c r="M83" i="3"/>
  <c r="I155" i="3"/>
  <c r="M15" i="1"/>
  <c r="K144" i="6" l="1"/>
  <c r="K163" i="6" s="1"/>
  <c r="L142" i="6"/>
  <c r="L155" i="6" s="1"/>
  <c r="K98" i="6"/>
  <c r="K131" i="6" s="1"/>
  <c r="K134" i="6" s="1"/>
  <c r="K136" i="6" s="1"/>
  <c r="L97" i="6"/>
  <c r="L125" i="6" s="1"/>
  <c r="M97" i="6"/>
  <c r="M125" i="6" s="1"/>
  <c r="M142" i="6"/>
  <c r="M144" i="6" s="1"/>
  <c r="H163" i="3"/>
  <c r="H179" i="3"/>
  <c r="H183" i="3" s="1"/>
  <c r="I163" i="3"/>
  <c r="I181" i="3"/>
  <c r="I183" i="3" s="1"/>
  <c r="I131" i="3"/>
  <c r="I134" i="3" s="1"/>
  <c r="I136" i="3" s="1"/>
  <c r="L88" i="3"/>
  <c r="L96" i="3" s="1"/>
  <c r="K96" i="3"/>
  <c r="K97" i="3" s="1"/>
  <c r="K125" i="3" s="1"/>
  <c r="M88" i="3"/>
  <c r="M139" i="3" s="1"/>
  <c r="M141" i="3" s="1"/>
  <c r="J97" i="3"/>
  <c r="J125" i="3" s="1"/>
  <c r="K142" i="3"/>
  <c r="K144" i="3" s="1"/>
  <c r="K179" i="3" s="1"/>
  <c r="J142" i="3"/>
  <c r="J155" i="3" s="1"/>
  <c r="J181" i="3" s="1"/>
  <c r="N14" i="1"/>
  <c r="G10" i="1"/>
  <c r="H10" i="1" s="1"/>
  <c r="I10" i="1" s="1"/>
  <c r="E9" i="1"/>
  <c r="F9" i="1" s="1"/>
  <c r="G9" i="1" s="1"/>
  <c r="H9" i="1" s="1"/>
  <c r="I9" i="1" s="1"/>
  <c r="I39" i="1"/>
  <c r="J39" i="1"/>
  <c r="K39" i="1"/>
  <c r="L39" i="1"/>
  <c r="M39" i="1"/>
  <c r="I40" i="1"/>
  <c r="J40" i="1"/>
  <c r="K40" i="1"/>
  <c r="L40" i="1"/>
  <c r="M40" i="1"/>
  <c r="I42" i="1"/>
  <c r="J42" i="1"/>
  <c r="K42" i="1"/>
  <c r="L42" i="1"/>
  <c r="M42" i="1"/>
  <c r="I43" i="1"/>
  <c r="J43" i="1"/>
  <c r="K43" i="1"/>
  <c r="L43" i="1"/>
  <c r="M43" i="1"/>
  <c r="I45" i="1"/>
  <c r="I117" i="1" s="1"/>
  <c r="J45" i="1"/>
  <c r="J117" i="1" s="1"/>
  <c r="K45" i="1"/>
  <c r="K117" i="1" s="1"/>
  <c r="L45" i="1"/>
  <c r="L117" i="1" s="1"/>
  <c r="M45" i="1"/>
  <c r="M117" i="1" s="1"/>
  <c r="I29" i="1"/>
  <c r="J29" i="1"/>
  <c r="K29" i="1"/>
  <c r="M29" i="1"/>
  <c r="I30" i="1"/>
  <c r="J30" i="1"/>
  <c r="K30" i="1"/>
  <c r="L30" i="1"/>
  <c r="M30" i="1"/>
  <c r="I73" i="1"/>
  <c r="J73" i="1"/>
  <c r="K73" i="1"/>
  <c r="L73" i="1"/>
  <c r="M73" i="1"/>
  <c r="E29" i="1"/>
  <c r="D29" i="1"/>
  <c r="E33" i="1"/>
  <c r="F33" i="1" s="1"/>
  <c r="G33" i="1" s="1"/>
  <c r="H33" i="1" s="1"/>
  <c r="I33" i="1" s="1"/>
  <c r="I12" i="1"/>
  <c r="J12" i="1"/>
  <c r="K12" i="1"/>
  <c r="L12" i="1"/>
  <c r="M12" i="1"/>
  <c r="J14" i="1"/>
  <c r="I16" i="1"/>
  <c r="M16" i="1"/>
  <c r="E7" i="1"/>
  <c r="F7" i="1" s="1"/>
  <c r="G7" i="1" s="1"/>
  <c r="H7" i="1" s="1"/>
  <c r="I7" i="1" s="1"/>
  <c r="E6" i="1"/>
  <c r="F6" i="1" s="1"/>
  <c r="G6" i="1" s="1"/>
  <c r="H6" i="1" s="1"/>
  <c r="E5" i="1"/>
  <c r="F5" i="1" s="1"/>
  <c r="G5" i="1" s="1"/>
  <c r="H5" i="1" s="1"/>
  <c r="I5" i="1" s="1"/>
  <c r="J5" i="1" s="1"/>
  <c r="K5" i="1" s="1"/>
  <c r="D90" i="1"/>
  <c r="E118" i="1"/>
  <c r="F118" i="1"/>
  <c r="G118" i="1"/>
  <c r="H118" i="1"/>
  <c r="D118" i="1"/>
  <c r="I8" i="1"/>
  <c r="I65" i="1" s="1"/>
  <c r="E40" i="1"/>
  <c r="F40" i="1"/>
  <c r="G40" i="1"/>
  <c r="H40" i="1"/>
  <c r="D42" i="1"/>
  <c r="D43" i="1"/>
  <c r="D40" i="1"/>
  <c r="E45" i="1"/>
  <c r="E117" i="1" s="1"/>
  <c r="F45" i="1"/>
  <c r="F117" i="1" s="1"/>
  <c r="G45" i="1"/>
  <c r="G117" i="1" s="1"/>
  <c r="H45" i="1"/>
  <c r="H117" i="1" s="1"/>
  <c r="D45" i="1"/>
  <c r="D117" i="1" s="1"/>
  <c r="E43" i="1"/>
  <c r="F43" i="1"/>
  <c r="G43" i="1"/>
  <c r="H43" i="1"/>
  <c r="E42" i="1"/>
  <c r="E116" i="1" s="1"/>
  <c r="F42" i="1"/>
  <c r="F116" i="1" s="1"/>
  <c r="G42" i="1"/>
  <c r="G116" i="1" s="1"/>
  <c r="H42" i="1"/>
  <c r="H116" i="1" s="1"/>
  <c r="D39" i="1"/>
  <c r="E39" i="1"/>
  <c r="E115" i="1" s="1"/>
  <c r="F39" i="1"/>
  <c r="G39" i="1"/>
  <c r="H39" i="1"/>
  <c r="L144" i="6" l="1"/>
  <c r="L163" i="6" s="1"/>
  <c r="M98" i="6"/>
  <c r="M161" i="6"/>
  <c r="M155" i="6"/>
  <c r="L98" i="6"/>
  <c r="L131" i="6" s="1"/>
  <c r="L134" i="6" s="1"/>
  <c r="L136" i="6" s="1"/>
  <c r="L139" i="3"/>
  <c r="L141" i="3" s="1"/>
  <c r="J144" i="3"/>
  <c r="M96" i="3"/>
  <c r="M97" i="3" s="1"/>
  <c r="M125" i="3" s="1"/>
  <c r="K98" i="3"/>
  <c r="L142" i="3"/>
  <c r="L155" i="3" s="1"/>
  <c r="L181" i="3" s="1"/>
  <c r="K155" i="3"/>
  <c r="L97" i="3"/>
  <c r="L125" i="3" s="1"/>
  <c r="M142" i="3"/>
  <c r="M144" i="3" s="1"/>
  <c r="J98" i="3"/>
  <c r="J131" i="3" s="1"/>
  <c r="K65" i="1"/>
  <c r="K27" i="1"/>
  <c r="J65" i="1"/>
  <c r="J27" i="1"/>
  <c r="M65" i="1"/>
  <c r="M27" i="1"/>
  <c r="I27" i="1"/>
  <c r="I71" i="1" s="1"/>
  <c r="I77" i="1" s="1"/>
  <c r="H115" i="1"/>
  <c r="J16" i="1"/>
  <c r="L65" i="1"/>
  <c r="L27" i="1"/>
  <c r="L71" i="1" s="1"/>
  <c r="L77" i="1" s="1"/>
  <c r="M55" i="1"/>
  <c r="D55" i="1"/>
  <c r="D119" i="1" s="1"/>
  <c r="I6" i="1"/>
  <c r="I61" i="1" s="1"/>
  <c r="H61" i="1"/>
  <c r="J116" i="1"/>
  <c r="K55" i="1"/>
  <c r="M14" i="1"/>
  <c r="I14" i="1"/>
  <c r="I55" i="1"/>
  <c r="G115" i="1"/>
  <c r="L16" i="1"/>
  <c r="F115" i="1"/>
  <c r="K16" i="1"/>
  <c r="L14" i="1"/>
  <c r="L116" i="1"/>
  <c r="K14" i="1"/>
  <c r="J6" i="1"/>
  <c r="J61" i="1" s="1"/>
  <c r="J9" i="1"/>
  <c r="I64" i="1"/>
  <c r="I72" i="1"/>
  <c r="J33" i="1"/>
  <c r="G55" i="1"/>
  <c r="E55" i="1"/>
  <c r="I62" i="1"/>
  <c r="M71" i="1"/>
  <c r="M77" i="1" s="1"/>
  <c r="K71" i="1"/>
  <c r="K77" i="1" s="1"/>
  <c r="M116" i="1"/>
  <c r="K116" i="1"/>
  <c r="I116" i="1"/>
  <c r="M115" i="1"/>
  <c r="K115" i="1"/>
  <c r="I115" i="1"/>
  <c r="H55" i="1"/>
  <c r="F55" i="1"/>
  <c r="J7" i="1"/>
  <c r="I63" i="1"/>
  <c r="J71" i="1"/>
  <c r="J77" i="1" s="1"/>
  <c r="L55" i="1"/>
  <c r="L115" i="1"/>
  <c r="J55" i="1"/>
  <c r="J115" i="1"/>
  <c r="J10" i="1"/>
  <c r="I69" i="1"/>
  <c r="D115" i="1"/>
  <c r="D116" i="1"/>
  <c r="E73" i="1"/>
  <c r="F73" i="1"/>
  <c r="G73" i="1"/>
  <c r="H73" i="1"/>
  <c r="D72" i="1"/>
  <c r="C4" i="2"/>
  <c r="C3" i="2"/>
  <c r="M163" i="6" l="1"/>
  <c r="B164" i="6" s="1"/>
  <c r="M131" i="6"/>
  <c r="Q158" i="6" s="1"/>
  <c r="Q159" i="6" s="1"/>
  <c r="U153" i="6" s="1"/>
  <c r="K163" i="3"/>
  <c r="K181" i="3"/>
  <c r="K183" i="3" s="1"/>
  <c r="J163" i="3"/>
  <c r="J179" i="3"/>
  <c r="J183" i="3" s="1"/>
  <c r="M98" i="3"/>
  <c r="K131" i="3"/>
  <c r="K134" i="3" s="1"/>
  <c r="K136" i="3" s="1"/>
  <c r="J134" i="3"/>
  <c r="J136" i="3" s="1"/>
  <c r="L144" i="3"/>
  <c r="M161" i="3"/>
  <c r="L182" i="3" s="1"/>
  <c r="M155" i="3"/>
  <c r="L98" i="3"/>
  <c r="I124" i="1"/>
  <c r="I105" i="1"/>
  <c r="E119" i="1"/>
  <c r="L124" i="1"/>
  <c r="L105" i="1"/>
  <c r="M124" i="1"/>
  <c r="M105" i="1"/>
  <c r="J124" i="1"/>
  <c r="J154" i="1" s="1"/>
  <c r="J105" i="1"/>
  <c r="K124" i="1"/>
  <c r="K105" i="1"/>
  <c r="F119" i="1"/>
  <c r="G119" i="1" s="1"/>
  <c r="H119" i="1" s="1"/>
  <c r="I119" i="1" s="1"/>
  <c r="J119" i="1" s="1"/>
  <c r="K119" i="1" s="1"/>
  <c r="L119" i="1" s="1"/>
  <c r="M119" i="1" s="1"/>
  <c r="K7" i="1"/>
  <c r="J63" i="1"/>
  <c r="K33" i="1"/>
  <c r="J72" i="1"/>
  <c r="K6" i="1"/>
  <c r="K10" i="1"/>
  <c r="J69" i="1"/>
  <c r="J62" i="1"/>
  <c r="K9" i="1"/>
  <c r="J64" i="1"/>
  <c r="E72" i="1"/>
  <c r="R157" i="6" l="1"/>
  <c r="M134" i="6"/>
  <c r="M136" i="6" s="1"/>
  <c r="R155" i="6"/>
  <c r="S157" i="6"/>
  <c r="O142" i="6" s="1"/>
  <c r="L163" i="3"/>
  <c r="L179" i="3"/>
  <c r="L183" i="3" s="1"/>
  <c r="L131" i="3"/>
  <c r="M131" i="3" s="1"/>
  <c r="Q158" i="3" s="1"/>
  <c r="Q159" i="3" s="1"/>
  <c r="M163" i="3"/>
  <c r="K154" i="1"/>
  <c r="K153" i="1"/>
  <c r="J153" i="1"/>
  <c r="L153" i="1"/>
  <c r="M153" i="1"/>
  <c r="M159" i="1"/>
  <c r="M160" i="1"/>
  <c r="M154" i="1"/>
  <c r="L154" i="1"/>
  <c r="L7" i="1"/>
  <c r="K63" i="1"/>
  <c r="L9" i="1"/>
  <c r="K64" i="1"/>
  <c r="L5" i="1"/>
  <c r="K62" i="1"/>
  <c r="L10" i="1"/>
  <c r="M10" i="1" s="1"/>
  <c r="K69" i="1"/>
  <c r="L6" i="1"/>
  <c r="K61" i="1"/>
  <c r="L33" i="1"/>
  <c r="K72" i="1"/>
  <c r="F72" i="1"/>
  <c r="Q162" i="6" l="1"/>
  <c r="Q164" i="6" s="1"/>
  <c r="J166" i="6"/>
  <c r="F166" i="6"/>
  <c r="M166" i="6"/>
  <c r="H166" i="6"/>
  <c r="C166" i="6"/>
  <c r="L166" i="6"/>
  <c r="G166" i="6"/>
  <c r="K166" i="6"/>
  <c r="I166" i="6"/>
  <c r="E166" i="6"/>
  <c r="D166" i="6"/>
  <c r="B164" i="3"/>
  <c r="L134" i="3"/>
  <c r="L136" i="3" s="1"/>
  <c r="M134" i="3"/>
  <c r="M136" i="3" s="1"/>
  <c r="R157" i="3"/>
  <c r="R155" i="3"/>
  <c r="S157" i="3"/>
  <c r="U153" i="3"/>
  <c r="M33" i="1"/>
  <c r="M72" i="1" s="1"/>
  <c r="L72" i="1"/>
  <c r="M6" i="1"/>
  <c r="M61" i="1" s="1"/>
  <c r="L61" i="1"/>
  <c r="M69" i="1"/>
  <c r="L69" i="1"/>
  <c r="M9" i="1"/>
  <c r="M64" i="1" s="1"/>
  <c r="L64" i="1"/>
  <c r="M5" i="1"/>
  <c r="M62" i="1" s="1"/>
  <c r="L62" i="1"/>
  <c r="M7" i="1"/>
  <c r="M63" i="1" s="1"/>
  <c r="L63" i="1"/>
  <c r="E109" i="1"/>
  <c r="F109" i="1"/>
  <c r="G109" i="1"/>
  <c r="H109" i="1"/>
  <c r="D109" i="1"/>
  <c r="E108" i="1"/>
  <c r="F108" i="1"/>
  <c r="G108" i="1"/>
  <c r="H108" i="1"/>
  <c r="D108" i="1"/>
  <c r="E90" i="1"/>
  <c r="F90" i="1"/>
  <c r="G90" i="1"/>
  <c r="D114" i="1"/>
  <c r="C168" i="6" l="1"/>
  <c r="Q162" i="3"/>
  <c r="Q164" i="3" s="1"/>
  <c r="O142" i="3"/>
  <c r="L166" i="3" s="1"/>
  <c r="P128" i="1"/>
  <c r="B2" i="2" s="1"/>
  <c r="C163" i="1"/>
  <c r="G91" i="1"/>
  <c r="G140" i="1" s="1"/>
  <c r="G143" i="1" s="1"/>
  <c r="H91" i="1"/>
  <c r="H140" i="1" s="1"/>
  <c r="H143" i="1" s="1"/>
  <c r="F91" i="1"/>
  <c r="F140" i="1" s="1"/>
  <c r="F143" i="1" s="1"/>
  <c r="E91" i="1"/>
  <c r="E140" i="1" s="1"/>
  <c r="E143" i="1" s="1"/>
  <c r="D91" i="1"/>
  <c r="E114" i="1"/>
  <c r="F114" i="1" s="1"/>
  <c r="G114" i="1" s="1"/>
  <c r="H114" i="1" s="1"/>
  <c r="I114" i="1" s="1"/>
  <c r="J114" i="1" s="1"/>
  <c r="K114" i="1" s="1"/>
  <c r="L114" i="1" s="1"/>
  <c r="M114" i="1" s="1"/>
  <c r="K166" i="3" l="1"/>
  <c r="D166" i="3"/>
  <c r="I166" i="3"/>
  <c r="F166" i="3"/>
  <c r="C166" i="3"/>
  <c r="J166" i="3"/>
  <c r="M166" i="3"/>
  <c r="H166" i="3"/>
  <c r="E166" i="3"/>
  <c r="G166" i="3"/>
  <c r="D110" i="1"/>
  <c r="D140" i="1"/>
  <c r="D143" i="1" s="1"/>
  <c r="E110" i="1"/>
  <c r="D8" i="2"/>
  <c r="B8" i="2"/>
  <c r="C8" i="2" s="1"/>
  <c r="G8" i="2" s="1"/>
  <c r="E81" i="1"/>
  <c r="E127" i="1" s="1"/>
  <c r="F81" i="1"/>
  <c r="F127" i="1" s="1"/>
  <c r="G81" i="1"/>
  <c r="G127" i="1" s="1"/>
  <c r="H81" i="1"/>
  <c r="H127" i="1" s="1"/>
  <c r="D81" i="1"/>
  <c r="D127" i="1" s="1"/>
  <c r="C168" i="3" l="1"/>
  <c r="D170" i="3" s="1"/>
  <c r="F170" i="3" s="1"/>
  <c r="F110" i="1"/>
  <c r="F8" i="2"/>
  <c r="A9" i="2" s="1"/>
  <c r="B9" i="2" s="1"/>
  <c r="H8" i="2"/>
  <c r="E30" i="1"/>
  <c r="F30" i="1"/>
  <c r="G30" i="1"/>
  <c r="H30" i="1"/>
  <c r="D30" i="1"/>
  <c r="F29" i="1"/>
  <c r="G29" i="1"/>
  <c r="H29" i="1"/>
  <c r="G68" i="1"/>
  <c r="H68" i="1"/>
  <c r="D68" i="1"/>
  <c r="D67" i="1"/>
  <c r="G66" i="1"/>
  <c r="D66" i="1"/>
  <c r="H66" i="1"/>
  <c r="E24" i="1"/>
  <c r="F24" i="1" s="1"/>
  <c r="F68" i="1" s="1"/>
  <c r="E23" i="1"/>
  <c r="F23" i="1" s="1"/>
  <c r="F67" i="1" s="1"/>
  <c r="E22" i="1"/>
  <c r="E66" i="1" s="1"/>
  <c r="F172" i="3" l="1"/>
  <c r="F171" i="3"/>
  <c r="L82" i="1"/>
  <c r="J82" i="1"/>
  <c r="I82" i="1"/>
  <c r="M82" i="1"/>
  <c r="K82" i="1"/>
  <c r="G110" i="1"/>
  <c r="D9" i="2"/>
  <c r="C9" i="2" s="1"/>
  <c r="H82" i="1"/>
  <c r="F82" i="1"/>
  <c r="E67" i="1"/>
  <c r="E68" i="1"/>
  <c r="D82" i="1"/>
  <c r="G82" i="1"/>
  <c r="E82" i="1"/>
  <c r="F22" i="1"/>
  <c r="F66" i="1" s="1"/>
  <c r="D69" i="1"/>
  <c r="E12" i="1"/>
  <c r="F12" i="1"/>
  <c r="G12" i="1"/>
  <c r="H12" i="1"/>
  <c r="H27" i="1" s="1"/>
  <c r="D12" i="1"/>
  <c r="G27" i="1" l="1"/>
  <c r="G71" i="1" s="1"/>
  <c r="G77" i="1" s="1"/>
  <c r="F71" i="1"/>
  <c r="F77" i="1" s="1"/>
  <c r="F27" i="1"/>
  <c r="D62" i="1"/>
  <c r="D27" i="1"/>
  <c r="D71" i="1" s="1"/>
  <c r="D77" i="1" s="1"/>
  <c r="D105" i="1" s="1"/>
  <c r="D121" i="1" s="1"/>
  <c r="E71" i="1"/>
  <c r="E77" i="1" s="1"/>
  <c r="E124" i="1" s="1"/>
  <c r="E27" i="1"/>
  <c r="D14" i="1"/>
  <c r="D63" i="1" s="1"/>
  <c r="H110" i="1"/>
  <c r="F9" i="2"/>
  <c r="A10" i="2" s="1"/>
  <c r="D10" i="2" s="1"/>
  <c r="G9" i="2"/>
  <c r="H9" i="2"/>
  <c r="H71" i="1"/>
  <c r="H77" i="1" s="1"/>
  <c r="H65" i="1"/>
  <c r="D16" i="1"/>
  <c r="D64" i="1" s="1"/>
  <c r="E70" i="1"/>
  <c r="F70" i="1"/>
  <c r="D70" i="1"/>
  <c r="E69" i="1"/>
  <c r="F69" i="1"/>
  <c r="E16" i="1"/>
  <c r="E64" i="1" s="1"/>
  <c r="F16" i="1"/>
  <c r="F64" i="1" s="1"/>
  <c r="G16" i="1"/>
  <c r="H16" i="1"/>
  <c r="N16" i="1"/>
  <c r="E14" i="1"/>
  <c r="E63" i="1" s="1"/>
  <c r="F14" i="1"/>
  <c r="F63" i="1" s="1"/>
  <c r="G14" i="1"/>
  <c r="H14" i="1"/>
  <c r="G11" i="1"/>
  <c r="G70" i="1" s="1"/>
  <c r="H67" i="1"/>
  <c r="G67" i="1"/>
  <c r="E8" i="1"/>
  <c r="E65" i="1" s="1"/>
  <c r="F8" i="1"/>
  <c r="F65" i="1" s="1"/>
  <c r="G8" i="1"/>
  <c r="G65" i="1" s="1"/>
  <c r="D8" i="1"/>
  <c r="D65" i="1" s="1"/>
  <c r="F124" i="1" l="1"/>
  <c r="F105" i="1"/>
  <c r="F121" i="1" s="1"/>
  <c r="G124" i="1"/>
  <c r="G105" i="1"/>
  <c r="G121" i="1" s="1"/>
  <c r="F154" i="1"/>
  <c r="E105" i="1"/>
  <c r="E121" i="1" s="1"/>
  <c r="G154" i="1"/>
  <c r="G153" i="1"/>
  <c r="H105" i="1"/>
  <c r="H124" i="1"/>
  <c r="D124" i="1"/>
  <c r="D85" i="1"/>
  <c r="D75" i="1"/>
  <c r="N84" i="1" s="1"/>
  <c r="I110" i="1"/>
  <c r="I121" i="1" s="1"/>
  <c r="B10" i="2"/>
  <c r="C10" i="2" s="1"/>
  <c r="F10" i="2" s="1"/>
  <c r="A11" i="2" s="1"/>
  <c r="D11" i="2" s="1"/>
  <c r="H10" i="2"/>
  <c r="H11" i="1"/>
  <c r="F62" i="1"/>
  <c r="F61" i="1"/>
  <c r="G69" i="1"/>
  <c r="G63" i="1"/>
  <c r="G64" i="1"/>
  <c r="E61" i="1"/>
  <c r="E62" i="1"/>
  <c r="H63" i="1"/>
  <c r="H64" i="1"/>
  <c r="H153" i="1" l="1"/>
  <c r="F153" i="1"/>
  <c r="D153" i="1"/>
  <c r="I153" i="1"/>
  <c r="H121" i="1"/>
  <c r="E85" i="1"/>
  <c r="F85" i="1"/>
  <c r="E153" i="1"/>
  <c r="D154" i="1"/>
  <c r="E154" i="1"/>
  <c r="H154" i="1"/>
  <c r="I154" i="1"/>
  <c r="F75" i="1"/>
  <c r="F84" i="1" s="1"/>
  <c r="E75" i="1"/>
  <c r="E79" i="1" s="1"/>
  <c r="D79" i="1"/>
  <c r="D88" i="1" s="1"/>
  <c r="N83" i="1"/>
  <c r="H70" i="1"/>
  <c r="I11" i="1"/>
  <c r="J110" i="1"/>
  <c r="J121" i="1" s="1"/>
  <c r="H69" i="1"/>
  <c r="G10" i="2"/>
  <c r="B11" i="2"/>
  <c r="C11" i="2" s="1"/>
  <c r="F11" i="2" s="1"/>
  <c r="A12" i="2" s="1"/>
  <c r="D12" i="2" s="1"/>
  <c r="H11" i="2"/>
  <c r="G62" i="1"/>
  <c r="G61" i="1"/>
  <c r="F79" i="1" l="1"/>
  <c r="E83" i="1"/>
  <c r="E84" i="1"/>
  <c r="D139" i="1"/>
  <c r="D141" i="1" s="1"/>
  <c r="D142" i="1" s="1"/>
  <c r="F83" i="1"/>
  <c r="I70" i="1"/>
  <c r="I75" i="1" s="1"/>
  <c r="I79" i="1" s="1"/>
  <c r="J11" i="1"/>
  <c r="K110" i="1"/>
  <c r="K121" i="1" s="1"/>
  <c r="H62" i="1"/>
  <c r="H12" i="2"/>
  <c r="B12" i="2"/>
  <c r="C12" i="2" s="1"/>
  <c r="G11" i="2"/>
  <c r="F88" i="1" l="1"/>
  <c r="E88" i="1"/>
  <c r="E139" i="1" s="1"/>
  <c r="E141" i="1" s="1"/>
  <c r="E142" i="1" s="1"/>
  <c r="E144" i="1" s="1"/>
  <c r="F139" i="1"/>
  <c r="F141" i="1" s="1"/>
  <c r="F142" i="1" s="1"/>
  <c r="I83" i="1"/>
  <c r="D144" i="1"/>
  <c r="D155" i="1"/>
  <c r="K11" i="1"/>
  <c r="J70" i="1"/>
  <c r="J75" i="1" s="1"/>
  <c r="L110" i="1"/>
  <c r="L121" i="1" s="1"/>
  <c r="I85" i="1"/>
  <c r="G12" i="2"/>
  <c r="F12" i="2"/>
  <c r="A13" i="2" s="1"/>
  <c r="E155" i="1" l="1"/>
  <c r="J79" i="1"/>
  <c r="J83" i="1"/>
  <c r="F144" i="1"/>
  <c r="F155" i="1"/>
  <c r="J85" i="1"/>
  <c r="M110" i="1"/>
  <c r="M147" i="1" s="1"/>
  <c r="L11" i="1"/>
  <c r="K70" i="1"/>
  <c r="K75" i="1" s="1"/>
  <c r="D13" i="2"/>
  <c r="H13" i="2" s="1"/>
  <c r="B13" i="2"/>
  <c r="N147" i="1" l="1"/>
  <c r="M148" i="1" s="1"/>
  <c r="M121" i="1"/>
  <c r="K79" i="1"/>
  <c r="K83" i="1"/>
  <c r="K85" i="1"/>
  <c r="M11" i="1"/>
  <c r="M70" i="1" s="1"/>
  <c r="M75" i="1" s="1"/>
  <c r="L70" i="1"/>
  <c r="L75" i="1" s="1"/>
  <c r="C13" i="2"/>
  <c r="F13" i="2" s="1"/>
  <c r="A14" i="2" s="1"/>
  <c r="B14" i="2" s="1"/>
  <c r="M79" i="1" l="1"/>
  <c r="M83" i="1"/>
  <c r="L79" i="1"/>
  <c r="L83" i="1"/>
  <c r="L85" i="1"/>
  <c r="M85" i="1"/>
  <c r="D14" i="2"/>
  <c r="H14" i="2" s="1"/>
  <c r="G13" i="2"/>
  <c r="C14" i="2" l="1"/>
  <c r="F14" i="2" s="1"/>
  <c r="A15" i="2" s="1"/>
  <c r="D15" i="2" s="1"/>
  <c r="H15" i="2" s="1"/>
  <c r="B15" i="2" l="1"/>
  <c r="C15" i="2" s="1"/>
  <c r="F15" i="2" s="1"/>
  <c r="A16" i="2" s="1"/>
  <c r="G14" i="2"/>
  <c r="G15" i="2" l="1"/>
  <c r="B16" i="2"/>
  <c r="D16" i="2"/>
  <c r="H16" i="2" s="1"/>
  <c r="C16" i="2" l="1"/>
  <c r="F16" i="2" s="1"/>
  <c r="A17" i="2" s="1"/>
  <c r="G16" i="2" l="1"/>
  <c r="D17" i="2"/>
  <c r="H17" i="2" s="1"/>
  <c r="B17" i="2"/>
  <c r="C17" i="2" l="1"/>
  <c r="F17" i="2" s="1"/>
  <c r="A18" i="2" s="1"/>
  <c r="D18" i="2" s="1"/>
  <c r="H18" i="2" s="1"/>
  <c r="G17" i="2" l="1"/>
  <c r="B18" i="2"/>
  <c r="C18" i="2" s="1"/>
  <c r="F18" i="2" s="1"/>
  <c r="A19" i="2" s="1"/>
  <c r="D19" i="2" s="1"/>
  <c r="I19" i="2" s="1"/>
  <c r="D93" i="1" s="1"/>
  <c r="D96" i="1" s="1"/>
  <c r="G18" i="2" l="1"/>
  <c r="B19" i="2"/>
  <c r="C19" i="2" s="1"/>
  <c r="F19" i="2" s="1"/>
  <c r="H19" i="2"/>
  <c r="A20" i="2" l="1"/>
  <c r="B20" i="2" s="1"/>
  <c r="D126" i="1"/>
  <c r="G19" i="2"/>
  <c r="D97" i="1"/>
  <c r="D98" i="1" l="1"/>
  <c r="D131" i="1" s="1"/>
  <c r="D125" i="1"/>
  <c r="D20" i="2"/>
  <c r="H20" i="2" s="1"/>
  <c r="D163" i="1"/>
  <c r="C20" i="2" l="1"/>
  <c r="G20" i="2" s="1"/>
  <c r="D134" i="1"/>
  <c r="D136" i="1" s="1"/>
  <c r="F20" i="2"/>
  <c r="A21" i="2" s="1"/>
  <c r="B21" i="2" l="1"/>
  <c r="D21" i="2"/>
  <c r="C21" i="2" l="1"/>
  <c r="F21" i="2" s="1"/>
  <c r="A22" i="2" s="1"/>
  <c r="H21" i="2"/>
  <c r="G21" i="2" l="1"/>
  <c r="B22" i="2"/>
  <c r="D22" i="2"/>
  <c r="C22" i="2" l="1"/>
  <c r="F22" i="2" s="1"/>
  <c r="A23" i="2" s="1"/>
  <c r="H22" i="2"/>
  <c r="G22" i="2" l="1"/>
  <c r="D23" i="2"/>
  <c r="B23" i="2"/>
  <c r="C23" i="2" l="1"/>
  <c r="F23" i="2" s="1"/>
  <c r="A24" i="2" s="1"/>
  <c r="D24" i="2" s="1"/>
  <c r="H23" i="2"/>
  <c r="G23" i="2" l="1"/>
  <c r="B24" i="2"/>
  <c r="C24" i="2" s="1"/>
  <c r="H24" i="2"/>
  <c r="F24" i="2" l="1"/>
  <c r="A25" i="2" s="1"/>
  <c r="G24" i="2"/>
  <c r="D25" i="2" l="1"/>
  <c r="H25" i="2" s="1"/>
  <c r="B25" i="2"/>
  <c r="C25" i="2" l="1"/>
  <c r="F25" i="2" s="1"/>
  <c r="A26" i="2" s="1"/>
  <c r="D26" i="2" s="1"/>
  <c r="G25" i="2" l="1"/>
  <c r="H26" i="2"/>
  <c r="B26" i="2"/>
  <c r="C26" i="2" s="1"/>
  <c r="F26" i="2" s="1"/>
  <c r="A27" i="2" s="1"/>
  <c r="D27" i="2" s="1"/>
  <c r="H27" i="2" l="1"/>
  <c r="G26" i="2"/>
  <c r="B27" i="2"/>
  <c r="C27" i="2" s="1"/>
  <c r="F27" i="2" s="1"/>
  <c r="A28" i="2" s="1"/>
  <c r="D28" i="2" s="1"/>
  <c r="H28" i="2" l="1"/>
  <c r="B28" i="2"/>
  <c r="C28" i="2" s="1"/>
  <c r="G27" i="2"/>
  <c r="G28" i="2" l="1"/>
  <c r="F28" i="2"/>
  <c r="A29" i="2" s="1"/>
  <c r="D29" i="2" s="1"/>
  <c r="H29" i="2" s="1"/>
  <c r="B29" i="2" l="1"/>
  <c r="C29" i="2" s="1"/>
  <c r="G29" i="2" s="1"/>
  <c r="F29" i="2" l="1"/>
  <c r="A30" i="2" s="1"/>
  <c r="D30" i="2" l="1"/>
  <c r="H30" i="2" s="1"/>
  <c r="B30" i="2"/>
  <c r="C30" i="2" l="1"/>
  <c r="G30" i="2" s="1"/>
  <c r="F30" i="2" l="1"/>
  <c r="A31" i="2" s="1"/>
  <c r="B31" i="2" s="1"/>
  <c r="D31" i="2" l="1"/>
  <c r="I31" i="2" l="1"/>
  <c r="E93" i="1" s="1"/>
  <c r="E96" i="1" s="1"/>
  <c r="E97" i="1" s="1"/>
  <c r="H31" i="2"/>
  <c r="C31" i="2"/>
  <c r="E98" i="1" l="1"/>
  <c r="E131" i="1" s="1"/>
  <c r="E125" i="1"/>
  <c r="F31" i="2"/>
  <c r="G31" i="2"/>
  <c r="A32" i="2" l="1"/>
  <c r="E126" i="1"/>
  <c r="E134" i="1" l="1"/>
  <c r="E136" i="1" s="1"/>
  <c r="E163" i="1"/>
  <c r="B32" i="2"/>
  <c r="D32" i="2"/>
  <c r="H32" i="2" s="1"/>
  <c r="C32" i="2" l="1"/>
  <c r="G32" i="2" s="1"/>
  <c r="F32" i="2" l="1"/>
  <c r="A33" i="2" s="1"/>
  <c r="D33" i="2" s="1"/>
  <c r="H33" i="2" l="1"/>
  <c r="B33" i="2"/>
  <c r="C33" i="2" s="1"/>
  <c r="F33" i="2" s="1"/>
  <c r="A34" i="2" s="1"/>
  <c r="D34" i="2" s="1"/>
  <c r="G33" i="2" l="1"/>
  <c r="H34" i="2"/>
  <c r="B34" i="2"/>
  <c r="C34" i="2" s="1"/>
  <c r="G34" i="2" l="1"/>
  <c r="F34" i="2"/>
  <c r="A35" i="2" s="1"/>
  <c r="B35" i="2" s="1"/>
  <c r="D35" i="2" l="1"/>
  <c r="H35" i="2" s="1"/>
  <c r="C35" i="2" l="1"/>
  <c r="G35" i="2" s="1"/>
  <c r="F35" i="2" l="1"/>
  <c r="A36" i="2" s="1"/>
  <c r="D36" i="2" s="1"/>
  <c r="H36" i="2" s="1"/>
  <c r="B36" i="2" l="1"/>
  <c r="C36" i="2" s="1"/>
  <c r="F36" i="2" s="1"/>
  <c r="A37" i="2" s="1"/>
  <c r="D37" i="2" s="1"/>
  <c r="H37" i="2" s="1"/>
  <c r="B37" i="2" l="1"/>
  <c r="C37" i="2" s="1"/>
  <c r="F37" i="2" s="1"/>
  <c r="A38" i="2" s="1"/>
  <c r="D38" i="2" s="1"/>
  <c r="H38" i="2" s="1"/>
  <c r="G36" i="2"/>
  <c r="G37" i="2" l="1"/>
  <c r="B38" i="2"/>
  <c r="C38" i="2" s="1"/>
  <c r="F38" i="2" s="1"/>
  <c r="A39" i="2" s="1"/>
  <c r="D39" i="2" s="1"/>
  <c r="G38" i="2" l="1"/>
  <c r="B39" i="2"/>
  <c r="C39" i="2" s="1"/>
  <c r="F39" i="2" s="1"/>
  <c r="A40" i="2" s="1"/>
  <c r="B40" i="2" s="1"/>
  <c r="H39" i="2"/>
  <c r="D40" i="2" l="1"/>
  <c r="C40" i="2" s="1"/>
  <c r="G39" i="2"/>
  <c r="G40" i="2" l="1"/>
  <c r="H40" i="2"/>
  <c r="F40" i="2"/>
  <c r="A41" i="2" s="1"/>
  <c r="D41" i="2" s="1"/>
  <c r="H41" i="2" l="1"/>
  <c r="B41" i="2"/>
  <c r="C41" i="2" s="1"/>
  <c r="F41" i="2" s="1"/>
  <c r="A42" i="2" s="1"/>
  <c r="G41" i="2" l="1"/>
  <c r="D42" i="2"/>
  <c r="H42" i="2" s="1"/>
  <c r="B42" i="2"/>
  <c r="C42" i="2" l="1"/>
  <c r="F42" i="2" s="1"/>
  <c r="A43" i="2" s="1"/>
  <c r="G42" i="2" l="1"/>
  <c r="D43" i="2"/>
  <c r="I43" i="2" s="1"/>
  <c r="F93" i="1" s="1"/>
  <c r="F96" i="1" s="1"/>
  <c r="B43" i="2"/>
  <c r="C43" i="2" l="1"/>
  <c r="F43" i="2" s="1"/>
  <c r="A44" i="2" s="1"/>
  <c r="H43" i="2"/>
  <c r="F97" i="1"/>
  <c r="F98" i="1" l="1"/>
  <c r="F131" i="1" s="1"/>
  <c r="F125" i="1"/>
  <c r="F126" i="1"/>
  <c r="G43" i="2"/>
  <c r="B44" i="2"/>
  <c r="D44" i="2"/>
  <c r="H44" i="2" s="1"/>
  <c r="F134" i="1" l="1"/>
  <c r="F136" i="1" s="1"/>
  <c r="F163" i="1"/>
  <c r="C44" i="2"/>
  <c r="G44" i="2" l="1"/>
  <c r="F44" i="2"/>
  <c r="A45" i="2" s="1"/>
  <c r="D45" i="2" l="1"/>
  <c r="H45" i="2" s="1"/>
  <c r="B45" i="2"/>
  <c r="C45" i="2" l="1"/>
  <c r="F45" i="2" s="1"/>
  <c r="A46" i="2" s="1"/>
  <c r="G45" i="2" l="1"/>
  <c r="D46" i="2"/>
  <c r="H46" i="2" s="1"/>
  <c r="B46" i="2"/>
  <c r="C46" i="2" l="1"/>
  <c r="G46" i="2" s="1"/>
  <c r="F46" i="2" l="1"/>
  <c r="A47" i="2" s="1"/>
  <c r="B47" i="2" s="1"/>
  <c r="D47" i="2" l="1"/>
  <c r="C47" i="2" s="1"/>
  <c r="G47" i="2" s="1"/>
  <c r="H47" i="2" l="1"/>
  <c r="F47" i="2"/>
  <c r="A48" i="2" s="1"/>
  <c r="D48" i="2" s="1"/>
  <c r="H48" i="2" l="1"/>
  <c r="B48" i="2"/>
  <c r="C48" i="2" s="1"/>
  <c r="F48" i="2" s="1"/>
  <c r="A49" i="2" s="1"/>
  <c r="B49" i="2" s="1"/>
  <c r="D49" i="2" l="1"/>
  <c r="H49" i="2" s="1"/>
  <c r="G48" i="2"/>
  <c r="C49" i="2" l="1"/>
  <c r="G49" i="2" s="1"/>
  <c r="F49" i="2" l="1"/>
  <c r="A50" i="2" s="1"/>
  <c r="D50" i="2" s="1"/>
  <c r="H50" i="2" s="1"/>
  <c r="B50" i="2" l="1"/>
  <c r="C50" i="2" s="1"/>
  <c r="G50" i="2" s="1"/>
  <c r="F50" i="2" l="1"/>
  <c r="A51" i="2" s="1"/>
  <c r="D51" i="2" s="1"/>
  <c r="H51" i="2" s="1"/>
  <c r="B51" i="2" l="1"/>
  <c r="C51" i="2" s="1"/>
  <c r="F51" i="2" s="1"/>
  <c r="A52" i="2" s="1"/>
  <c r="B52" i="2" s="1"/>
  <c r="D52" i="2" l="1"/>
  <c r="H52" i="2" s="1"/>
  <c r="G51" i="2"/>
  <c r="C52" i="2" l="1"/>
  <c r="F52" i="2" l="1"/>
  <c r="A53" i="2" s="1"/>
  <c r="G52" i="2"/>
  <c r="B53" i="2" l="1"/>
  <c r="D53" i="2"/>
  <c r="H53" i="2" s="1"/>
  <c r="C53" i="2" l="1"/>
  <c r="F53" i="2" l="1"/>
  <c r="A54" i="2" s="1"/>
  <c r="G53" i="2"/>
  <c r="D54" i="2" l="1"/>
  <c r="H54" i="2" s="1"/>
  <c r="B54" i="2"/>
  <c r="C54" i="2" l="1"/>
  <c r="G54" i="2" s="1"/>
  <c r="F54" i="2" l="1"/>
  <c r="A55" i="2" s="1"/>
  <c r="D55" i="2" s="1"/>
  <c r="I55" i="2" s="1"/>
  <c r="G93" i="1" s="1"/>
  <c r="B55" i="2" l="1"/>
  <c r="C55" i="2" s="1"/>
  <c r="F55" i="2" s="1"/>
  <c r="G126" i="1" s="1"/>
  <c r="H55" i="2"/>
  <c r="A56" i="2" l="1"/>
  <c r="B56" i="2" s="1"/>
  <c r="G55" i="2"/>
  <c r="D56" i="2" l="1"/>
  <c r="H56" i="2" s="1"/>
  <c r="C56" i="2" l="1"/>
  <c r="G56" i="2" s="1"/>
  <c r="F56" i="2" l="1"/>
  <c r="A57" i="2" s="1"/>
  <c r="D57" i="2" s="1"/>
  <c r="H57" i="2" s="1"/>
  <c r="B57" i="2" l="1"/>
  <c r="C57" i="2" s="1"/>
  <c r="G57" i="2" l="1"/>
  <c r="F57" i="2"/>
  <c r="A58" i="2" s="1"/>
  <c r="D58" i="2" l="1"/>
  <c r="H58" i="2" s="1"/>
  <c r="B58" i="2"/>
  <c r="C58" i="2" l="1"/>
  <c r="F58" i="2" l="1"/>
  <c r="A59" i="2" s="1"/>
  <c r="G58" i="2"/>
  <c r="B59" i="2" l="1"/>
  <c r="D59" i="2"/>
  <c r="H59" i="2" s="1"/>
  <c r="C59" i="2" l="1"/>
  <c r="F59" i="2" l="1"/>
  <c r="A60" i="2" s="1"/>
  <c r="G59" i="2"/>
  <c r="B60" i="2" l="1"/>
  <c r="D60" i="2"/>
  <c r="H60" i="2" s="1"/>
  <c r="C60" i="2" l="1"/>
  <c r="G60" i="2" s="1"/>
  <c r="F60" i="2" l="1"/>
  <c r="A61" i="2" s="1"/>
  <c r="B61" i="2" s="1"/>
  <c r="D61" i="2" l="1"/>
  <c r="H61" i="2" s="1"/>
  <c r="C61" i="2" l="1"/>
  <c r="G61" i="2" s="1"/>
  <c r="F61" i="2" l="1"/>
  <c r="A62" i="2" s="1"/>
  <c r="B62" i="2" s="1"/>
  <c r="D62" i="2" l="1"/>
  <c r="H62" i="2" s="1"/>
  <c r="C62" i="2" l="1"/>
  <c r="F62" i="2" s="1"/>
  <c r="A63" i="2" s="1"/>
  <c r="G62" i="2" l="1"/>
  <c r="D63" i="2"/>
  <c r="H63" i="2" s="1"/>
  <c r="B63" i="2"/>
  <c r="C63" i="2" l="1"/>
  <c r="F63" i="2" s="1"/>
  <c r="A64" i="2" s="1"/>
  <c r="D64" i="2" s="1"/>
  <c r="H64" i="2" s="1"/>
  <c r="B64" i="2" l="1"/>
  <c r="C64" i="2" s="1"/>
  <c r="G63" i="2"/>
  <c r="G64" i="2" l="1"/>
  <c r="F64" i="2"/>
  <c r="A65" i="2" s="1"/>
  <c r="D65" i="2" l="1"/>
  <c r="H65" i="2" s="1"/>
  <c r="B65" i="2"/>
  <c r="C65" i="2" l="1"/>
  <c r="G65" i="2" l="1"/>
  <c r="F65" i="2"/>
  <c r="A66" i="2" s="1"/>
  <c r="B66" i="2" l="1"/>
  <c r="D66" i="2"/>
  <c r="H66" i="2" s="1"/>
  <c r="C66" i="2" l="1"/>
  <c r="G66" i="2" s="1"/>
  <c r="F66" i="2" l="1"/>
  <c r="A67" i="2" s="1"/>
  <c r="B67" i="2" s="1"/>
  <c r="D67" i="2" l="1"/>
  <c r="I67" i="2" s="1"/>
  <c r="H93" i="1" l="1"/>
  <c r="H67" i="2"/>
  <c r="C67" i="2"/>
  <c r="G67" i="2" s="1"/>
  <c r="F67" i="2" l="1"/>
  <c r="H126" i="1" s="1"/>
  <c r="A68" i="2" l="1"/>
  <c r="B68" i="2" s="1"/>
  <c r="D68" i="2" l="1"/>
  <c r="H68" i="2" l="1"/>
  <c r="C68" i="2"/>
  <c r="F68" i="2" s="1"/>
  <c r="A69" i="2" s="1"/>
  <c r="B69" i="2" s="1"/>
  <c r="G68" i="2" l="1"/>
  <c r="D69" i="2"/>
  <c r="H69" i="2" l="1"/>
  <c r="C69" i="2"/>
  <c r="G69" i="2" s="1"/>
  <c r="F69" i="2" l="1"/>
  <c r="A70" i="2" s="1"/>
  <c r="D70" i="2" s="1"/>
  <c r="H70" i="2" l="1"/>
  <c r="B70" i="2"/>
  <c r="C70" i="2" s="1"/>
  <c r="G70" i="2" l="1"/>
  <c r="F70" i="2"/>
  <c r="A71" i="2" s="1"/>
  <c r="B71" i="2" l="1"/>
  <c r="D71" i="2"/>
  <c r="H71" i="2" l="1"/>
  <c r="C71" i="2"/>
  <c r="F71" i="2" s="1"/>
  <c r="A72" i="2" s="1"/>
  <c r="D72" i="2" s="1"/>
  <c r="H72" i="2" l="1"/>
  <c r="B72" i="2"/>
  <c r="C72" i="2" s="1"/>
  <c r="F72" i="2" s="1"/>
  <c r="A73" i="2" s="1"/>
  <c r="D73" i="2" s="1"/>
  <c r="G71" i="2"/>
  <c r="H73" i="2" l="1"/>
  <c r="B73" i="2"/>
  <c r="C73" i="2" s="1"/>
  <c r="F73" i="2" s="1"/>
  <c r="A74" i="2" s="1"/>
  <c r="D74" i="2" s="1"/>
  <c r="G72" i="2"/>
  <c r="H74" i="2" l="1"/>
  <c r="G73" i="2"/>
  <c r="B74" i="2"/>
  <c r="C74" i="2" s="1"/>
  <c r="F74" i="2" l="1"/>
  <c r="A75" i="2" s="1"/>
  <c r="G74" i="2"/>
  <c r="D75" i="2" l="1"/>
  <c r="H75" i="2" s="1"/>
  <c r="B75" i="2"/>
  <c r="C75" i="2" l="1"/>
  <c r="G75" i="2" l="1"/>
  <c r="F75" i="2"/>
  <c r="A76" i="2" s="1"/>
  <c r="D76" i="2" l="1"/>
  <c r="H76" i="2" s="1"/>
  <c r="B76" i="2"/>
  <c r="C76" i="2" l="1"/>
  <c r="F76" i="2" l="1"/>
  <c r="A77" i="2" s="1"/>
  <c r="G76" i="2"/>
  <c r="D77" i="2" l="1"/>
  <c r="H77" i="2" s="1"/>
  <c r="B77" i="2"/>
  <c r="C77" i="2" l="1"/>
  <c r="F77" i="2" s="1"/>
  <c r="A78" i="2" s="1"/>
  <c r="B78" i="2" s="1"/>
  <c r="D78" i="2" l="1"/>
  <c r="H78" i="2" s="1"/>
  <c r="G77" i="2"/>
  <c r="C78" i="2" l="1"/>
  <c r="F78" i="2" s="1"/>
  <c r="A79" i="2" s="1"/>
  <c r="G78" i="2" l="1"/>
  <c r="B79" i="2"/>
  <c r="D79" i="2"/>
  <c r="H79" i="2" l="1"/>
  <c r="I79" i="2"/>
  <c r="I93" i="1" s="1"/>
  <c r="C79" i="2"/>
  <c r="G79" i="2" l="1"/>
  <c r="F79" i="2"/>
  <c r="A80" i="2" l="1"/>
  <c r="D80" i="2" s="1"/>
  <c r="I126" i="1"/>
  <c r="B80" i="2" l="1"/>
  <c r="C80" i="2" s="1"/>
  <c r="F80" i="2" s="1"/>
  <c r="A81" i="2" s="1"/>
  <c r="H80" i="2"/>
  <c r="G80" i="2" l="1"/>
  <c r="B81" i="2"/>
  <c r="D81" i="2"/>
  <c r="H81" i="2" l="1"/>
  <c r="C81" i="2"/>
  <c r="F81" i="2" l="1"/>
  <c r="A82" i="2" s="1"/>
  <c r="G81" i="2"/>
  <c r="B82" i="2" l="1"/>
  <c r="D82" i="2"/>
  <c r="H82" i="2" l="1"/>
  <c r="C82" i="2"/>
  <c r="F82" i="2" s="1"/>
  <c r="A83" i="2" s="1"/>
  <c r="B83" i="2" s="1"/>
  <c r="G82" i="2" l="1"/>
  <c r="D83" i="2"/>
  <c r="H83" i="2" l="1"/>
  <c r="C83" i="2"/>
  <c r="G83" i="2" l="1"/>
  <c r="F83" i="2"/>
  <c r="A84" i="2" s="1"/>
  <c r="B84" i="2" l="1"/>
  <c r="D84" i="2"/>
  <c r="H84" i="2" l="1"/>
  <c r="C84" i="2"/>
  <c r="F84" i="2" s="1"/>
  <c r="A85" i="2" s="1"/>
  <c r="G84" i="2" l="1"/>
  <c r="B85" i="2"/>
  <c r="D85" i="2"/>
  <c r="H85" i="2" s="1"/>
  <c r="C85" i="2" l="1"/>
  <c r="F85" i="2" l="1"/>
  <c r="A86" i="2" s="1"/>
  <c r="G85" i="2"/>
  <c r="D86" i="2" l="1"/>
  <c r="H86" i="2" s="1"/>
  <c r="B86" i="2"/>
  <c r="C86" i="2" l="1"/>
  <c r="G86" i="2" s="1"/>
  <c r="F86" i="2" l="1"/>
  <c r="A87" i="2" s="1"/>
  <c r="D87" i="2" s="1"/>
  <c r="H87" i="2" s="1"/>
  <c r="B87" i="2" l="1"/>
  <c r="C87" i="2" s="1"/>
  <c r="F87" i="2" s="1"/>
  <c r="A88" i="2" s="1"/>
  <c r="B88" i="2" s="1"/>
  <c r="G87" i="2" l="1"/>
  <c r="D88" i="2"/>
  <c r="H88" i="2" s="1"/>
  <c r="C88" i="2" l="1"/>
  <c r="F88" i="2" s="1"/>
  <c r="A89" i="2" s="1"/>
  <c r="B89" i="2" s="1"/>
  <c r="D89" i="2" l="1"/>
  <c r="H89" i="2" s="1"/>
  <c r="G88" i="2"/>
  <c r="C89" i="2" l="1"/>
  <c r="F89" i="2" s="1"/>
  <c r="A90" i="2" s="1"/>
  <c r="D90" i="2" s="1"/>
  <c r="H90" i="2" s="1"/>
  <c r="B90" i="2" l="1"/>
  <c r="C90" i="2" s="1"/>
  <c r="F90" i="2" s="1"/>
  <c r="A91" i="2" s="1"/>
  <c r="B91" i="2" s="1"/>
  <c r="G89" i="2"/>
  <c r="D91" i="2" l="1"/>
  <c r="G90" i="2"/>
  <c r="H91" i="2" l="1"/>
  <c r="I91" i="2"/>
  <c r="J93" i="1" s="1"/>
  <c r="C91" i="2"/>
  <c r="F91" i="2" s="1"/>
  <c r="A92" i="2" l="1"/>
  <c r="B92" i="2" s="1"/>
  <c r="J126" i="1"/>
  <c r="G91" i="2"/>
  <c r="D92" i="2" l="1"/>
  <c r="H92" i="2" s="1"/>
  <c r="C92" i="2" l="1"/>
  <c r="F92" i="2" s="1"/>
  <c r="A93" i="2" s="1"/>
  <c r="D93" i="2" s="1"/>
  <c r="B93" i="2" l="1"/>
  <c r="C93" i="2" s="1"/>
  <c r="G92" i="2"/>
  <c r="H93" i="2"/>
  <c r="G93" i="2" l="1"/>
  <c r="F93" i="2"/>
  <c r="A94" i="2" s="1"/>
  <c r="D94" i="2" s="1"/>
  <c r="B94" i="2" l="1"/>
  <c r="C94" i="2" s="1"/>
  <c r="G94" i="2" s="1"/>
  <c r="H94" i="2"/>
  <c r="F94" i="2" l="1"/>
  <c r="A95" i="2" s="1"/>
  <c r="D95" i="2" s="1"/>
  <c r="B95" i="2" l="1"/>
  <c r="C95" i="2" s="1"/>
  <c r="H95" i="2"/>
  <c r="F95" i="2" l="1"/>
  <c r="A96" i="2" s="1"/>
  <c r="G95" i="2"/>
  <c r="B96" i="2" l="1"/>
  <c r="D96" i="2"/>
  <c r="H96" i="2" l="1"/>
  <c r="C96" i="2"/>
  <c r="G96" i="2" l="1"/>
  <c r="F96" i="2"/>
  <c r="A97" i="2" s="1"/>
  <c r="B97" i="2" l="1"/>
  <c r="D97" i="2"/>
  <c r="H97" i="2" s="1"/>
  <c r="C97" i="2" l="1"/>
  <c r="G97" i="2" s="1"/>
  <c r="F97" i="2" l="1"/>
  <c r="A98" i="2" s="1"/>
  <c r="B98" i="2" s="1"/>
  <c r="D98" i="2" l="1"/>
  <c r="H98" i="2" s="1"/>
  <c r="C98" i="2" l="1"/>
  <c r="G98" i="2" s="1"/>
  <c r="F98" i="2" l="1"/>
  <c r="A99" i="2" s="1"/>
  <c r="B99" i="2" l="1"/>
  <c r="D99" i="2"/>
  <c r="H99" i="2" s="1"/>
  <c r="C99" i="2" l="1"/>
  <c r="F99" i="2" s="1"/>
  <c r="A100" i="2" s="1"/>
  <c r="D100" i="2" s="1"/>
  <c r="H100" i="2" s="1"/>
  <c r="G99" i="2" l="1"/>
  <c r="B100" i="2"/>
  <c r="C100" i="2" s="1"/>
  <c r="F100" i="2" s="1"/>
  <c r="A101" i="2" s="1"/>
  <c r="B101" i="2" s="1"/>
  <c r="D101" i="2" l="1"/>
  <c r="H101" i="2" s="1"/>
  <c r="G100" i="2"/>
  <c r="C101" i="2" l="1"/>
  <c r="F101" i="2" s="1"/>
  <c r="A102" i="2" s="1"/>
  <c r="G101" i="2" l="1"/>
  <c r="B102" i="2"/>
  <c r="D102" i="2"/>
  <c r="H102" i="2" s="1"/>
  <c r="C102" i="2" l="1"/>
  <c r="F102" i="2" l="1"/>
  <c r="A103" i="2" s="1"/>
  <c r="G102" i="2"/>
  <c r="B103" i="2" l="1"/>
  <c r="D103" i="2"/>
  <c r="H103" i="2" l="1"/>
  <c r="I103" i="2"/>
  <c r="K93" i="1" s="1"/>
  <c r="C103" i="2"/>
  <c r="F103" i="2" l="1"/>
  <c r="G103" i="2"/>
  <c r="A104" i="2" l="1"/>
  <c r="D104" i="2" s="1"/>
  <c r="K126" i="1"/>
  <c r="B104" i="2" l="1"/>
  <c r="C104" i="2" s="1"/>
  <c r="G104" i="2" s="1"/>
  <c r="H104" i="2"/>
  <c r="F104" i="2" l="1"/>
  <c r="A105" i="2" s="1"/>
  <c r="D105" i="2" s="1"/>
  <c r="H105" i="2" l="1"/>
  <c r="B105" i="2"/>
  <c r="C105" i="2" s="1"/>
  <c r="G105" i="2" s="1"/>
  <c r="F105" i="2" l="1"/>
  <c r="A106" i="2" s="1"/>
  <c r="D106" i="2" s="1"/>
  <c r="H106" i="2" l="1"/>
  <c r="B106" i="2"/>
  <c r="C106" i="2" s="1"/>
  <c r="F106" i="2" l="1"/>
  <c r="A107" i="2" s="1"/>
  <c r="G106" i="2"/>
  <c r="B107" i="2" l="1"/>
  <c r="D107" i="2"/>
  <c r="H107" i="2" l="1"/>
  <c r="C107" i="2"/>
  <c r="G107" i="2" s="1"/>
  <c r="F107" i="2" l="1"/>
  <c r="A108" i="2" s="1"/>
  <c r="B108" i="2" s="1"/>
  <c r="D108" i="2" l="1"/>
  <c r="H108" i="2" l="1"/>
  <c r="C108" i="2"/>
  <c r="F108" i="2" s="1"/>
  <c r="A109" i="2" s="1"/>
  <c r="G108" i="2" l="1"/>
  <c r="D109" i="2"/>
  <c r="H109" i="2" s="1"/>
  <c r="B109" i="2"/>
  <c r="C109" i="2" l="1"/>
  <c r="F109" i="2" s="1"/>
  <c r="A110" i="2" s="1"/>
  <c r="D110" i="2" s="1"/>
  <c r="H110" i="2" s="1"/>
  <c r="B110" i="2" l="1"/>
  <c r="C110" i="2" s="1"/>
  <c r="G109" i="2"/>
  <c r="F110" i="2" l="1"/>
  <c r="A111" i="2" s="1"/>
  <c r="D111" i="2" s="1"/>
  <c r="H111" i="2" s="1"/>
  <c r="G110" i="2"/>
  <c r="B111" i="2" l="1"/>
  <c r="C111" i="2" s="1"/>
  <c r="F111" i="2" s="1"/>
  <c r="A112" i="2" s="1"/>
  <c r="G111" i="2" l="1"/>
  <c r="D112" i="2"/>
  <c r="H112" i="2" s="1"/>
  <c r="B112" i="2"/>
  <c r="C112" i="2" l="1"/>
  <c r="F112" i="2" s="1"/>
  <c r="A113" i="2" s="1"/>
  <c r="B113" i="2" s="1"/>
  <c r="D113" i="2" l="1"/>
  <c r="H113" i="2" s="1"/>
  <c r="G112" i="2"/>
  <c r="C113" i="2" l="1"/>
  <c r="F113" i="2" s="1"/>
  <c r="A114" i="2" s="1"/>
  <c r="G113" i="2" l="1"/>
  <c r="B114" i="2"/>
  <c r="D114" i="2"/>
  <c r="H114" i="2" s="1"/>
  <c r="C114" i="2" l="1"/>
  <c r="F114" i="2" s="1"/>
  <c r="A115" i="2" s="1"/>
  <c r="G114" i="2" l="1"/>
  <c r="D115" i="2"/>
  <c r="B115" i="2"/>
  <c r="H115" i="2" l="1"/>
  <c r="I115" i="2"/>
  <c r="L93" i="1" s="1"/>
  <c r="C115" i="2"/>
  <c r="G115" i="2" s="1"/>
  <c r="F115" i="2" l="1"/>
  <c r="A116" i="2" l="1"/>
  <c r="B116" i="2" s="1"/>
  <c r="L126" i="1"/>
  <c r="D116" i="2" l="1"/>
  <c r="H116" i="2" s="1"/>
  <c r="C116" i="2" l="1"/>
  <c r="G116" i="2" s="1"/>
  <c r="F116" i="2" l="1"/>
  <c r="A117" i="2" s="1"/>
  <c r="B117" i="2" s="1"/>
  <c r="D117" i="2" l="1"/>
  <c r="H117" i="2" s="1"/>
  <c r="C117" i="2" l="1"/>
  <c r="G117" i="2" s="1"/>
  <c r="F117" i="2" l="1"/>
  <c r="A118" i="2" s="1"/>
  <c r="D118" i="2" s="1"/>
  <c r="B118" i="2" l="1"/>
  <c r="C118" i="2" s="1"/>
  <c r="G118" i="2" s="1"/>
  <c r="H118" i="2"/>
  <c r="F118" i="2" l="1"/>
  <c r="A119" i="2" s="1"/>
  <c r="D119" i="2" s="1"/>
  <c r="H119" i="2" l="1"/>
  <c r="B119" i="2"/>
  <c r="C119" i="2" s="1"/>
  <c r="G119" i="2" s="1"/>
  <c r="F119" i="2" l="1"/>
  <c r="A120" i="2" s="1"/>
  <c r="D120" i="2" s="1"/>
  <c r="H120" i="2" l="1"/>
  <c r="B120" i="2"/>
  <c r="C120" i="2" s="1"/>
  <c r="F120" i="2" s="1"/>
  <c r="A121" i="2" s="1"/>
  <c r="B121" i="2" s="1"/>
  <c r="D121" i="2" l="1"/>
  <c r="H121" i="2" s="1"/>
  <c r="G120" i="2"/>
  <c r="C121" i="2" l="1"/>
  <c r="G121" i="2" l="1"/>
  <c r="F121" i="2"/>
  <c r="A122" i="2" s="1"/>
  <c r="D122" i="2" l="1"/>
  <c r="H122" i="2" s="1"/>
  <c r="B122" i="2"/>
  <c r="C122" i="2" l="1"/>
  <c r="G122" i="2" l="1"/>
  <c r="F122" i="2"/>
  <c r="A123" i="2" s="1"/>
  <c r="D123" i="2" l="1"/>
  <c r="H123" i="2" s="1"/>
  <c r="B123" i="2"/>
  <c r="C123" i="2" l="1"/>
  <c r="F123" i="2" s="1"/>
  <c r="A124" i="2" s="1"/>
  <c r="D124" i="2" s="1"/>
  <c r="H124" i="2" s="1"/>
  <c r="G123" i="2" l="1"/>
  <c r="B124" i="2"/>
  <c r="C124" i="2" s="1"/>
  <c r="G124" i="2" l="1"/>
  <c r="F124" i="2"/>
  <c r="A125" i="2" s="1"/>
  <c r="B125" i="2" s="1"/>
  <c r="D125" i="2" l="1"/>
  <c r="H125" i="2" s="1"/>
  <c r="C125" i="2" l="1"/>
  <c r="G125" i="2" s="1"/>
  <c r="F125" i="2" l="1"/>
  <c r="A126" i="2" s="1"/>
  <c r="B126" i="2" s="1"/>
  <c r="D126" i="2" l="1"/>
  <c r="H126" i="2" s="1"/>
  <c r="C126" i="2" l="1"/>
  <c r="G126" i="2" s="1"/>
  <c r="F126" i="2" l="1"/>
  <c r="A127" i="2" s="1"/>
  <c r="B127" i="2" s="1"/>
  <c r="D127" i="2" l="1"/>
  <c r="H127" i="2" l="1"/>
  <c r="I127" i="2"/>
  <c r="M93" i="1" s="1"/>
  <c r="C127" i="2"/>
  <c r="F127" i="2" s="1"/>
  <c r="A128" i="2" l="1"/>
  <c r="B128" i="2" s="1"/>
  <c r="M126" i="1"/>
  <c r="Q153" i="1" s="1"/>
  <c r="G127" i="2"/>
  <c r="R154" i="1" l="1"/>
  <c r="R153" i="1"/>
  <c r="D128" i="2"/>
  <c r="H128" i="2" s="1"/>
  <c r="T154" i="1" l="1"/>
  <c r="Q145" i="1" s="1"/>
  <c r="R145" i="1" s="1"/>
  <c r="C128" i="2"/>
  <c r="G128" i="2" s="1"/>
  <c r="F128" i="2" l="1"/>
  <c r="A129" i="2" s="1"/>
  <c r="B129" i="2" s="1"/>
  <c r="D129" i="2" l="1"/>
  <c r="H129" i="2" s="1"/>
  <c r="C129" i="2" l="1"/>
  <c r="F129" i="2" s="1"/>
  <c r="A130" i="2" s="1"/>
  <c r="D130" i="2" s="1"/>
  <c r="G129" i="2"/>
  <c r="B130" i="2" l="1"/>
  <c r="C130" i="2" s="1"/>
  <c r="F130" i="2" s="1"/>
  <c r="A131" i="2" s="1"/>
  <c r="B131" i="2" s="1"/>
  <c r="H130" i="2"/>
  <c r="G130" i="2" l="1"/>
  <c r="D131" i="2"/>
  <c r="H131" i="2" l="1"/>
  <c r="C131" i="2"/>
  <c r="F131" i="2" s="1"/>
  <c r="A132" i="2" s="1"/>
  <c r="B132" i="2" s="1"/>
  <c r="G131" i="2" l="1"/>
  <c r="D132" i="2"/>
  <c r="H132" i="2" l="1"/>
  <c r="C132" i="2"/>
  <c r="F132" i="2" s="1"/>
  <c r="A133" i="2" s="1"/>
  <c r="B133" i="2" s="1"/>
  <c r="D133" i="2" l="1"/>
  <c r="G132" i="2"/>
  <c r="H133" i="2" l="1"/>
  <c r="C133" i="2"/>
  <c r="G133" i="2" s="1"/>
  <c r="F133" i="2" l="1"/>
  <c r="A134" i="2" s="1"/>
  <c r="D134" i="2" s="1"/>
  <c r="H134" i="2" s="1"/>
  <c r="B134" i="2" l="1"/>
  <c r="C134" i="2" s="1"/>
  <c r="F134" i="2" s="1"/>
  <c r="A135" i="2" s="1"/>
  <c r="B135" i="2" s="1"/>
  <c r="D135" i="2" l="1"/>
  <c r="H135" i="2" s="1"/>
  <c r="G134" i="2"/>
  <c r="C135" i="2" l="1"/>
  <c r="F135" i="2" l="1"/>
  <c r="A136" i="2" s="1"/>
  <c r="G135" i="2"/>
  <c r="B136" i="2" l="1"/>
  <c r="D136" i="2"/>
  <c r="H136" i="2" s="1"/>
  <c r="C136" i="2" l="1"/>
  <c r="G136" i="2" l="1"/>
  <c r="F136" i="2"/>
  <c r="A137" i="2" s="1"/>
  <c r="B137" i="2" l="1"/>
  <c r="D137" i="2"/>
  <c r="H137" i="2" s="1"/>
  <c r="C137" i="2" l="1"/>
  <c r="F137" i="2" s="1"/>
  <c r="A138" i="2" s="1"/>
  <c r="D138" i="2" s="1"/>
  <c r="H138" i="2" s="1"/>
  <c r="G137" i="2" l="1"/>
  <c r="B138" i="2"/>
  <c r="C138" i="2" s="1"/>
  <c r="F138" i="2" s="1"/>
  <c r="A139" i="2" s="1"/>
  <c r="B139" i="2" s="1"/>
  <c r="D139" i="2" l="1"/>
  <c r="G138" i="2"/>
  <c r="H139" i="2" l="1"/>
  <c r="I139" i="2"/>
  <c r="C139" i="2"/>
  <c r="F139" i="2" s="1"/>
  <c r="A140" i="2" s="1"/>
  <c r="G139" i="2" l="1"/>
  <c r="B140" i="2"/>
  <c r="D140" i="2"/>
  <c r="H140" i="2" l="1"/>
  <c r="C140" i="2"/>
  <c r="F140" i="2" s="1"/>
  <c r="A141" i="2" s="1"/>
  <c r="G140" i="2" l="1"/>
  <c r="B141" i="2"/>
  <c r="D141" i="2"/>
  <c r="H141" i="2" l="1"/>
  <c r="C141" i="2"/>
  <c r="G141" i="2" s="1"/>
  <c r="F141" i="2" l="1"/>
  <c r="A142" i="2" s="1"/>
  <c r="D142" i="2" s="1"/>
  <c r="H142" i="2" l="1"/>
  <c r="B142" i="2"/>
  <c r="C142" i="2" s="1"/>
  <c r="F142" i="2" s="1"/>
  <c r="A143" i="2" s="1"/>
  <c r="G142" i="2" l="1"/>
  <c r="B143" i="2"/>
  <c r="D143" i="2"/>
  <c r="H143" i="2" l="1"/>
  <c r="C143" i="2"/>
  <c r="G143" i="2" s="1"/>
  <c r="F143" i="2" l="1"/>
  <c r="A144" i="2" s="1"/>
  <c r="D144" i="2" s="1"/>
  <c r="H144" i="2" l="1"/>
  <c r="B144" i="2"/>
  <c r="C144" i="2" s="1"/>
  <c r="G144" i="2" l="1"/>
  <c r="F144" i="2"/>
  <c r="A145" i="2" s="1"/>
  <c r="B145" i="2" l="1"/>
  <c r="D145" i="2"/>
  <c r="H145" i="2" s="1"/>
  <c r="C145" i="2" l="1"/>
  <c r="G145" i="2" s="1"/>
  <c r="F145" i="2" l="1"/>
  <c r="A146" i="2" s="1"/>
  <c r="B146" i="2" s="1"/>
  <c r="D146" i="2" l="1"/>
  <c r="H146" i="2" s="1"/>
  <c r="C146" i="2" l="1"/>
  <c r="G146" i="2" l="1"/>
  <c r="F146" i="2"/>
  <c r="A147" i="2" s="1"/>
  <c r="D147" i="2" l="1"/>
  <c r="H147" i="2" s="1"/>
  <c r="B147" i="2"/>
  <c r="C147" i="2" l="1"/>
  <c r="F147" i="2" s="1"/>
  <c r="A148" i="2" s="1"/>
  <c r="D148" i="2" s="1"/>
  <c r="H148" i="2" s="1"/>
  <c r="B148" i="2" l="1"/>
  <c r="C148" i="2" s="1"/>
  <c r="F148" i="2" s="1"/>
  <c r="A149" i="2" s="1"/>
  <c r="G147" i="2"/>
  <c r="G148" i="2" l="1"/>
  <c r="D149" i="2"/>
  <c r="H149" i="2" s="1"/>
  <c r="B149" i="2"/>
  <c r="C149" i="2" l="1"/>
  <c r="G149" i="2" s="1"/>
  <c r="F149" i="2" l="1"/>
  <c r="A150" i="2" s="1"/>
  <c r="B150" i="2" s="1"/>
  <c r="D150" i="2" l="1"/>
  <c r="H150" i="2" s="1"/>
  <c r="C150" i="2" l="1"/>
  <c r="G150" i="2" s="1"/>
  <c r="F150" i="2" l="1"/>
  <c r="A151" i="2" s="1"/>
  <c r="D151" i="2" s="1"/>
  <c r="H151" i="2" l="1"/>
  <c r="I151" i="2"/>
  <c r="B151" i="2"/>
  <c r="C151" i="2" s="1"/>
  <c r="F151" i="2" s="1"/>
  <c r="A152" i="2" s="1"/>
  <c r="B152" i="2" s="1"/>
  <c r="D152" i="2" l="1"/>
  <c r="H152" i="2" s="1"/>
  <c r="G151" i="2"/>
  <c r="C152" i="2" l="1"/>
  <c r="F152" i="2" s="1"/>
  <c r="A153" i="2" s="1"/>
  <c r="B153" i="2" s="1"/>
  <c r="D153" i="2" l="1"/>
  <c r="H153" i="2" s="1"/>
  <c r="G152" i="2"/>
  <c r="C153" i="2" l="1"/>
  <c r="F153" i="2" s="1"/>
  <c r="A154" i="2" s="1"/>
  <c r="B154" i="2" s="1"/>
  <c r="D154" i="2" l="1"/>
  <c r="H154" i="2" s="1"/>
  <c r="G153" i="2"/>
  <c r="C154" i="2" l="1"/>
  <c r="F154" i="2" s="1"/>
  <c r="A155" i="2" s="1"/>
  <c r="B155" i="2" s="1"/>
  <c r="G154" i="2" l="1"/>
  <c r="D155" i="2"/>
  <c r="H155" i="2" s="1"/>
  <c r="C155" i="2" l="1"/>
  <c r="F155" i="2" s="1"/>
  <c r="A156" i="2" s="1"/>
  <c r="D156" i="2" s="1"/>
  <c r="H156" i="2" s="1"/>
  <c r="B156" i="2" l="1"/>
  <c r="C156" i="2" s="1"/>
  <c r="F156" i="2" s="1"/>
  <c r="A157" i="2" s="1"/>
  <c r="D157" i="2" s="1"/>
  <c r="H157" i="2" s="1"/>
  <c r="G155" i="2"/>
  <c r="B157" i="2" l="1"/>
  <c r="C157" i="2" s="1"/>
  <c r="F157" i="2" s="1"/>
  <c r="A158" i="2" s="1"/>
  <c r="G156" i="2"/>
  <c r="G157" i="2" l="1"/>
  <c r="B158" i="2"/>
  <c r="D158" i="2"/>
  <c r="H158" i="2" s="1"/>
  <c r="C158" i="2" l="1"/>
  <c r="F158" i="2" s="1"/>
  <c r="A159" i="2" s="1"/>
  <c r="D159" i="2" s="1"/>
  <c r="H159" i="2" s="1"/>
  <c r="G158" i="2" l="1"/>
  <c r="B159" i="2"/>
  <c r="C159" i="2" s="1"/>
  <c r="F159" i="2" s="1"/>
  <c r="A160" i="2" s="1"/>
  <c r="B160" i="2" s="1"/>
  <c r="G159" i="2" l="1"/>
  <c r="D160" i="2"/>
  <c r="H160" i="2" s="1"/>
  <c r="C160" i="2" l="1"/>
  <c r="F160" i="2" l="1"/>
  <c r="A161" i="2" s="1"/>
  <c r="G160" i="2"/>
  <c r="D161" i="2" l="1"/>
  <c r="H161" i="2" s="1"/>
  <c r="B161" i="2"/>
  <c r="C161" i="2" l="1"/>
  <c r="F161" i="2" l="1"/>
  <c r="A162" i="2" s="1"/>
  <c r="G161" i="2"/>
  <c r="D162" i="2" l="1"/>
  <c r="H162" i="2" s="1"/>
  <c r="B162" i="2"/>
  <c r="C162" i="2" l="1"/>
  <c r="G162" i="2" s="1"/>
  <c r="F162" i="2" l="1"/>
  <c r="A163" i="2" s="1"/>
  <c r="B163" i="2" s="1"/>
  <c r="D163" i="2" l="1"/>
  <c r="H163" i="2" s="1"/>
  <c r="C163" i="2" l="1"/>
  <c r="G163" i="2" s="1"/>
  <c r="F163" i="2" l="1"/>
  <c r="A164" i="2" s="1"/>
  <c r="B164" i="2" s="1"/>
  <c r="D164" i="2" l="1"/>
  <c r="H164" i="2" s="1"/>
  <c r="C164" i="2" l="1"/>
  <c r="F164" i="2" l="1"/>
  <c r="A165" i="2" s="1"/>
  <c r="G164" i="2"/>
  <c r="B165" i="2" l="1"/>
  <c r="D165" i="2"/>
  <c r="H165" i="2" s="1"/>
  <c r="C165" i="2" l="1"/>
  <c r="F165" i="2" l="1"/>
  <c r="A166" i="2" s="1"/>
  <c r="G165" i="2"/>
  <c r="B166" i="2" l="1"/>
  <c r="D166" i="2"/>
  <c r="H166" i="2" s="1"/>
  <c r="C166" i="2" l="1"/>
  <c r="F166" i="2" s="1"/>
  <c r="A167" i="2" s="1"/>
  <c r="D167" i="2" s="1"/>
  <c r="H167" i="2" s="1"/>
  <c r="B167" i="2" l="1"/>
  <c r="C167" i="2" s="1"/>
  <c r="G166" i="2"/>
  <c r="G167" i="2" l="1"/>
  <c r="F167" i="2"/>
  <c r="A168" i="2" s="1"/>
  <c r="B168" i="2" l="1"/>
  <c r="D168" i="2"/>
  <c r="H168" i="2" s="1"/>
  <c r="C168" i="2" l="1"/>
  <c r="F168" i="2" s="1"/>
  <c r="A169" i="2" s="1"/>
  <c r="D169" i="2" s="1"/>
  <c r="H169" i="2" s="1"/>
  <c r="G168" i="2" l="1"/>
  <c r="B169" i="2"/>
  <c r="C169" i="2" s="1"/>
  <c r="G169" i="2" l="1"/>
  <c r="F169" i="2"/>
  <c r="A170" i="2" s="1"/>
  <c r="B170" i="2" l="1"/>
  <c r="D170" i="2"/>
  <c r="H170" i="2" s="1"/>
  <c r="C170" i="2" l="1"/>
  <c r="F170" i="2" s="1"/>
  <c r="A171" i="2" s="1"/>
  <c r="G170" i="2" l="1"/>
  <c r="B171" i="2"/>
  <c r="D171" i="2"/>
  <c r="H171" i="2" s="1"/>
  <c r="C171" i="2" l="1"/>
  <c r="F171" i="2" s="1"/>
  <c r="A172" i="2" s="1"/>
  <c r="D172" i="2" s="1"/>
  <c r="H172" i="2" s="1"/>
  <c r="G171" i="2" l="1"/>
  <c r="B172" i="2"/>
  <c r="C172" i="2" s="1"/>
  <c r="G172" i="2" l="1"/>
  <c r="F172" i="2"/>
  <c r="A173" i="2" s="1"/>
  <c r="D173" i="2" s="1"/>
  <c r="H173" i="2" s="1"/>
  <c r="B173" i="2" l="1"/>
  <c r="C173" i="2" s="1"/>
  <c r="F173" i="2" s="1"/>
  <c r="A174" i="2" s="1"/>
  <c r="G173" i="2" l="1"/>
  <c r="D174" i="2"/>
  <c r="H174" i="2" s="1"/>
  <c r="B174" i="2"/>
  <c r="C174" i="2" l="1"/>
  <c r="F174" i="2" l="1"/>
  <c r="A175" i="2" s="1"/>
  <c r="G174" i="2"/>
  <c r="D175" i="2" l="1"/>
  <c r="H175" i="2" s="1"/>
  <c r="B175" i="2"/>
  <c r="C175" i="2" l="1"/>
  <c r="F175" i="2" s="1"/>
  <c r="A176" i="2" s="1"/>
  <c r="B176" i="2" s="1"/>
  <c r="G175" i="2" l="1"/>
  <c r="D176" i="2"/>
  <c r="H176" i="2" s="1"/>
  <c r="C176" i="2" l="1"/>
  <c r="F176" i="2" s="1"/>
  <c r="A177" i="2" s="1"/>
  <c r="B177" i="2" s="1"/>
  <c r="G176" i="2" l="1"/>
  <c r="D177" i="2"/>
  <c r="H177" i="2" s="1"/>
  <c r="C177" i="2" l="1"/>
  <c r="G177" i="2" l="1"/>
  <c r="F177" i="2"/>
  <c r="A178" i="2" s="1"/>
  <c r="D178" i="2" l="1"/>
  <c r="H178" i="2" s="1"/>
  <c r="B178" i="2"/>
  <c r="C178" i="2" l="1"/>
  <c r="G178" i="2" s="1"/>
  <c r="F178" i="2" l="1"/>
  <c r="A179" i="2" s="1"/>
  <c r="D179" i="2" s="1"/>
  <c r="H179" i="2" s="1"/>
  <c r="B179" i="2" l="1"/>
  <c r="C179" i="2" s="1"/>
  <c r="F179" i="2" s="1"/>
  <c r="A180" i="2" s="1"/>
  <c r="D180" i="2" s="1"/>
  <c r="H180" i="2" s="1"/>
  <c r="B180" i="2" l="1"/>
  <c r="C180" i="2" s="1"/>
  <c r="F180" i="2" s="1"/>
  <c r="A181" i="2" s="1"/>
  <c r="D181" i="2" s="1"/>
  <c r="H181" i="2" s="1"/>
  <c r="G179" i="2"/>
  <c r="B181" i="2" l="1"/>
  <c r="C181" i="2" s="1"/>
  <c r="F181" i="2" s="1"/>
  <c r="A182" i="2" s="1"/>
  <c r="G180" i="2"/>
  <c r="G181" i="2" l="1"/>
  <c r="D182" i="2"/>
  <c r="H182" i="2" s="1"/>
  <c r="B182" i="2"/>
  <c r="C182" i="2" l="1"/>
  <c r="F182" i="2" l="1"/>
  <c r="A183" i="2" s="1"/>
  <c r="G182" i="2"/>
  <c r="B183" i="2" l="1"/>
  <c r="D183" i="2"/>
  <c r="H183" i="2" s="1"/>
  <c r="C183" i="2" l="1"/>
  <c r="F183" i="2" l="1"/>
  <c r="A184" i="2" s="1"/>
  <c r="G183" i="2"/>
  <c r="D184" i="2" l="1"/>
  <c r="H184" i="2" s="1"/>
  <c r="B184" i="2"/>
  <c r="C184" i="2" l="1"/>
  <c r="F184" i="2" s="1"/>
  <c r="A185" i="2" s="1"/>
  <c r="G184" i="2" l="1"/>
  <c r="B185" i="2"/>
  <c r="D185" i="2"/>
  <c r="H185" i="2" s="1"/>
  <c r="C185" i="2" l="1"/>
  <c r="F185" i="2" l="1"/>
  <c r="A186" i="2" s="1"/>
  <c r="G185" i="2"/>
  <c r="D186" i="2" l="1"/>
  <c r="H186" i="2" s="1"/>
  <c r="B186" i="2"/>
  <c r="C186" i="2" l="1"/>
  <c r="F186" i="2" s="1"/>
  <c r="A187" i="2" s="1"/>
  <c r="D187" i="2" s="1"/>
  <c r="H187" i="2" s="1"/>
  <c r="B187" i="2" l="1"/>
  <c r="C187" i="2" s="1"/>
  <c r="G186" i="2"/>
  <c r="F187" i="2" l="1"/>
  <c r="A188" i="2" s="1"/>
  <c r="G187" i="2"/>
  <c r="D188" i="2" l="1"/>
  <c r="H188" i="2" s="1"/>
  <c r="B188" i="2"/>
  <c r="C188" i="2" l="1"/>
  <c r="F188" i="2" l="1"/>
  <c r="A189" i="2" s="1"/>
  <c r="G188" i="2"/>
  <c r="D189" i="2" l="1"/>
  <c r="H189" i="2" s="1"/>
  <c r="B189" i="2"/>
  <c r="C189" i="2" l="1"/>
  <c r="G189" i="2" l="1"/>
  <c r="F189" i="2"/>
  <c r="A190" i="2" s="1"/>
  <c r="D190" i="2" l="1"/>
  <c r="H190" i="2" s="1"/>
  <c r="B190" i="2"/>
  <c r="C190" i="2" l="1"/>
  <c r="F190" i="2" s="1"/>
  <c r="A191" i="2" s="1"/>
  <c r="G190" i="2" l="1"/>
  <c r="B191" i="2"/>
  <c r="D191" i="2"/>
  <c r="H191" i="2" s="1"/>
  <c r="C191" i="2" l="1"/>
  <c r="G191" i="2" s="1"/>
  <c r="F191" i="2" l="1"/>
  <c r="A192" i="2" s="1"/>
  <c r="B192" i="2" s="1"/>
  <c r="D192" i="2" l="1"/>
  <c r="H192" i="2" s="1"/>
  <c r="C192" i="2" l="1"/>
  <c r="F192" i="2" l="1"/>
  <c r="A193" i="2" s="1"/>
  <c r="G192" i="2"/>
  <c r="B193" i="2" l="1"/>
  <c r="D193" i="2"/>
  <c r="H193" i="2" s="1"/>
  <c r="C193" i="2" l="1"/>
  <c r="F193" i="2" l="1"/>
  <c r="A194" i="2" s="1"/>
  <c r="G193" i="2"/>
  <c r="B194" i="2" l="1"/>
  <c r="D194" i="2"/>
  <c r="H194" i="2" s="1"/>
  <c r="C194" i="2" l="1"/>
  <c r="F194" i="2" s="1"/>
  <c r="A195" i="2" s="1"/>
  <c r="D195" i="2" s="1"/>
  <c r="H195" i="2" s="1"/>
  <c r="G194" i="2" l="1"/>
  <c r="B195" i="2"/>
  <c r="C195" i="2" s="1"/>
  <c r="F195" i="2" s="1"/>
  <c r="A196" i="2" s="1"/>
  <c r="D196" i="2" s="1"/>
  <c r="H196" i="2" s="1"/>
  <c r="B196" i="2" l="1"/>
  <c r="C196" i="2" s="1"/>
  <c r="F196" i="2" s="1"/>
  <c r="A197" i="2" s="1"/>
  <c r="D197" i="2" s="1"/>
  <c r="H197" i="2" s="1"/>
  <c r="G195" i="2"/>
  <c r="B197" i="2" l="1"/>
  <c r="C197" i="2" s="1"/>
  <c r="F197" i="2" s="1"/>
  <c r="A198" i="2" s="1"/>
  <c r="G196" i="2"/>
  <c r="G197" i="2" l="1"/>
  <c r="D198" i="2"/>
  <c r="H198" i="2" s="1"/>
  <c r="B198" i="2"/>
  <c r="C198" i="2" l="1"/>
  <c r="G198" i="2" s="1"/>
  <c r="F198" i="2" l="1"/>
  <c r="A199" i="2" s="1"/>
  <c r="B199" i="2" s="1"/>
  <c r="D199" i="2" l="1"/>
  <c r="H199" i="2" s="1"/>
  <c r="C199" i="2" l="1"/>
  <c r="F199" i="2" s="1"/>
  <c r="A200" i="2" s="1"/>
  <c r="G199" i="2" l="1"/>
  <c r="D200" i="2"/>
  <c r="H200" i="2" s="1"/>
  <c r="B200" i="2"/>
  <c r="C200" i="2" l="1"/>
  <c r="F200" i="2" l="1"/>
  <c r="A201" i="2" s="1"/>
  <c r="G200" i="2"/>
  <c r="D201" i="2" l="1"/>
  <c r="H201" i="2" s="1"/>
  <c r="B201" i="2"/>
  <c r="C201" i="2" l="1"/>
  <c r="F201" i="2" l="1"/>
  <c r="A202" i="2" s="1"/>
  <c r="G201" i="2"/>
  <c r="B202" i="2" l="1"/>
  <c r="D202" i="2"/>
  <c r="H202" i="2" s="1"/>
  <c r="C202" i="2" l="1"/>
  <c r="F202" i="2" l="1"/>
  <c r="A203" i="2" s="1"/>
  <c r="G202" i="2"/>
  <c r="D203" i="2" l="1"/>
  <c r="H203" i="2" s="1"/>
  <c r="B203" i="2"/>
  <c r="C203" i="2" l="1"/>
  <c r="F203" i="2" l="1"/>
  <c r="A204" i="2" s="1"/>
  <c r="G203" i="2"/>
  <c r="D204" i="2" l="1"/>
  <c r="H204" i="2" s="1"/>
  <c r="B204" i="2"/>
  <c r="C204" i="2" l="1"/>
  <c r="F204" i="2" s="1"/>
  <c r="A205" i="2" s="1"/>
  <c r="B205" i="2" s="1"/>
  <c r="D205" i="2" l="1"/>
  <c r="H205" i="2" s="1"/>
  <c r="G204" i="2"/>
  <c r="C205" i="2" l="1"/>
  <c r="F205" i="2" s="1"/>
  <c r="A206" i="2" s="1"/>
  <c r="D206" i="2" s="1"/>
  <c r="H206" i="2" s="1"/>
  <c r="B206" i="2" l="1"/>
  <c r="C206" i="2" s="1"/>
  <c r="G205" i="2"/>
  <c r="G206" i="2" l="1"/>
  <c r="F206" i="2"/>
  <c r="A207" i="2" s="1"/>
  <c r="D207" i="2" l="1"/>
  <c r="H207" i="2" s="1"/>
  <c r="B207" i="2"/>
  <c r="C207" i="2" l="1"/>
  <c r="G207" i="2" l="1"/>
  <c r="F207" i="2"/>
  <c r="A208" i="2" s="1"/>
  <c r="B208" i="2" l="1"/>
  <c r="D208" i="2"/>
  <c r="H208" i="2" s="1"/>
  <c r="C208" i="2" l="1"/>
  <c r="G208" i="2" s="1"/>
  <c r="F208" i="2" l="1"/>
  <c r="A209" i="2" s="1"/>
  <c r="B209" i="2" s="1"/>
  <c r="D209" i="2" l="1"/>
  <c r="H209" i="2" s="1"/>
  <c r="C209" i="2" l="1"/>
  <c r="F209" i="2" l="1"/>
  <c r="A210" i="2" s="1"/>
  <c r="G209" i="2"/>
  <c r="B210" i="2" l="1"/>
  <c r="D210" i="2"/>
  <c r="H210" i="2" s="1"/>
  <c r="C210" i="2" l="1"/>
  <c r="F210" i="2" l="1"/>
  <c r="A211" i="2" s="1"/>
  <c r="G210" i="2"/>
  <c r="D211" i="2" l="1"/>
  <c r="H211" i="2" s="1"/>
  <c r="B211" i="2"/>
  <c r="C211" i="2" l="1"/>
  <c r="F211" i="2" s="1"/>
  <c r="A212" i="2" s="1"/>
  <c r="G211" i="2" l="1"/>
  <c r="D212" i="2"/>
  <c r="H212" i="2" s="1"/>
  <c r="B212" i="2"/>
  <c r="C212" i="2" l="1"/>
  <c r="G212" i="2" s="1"/>
  <c r="F212" i="2" l="1"/>
  <c r="A213" i="2" s="1"/>
  <c r="B213" i="2" s="1"/>
  <c r="D213" i="2" l="1"/>
  <c r="H213" i="2" s="1"/>
  <c r="C213" i="2" l="1"/>
  <c r="F213" i="2" s="1"/>
  <c r="A214" i="2" s="1"/>
  <c r="G213" i="2" l="1"/>
  <c r="D214" i="2"/>
  <c r="H214" i="2" s="1"/>
  <c r="B214" i="2"/>
  <c r="C214" i="2" l="1"/>
  <c r="F214" i="2" s="1"/>
  <c r="A215" i="2" s="1"/>
  <c r="D215" i="2" s="1"/>
  <c r="H215" i="2" s="1"/>
  <c r="B215" i="2" l="1"/>
  <c r="C215" i="2" s="1"/>
  <c r="G214" i="2"/>
  <c r="F215" i="2" l="1"/>
  <c r="A216" i="2" s="1"/>
  <c r="B216" i="2" s="1"/>
  <c r="G215" i="2"/>
  <c r="D216" i="2" l="1"/>
  <c r="H216" i="2" s="1"/>
  <c r="C216" i="2" l="1"/>
  <c r="G216" i="2" s="1"/>
  <c r="F216" i="2" l="1"/>
  <c r="A217" i="2" s="1"/>
  <c r="B217" i="2" s="1"/>
  <c r="D217" i="2" l="1"/>
  <c r="H217" i="2" s="1"/>
  <c r="C217" i="2" l="1"/>
  <c r="F217" i="2" s="1"/>
  <c r="A218" i="2" s="1"/>
  <c r="G217" i="2" l="1"/>
  <c r="B218" i="2"/>
  <c r="D218" i="2"/>
  <c r="H218" i="2" s="1"/>
  <c r="C218" i="2" l="1"/>
  <c r="F218" i="2" s="1"/>
  <c r="A219" i="2" s="1"/>
  <c r="G218" i="2" l="1"/>
  <c r="B219" i="2"/>
  <c r="D219" i="2"/>
  <c r="H219" i="2" s="1"/>
  <c r="C219" i="2" l="1"/>
  <c r="G219" i="2" s="1"/>
  <c r="F219" i="2" l="1"/>
  <c r="A220" i="2" s="1"/>
  <c r="D220" i="2" s="1"/>
  <c r="H220" i="2" s="1"/>
  <c r="B220" i="2" l="1"/>
  <c r="C220" i="2" s="1"/>
  <c r="G220" i="2" s="1"/>
  <c r="F220" i="2" l="1"/>
  <c r="A221" i="2" s="1"/>
  <c r="D221" i="2" s="1"/>
  <c r="H221" i="2" s="1"/>
  <c r="B221" i="2" l="1"/>
  <c r="C221" i="2" s="1"/>
  <c r="F221" i="2" l="1"/>
  <c r="A222" i="2" s="1"/>
  <c r="G221" i="2"/>
  <c r="B222" i="2" l="1"/>
  <c r="D222" i="2"/>
  <c r="H222" i="2" s="1"/>
  <c r="C222" i="2" l="1"/>
  <c r="F222" i="2" s="1"/>
  <c r="A223" i="2" s="1"/>
  <c r="G222" i="2" l="1"/>
  <c r="B223" i="2"/>
  <c r="D223" i="2"/>
  <c r="H223" i="2" s="1"/>
  <c r="C223" i="2" l="1"/>
  <c r="F223" i="2" s="1"/>
  <c r="A224" i="2" s="1"/>
  <c r="D224" i="2" s="1"/>
  <c r="H224" i="2" s="1"/>
  <c r="G223" i="2" l="1"/>
  <c r="B224" i="2"/>
  <c r="C224" i="2" s="1"/>
  <c r="F224" i="2" s="1"/>
  <c r="A225" i="2" s="1"/>
  <c r="B225" i="2" s="1"/>
  <c r="D225" i="2" l="1"/>
  <c r="H225" i="2" s="1"/>
  <c r="G224" i="2"/>
  <c r="C225" i="2" l="1"/>
  <c r="F225" i="2" l="1"/>
  <c r="A226" i="2" s="1"/>
  <c r="G225" i="2"/>
  <c r="B226" i="2" l="1"/>
  <c r="D226" i="2"/>
  <c r="H226" i="2" s="1"/>
  <c r="C226" i="2" l="1"/>
  <c r="F226" i="2" s="1"/>
  <c r="A227" i="2" s="1"/>
  <c r="G226" i="2" l="1"/>
  <c r="D227" i="2"/>
  <c r="H227" i="2" s="1"/>
  <c r="B227" i="2"/>
  <c r="C227" i="2" l="1"/>
  <c r="G227" i="2" l="1"/>
  <c r="F227" i="2"/>
  <c r="A228" i="2" s="1"/>
  <c r="B228" i="2" l="1"/>
  <c r="D228" i="2"/>
  <c r="H228" i="2" s="1"/>
  <c r="C228" i="2" l="1"/>
  <c r="F228" i="2" s="1"/>
  <c r="A229" i="2" s="1"/>
  <c r="D229" i="2" s="1"/>
  <c r="H229" i="2" s="1"/>
  <c r="G228" i="2" l="1"/>
  <c r="B229" i="2"/>
  <c r="C229" i="2" s="1"/>
  <c r="G229" i="2" l="1"/>
  <c r="F229" i="2"/>
  <c r="A230" i="2" s="1"/>
  <c r="B230" i="2" s="1"/>
  <c r="D230" i="2" l="1"/>
  <c r="H230" i="2" s="1"/>
  <c r="C230" i="2" l="1"/>
  <c r="F230" i="2" s="1"/>
  <c r="A231" i="2" s="1"/>
  <c r="D231" i="2" s="1"/>
  <c r="H231" i="2" s="1"/>
  <c r="B231" i="2" l="1"/>
  <c r="C231" i="2" s="1"/>
  <c r="G230" i="2"/>
  <c r="F231" i="2" l="1"/>
  <c r="A232" i="2" s="1"/>
  <c r="G231" i="2"/>
  <c r="B232" i="2" l="1"/>
  <c r="D232" i="2"/>
  <c r="H232" i="2" s="1"/>
  <c r="C232" i="2" l="1"/>
  <c r="F232" i="2" l="1"/>
  <c r="A233" i="2" s="1"/>
  <c r="G232" i="2"/>
  <c r="D233" i="2" l="1"/>
  <c r="H233" i="2" s="1"/>
  <c r="B233" i="2"/>
  <c r="C233" i="2" l="1"/>
  <c r="F233" i="2" s="1"/>
  <c r="A234" i="2" s="1"/>
  <c r="G233" i="2" l="1"/>
  <c r="B234" i="2"/>
  <c r="D234" i="2"/>
  <c r="H234" i="2" s="1"/>
  <c r="C234" i="2" l="1"/>
  <c r="F234" i="2" s="1"/>
  <c r="A235" i="2" s="1"/>
  <c r="B235" i="2" s="1"/>
  <c r="D235" i="2" l="1"/>
  <c r="H235" i="2" s="1"/>
  <c r="G234" i="2"/>
  <c r="C235" i="2" l="1"/>
  <c r="G235" i="2" l="1"/>
  <c r="F235" i="2"/>
  <c r="A236" i="2" s="1"/>
  <c r="B236" i="2" l="1"/>
  <c r="D236" i="2"/>
  <c r="H236" i="2" s="1"/>
  <c r="C236" i="2" l="1"/>
  <c r="F236" i="2" l="1"/>
  <c r="A237" i="2" s="1"/>
  <c r="G236" i="2"/>
  <c r="B237" i="2" l="1"/>
  <c r="D237" i="2"/>
  <c r="H237" i="2" s="1"/>
  <c r="C237" i="2" l="1"/>
  <c r="F237" i="2" l="1"/>
  <c r="A238" i="2" s="1"/>
  <c r="G237" i="2"/>
  <c r="D238" i="2" l="1"/>
  <c r="H238" i="2" s="1"/>
  <c r="B238" i="2"/>
  <c r="C238" i="2" l="1"/>
  <c r="F238" i="2" s="1"/>
  <c r="A239" i="2" s="1"/>
  <c r="D239" i="2" s="1"/>
  <c r="H239" i="2" s="1"/>
  <c r="B239" i="2" l="1"/>
  <c r="C239" i="2" s="1"/>
  <c r="G238" i="2"/>
  <c r="F239" i="2" l="1"/>
  <c r="A240" i="2" s="1"/>
  <c r="G239" i="2"/>
  <c r="B240" i="2" l="1"/>
  <c r="D240" i="2"/>
  <c r="H240" i="2" s="1"/>
  <c r="C240" i="2" l="1"/>
  <c r="F240" i="2" l="1"/>
  <c r="A241" i="2" s="1"/>
  <c r="G240" i="2"/>
  <c r="B241" i="2" l="1"/>
  <c r="D241" i="2"/>
  <c r="H241" i="2" s="1"/>
  <c r="C241" i="2" l="1"/>
  <c r="F241" i="2" l="1"/>
  <c r="A242" i="2" s="1"/>
  <c r="G241" i="2"/>
  <c r="D242" i="2" l="1"/>
  <c r="H242" i="2" s="1"/>
  <c r="B242" i="2"/>
  <c r="C242" i="2" l="1"/>
  <c r="F242" i="2" s="1"/>
  <c r="A243" i="2" s="1"/>
  <c r="D243" i="2" s="1"/>
  <c r="H243" i="2" s="1"/>
  <c r="B243" i="2" l="1"/>
  <c r="C243" i="2" s="1"/>
  <c r="G242" i="2"/>
  <c r="G243" i="2" l="1"/>
  <c r="F243" i="2"/>
  <c r="A244" i="2" s="1"/>
  <c r="D244" i="2" l="1"/>
  <c r="H244" i="2" s="1"/>
  <c r="B244" i="2"/>
  <c r="C244" i="2" l="1"/>
  <c r="G244" i="2" s="1"/>
  <c r="F244" i="2" l="1"/>
  <c r="A245" i="2" s="1"/>
  <c r="B245" i="2" s="1"/>
  <c r="D245" i="2" l="1"/>
  <c r="H245" i="2" s="1"/>
  <c r="C245" i="2" l="1"/>
  <c r="G245" i="2" s="1"/>
  <c r="F245" i="2" l="1"/>
  <c r="A246" i="2" s="1"/>
  <c r="B246" i="2" s="1"/>
  <c r="D246" i="2" l="1"/>
  <c r="H246" i="2" s="1"/>
  <c r="C246" i="2" l="1"/>
  <c r="G246" i="2" s="1"/>
  <c r="F246" i="2" l="1"/>
  <c r="A247" i="2" s="1"/>
  <c r="B247" i="2" s="1"/>
  <c r="D247" i="2" l="1"/>
  <c r="H247" i="2" s="1"/>
  <c r="C247" i="2" l="1"/>
  <c r="G247" i="2" s="1"/>
  <c r="F247" i="2" l="1"/>
  <c r="A248" i="2" s="1"/>
  <c r="B248" i="2" s="1"/>
  <c r="D248" i="2" l="1"/>
  <c r="H248" i="2" s="1"/>
  <c r="C248" i="2" l="1"/>
  <c r="F248" i="2" s="1"/>
  <c r="A249" i="2" s="1"/>
  <c r="G248" i="2" l="1"/>
  <c r="D249" i="2"/>
  <c r="H249" i="2" s="1"/>
  <c r="B249" i="2"/>
  <c r="C249" i="2" l="1"/>
  <c r="F249" i="2" s="1"/>
  <c r="A250" i="2" s="1"/>
  <c r="G249" i="2" l="1"/>
  <c r="B250" i="2"/>
  <c r="D250" i="2"/>
  <c r="H250" i="2" s="1"/>
  <c r="C250" i="2" l="1"/>
  <c r="G250" i="2" s="1"/>
  <c r="F250" i="2" l="1"/>
  <c r="A251" i="2" s="1"/>
  <c r="B251" i="2" s="1"/>
  <c r="D251" i="2" l="1"/>
  <c r="H251" i="2" s="1"/>
  <c r="C251" i="2" l="1"/>
  <c r="F251" i="2" s="1"/>
  <c r="A252" i="2" s="1"/>
  <c r="G251" i="2" l="1"/>
  <c r="B252" i="2"/>
  <c r="D252" i="2"/>
  <c r="H252" i="2" s="1"/>
  <c r="C252" i="2" l="1"/>
  <c r="G252" i="2" l="1"/>
  <c r="F252" i="2"/>
  <c r="A253" i="2" s="1"/>
  <c r="D253" i="2" l="1"/>
  <c r="H253" i="2" s="1"/>
  <c r="B253" i="2"/>
  <c r="C253" i="2" l="1"/>
  <c r="F253" i="2" s="1"/>
  <c r="A254" i="2" s="1"/>
  <c r="D254" i="2" s="1"/>
  <c r="H254" i="2" s="1"/>
  <c r="B254" i="2" l="1"/>
  <c r="C254" i="2" s="1"/>
  <c r="G253" i="2"/>
  <c r="G254" i="2" l="1"/>
  <c r="F254" i="2"/>
  <c r="A255" i="2" s="1"/>
  <c r="B255" i="2" l="1"/>
  <c r="D255" i="2"/>
  <c r="H255" i="2" s="1"/>
  <c r="C255" i="2" l="1"/>
  <c r="G255" i="2" s="1"/>
  <c r="F255" i="2" l="1"/>
  <c r="A256" i="2" s="1"/>
  <c r="B256" i="2" s="1"/>
  <c r="D256" i="2" l="1"/>
  <c r="H256" i="2" s="1"/>
  <c r="C256" i="2" l="1"/>
  <c r="G256" i="2" s="1"/>
  <c r="F256" i="2" l="1"/>
  <c r="A257" i="2" s="1"/>
  <c r="D257" i="2" s="1"/>
  <c r="H257" i="2" s="1"/>
  <c r="B257" i="2" l="1"/>
  <c r="C257" i="2" s="1"/>
  <c r="G257" i="2" s="1"/>
  <c r="F257" i="2" l="1"/>
  <c r="A258" i="2" s="1"/>
  <c r="D258" i="2" s="1"/>
  <c r="H258" i="2" s="1"/>
  <c r="B258" i="2" l="1"/>
  <c r="C258" i="2" s="1"/>
  <c r="F258" i="2" l="1"/>
  <c r="A259" i="2" s="1"/>
  <c r="G258" i="2"/>
  <c r="D259" i="2" l="1"/>
  <c r="H259" i="2" s="1"/>
  <c r="B259" i="2"/>
  <c r="C259" i="2" l="1"/>
  <c r="G259" i="2" l="1"/>
  <c r="F259" i="2"/>
  <c r="A260" i="2" s="1"/>
  <c r="D260" i="2" l="1"/>
  <c r="H260" i="2" s="1"/>
  <c r="B260" i="2"/>
  <c r="C260" i="2" l="1"/>
  <c r="G260" i="2" l="1"/>
  <c r="F260" i="2"/>
  <c r="A261" i="2" s="1"/>
  <c r="B261" i="2" l="1"/>
  <c r="D261" i="2"/>
  <c r="H261" i="2" s="1"/>
  <c r="C261" i="2" l="1"/>
  <c r="G261" i="2" s="1"/>
  <c r="F261" i="2" l="1"/>
  <c r="A262" i="2" s="1"/>
  <c r="D262" i="2" s="1"/>
  <c r="H262" i="2" s="1"/>
  <c r="B262" i="2" l="1"/>
  <c r="C262" i="2" s="1"/>
  <c r="G262" i="2" l="1"/>
  <c r="F262" i="2"/>
  <c r="A263" i="2" s="1"/>
  <c r="B263" i="2" l="1"/>
  <c r="D263" i="2"/>
  <c r="H263" i="2" s="1"/>
  <c r="C263" i="2" l="1"/>
  <c r="G263" i="2" s="1"/>
  <c r="F263" i="2" l="1"/>
  <c r="A264" i="2" s="1"/>
  <c r="D264" i="2" s="1"/>
  <c r="H264" i="2" s="1"/>
  <c r="B264" i="2" l="1"/>
  <c r="C264" i="2" s="1"/>
  <c r="F264" i="2" l="1"/>
  <c r="A265" i="2" s="1"/>
  <c r="G264" i="2"/>
  <c r="D265" i="2" l="1"/>
  <c r="H265" i="2" s="1"/>
  <c r="B265" i="2"/>
  <c r="C265" i="2" l="1"/>
  <c r="G265" i="2" s="1"/>
  <c r="F265" i="2" l="1"/>
  <c r="A266" i="2" s="1"/>
  <c r="D266" i="2" s="1"/>
  <c r="H266" i="2" s="1"/>
  <c r="B266" i="2" l="1"/>
  <c r="C266" i="2" s="1"/>
  <c r="G266" i="2" l="1"/>
  <c r="F266" i="2"/>
  <c r="A267" i="2" s="1"/>
  <c r="D267" i="2" l="1"/>
  <c r="H267" i="2" s="1"/>
  <c r="B267" i="2"/>
  <c r="C267" i="2" l="1"/>
  <c r="F267" i="2" l="1"/>
  <c r="A268" i="2" s="1"/>
  <c r="G267" i="2"/>
  <c r="B268" i="2" l="1"/>
  <c r="D268" i="2"/>
  <c r="H268" i="2" s="1"/>
  <c r="C268" i="2" l="1"/>
  <c r="G268" i="2" s="1"/>
  <c r="F268" i="2" l="1"/>
  <c r="A269" i="2" s="1"/>
  <c r="D269" i="2" s="1"/>
  <c r="H269" i="2" s="1"/>
  <c r="B269" i="2" l="1"/>
  <c r="C269" i="2" s="1"/>
  <c r="F269" i="2" l="1"/>
  <c r="A270" i="2" s="1"/>
  <c r="G269" i="2"/>
  <c r="B270" i="2" l="1"/>
  <c r="D270" i="2"/>
  <c r="H270" i="2" s="1"/>
  <c r="C270" i="2" l="1"/>
  <c r="G270" i="2" s="1"/>
  <c r="F270" i="2" l="1"/>
  <c r="A271" i="2" s="1"/>
  <c r="D271" i="2" s="1"/>
  <c r="H271" i="2" s="1"/>
  <c r="B271" i="2" l="1"/>
  <c r="C271" i="2" s="1"/>
  <c r="G271" i="2" s="1"/>
  <c r="F271" i="2" l="1"/>
  <c r="A272" i="2" s="1"/>
  <c r="D272" i="2" s="1"/>
  <c r="H272" i="2" s="1"/>
  <c r="B272" i="2" l="1"/>
  <c r="C272" i="2" s="1"/>
  <c r="G272" i="2" s="1"/>
  <c r="F272" i="2" l="1"/>
  <c r="A273" i="2" s="1"/>
  <c r="B273" i="2" s="1"/>
  <c r="D273" i="2" l="1"/>
  <c r="H273" i="2" s="1"/>
  <c r="C273" i="2" l="1"/>
  <c r="F273" i="2" s="1"/>
  <c r="A274" i="2" s="1"/>
  <c r="G273" i="2" l="1"/>
  <c r="B274" i="2"/>
  <c r="D274" i="2"/>
  <c r="H274" i="2" s="1"/>
  <c r="C274" i="2" l="1"/>
  <c r="G274" i="2" s="1"/>
  <c r="F274" i="2" l="1"/>
  <c r="A275" i="2" s="1"/>
  <c r="B275" i="2" s="1"/>
  <c r="D275" i="2" l="1"/>
  <c r="H275" i="2" s="1"/>
  <c r="C275" i="2" l="1"/>
  <c r="F275" i="2" l="1"/>
  <c r="A276" i="2" s="1"/>
  <c r="G275" i="2"/>
  <c r="D276" i="2" l="1"/>
  <c r="H276" i="2" s="1"/>
  <c r="B276" i="2"/>
  <c r="C276" i="2" l="1"/>
  <c r="F276" i="2" s="1"/>
  <c r="A277" i="2" s="1"/>
  <c r="B277" i="2" s="1"/>
  <c r="D277" i="2" l="1"/>
  <c r="H277" i="2" s="1"/>
  <c r="G276" i="2"/>
  <c r="C277" i="2" l="1"/>
  <c r="F277" i="2" s="1"/>
  <c r="A278" i="2" s="1"/>
  <c r="D278" i="2" s="1"/>
  <c r="H278" i="2" s="1"/>
  <c r="B278" i="2" l="1"/>
  <c r="C278" i="2" s="1"/>
  <c r="G277" i="2"/>
  <c r="G278" i="2" l="1"/>
  <c r="F278" i="2"/>
  <c r="A279" i="2" s="1"/>
  <c r="D279" i="2" s="1"/>
  <c r="H279" i="2" s="1"/>
  <c r="B279" i="2" l="1"/>
  <c r="C279" i="2" s="1"/>
  <c r="G279" i="2" s="1"/>
  <c r="F279" i="2" l="1"/>
  <c r="A280" i="2" s="1"/>
  <c r="D280" i="2" s="1"/>
  <c r="H280" i="2" s="1"/>
  <c r="B280" i="2" l="1"/>
  <c r="C280" i="2" s="1"/>
  <c r="F280" i="2" s="1"/>
  <c r="A281" i="2" s="1"/>
  <c r="B281" i="2" l="1"/>
  <c r="D281" i="2"/>
  <c r="H281" i="2" s="1"/>
  <c r="G280" i="2"/>
  <c r="C281" i="2" l="1"/>
  <c r="F281" i="2" s="1"/>
  <c r="A282" i="2" s="1"/>
  <c r="D282" i="2" s="1"/>
  <c r="H282" i="2" s="1"/>
  <c r="B282" i="2" l="1"/>
  <c r="C282" i="2" s="1"/>
  <c r="F282" i="2" s="1"/>
  <c r="A283" i="2" s="1"/>
  <c r="B283" i="2" s="1"/>
  <c r="G281" i="2"/>
  <c r="G282" i="2" l="1"/>
  <c r="D283" i="2"/>
  <c r="H283" i="2" s="1"/>
  <c r="C283" i="2" l="1"/>
  <c r="F283" i="2" l="1"/>
  <c r="A284" i="2" s="1"/>
  <c r="G283" i="2"/>
  <c r="D284" i="2" l="1"/>
  <c r="H284" i="2" s="1"/>
  <c r="B284" i="2"/>
  <c r="C284" i="2" l="1"/>
  <c r="F284" i="2" s="1"/>
  <c r="A285" i="2" s="1"/>
  <c r="B285" i="2" s="1"/>
  <c r="D285" i="2" l="1"/>
  <c r="H285" i="2" s="1"/>
  <c r="G284" i="2"/>
  <c r="C285" i="2" l="1"/>
  <c r="F285" i="2" s="1"/>
  <c r="A286" i="2" s="1"/>
  <c r="D286" i="2" s="1"/>
  <c r="H286" i="2" s="1"/>
  <c r="G285" i="2" l="1"/>
  <c r="B286" i="2"/>
  <c r="C286" i="2" s="1"/>
  <c r="G286" i="2" l="1"/>
  <c r="F286" i="2"/>
  <c r="A287" i="2" s="1"/>
  <c r="D287" i="2" s="1"/>
  <c r="H287" i="2" s="1"/>
  <c r="B287" i="2" l="1"/>
  <c r="C287" i="2" s="1"/>
  <c r="G287" i="2" s="1"/>
  <c r="F287" i="2" l="1"/>
  <c r="A288" i="2" s="1"/>
  <c r="B288" i="2" s="1"/>
  <c r="D288" i="2" l="1"/>
  <c r="H288" i="2" s="1"/>
  <c r="C288" i="2" l="1"/>
  <c r="G288" i="2" l="1"/>
  <c r="F288" i="2"/>
  <c r="A289" i="2" s="1"/>
  <c r="D289" i="2" l="1"/>
  <c r="H289" i="2" s="1"/>
  <c r="B289" i="2"/>
  <c r="C289" i="2" l="1"/>
  <c r="F289" i="2" l="1"/>
  <c r="A290" i="2" s="1"/>
  <c r="G289" i="2"/>
  <c r="B290" i="2" l="1"/>
  <c r="D290" i="2"/>
  <c r="H290" i="2" s="1"/>
  <c r="C290" i="2" l="1"/>
  <c r="G290" i="2" l="1"/>
  <c r="F290" i="2"/>
  <c r="A291" i="2" s="1"/>
  <c r="B291" i="2" l="1"/>
  <c r="D291" i="2"/>
  <c r="H291" i="2" s="1"/>
  <c r="C291" i="2" l="1"/>
  <c r="G291" i="2" s="1"/>
  <c r="F291" i="2" l="1"/>
  <c r="A292" i="2" s="1"/>
  <c r="B292" i="2" s="1"/>
  <c r="D292" i="2" l="1"/>
  <c r="H292" i="2" s="1"/>
  <c r="C292" i="2" l="1"/>
  <c r="G292" i="2" l="1"/>
  <c r="F292" i="2"/>
  <c r="A293" i="2" s="1"/>
  <c r="D293" i="2" l="1"/>
  <c r="H293" i="2" s="1"/>
  <c r="B293" i="2"/>
  <c r="C293" i="2" l="1"/>
  <c r="F293" i="2" s="1"/>
  <c r="A294" i="2" s="1"/>
  <c r="B294" i="2" s="1"/>
  <c r="G293" i="2" l="1"/>
  <c r="D294" i="2"/>
  <c r="H294" i="2" s="1"/>
  <c r="C294" i="2" l="1"/>
  <c r="G294" i="2" l="1"/>
  <c r="F294" i="2"/>
  <c r="A295" i="2" s="1"/>
  <c r="D295" i="2" l="1"/>
  <c r="H295" i="2" s="1"/>
  <c r="B295" i="2"/>
  <c r="C295" i="2" l="1"/>
  <c r="G295" i="2" l="1"/>
  <c r="F295" i="2"/>
  <c r="A296" i="2" s="1"/>
  <c r="D296" i="2" l="1"/>
  <c r="H296" i="2" s="1"/>
  <c r="B296" i="2"/>
  <c r="C296" i="2" l="1"/>
  <c r="F296" i="2" s="1"/>
  <c r="A297" i="2" s="1"/>
  <c r="B297" i="2" s="1"/>
  <c r="D297" i="2" l="1"/>
  <c r="H297" i="2" s="1"/>
  <c r="G296" i="2"/>
  <c r="C297" i="2" l="1"/>
  <c r="F297" i="2" s="1"/>
  <c r="A298" i="2" s="1"/>
  <c r="B298" i="2" s="1"/>
  <c r="G297" i="2" l="1"/>
  <c r="D298" i="2"/>
  <c r="H298" i="2" s="1"/>
  <c r="C298" i="2" l="1"/>
  <c r="F298" i="2" l="1"/>
  <c r="A299" i="2" s="1"/>
  <c r="G298" i="2"/>
  <c r="B299" i="2" l="1"/>
  <c r="D299" i="2"/>
  <c r="H299" i="2" s="1"/>
  <c r="C299" i="2" l="1"/>
  <c r="F299" i="2" l="1"/>
  <c r="A300" i="2" s="1"/>
  <c r="G299" i="2"/>
  <c r="B300" i="2" l="1"/>
  <c r="D300" i="2"/>
  <c r="H300" i="2" s="1"/>
  <c r="C300" i="2" l="1"/>
  <c r="F300" i="2" l="1"/>
  <c r="A301" i="2" s="1"/>
  <c r="G300" i="2"/>
  <c r="B301" i="2" l="1"/>
  <c r="D301" i="2"/>
  <c r="H301" i="2" s="1"/>
  <c r="C301" i="2" l="1"/>
  <c r="F301" i="2" s="1"/>
  <c r="A302" i="2" s="1"/>
  <c r="G301" i="2" l="1"/>
  <c r="D302" i="2"/>
  <c r="H302" i="2" s="1"/>
  <c r="B302" i="2"/>
  <c r="C302" i="2" l="1"/>
  <c r="F302" i="2" l="1"/>
  <c r="A303" i="2" s="1"/>
  <c r="G302" i="2"/>
  <c r="B303" i="2" l="1"/>
  <c r="D303" i="2"/>
  <c r="H303" i="2" s="1"/>
  <c r="C303" i="2" l="1"/>
  <c r="G303" i="2" s="1"/>
  <c r="F303" i="2" l="1"/>
  <c r="A304" i="2" s="1"/>
  <c r="D304" i="2" s="1"/>
  <c r="H304" i="2" s="1"/>
  <c r="B304" i="2" l="1"/>
  <c r="C304" i="2" s="1"/>
  <c r="G304" i="2" l="1"/>
  <c r="F304" i="2"/>
  <c r="A305" i="2" s="1"/>
  <c r="B305" i="2" l="1"/>
  <c r="D305" i="2"/>
  <c r="H305" i="2" s="1"/>
  <c r="C305" i="2" l="1"/>
  <c r="F305" i="2" s="1"/>
  <c r="A306" i="2" s="1"/>
  <c r="B306" i="2" s="1"/>
  <c r="D306" i="2" l="1"/>
  <c r="H306" i="2" s="1"/>
  <c r="G305" i="2"/>
  <c r="C306" i="2" l="1"/>
  <c r="F306" i="2" s="1"/>
  <c r="A307" i="2" s="1"/>
  <c r="D307" i="2" s="1"/>
  <c r="H307" i="2" s="1"/>
  <c r="B307" i="2" l="1"/>
  <c r="C307" i="2" s="1"/>
  <c r="G306" i="2"/>
  <c r="F307" i="2" l="1"/>
  <c r="A308" i="2" s="1"/>
  <c r="G307" i="2"/>
  <c r="D308" i="2" l="1"/>
  <c r="H308" i="2" s="1"/>
  <c r="B308" i="2"/>
  <c r="C308" i="2" l="1"/>
  <c r="G308" i="2" s="1"/>
  <c r="F308" i="2" l="1"/>
  <c r="A309" i="2" s="1"/>
  <c r="B309" i="2" s="1"/>
  <c r="D309" i="2" l="1"/>
  <c r="H309" i="2" s="1"/>
  <c r="C309" i="2" l="1"/>
  <c r="G309" i="2" l="1"/>
  <c r="F309" i="2"/>
  <c r="A310" i="2" s="1"/>
  <c r="D310" i="2" l="1"/>
  <c r="H310" i="2" s="1"/>
  <c r="B310" i="2"/>
  <c r="C310" i="2" l="1"/>
  <c r="F310" i="2" s="1"/>
  <c r="A311" i="2" s="1"/>
  <c r="D311" i="2" s="1"/>
  <c r="H311" i="2" s="1"/>
  <c r="B311" i="2" l="1"/>
  <c r="C311" i="2" s="1"/>
  <c r="F311" i="2" s="1"/>
  <c r="A312" i="2" s="1"/>
  <c r="D312" i="2" s="1"/>
  <c r="H312" i="2" s="1"/>
  <c r="G310" i="2"/>
  <c r="G311" i="2" l="1"/>
  <c r="B312" i="2"/>
  <c r="C312" i="2" s="1"/>
  <c r="G312" i="2" l="1"/>
  <c r="F312" i="2"/>
  <c r="A313" i="2" s="1"/>
  <c r="B313" i="2" s="1"/>
  <c r="D313" i="2" l="1"/>
  <c r="H313" i="2" s="1"/>
  <c r="C313" i="2" l="1"/>
  <c r="F313" i="2" s="1"/>
  <c r="A314" i="2" s="1"/>
  <c r="D314" i="2" s="1"/>
  <c r="H314" i="2" s="1"/>
  <c r="G313" i="2" l="1"/>
  <c r="B314" i="2"/>
  <c r="C314" i="2" s="1"/>
  <c r="F314" i="2" s="1"/>
  <c r="A315" i="2" s="1"/>
  <c r="D315" i="2" s="1"/>
  <c r="H315" i="2" s="1"/>
  <c r="G314" i="2" l="1"/>
  <c r="B315" i="2"/>
  <c r="C315" i="2" s="1"/>
  <c r="F315" i="2" s="1"/>
  <c r="A316" i="2" s="1"/>
  <c r="B316" i="2" s="1"/>
  <c r="D316" i="2" l="1"/>
  <c r="H316" i="2" s="1"/>
  <c r="G315" i="2"/>
  <c r="C316" i="2" l="1"/>
  <c r="F316" i="2" s="1"/>
  <c r="A317" i="2" s="1"/>
  <c r="D317" i="2" s="1"/>
  <c r="H317" i="2" s="1"/>
  <c r="B317" i="2" l="1"/>
  <c r="C317" i="2" s="1"/>
  <c r="G316" i="2"/>
  <c r="G317" i="2" l="1"/>
  <c r="F317" i="2"/>
  <c r="A318" i="2" s="1"/>
  <c r="D318" i="2" l="1"/>
  <c r="H318" i="2" s="1"/>
  <c r="B318" i="2"/>
  <c r="C318" i="2" l="1"/>
  <c r="F318" i="2" l="1"/>
  <c r="A319" i="2" s="1"/>
  <c r="G318" i="2"/>
  <c r="B319" i="2" l="1"/>
  <c r="D319" i="2"/>
  <c r="H319" i="2" s="1"/>
  <c r="C319" i="2" l="1"/>
  <c r="G319" i="2" s="1"/>
  <c r="F319" i="2" l="1"/>
  <c r="A320" i="2" s="1"/>
  <c r="D320" i="2" s="1"/>
  <c r="H320" i="2" s="1"/>
  <c r="B320" i="2" l="1"/>
  <c r="C320" i="2" s="1"/>
  <c r="F320" i="2" s="1"/>
  <c r="A321" i="2" s="1"/>
  <c r="B321" i="2" s="1"/>
  <c r="G320" i="2" l="1"/>
  <c r="D321" i="2"/>
  <c r="H321" i="2" s="1"/>
  <c r="C321" i="2" l="1"/>
  <c r="F321" i="2" l="1"/>
  <c r="A322" i="2" s="1"/>
  <c r="G321" i="2"/>
  <c r="D322" i="2" l="1"/>
  <c r="H322" i="2" s="1"/>
  <c r="B322" i="2"/>
  <c r="C322" i="2" l="1"/>
  <c r="F322" i="2" s="1"/>
  <c r="A323" i="2" s="1"/>
  <c r="D323" i="2" s="1"/>
  <c r="H323" i="2" s="1"/>
  <c r="B323" i="2" l="1"/>
  <c r="C323" i="2" s="1"/>
  <c r="F323" i="2" s="1"/>
  <c r="A324" i="2" s="1"/>
  <c r="G322" i="2"/>
  <c r="G323" i="2" l="1"/>
  <c r="D324" i="2"/>
  <c r="H324" i="2" s="1"/>
  <c r="B324" i="2"/>
  <c r="C324" i="2" l="1"/>
  <c r="F324" i="2" s="1"/>
  <c r="A325" i="2" s="1"/>
  <c r="D325" i="2" s="1"/>
  <c r="H325" i="2" s="1"/>
  <c r="G324" i="2" l="1"/>
  <c r="B325" i="2"/>
  <c r="C325" i="2" s="1"/>
  <c r="F325" i="2" l="1"/>
  <c r="A326" i="2" s="1"/>
  <c r="D326" i="2" s="1"/>
  <c r="H326" i="2" s="1"/>
  <c r="G325" i="2"/>
  <c r="B326" i="2" l="1"/>
  <c r="C326" i="2" s="1"/>
  <c r="F326" i="2" l="1"/>
  <c r="A327" i="2" s="1"/>
  <c r="G326" i="2"/>
  <c r="B327" i="2" l="1"/>
  <c r="D327" i="2"/>
  <c r="H327" i="2" s="1"/>
  <c r="C327" i="2" l="1"/>
  <c r="F327" i="2" l="1"/>
  <c r="A328" i="2" s="1"/>
  <c r="G327" i="2"/>
  <c r="B328" i="2" l="1"/>
  <c r="D328" i="2"/>
  <c r="H328" i="2" s="1"/>
  <c r="C328" i="2" l="1"/>
  <c r="G328" i="2" s="1"/>
  <c r="F328" i="2" l="1"/>
  <c r="A329" i="2" s="1"/>
  <c r="B329" i="2" s="1"/>
  <c r="D329" i="2" l="1"/>
  <c r="H329" i="2" s="1"/>
  <c r="C329" i="2" l="1"/>
  <c r="G329" i="2" s="1"/>
  <c r="F329" i="2" l="1"/>
  <c r="A330" i="2" s="1"/>
  <c r="B330" i="2" l="1"/>
  <c r="D330" i="2"/>
  <c r="H330" i="2" s="1"/>
  <c r="C330" i="2" l="1"/>
  <c r="F330" i="2" s="1"/>
  <c r="A331" i="2" s="1"/>
  <c r="G330" i="2" l="1"/>
  <c r="B331" i="2"/>
  <c r="D331" i="2"/>
  <c r="H331" i="2" s="1"/>
  <c r="C331" i="2" l="1"/>
  <c r="F331" i="2" s="1"/>
  <c r="A332" i="2" s="1"/>
  <c r="G331" i="2" l="1"/>
  <c r="B332" i="2"/>
  <c r="D332" i="2"/>
  <c r="H332" i="2" s="1"/>
  <c r="C332" i="2" l="1"/>
  <c r="F332" i="2" s="1"/>
  <c r="A333" i="2" s="1"/>
  <c r="B333" i="2" s="1"/>
  <c r="G332" i="2" l="1"/>
  <c r="D333" i="2"/>
  <c r="H333" i="2" s="1"/>
  <c r="C333" i="2" l="1"/>
  <c r="G333" i="2" s="1"/>
  <c r="F333" i="2" l="1"/>
  <c r="A334" i="2" s="1"/>
  <c r="D334" i="2" s="1"/>
  <c r="H334" i="2" s="1"/>
  <c r="B334" i="2" l="1"/>
  <c r="C334" i="2" s="1"/>
  <c r="F334" i="2" s="1"/>
  <c r="A335" i="2" s="1"/>
  <c r="D335" i="2" s="1"/>
  <c r="H335" i="2" s="1"/>
  <c r="B335" i="2" l="1"/>
  <c r="C335" i="2" s="1"/>
  <c r="F335" i="2" s="1"/>
  <c r="A336" i="2" s="1"/>
  <c r="G334" i="2"/>
  <c r="G335" i="2" l="1"/>
  <c r="D336" i="2"/>
  <c r="H336" i="2" s="1"/>
  <c r="B336" i="2"/>
  <c r="C336" i="2" l="1"/>
  <c r="F336" i="2" l="1"/>
  <c r="A337" i="2" s="1"/>
  <c r="G336" i="2"/>
  <c r="B337" i="2" l="1"/>
  <c r="D337" i="2"/>
  <c r="H337" i="2" s="1"/>
  <c r="C337" i="2" l="1"/>
  <c r="G337" i="2" s="1"/>
  <c r="F337" i="2" l="1"/>
  <c r="A338" i="2" s="1"/>
  <c r="D338" i="2" s="1"/>
  <c r="H338" i="2" s="1"/>
  <c r="B338" i="2" l="1"/>
  <c r="C338" i="2" s="1"/>
  <c r="G338" i="2" l="1"/>
  <c r="F338" i="2"/>
  <c r="A339" i="2" s="1"/>
  <c r="D339" i="2" l="1"/>
  <c r="H339" i="2" s="1"/>
  <c r="B339" i="2"/>
  <c r="C339" i="2" l="1"/>
  <c r="F339" i="2" l="1"/>
  <c r="A340" i="2" s="1"/>
  <c r="G339" i="2"/>
  <c r="B340" i="2" l="1"/>
  <c r="D340" i="2"/>
  <c r="H340" i="2" s="1"/>
  <c r="C340" i="2" l="1"/>
  <c r="F340" i="2" s="1"/>
  <c r="A341" i="2" s="1"/>
  <c r="D341" i="2" s="1"/>
  <c r="H341" i="2" s="1"/>
  <c r="G340" i="2" l="1"/>
  <c r="B341" i="2"/>
  <c r="C341" i="2" s="1"/>
  <c r="G341" i="2" l="1"/>
  <c r="F341" i="2"/>
  <c r="A342" i="2" s="1"/>
  <c r="B342" i="2" s="1"/>
  <c r="D342" i="2" l="1"/>
  <c r="H342" i="2" s="1"/>
  <c r="C342" i="2" l="1"/>
  <c r="G342" i="2" s="1"/>
  <c r="F342" i="2" l="1"/>
  <c r="A343" i="2" s="1"/>
  <c r="D343" i="2" s="1"/>
  <c r="H343" i="2" s="1"/>
  <c r="B343" i="2" l="1"/>
  <c r="C343" i="2" s="1"/>
  <c r="F343" i="2" s="1"/>
  <c r="A344" i="2" s="1"/>
  <c r="D344" i="2" s="1"/>
  <c r="H344" i="2" s="1"/>
  <c r="B344" i="2" l="1"/>
  <c r="C344" i="2" s="1"/>
  <c r="F344" i="2" s="1"/>
  <c r="A345" i="2" s="1"/>
  <c r="B345" i="2" s="1"/>
  <c r="G343" i="2"/>
  <c r="G344" i="2" l="1"/>
  <c r="D345" i="2"/>
  <c r="H345" i="2" s="1"/>
  <c r="C345" i="2" l="1"/>
  <c r="F345" i="2" s="1"/>
  <c r="A346" i="2" s="1"/>
  <c r="D346" i="2" s="1"/>
  <c r="H346" i="2" s="1"/>
  <c r="G345" i="2" l="1"/>
  <c r="B346" i="2"/>
  <c r="C346" i="2" s="1"/>
  <c r="F346" i="2" s="1"/>
  <c r="A347" i="2" s="1"/>
  <c r="G346" i="2" l="1"/>
  <c r="B347" i="2"/>
  <c r="D347" i="2"/>
  <c r="H347" i="2" s="1"/>
  <c r="C347" i="2" l="1"/>
  <c r="F347" i="2" s="1"/>
  <c r="A348" i="2" s="1"/>
  <c r="G347" i="2" l="1"/>
  <c r="B348" i="2"/>
  <c r="D348" i="2"/>
  <c r="H348" i="2" s="1"/>
  <c r="C348" i="2" l="1"/>
  <c r="G348" i="2" s="1"/>
  <c r="F348" i="2" l="1"/>
  <c r="A349" i="2" s="1"/>
  <c r="B349" i="2" s="1"/>
  <c r="D349" i="2" l="1"/>
  <c r="H349" i="2" s="1"/>
  <c r="C349" i="2" l="1"/>
  <c r="F349" i="2" s="1"/>
  <c r="A350" i="2" s="1"/>
  <c r="G349" i="2" l="1"/>
  <c r="D350" i="2"/>
  <c r="H350" i="2" s="1"/>
  <c r="B350" i="2"/>
  <c r="C350" i="2" l="1"/>
  <c r="F350" i="2" l="1"/>
  <c r="A351" i="2" s="1"/>
  <c r="G350" i="2"/>
  <c r="D351" i="2" l="1"/>
  <c r="H351" i="2" s="1"/>
  <c r="B351" i="2"/>
  <c r="C351" i="2" l="1"/>
  <c r="G351" i="2" l="1"/>
  <c r="F351" i="2"/>
  <c r="A352" i="2" s="1"/>
  <c r="B352" i="2" l="1"/>
  <c r="D352" i="2"/>
  <c r="H352" i="2" s="1"/>
  <c r="C352" i="2" l="1"/>
  <c r="F352" i="2" s="1"/>
  <c r="A353" i="2" s="1"/>
  <c r="G352" i="2" l="1"/>
  <c r="B353" i="2"/>
  <c r="D353" i="2"/>
  <c r="H353" i="2" s="1"/>
  <c r="C353" i="2" l="1"/>
  <c r="G353" i="2" s="1"/>
  <c r="F353" i="2" l="1"/>
  <c r="A354" i="2" s="1"/>
  <c r="D354" i="2" s="1"/>
  <c r="H354" i="2" s="1"/>
  <c r="B354" i="2" l="1"/>
  <c r="C354" i="2" s="1"/>
  <c r="F354" i="2" l="1"/>
  <c r="A355" i="2" s="1"/>
  <c r="G354" i="2"/>
  <c r="B355" i="2" l="1"/>
  <c r="D355" i="2"/>
  <c r="H355" i="2" s="1"/>
  <c r="C355" i="2" l="1"/>
  <c r="G355" i="2" s="1"/>
  <c r="F355" i="2" l="1"/>
  <c r="A356" i="2" s="1"/>
  <c r="D356" i="2" s="1"/>
  <c r="H356" i="2" s="1"/>
  <c r="B356" i="2" l="1"/>
  <c r="C356" i="2" s="1"/>
  <c r="G356" i="2" s="1"/>
  <c r="F356" i="2" l="1"/>
  <c r="A357" i="2" s="1"/>
  <c r="D357" i="2" s="1"/>
  <c r="H357" i="2" s="1"/>
  <c r="B357" i="2" l="1"/>
  <c r="C357" i="2" s="1"/>
  <c r="F357" i="2" s="1"/>
  <c r="A358" i="2" s="1"/>
  <c r="D358" i="2" s="1"/>
  <c r="H358" i="2" s="1"/>
  <c r="B358" i="2" l="1"/>
  <c r="C358" i="2" s="1"/>
  <c r="F358" i="2" s="1"/>
  <c r="A359" i="2" s="1"/>
  <c r="D359" i="2" s="1"/>
  <c r="H359" i="2" s="1"/>
  <c r="G357" i="2"/>
  <c r="B359" i="2" l="1"/>
  <c r="C359" i="2" s="1"/>
  <c r="G358" i="2"/>
  <c r="F359" i="2" l="1"/>
  <c r="A360" i="2" s="1"/>
  <c r="G359" i="2"/>
  <c r="D360" i="2" l="1"/>
  <c r="H360" i="2" s="1"/>
  <c r="B360" i="2"/>
  <c r="C360" i="2" l="1"/>
  <c r="F360" i="2" s="1"/>
  <c r="A361" i="2" s="1"/>
  <c r="D361" i="2" s="1"/>
  <c r="H361" i="2" s="1"/>
  <c r="B361" i="2" l="1"/>
  <c r="C361" i="2" s="1"/>
  <c r="G360" i="2"/>
  <c r="F361" i="2" l="1"/>
  <c r="A362" i="2" s="1"/>
  <c r="G361" i="2"/>
  <c r="B362" i="2" l="1"/>
  <c r="D362" i="2"/>
  <c r="H362" i="2" s="1"/>
  <c r="C362" i="2" l="1"/>
  <c r="F362" i="2" l="1"/>
  <c r="A363" i="2" s="1"/>
  <c r="G362" i="2"/>
  <c r="D363" i="2" l="1"/>
  <c r="H363" i="2" s="1"/>
  <c r="B363" i="2"/>
  <c r="C363" i="2" l="1"/>
  <c r="F363" i="2" s="1"/>
  <c r="A364" i="2" s="1"/>
  <c r="G363" i="2" l="1"/>
  <c r="B364" i="2"/>
  <c r="D364" i="2"/>
  <c r="H364" i="2" s="1"/>
  <c r="C364" i="2" l="1"/>
  <c r="G364" i="2" l="1"/>
  <c r="F364" i="2"/>
  <c r="A365" i="2" s="1"/>
  <c r="B365" i="2" l="1"/>
  <c r="D365" i="2"/>
  <c r="H365" i="2" s="1"/>
  <c r="C365" i="2" l="1"/>
  <c r="F365" i="2" l="1"/>
  <c r="A366" i="2" s="1"/>
  <c r="G365" i="2"/>
  <c r="D366" i="2" l="1"/>
  <c r="H366" i="2" s="1"/>
  <c r="B366" i="2"/>
  <c r="C366" i="2" l="1"/>
  <c r="G366" i="2" s="1"/>
  <c r="F366" i="2" l="1"/>
  <c r="A367" i="2" s="1"/>
  <c r="D367" i="2" s="1"/>
  <c r="H367" i="2" s="1"/>
  <c r="B367" i="2" l="1"/>
  <c r="C367" i="2" s="1"/>
  <c r="F367" i="2" s="1"/>
  <c r="G367" i="2" l="1"/>
  <c r="H72" i="1"/>
  <c r="H85" i="1" l="1"/>
  <c r="H75" i="1"/>
  <c r="G72" i="1"/>
  <c r="H79" i="1" l="1"/>
  <c r="H84" i="1"/>
  <c r="I84" i="1" s="1"/>
  <c r="I88" i="1" s="1"/>
  <c r="I139" i="1" s="1"/>
  <c r="H83" i="1"/>
  <c r="G75" i="1"/>
  <c r="G85" i="1"/>
  <c r="I96" i="1" l="1"/>
  <c r="I97" i="1" s="1"/>
  <c r="I141" i="1"/>
  <c r="J84" i="1"/>
  <c r="J88" i="1" s="1"/>
  <c r="J139" i="1" s="1"/>
  <c r="G79" i="1"/>
  <c r="G84" i="1"/>
  <c r="G83" i="1"/>
  <c r="H88" i="1"/>
  <c r="H139" i="1" s="1"/>
  <c r="I142" i="1" l="1"/>
  <c r="J141" i="1"/>
  <c r="J96" i="1"/>
  <c r="J97" i="1" s="1"/>
  <c r="I125" i="1"/>
  <c r="I98" i="1"/>
  <c r="H141" i="1"/>
  <c r="H96" i="1"/>
  <c r="G88" i="1"/>
  <c r="G139" i="1" s="1"/>
  <c r="K84" i="1"/>
  <c r="K88" i="1" s="1"/>
  <c r="K139" i="1" s="1"/>
  <c r="K96" i="1" l="1"/>
  <c r="K97" i="1" s="1"/>
  <c r="K141" i="1"/>
  <c r="H97" i="1"/>
  <c r="H98" i="1" s="1"/>
  <c r="J142" i="1"/>
  <c r="J155" i="1" s="1"/>
  <c r="I144" i="1"/>
  <c r="J98" i="1"/>
  <c r="J125" i="1"/>
  <c r="G141" i="1"/>
  <c r="G142" i="1" s="1"/>
  <c r="G96" i="1"/>
  <c r="G97" i="1" s="1"/>
  <c r="H142" i="1"/>
  <c r="I155" i="1" s="1"/>
  <c r="L84" i="1"/>
  <c r="L88" i="1" s="1"/>
  <c r="L139" i="1" s="1"/>
  <c r="H125" i="1" l="1"/>
  <c r="J144" i="1"/>
  <c r="J163" i="1" s="1"/>
  <c r="I163" i="1"/>
  <c r="K142" i="1"/>
  <c r="K155" i="1" s="1"/>
  <c r="L141" i="1"/>
  <c r="L96" i="1"/>
  <c r="L97" i="1" s="1"/>
  <c r="K98" i="1"/>
  <c r="K125" i="1"/>
  <c r="G98" i="1"/>
  <c r="G131" i="1" s="1"/>
  <c r="G125" i="1"/>
  <c r="H144" i="1"/>
  <c r="H155" i="1"/>
  <c r="G144" i="1"/>
  <c r="G155" i="1"/>
  <c r="M84" i="1"/>
  <c r="G163" i="1" l="1"/>
  <c r="H163" i="1"/>
  <c r="G134" i="1"/>
  <c r="G136" i="1" s="1"/>
  <c r="H131" i="1"/>
  <c r="H134" i="1" s="1"/>
  <c r="H136" i="1" s="1"/>
  <c r="L142" i="1"/>
  <c r="L155" i="1" s="1"/>
  <c r="K144" i="1"/>
  <c r="K163" i="1" s="1"/>
  <c r="M88" i="1"/>
  <c r="M139" i="1" s="1"/>
  <c r="L98" i="1"/>
  <c r="L125" i="1"/>
  <c r="L144" i="1" l="1"/>
  <c r="L163" i="1" s="1"/>
  <c r="I131" i="1"/>
  <c r="J131" i="1" s="1"/>
  <c r="M141" i="1"/>
  <c r="M96" i="1"/>
  <c r="I134" i="1" l="1"/>
  <c r="I136" i="1" s="1"/>
  <c r="M97" i="1"/>
  <c r="M125" i="1" s="1"/>
  <c r="M142" i="1"/>
  <c r="M144" i="1" s="1"/>
  <c r="J134" i="1"/>
  <c r="J136" i="1" s="1"/>
  <c r="K131" i="1"/>
  <c r="M155" i="1" l="1"/>
  <c r="M161" i="1"/>
  <c r="M98" i="1"/>
  <c r="K134" i="1"/>
  <c r="K136" i="1" s="1"/>
  <c r="L131" i="1"/>
  <c r="M163" i="1" l="1"/>
  <c r="B164" i="1" s="1"/>
  <c r="L134" i="1"/>
  <c r="L136" i="1" s="1"/>
  <c r="M131" i="1"/>
  <c r="M134" i="1" l="1"/>
  <c r="M136" i="1" s="1"/>
  <c r="Q158" i="1"/>
  <c r="U153" i="1" l="1"/>
  <c r="O142" i="1" s="1"/>
  <c r="J166" i="1" s="1"/>
  <c r="K166" i="1" l="1"/>
  <c r="F166" i="1"/>
  <c r="D166" i="1"/>
  <c r="E166" i="1"/>
  <c r="I166" i="1"/>
  <c r="C166" i="1"/>
  <c r="L166" i="1"/>
  <c r="H166" i="1"/>
  <c r="G166" i="1"/>
  <c r="M166" i="1"/>
  <c r="C168" i="1" l="1"/>
</calcChain>
</file>

<file path=xl/sharedStrings.xml><?xml version="1.0" encoding="utf-8"?>
<sst xmlns="http://schemas.openxmlformats.org/spreadsheetml/2006/main" count="745" uniqueCount="187">
  <si>
    <t>Ice Mine Pro Forma Income Statement</t>
  </si>
  <si>
    <t>Assumptions</t>
  </si>
  <si>
    <t xml:space="preserve">Public Skate 1 day </t>
  </si>
  <si>
    <t>Price per 1 session</t>
  </si>
  <si>
    <t>Increase</t>
  </si>
  <si>
    <t>Skate Rental</t>
  </si>
  <si>
    <t>Pick-up hockey game</t>
  </si>
  <si>
    <t>Skating Lessons</t>
  </si>
  <si>
    <t>Power Play Party Package(per party)</t>
  </si>
  <si>
    <t>Hat Trick Party Package</t>
  </si>
  <si>
    <t>Ice Rink/Roller Rink</t>
  </si>
  <si>
    <t>Rentals Per year</t>
  </si>
  <si>
    <t>Hockey Games per year</t>
  </si>
  <si>
    <t>Skating Lessons per year</t>
  </si>
  <si>
    <t>Power Play Parties per year</t>
  </si>
  <si>
    <t>Hat Trick parties per year</t>
  </si>
  <si>
    <t xml:space="preserve">Income Statement </t>
  </si>
  <si>
    <t>Ice Skate/ Skate Rental Revenue</t>
  </si>
  <si>
    <t>Skating Lesson Revenue</t>
  </si>
  <si>
    <t>Pick-up game revenue</t>
  </si>
  <si>
    <t>People Per year (session</t>
  </si>
  <si>
    <t>Ppl per year ( day)</t>
  </si>
  <si>
    <t>Skating/ Ice Skating Revenue Session</t>
  </si>
  <si>
    <t>Skating/ Ice skating Revenue day</t>
  </si>
  <si>
    <t>Party Room Rev (HT)</t>
  </si>
  <si>
    <t>Party Room Revenue(PP)</t>
  </si>
  <si>
    <t>Expenses</t>
  </si>
  <si>
    <t>Utilities Expenses</t>
  </si>
  <si>
    <t>Payroll Exp</t>
  </si>
  <si>
    <t>Maintenance</t>
  </si>
  <si>
    <t>Advertising</t>
  </si>
  <si>
    <t>COGS</t>
  </si>
  <si>
    <t xml:space="preserve">   25 and older teams</t>
  </si>
  <si>
    <t xml:space="preserve">   18 to 24 year old team</t>
  </si>
  <si>
    <t xml:space="preserve">   U18 teams</t>
  </si>
  <si>
    <t>25 and older league revenue</t>
  </si>
  <si>
    <t>18 to 24 yr league revenue</t>
  </si>
  <si>
    <t>U18 league revenue</t>
  </si>
  <si>
    <t>Teams per hockey league</t>
  </si>
  <si>
    <t xml:space="preserve">   25+ league per team</t>
  </si>
  <si>
    <t xml:space="preserve">   18 to 24 league per team</t>
  </si>
  <si>
    <t xml:space="preserve">   U18 league per team</t>
  </si>
  <si>
    <t>Hockey League Fees</t>
  </si>
  <si>
    <t>Assets</t>
  </si>
  <si>
    <t>Zamboni</t>
  </si>
  <si>
    <t>Concession</t>
  </si>
  <si>
    <t>Employees</t>
  </si>
  <si>
    <t xml:space="preserve">   Concession/skate rentals (per hr)</t>
  </si>
  <si>
    <t xml:space="preserve">   Zamboni Driver (per hr)</t>
  </si>
  <si>
    <t>hrs open per year</t>
  </si>
  <si>
    <t>per kWh</t>
  </si>
  <si>
    <t>kWh per year</t>
  </si>
  <si>
    <t>Minimum Cash</t>
  </si>
  <si>
    <t>Extra Cash</t>
  </si>
  <si>
    <t>Inventory</t>
  </si>
  <si>
    <t>Buildings and Equipment</t>
  </si>
  <si>
    <t>Buildings</t>
  </si>
  <si>
    <t>Taxable Income</t>
  </si>
  <si>
    <t>Income Taxes</t>
  </si>
  <si>
    <t>Net Income</t>
  </si>
  <si>
    <t>(0% if negative taxable income</t>
  </si>
  <si>
    <t>BALANCE SHEET</t>
  </si>
  <si>
    <t>Mortgage Interest Expense</t>
  </si>
  <si>
    <t>Interest Expense - extra bank loan</t>
  </si>
  <si>
    <t>Land</t>
  </si>
  <si>
    <t>Cleaning Expense</t>
  </si>
  <si>
    <t>acres</t>
  </si>
  <si>
    <t>Accu Depr</t>
  </si>
  <si>
    <t>yrs estimated life straight line depr</t>
  </si>
  <si>
    <t>Liabilities &amp; Stockholders Equity</t>
  </si>
  <si>
    <t xml:space="preserve">Accu Depr Bld. </t>
  </si>
  <si>
    <t>per square foot</t>
  </si>
  <si>
    <t>Square feet of building</t>
  </si>
  <si>
    <t>straight line</t>
  </si>
  <si>
    <t>Amortization Table</t>
  </si>
  <si>
    <t>Mortgage</t>
  </si>
  <si>
    <t>Rate</t>
  </si>
  <si>
    <t>Years</t>
  </si>
  <si>
    <t>PMT #</t>
  </si>
  <si>
    <t>PMT AMOUNT</t>
  </si>
  <si>
    <t>Principal Pmt</t>
  </si>
  <si>
    <t>Interest Pmt</t>
  </si>
  <si>
    <t>Extra Pmt</t>
  </si>
  <si>
    <t>Principal Remaining</t>
  </si>
  <si>
    <t>Total Principal Paid</t>
  </si>
  <si>
    <t>Total Interest Paid</t>
  </si>
  <si>
    <t>Depreciation Exp Bld</t>
  </si>
  <si>
    <t>Depreciation- Equip</t>
  </si>
  <si>
    <t>Common Stock</t>
  </si>
  <si>
    <t>Accounts Payable</t>
  </si>
  <si>
    <t>Mortgage Payable</t>
  </si>
  <si>
    <t>Utilities Payable</t>
  </si>
  <si>
    <t>Retained Earnings</t>
  </si>
  <si>
    <t>Total Liab &amp; Stockholders Equity</t>
  </si>
  <si>
    <t>Total Assets</t>
  </si>
  <si>
    <t>DailyArcade Comission</t>
  </si>
  <si>
    <t>Arcade Revenue</t>
  </si>
  <si>
    <t>per event</t>
  </si>
  <si>
    <t xml:space="preserve">Banquet Room Events </t>
  </si>
  <si>
    <t>Banquet Room Revenue</t>
  </si>
  <si>
    <t>DFN</t>
  </si>
  <si>
    <t>skates</t>
  </si>
  <si>
    <t>tables</t>
  </si>
  <si>
    <t>chairs</t>
  </si>
  <si>
    <t xml:space="preserve">Debt </t>
  </si>
  <si>
    <t>Equity</t>
  </si>
  <si>
    <t>Spread</t>
  </si>
  <si>
    <t>Return</t>
  </si>
  <si>
    <t>SP500</t>
  </si>
  <si>
    <t>Beta</t>
  </si>
  <si>
    <t>Mortage</t>
  </si>
  <si>
    <t>WACC</t>
  </si>
  <si>
    <t>Extra bank laon</t>
  </si>
  <si>
    <t>Common stock</t>
  </si>
  <si>
    <t>Retain Earnings</t>
  </si>
  <si>
    <t>Total</t>
  </si>
  <si>
    <t xml:space="preserve"> Tax adj. </t>
  </si>
  <si>
    <t>0ffice equipment</t>
  </si>
  <si>
    <t>Consession equpment</t>
  </si>
  <si>
    <t>Skating equpment</t>
  </si>
  <si>
    <t>Computer</t>
  </si>
  <si>
    <t>printer</t>
  </si>
  <si>
    <t>funitiure</t>
  </si>
  <si>
    <t>misc</t>
  </si>
  <si>
    <t>register</t>
  </si>
  <si>
    <t>Kithcen appliances</t>
  </si>
  <si>
    <t>Machines</t>
  </si>
  <si>
    <t>Banquet room seats</t>
  </si>
  <si>
    <t>Banquet</t>
  </si>
  <si>
    <t>Skating eqipment</t>
  </si>
  <si>
    <t>Banquet Equipmemt</t>
  </si>
  <si>
    <t>Office Equipment</t>
  </si>
  <si>
    <t>Conssession stand Equpment</t>
  </si>
  <si>
    <t>Accu. Depr. Equ.</t>
  </si>
  <si>
    <t xml:space="preserve">7year life </t>
  </si>
  <si>
    <t>Acc. Depr. Equip.</t>
  </si>
  <si>
    <t>Extra Bank Loan</t>
  </si>
  <si>
    <t>Free Cash Flows</t>
  </si>
  <si>
    <t>Operating Income</t>
  </si>
  <si>
    <t>Less:Depreciation</t>
  </si>
  <si>
    <t>Taxable Op Income</t>
  </si>
  <si>
    <t>Taxes on Operations Only</t>
  </si>
  <si>
    <t>Add Back: Depreciation</t>
  </si>
  <si>
    <t>Total Cash from Operations</t>
  </si>
  <si>
    <t>Operating Profit</t>
  </si>
  <si>
    <t>Total Revenues</t>
  </si>
  <si>
    <t>Gross Margin</t>
  </si>
  <si>
    <t>days of inventory</t>
  </si>
  <si>
    <t>month payable</t>
  </si>
  <si>
    <t>Cash in/out from Capital Expenditures</t>
  </si>
  <si>
    <t>Buy Building</t>
  </si>
  <si>
    <t>Sell Building</t>
  </si>
  <si>
    <t>Taxes on Sale of Building</t>
  </si>
  <si>
    <t>Cash in/out from Changes in Working Capital</t>
  </si>
  <si>
    <t>-</t>
  </si>
  <si>
    <t>Accounts Receivable</t>
  </si>
  <si>
    <t>+</t>
  </si>
  <si>
    <t>Income Tax Payable</t>
  </si>
  <si>
    <t>Cash in/out from Liquidation of Working Capital</t>
  </si>
  <si>
    <t>Total Free Cash Flows</t>
  </si>
  <si>
    <t>Irr</t>
  </si>
  <si>
    <t>Present Value of Cash Flows</t>
  </si>
  <si>
    <t>NPV</t>
  </si>
  <si>
    <t>Income tax payable</t>
  </si>
  <si>
    <t>Tax</t>
  </si>
  <si>
    <t>Tibills</t>
  </si>
  <si>
    <t>Refurbished</t>
  </si>
  <si>
    <t>yeas</t>
  </si>
  <si>
    <t>Depreciation on ice floor</t>
  </si>
  <si>
    <t>proprotion</t>
  </si>
  <si>
    <t>Unlevered Beta</t>
  </si>
  <si>
    <t>Relevered</t>
  </si>
  <si>
    <t>NPV of Good</t>
  </si>
  <si>
    <t>NPV of Bad</t>
  </si>
  <si>
    <t>Probability</t>
  </si>
  <si>
    <t>Expected NPV</t>
  </si>
  <si>
    <t xml:space="preserve">The expected NPV is the  value of the sum of all of the 3 possibilities for our ice-skating rink. The better the expected NPV the higher the WACC appears to be, therefore the better we do the more the investors expect from us in return. </t>
  </si>
  <si>
    <t>Total FCF from Cap Exp</t>
  </si>
  <si>
    <t>Total FCF from Operation</t>
  </si>
  <si>
    <t>Total FCF from WC Changes</t>
  </si>
  <si>
    <t>Total FCF from WC Liquid</t>
  </si>
  <si>
    <t>Total Strong Market</t>
  </si>
  <si>
    <t>GOOD</t>
  </si>
  <si>
    <t>BAD</t>
  </si>
  <si>
    <t>Total Bad Market</t>
  </si>
  <si>
    <t>NPv</t>
  </si>
  <si>
    <t>Dayas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</si>
</sst>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_);_(@_)"/>
    <numFmt numFmtId="167" formatCode="0.0%"/>
    <numFmt numFmtId="168" formatCode="0.000%"/>
    <numFmt numFmtId="169" formatCode="_(\$* #,##0.00_);_(\$* \(#,##0.00\);_(\$* \-??_);_(@_)"/>
    <numFmt numFmtId="170" formatCode="_(* #,##0.00_);_(* \(#,##0.00\);_(* \-??_);_(@_)"/>
    <numFmt numFmtId="171" formatCode="_(* #,##0.000_);_(* \(#,##0.000\);_(* &quot;-&quot;??_);_(@_)"/>
    <numFmt numFmtId="172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170" fontId="9" fillId="0" borderId="0"/>
    <xf numFmtId="169" fontId="9" fillId="0" borderId="0"/>
    <xf numFmtId="9" fontId="10" fillId="0" borderId="0"/>
    <xf numFmtId="0" fontId="9" fillId="0" borderId="0"/>
    <xf numFmtId="0" fontId="10" fillId="0" borderId="0"/>
  </cellStyleXfs>
  <cellXfs count="88">
    <xf numFmtId="0" fontId="0" fillId="0" borderId="0" xfId="0"/>
    <xf numFmtId="0" fontId="0" fillId="0" borderId="1" xfId="0" applyBorder="1"/>
    <xf numFmtId="44" fontId="0" fillId="0" borderId="0" xfId="1" applyFont="1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ill="1" applyBorder="1"/>
    <xf numFmtId="9" fontId="0" fillId="0" borderId="0" xfId="2" applyFont="1"/>
    <xf numFmtId="164" fontId="0" fillId="0" borderId="0" xfId="1" applyNumberFormat="1" applyFont="1"/>
    <xf numFmtId="1" fontId="0" fillId="0" borderId="0" xfId="0" applyNumberFormat="1"/>
    <xf numFmtId="165" fontId="0" fillId="0" borderId="0" xfId="3" applyNumberFormat="1" applyFont="1"/>
    <xf numFmtId="164" fontId="0" fillId="0" borderId="0" xfId="0" applyNumberFormat="1"/>
    <xf numFmtId="0" fontId="3" fillId="0" borderId="0" xfId="0" applyFont="1"/>
    <xf numFmtId="44" fontId="0" fillId="0" borderId="0" xfId="0" applyNumberFormat="1"/>
    <xf numFmtId="166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center"/>
    </xf>
    <xf numFmtId="0" fontId="4" fillId="2" borderId="0" xfId="0" applyFont="1" applyFill="1"/>
    <xf numFmtId="10" fontId="0" fillId="0" borderId="0" xfId="2" applyNumberFormat="1" applyFont="1"/>
    <xf numFmtId="0" fontId="4" fillId="2" borderId="0" xfId="0" applyFont="1" applyFill="1" applyAlignment="1">
      <alignment horizontal="center"/>
    </xf>
    <xf numFmtId="8" fontId="0" fillId="0" borderId="0" xfId="0" applyNumberFormat="1"/>
    <xf numFmtId="8" fontId="0" fillId="0" borderId="0" xfId="1" applyNumberFormat="1" applyFont="1"/>
    <xf numFmtId="0" fontId="5" fillId="0" borderId="0" xfId="0" applyFont="1"/>
    <xf numFmtId="0" fontId="3" fillId="0" borderId="0" xfId="0" applyFont="1" applyFill="1" applyBorder="1"/>
    <xf numFmtId="0" fontId="6" fillId="0" borderId="0" xfId="0" applyFont="1" applyFill="1" applyBorder="1"/>
    <xf numFmtId="165" fontId="7" fillId="0" borderId="0" xfId="0" applyNumberFormat="1" applyFont="1"/>
    <xf numFmtId="168" fontId="7" fillId="0" borderId="0" xfId="0" applyNumberFormat="1" applyFont="1"/>
    <xf numFmtId="10" fontId="7" fillId="0" borderId="0" xfId="0" applyNumberFormat="1" applyFont="1"/>
    <xf numFmtId="0" fontId="7" fillId="0" borderId="0" xfId="0" applyFont="1"/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Font="1"/>
    <xf numFmtId="0" fontId="3" fillId="0" borderId="0" xfId="0" applyFont="1"/>
    <xf numFmtId="1" fontId="0" fillId="0" borderId="0" xfId="0" applyNumberFormat="1"/>
    <xf numFmtId="1" fontId="0" fillId="0" borderId="0" xfId="1" applyNumberFormat="1" applyFont="1"/>
    <xf numFmtId="0" fontId="0" fillId="0" borderId="0" xfId="0" applyBorder="1"/>
    <xf numFmtId="165" fontId="0" fillId="0" borderId="0" xfId="3" applyNumberFormat="1" applyFont="1"/>
    <xf numFmtId="0" fontId="6" fillId="0" borderId="0" xfId="0" applyFont="1"/>
    <xf numFmtId="8" fontId="0" fillId="0" borderId="0" xfId="0" applyNumberFormat="1"/>
    <xf numFmtId="9" fontId="7" fillId="0" borderId="0" xfId="0" applyNumberFormat="1" applyFont="1"/>
    <xf numFmtId="167" fontId="7" fillId="0" borderId="0" xfId="0" applyNumberFormat="1" applyFont="1"/>
    <xf numFmtId="43" fontId="7" fillId="0" borderId="0" xfId="0" applyNumberFormat="1" applyFont="1"/>
    <xf numFmtId="9" fontId="3" fillId="0" borderId="0" xfId="2" applyFont="1"/>
    <xf numFmtId="9" fontId="3" fillId="0" borderId="0" xfId="1" applyNumberFormat="1" applyFont="1"/>
    <xf numFmtId="9" fontId="3" fillId="0" borderId="0" xfId="0" applyNumberFormat="1" applyFont="1"/>
    <xf numFmtId="1" fontId="3" fillId="0" borderId="0" xfId="0" applyNumberFormat="1" applyFont="1"/>
    <xf numFmtId="44" fontId="3" fillId="0" borderId="0" xfId="1" applyFont="1"/>
    <xf numFmtId="44" fontId="0" fillId="0" borderId="0" xfId="1" applyNumberFormat="1" applyFont="1"/>
    <xf numFmtId="168" fontId="3" fillId="0" borderId="0" xfId="0" applyNumberFormat="1" applyFont="1"/>
    <xf numFmtId="0" fontId="12" fillId="3" borderId="0" xfId="8" applyFont="1" applyFill="1"/>
    <xf numFmtId="0" fontId="13" fillId="3" borderId="0" xfId="8" applyFont="1" applyFill="1"/>
    <xf numFmtId="166" fontId="7" fillId="0" borderId="0" xfId="0" applyNumberFormat="1" applyFont="1"/>
    <xf numFmtId="8" fontId="7" fillId="0" borderId="0" xfId="0" applyNumberFormat="1" applyFont="1"/>
    <xf numFmtId="0" fontId="3" fillId="4" borderId="0" xfId="0" applyFont="1" applyFill="1"/>
    <xf numFmtId="44" fontId="7" fillId="0" borderId="0" xfId="0" applyNumberFormat="1" applyFont="1"/>
    <xf numFmtId="44" fontId="7" fillId="0" borderId="0" xfId="1" applyFont="1"/>
    <xf numFmtId="0" fontId="11" fillId="3" borderId="0" xfId="8" applyFont="1" applyFill="1"/>
    <xf numFmtId="0" fontId="9" fillId="3" borderId="0" xfId="8" applyFill="1"/>
    <xf numFmtId="10" fontId="3" fillId="4" borderId="0" xfId="0" applyNumberFormat="1" applyFont="1" applyFill="1"/>
    <xf numFmtId="165" fontId="7" fillId="0" borderId="0" xfId="3" applyNumberFormat="1" applyFont="1"/>
    <xf numFmtId="43" fontId="0" fillId="0" borderId="0" xfId="0" applyNumberFormat="1"/>
    <xf numFmtId="44" fontId="3" fillId="0" borderId="0" xfId="0" applyNumberFormat="1" applyFont="1"/>
    <xf numFmtId="9" fontId="7" fillId="0" borderId="0" xfId="2" applyFont="1"/>
    <xf numFmtId="171" fontId="7" fillId="0" borderId="0" xfId="0" applyNumberFormat="1" applyFont="1"/>
    <xf numFmtId="172" fontId="0" fillId="0" borderId="0" xfId="0" applyNumberFormat="1" applyFont="1"/>
    <xf numFmtId="164" fontId="3" fillId="0" borderId="0" xfId="0" applyNumberFormat="1" applyFont="1"/>
    <xf numFmtId="9" fontId="3" fillId="0" borderId="0" xfId="0" applyNumberFormat="1" applyFont="1" applyFill="1" applyBorder="1"/>
    <xf numFmtId="6" fontId="7" fillId="0" borderId="2" xfId="0" applyNumberFormat="1" applyFont="1" applyBorder="1"/>
    <xf numFmtId="0" fontId="0" fillId="0" borderId="3" xfId="0" applyBorder="1"/>
    <xf numFmtId="43" fontId="7" fillId="0" borderId="3" xfId="0" applyNumberFormat="1" applyFont="1" applyBorder="1"/>
    <xf numFmtId="43" fontId="7" fillId="0" borderId="4" xfId="0" applyNumberFormat="1" applyFont="1" applyBorder="1"/>
    <xf numFmtId="8" fontId="7" fillId="0" borderId="5" xfId="0" applyNumberFormat="1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5" xfId="0" applyFont="1" applyBorder="1"/>
    <xf numFmtId="8" fontId="7" fillId="0" borderId="0" xfId="0" applyNumberFormat="1" applyFont="1" applyBorder="1"/>
    <xf numFmtId="9" fontId="7" fillId="0" borderId="0" xfId="2" applyFont="1" applyBorder="1"/>
    <xf numFmtId="165" fontId="7" fillId="0" borderId="6" xfId="0" applyNumberFormat="1" applyFont="1" applyBorder="1"/>
    <xf numFmtId="9" fontId="7" fillId="0" borderId="0" xfId="0" applyNumberFormat="1" applyFont="1" applyBorder="1"/>
    <xf numFmtId="165" fontId="7" fillId="0" borderId="0" xfId="0" applyNumberFormat="1" applyFont="1" applyBorder="1"/>
    <xf numFmtId="0" fontId="7" fillId="0" borderId="7" xfId="0" applyFont="1" applyBorder="1"/>
    <xf numFmtId="0" fontId="7" fillId="0" borderId="1" xfId="0" applyFont="1" applyBorder="1"/>
    <xf numFmtId="165" fontId="7" fillId="0" borderId="8" xfId="0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</cellXfs>
  <cellStyles count="10">
    <cellStyle name="Comma" xfId="3" builtinId="3"/>
    <cellStyle name="Comma 2" xfId="5"/>
    <cellStyle name="Currency" xfId="1" builtinId="4"/>
    <cellStyle name="Currency 2" xfId="6"/>
    <cellStyle name="Excel Built-in Normal" xfId="9"/>
    <cellStyle name="Excel Built-in Normal 1" xfId="8"/>
    <cellStyle name="Normal" xfId="0" builtinId="0"/>
    <cellStyle name="Normal 2" xfId="4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ullerj/AppData/Local/Temp/Consulting%20Project-ICEM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Amort"/>
      <sheetName val="Good1"/>
      <sheetName val="Neutral"/>
      <sheetName val="Bad"/>
    </sheetNames>
    <sheetDataSet>
      <sheetData sheetId="0" refreshError="1"/>
      <sheetData sheetId="1">
        <row r="19">
          <cell r="F19">
            <v>1867671.6433895195</v>
          </cell>
          <cell r="I19">
            <v>47280.767906401808</v>
          </cell>
        </row>
        <row r="31">
          <cell r="F31">
            <v>1823247.5794967387</v>
          </cell>
          <cell r="I31">
            <v>46185.060624101076</v>
          </cell>
        </row>
        <row r="43">
          <cell r="F43">
            <v>1777700.0995751822</v>
          </cell>
          <cell r="I43">
            <v>45061.644595325619</v>
          </cell>
        </row>
        <row r="55">
          <cell r="F55">
            <v>1731000.7941669319</v>
          </cell>
          <cell r="I55">
            <v>43909.819108632131</v>
          </cell>
        </row>
        <row r="67">
          <cell r="F67">
            <v>1683120.5353827158</v>
          </cell>
          <cell r="I67">
            <v>42728.86573266612</v>
          </cell>
        </row>
        <row r="79">
          <cell r="F79">
            <v>1634029.458733886</v>
          </cell>
          <cell r="I79">
            <v>41518.047868052745</v>
          </cell>
        </row>
        <row r="91">
          <cell r="F91">
            <v>1583696.9445049593</v>
          </cell>
          <cell r="I91">
            <v>40276.610287955489</v>
          </cell>
        </row>
        <row r="103">
          <cell r="F103">
            <v>1532091.5986550932</v>
          </cell>
          <cell r="I103">
            <v>39003.778667016501</v>
          </cell>
        </row>
        <row r="115">
          <cell r="F115">
            <v>1479181.2332365955</v>
          </cell>
          <cell r="I115">
            <v>37698.759098384427</v>
          </cell>
        </row>
        <row r="127">
          <cell r="F127">
            <v>1424932.8463182419</v>
          </cell>
          <cell r="I127">
            <v>36360.737598528664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6"/>
  <sheetViews>
    <sheetView zoomScale="70" zoomScaleNormal="70" workbookViewId="0">
      <selection activeCell="O32" sqref="A1:XFD1048576"/>
    </sheetView>
  </sheetViews>
  <sheetFormatPr defaultRowHeight="15" x14ac:dyDescent="0.25"/>
  <cols>
    <col min="1" max="1" width="6.85546875" customWidth="1"/>
    <col min="2" max="2" width="25.28515625" customWidth="1"/>
    <col min="3" max="3" width="17.42578125" bestFit="1" customWidth="1"/>
    <col min="4" max="4" width="16.42578125" bestFit="1" customWidth="1"/>
    <col min="5" max="6" width="16.85546875" bestFit="1" customWidth="1"/>
    <col min="7" max="7" width="18.7109375" customWidth="1"/>
    <col min="8" max="8" width="17.28515625" customWidth="1"/>
    <col min="9" max="9" width="19.42578125" customWidth="1"/>
    <col min="10" max="10" width="18.140625" customWidth="1"/>
    <col min="11" max="11" width="17.5703125" customWidth="1"/>
    <col min="12" max="12" width="18.42578125" customWidth="1"/>
    <col min="13" max="13" width="17.5703125" customWidth="1"/>
    <col min="14" max="14" width="16.28515625" customWidth="1"/>
    <col min="15" max="15" width="17.7109375" customWidth="1"/>
    <col min="16" max="16" width="17.85546875" customWidth="1"/>
    <col min="17" max="17" width="16.5703125" customWidth="1"/>
    <col min="18" max="18" width="15.7109375" bestFit="1" customWidth="1"/>
    <col min="21" max="21" width="13.85546875" customWidth="1"/>
    <col min="22" max="22" width="11" bestFit="1" customWidth="1"/>
  </cols>
  <sheetData>
    <row r="1" spans="1:16" x14ac:dyDescent="0.25">
      <c r="A1" s="14" t="s">
        <v>0</v>
      </c>
    </row>
    <row r="2" spans="1:16" x14ac:dyDescent="0.25">
      <c r="N2" s="35" t="s">
        <v>4</v>
      </c>
      <c r="O2" s="35"/>
      <c r="P2" s="35"/>
    </row>
    <row r="3" spans="1:16" ht="18.75" x14ac:dyDescent="0.3">
      <c r="A3" s="5" t="s">
        <v>1</v>
      </c>
      <c r="B3" s="1"/>
      <c r="C3" s="1"/>
      <c r="D3" s="5">
        <v>2013</v>
      </c>
      <c r="E3" s="5">
        <v>2014</v>
      </c>
      <c r="F3" s="5">
        <v>2015</v>
      </c>
      <c r="G3" s="5">
        <v>2016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33"/>
      <c r="O3" s="35"/>
      <c r="P3" s="35"/>
    </row>
    <row r="4" spans="1:16" ht="18.75" x14ac:dyDescent="0.3">
      <c r="A4" s="5" t="s">
        <v>10</v>
      </c>
      <c r="B4" s="1"/>
      <c r="C4" s="1"/>
      <c r="D4" s="5"/>
      <c r="E4" s="5"/>
      <c r="F4" s="5"/>
      <c r="G4" s="5"/>
      <c r="H4" s="5"/>
      <c r="I4" s="5"/>
      <c r="J4" s="5"/>
      <c r="K4" s="5"/>
      <c r="L4" s="5"/>
      <c r="M4" s="5"/>
      <c r="N4" s="33"/>
      <c r="O4" s="35"/>
      <c r="P4" s="35"/>
    </row>
    <row r="5" spans="1:16" x14ac:dyDescent="0.25">
      <c r="A5" t="s">
        <v>3</v>
      </c>
      <c r="D5">
        <v>7</v>
      </c>
      <c r="E5" s="13">
        <f>D5*(1+$N$5)</f>
        <v>7.1400000000000006</v>
      </c>
      <c r="F5" s="13">
        <f t="shared" ref="F5:M5" si="0">E5*(1+$N$5)</f>
        <v>7.2828000000000008</v>
      </c>
      <c r="G5" s="13">
        <f t="shared" si="0"/>
        <v>7.4284560000000006</v>
      </c>
      <c r="H5" s="13">
        <f t="shared" si="0"/>
        <v>7.5770251200000009</v>
      </c>
      <c r="I5" s="13">
        <f t="shared" si="0"/>
        <v>7.7285656224000014</v>
      </c>
      <c r="J5" s="13">
        <f>I5*(1+$N$5)</f>
        <v>7.883136934848002</v>
      </c>
      <c r="K5" s="13">
        <f>J5*(1+$N$5)</f>
        <v>8.0407996735449618</v>
      </c>
      <c r="L5" s="13">
        <f t="shared" si="0"/>
        <v>8.2016156670158615</v>
      </c>
      <c r="M5" s="13">
        <f t="shared" si="0"/>
        <v>8.3656479803561794</v>
      </c>
      <c r="N5" s="45">
        <v>0.02</v>
      </c>
      <c r="O5" s="35"/>
      <c r="P5" s="35"/>
    </row>
    <row r="6" spans="1:16" x14ac:dyDescent="0.25">
      <c r="A6" t="s">
        <v>2</v>
      </c>
      <c r="D6">
        <v>10</v>
      </c>
      <c r="E6" s="36">
        <f>D6*(1+$N$6)</f>
        <v>10.199999999999999</v>
      </c>
      <c r="F6" s="36">
        <f t="shared" ref="F6:M6" si="1">E6*(1+$N$6)</f>
        <v>10.404</v>
      </c>
      <c r="G6" s="36">
        <f t="shared" si="1"/>
        <v>10.612080000000001</v>
      </c>
      <c r="H6" s="36">
        <f t="shared" si="1"/>
        <v>10.824321600000001</v>
      </c>
      <c r="I6" s="36">
        <f t="shared" si="1"/>
        <v>11.040808032000001</v>
      </c>
      <c r="J6" s="36">
        <f t="shared" si="1"/>
        <v>11.261624192640001</v>
      </c>
      <c r="K6" s="36">
        <f t="shared" si="1"/>
        <v>11.486856676492801</v>
      </c>
      <c r="L6" s="36">
        <f t="shared" si="1"/>
        <v>11.716593810022657</v>
      </c>
      <c r="M6" s="36">
        <f t="shared" si="1"/>
        <v>11.95092568622311</v>
      </c>
      <c r="N6" s="46">
        <v>0.02</v>
      </c>
      <c r="O6" s="35"/>
      <c r="P6" s="35"/>
    </row>
    <row r="7" spans="1:16" x14ac:dyDescent="0.25">
      <c r="A7" t="s">
        <v>5</v>
      </c>
      <c r="D7">
        <v>2</v>
      </c>
      <c r="E7" s="36">
        <f>D7*(1+$N$7)</f>
        <v>2.2000000000000002</v>
      </c>
      <c r="F7" s="36">
        <f t="shared" ref="F7:M7" si="2">E7*(1+$N$7)</f>
        <v>2.4200000000000004</v>
      </c>
      <c r="G7" s="36">
        <f t="shared" si="2"/>
        <v>2.6620000000000008</v>
      </c>
      <c r="H7" s="36">
        <f t="shared" si="2"/>
        <v>2.9282000000000012</v>
      </c>
      <c r="I7" s="36">
        <f t="shared" si="2"/>
        <v>3.2210200000000015</v>
      </c>
      <c r="J7" s="36">
        <f t="shared" si="2"/>
        <v>3.5431220000000021</v>
      </c>
      <c r="K7" s="36">
        <f t="shared" si="2"/>
        <v>3.8974342000000028</v>
      </c>
      <c r="L7" s="36">
        <f t="shared" si="2"/>
        <v>4.2871776200000031</v>
      </c>
      <c r="M7" s="36">
        <f t="shared" si="2"/>
        <v>4.7158953820000038</v>
      </c>
      <c r="N7" s="46">
        <v>0.1</v>
      </c>
      <c r="O7" s="35"/>
      <c r="P7" s="35"/>
    </row>
    <row r="8" spans="1:16" x14ac:dyDescent="0.25">
      <c r="A8" t="s">
        <v>6</v>
      </c>
      <c r="D8">
        <f>10</f>
        <v>10</v>
      </c>
      <c r="E8">
        <f>10</f>
        <v>10</v>
      </c>
      <c r="F8">
        <f>10</f>
        <v>10</v>
      </c>
      <c r="G8">
        <f>10</f>
        <v>10</v>
      </c>
      <c r="H8">
        <v>10</v>
      </c>
      <c r="I8" s="31">
        <f>10</f>
        <v>10</v>
      </c>
      <c r="J8" s="31">
        <v>10</v>
      </c>
      <c r="K8" s="31">
        <v>10</v>
      </c>
      <c r="L8" s="31">
        <v>10</v>
      </c>
      <c r="M8" s="31">
        <v>10</v>
      </c>
      <c r="N8" s="35">
        <v>0</v>
      </c>
      <c r="O8" s="35"/>
      <c r="P8" s="35"/>
    </row>
    <row r="9" spans="1:16" x14ac:dyDescent="0.25">
      <c r="A9" t="s">
        <v>7</v>
      </c>
      <c r="D9">
        <v>8</v>
      </c>
      <c r="E9" s="36">
        <f>D9*(1+$N$9)</f>
        <v>8.16</v>
      </c>
      <c r="F9" s="36">
        <f t="shared" ref="F9:M9" si="3">E9*(1+$N$9)</f>
        <v>8.3231999999999999</v>
      </c>
      <c r="G9" s="36">
        <f t="shared" si="3"/>
        <v>8.4896639999999994</v>
      </c>
      <c r="H9" s="36">
        <f t="shared" si="3"/>
        <v>8.6594572799999998</v>
      </c>
      <c r="I9" s="36">
        <f t="shared" si="3"/>
        <v>8.8326464256000001</v>
      </c>
      <c r="J9" s="36">
        <f t="shared" si="3"/>
        <v>9.0092993541120006</v>
      </c>
      <c r="K9" s="36">
        <f t="shared" si="3"/>
        <v>9.1894853411942403</v>
      </c>
      <c r="L9" s="36">
        <f t="shared" si="3"/>
        <v>9.3732750480181259</v>
      </c>
      <c r="M9" s="36">
        <f t="shared" si="3"/>
        <v>9.5607405489784885</v>
      </c>
      <c r="N9" s="47">
        <v>0.02</v>
      </c>
      <c r="O9" s="35"/>
      <c r="P9" s="35"/>
    </row>
    <row r="10" spans="1:16" x14ac:dyDescent="0.25">
      <c r="A10" t="s">
        <v>8</v>
      </c>
      <c r="D10" s="10">
        <v>130</v>
      </c>
      <c r="E10" s="10">
        <v>130</v>
      </c>
      <c r="F10" s="10">
        <v>130</v>
      </c>
      <c r="G10" s="10">
        <f>F10+N10</f>
        <v>140</v>
      </c>
      <c r="H10" s="10">
        <f>G10</f>
        <v>140</v>
      </c>
      <c r="I10" s="10">
        <f t="shared" ref="I10:L10" si="4">H10</f>
        <v>140</v>
      </c>
      <c r="J10" s="10">
        <f t="shared" si="4"/>
        <v>140</v>
      </c>
      <c r="K10" s="10">
        <f t="shared" si="4"/>
        <v>140</v>
      </c>
      <c r="L10" s="10">
        <f t="shared" si="4"/>
        <v>140</v>
      </c>
      <c r="M10" s="10">
        <f>L10</f>
        <v>140</v>
      </c>
      <c r="N10" s="35">
        <f>10</f>
        <v>10</v>
      </c>
      <c r="O10" s="35"/>
      <c r="P10" s="35"/>
    </row>
    <row r="11" spans="1:16" x14ac:dyDescent="0.25">
      <c r="A11" t="s">
        <v>9</v>
      </c>
      <c r="D11" s="10">
        <v>160</v>
      </c>
      <c r="E11" s="10">
        <v>160</v>
      </c>
      <c r="F11" s="10">
        <v>160</v>
      </c>
      <c r="G11" s="10">
        <f>F11+N11</f>
        <v>170</v>
      </c>
      <c r="H11" s="10">
        <f>G11</f>
        <v>170</v>
      </c>
      <c r="I11" s="10">
        <f t="shared" ref="I11:M11" si="5">H11</f>
        <v>170</v>
      </c>
      <c r="J11" s="10">
        <f t="shared" si="5"/>
        <v>170</v>
      </c>
      <c r="K11" s="10">
        <f t="shared" si="5"/>
        <v>170</v>
      </c>
      <c r="L11" s="10">
        <f t="shared" si="5"/>
        <v>170</v>
      </c>
      <c r="M11" s="10">
        <f t="shared" si="5"/>
        <v>170</v>
      </c>
      <c r="N11" s="35">
        <v>10</v>
      </c>
      <c r="O11" s="35"/>
      <c r="P11" s="35"/>
    </row>
    <row r="12" spans="1:16" x14ac:dyDescent="0.25">
      <c r="A12" s="6" t="s">
        <v>20</v>
      </c>
      <c r="B12" s="4"/>
      <c r="C12" s="4"/>
      <c r="D12" s="4">
        <f>+D13*350</f>
        <v>17500</v>
      </c>
      <c r="E12" s="4">
        <f t="shared" ref="E12:M12" si="6">+E13*350</f>
        <v>17500</v>
      </c>
      <c r="F12" s="4">
        <f t="shared" si="6"/>
        <v>19250</v>
      </c>
      <c r="G12" s="4">
        <f t="shared" si="6"/>
        <v>19250</v>
      </c>
      <c r="H12" s="4">
        <f t="shared" si="6"/>
        <v>19250</v>
      </c>
      <c r="I12" s="38">
        <f t="shared" si="6"/>
        <v>19600</v>
      </c>
      <c r="J12" s="38">
        <f t="shared" si="6"/>
        <v>19950</v>
      </c>
      <c r="K12" s="38">
        <f t="shared" si="6"/>
        <v>20300</v>
      </c>
      <c r="L12" s="38">
        <f t="shared" si="6"/>
        <v>20650</v>
      </c>
      <c r="M12" s="38">
        <f t="shared" si="6"/>
        <v>21000</v>
      </c>
      <c r="N12" s="25"/>
      <c r="O12" s="35"/>
      <c r="P12" s="35"/>
    </row>
    <row r="13" spans="1:16" x14ac:dyDescent="0.25">
      <c r="A13" s="6" t="s">
        <v>21</v>
      </c>
      <c r="B13" s="4"/>
      <c r="C13" s="4"/>
      <c r="D13" s="8">
        <v>50</v>
      </c>
      <c r="E13" s="8">
        <v>50</v>
      </c>
      <c r="F13" s="8">
        <v>55</v>
      </c>
      <c r="G13" s="8">
        <v>55</v>
      </c>
      <c r="H13" s="8">
        <v>55</v>
      </c>
      <c r="I13" s="8">
        <v>56</v>
      </c>
      <c r="J13" s="8">
        <v>57</v>
      </c>
      <c r="K13" s="8">
        <v>58</v>
      </c>
      <c r="L13" s="8">
        <v>59</v>
      </c>
      <c r="M13" s="8">
        <v>60</v>
      </c>
      <c r="N13" s="25"/>
      <c r="O13" s="35"/>
      <c r="P13" s="35"/>
    </row>
    <row r="14" spans="1:16" x14ac:dyDescent="0.25">
      <c r="A14" s="7" t="s">
        <v>11</v>
      </c>
      <c r="D14" s="11">
        <f>D12*$O$14</f>
        <v>13125</v>
      </c>
      <c r="E14" s="11">
        <f>E12*$O$14</f>
        <v>13125</v>
      </c>
      <c r="F14" s="11">
        <f>F12*$O$14</f>
        <v>14437.5</v>
      </c>
      <c r="G14" s="11">
        <f>G12*$O$14</f>
        <v>14437.5</v>
      </c>
      <c r="H14" s="11">
        <f>H12*$O$14</f>
        <v>14437.5</v>
      </c>
      <c r="I14" s="36">
        <f t="shared" ref="I14:M14" si="7">I12*$O$14</f>
        <v>14700</v>
      </c>
      <c r="J14" s="36">
        <f t="shared" si="7"/>
        <v>14962.5</v>
      </c>
      <c r="K14" s="36">
        <f t="shared" si="7"/>
        <v>15225</v>
      </c>
      <c r="L14" s="36">
        <f t="shared" si="7"/>
        <v>15487.5</v>
      </c>
      <c r="M14" s="36">
        <f t="shared" si="7"/>
        <v>15750</v>
      </c>
      <c r="N14" s="35">
        <f>N12*$O$14</f>
        <v>0</v>
      </c>
      <c r="O14" s="45">
        <v>0.75</v>
      </c>
      <c r="P14" s="35"/>
    </row>
    <row r="15" spans="1:16" x14ac:dyDescent="0.25">
      <c r="A15" s="7" t="s">
        <v>12</v>
      </c>
      <c r="D15">
        <v>12</v>
      </c>
      <c r="E15" s="36">
        <f>D15*(1+$N$15)</f>
        <v>12.120000000000001</v>
      </c>
      <c r="F15" s="36">
        <f t="shared" ref="F15:M15" si="8">E15*(1+$N$15)</f>
        <v>12.241200000000001</v>
      </c>
      <c r="G15" s="36">
        <f t="shared" si="8"/>
        <v>12.363612000000002</v>
      </c>
      <c r="H15" s="36">
        <f t="shared" si="8"/>
        <v>12.487248120000002</v>
      </c>
      <c r="I15" s="36">
        <f t="shared" si="8"/>
        <v>12.612120601200003</v>
      </c>
      <c r="J15" s="36">
        <f t="shared" si="8"/>
        <v>12.738241807212002</v>
      </c>
      <c r="K15" s="36">
        <f t="shared" si="8"/>
        <v>12.865624225284122</v>
      </c>
      <c r="L15" s="36">
        <f t="shared" si="8"/>
        <v>12.994280467536964</v>
      </c>
      <c r="M15" s="36">
        <f t="shared" si="8"/>
        <v>13.124223272212333</v>
      </c>
      <c r="N15" s="45">
        <f>1%</f>
        <v>0.01</v>
      </c>
      <c r="O15" s="35"/>
      <c r="P15" s="35"/>
    </row>
    <row r="16" spans="1:16" x14ac:dyDescent="0.25">
      <c r="A16" s="7" t="s">
        <v>13</v>
      </c>
      <c r="D16" s="11">
        <f>D12*$O$16</f>
        <v>2625</v>
      </c>
      <c r="E16" s="11">
        <f>E12*$O$16</f>
        <v>2625</v>
      </c>
      <c r="F16" s="11">
        <f>F12*$O$16</f>
        <v>2887.5</v>
      </c>
      <c r="G16" s="11">
        <f>G12*$O$16</f>
        <v>2887.5</v>
      </c>
      <c r="H16" s="11">
        <f>H12*$O$16</f>
        <v>2887.5</v>
      </c>
      <c r="I16" s="36">
        <f t="shared" ref="I16:M16" si="9">I12*$O$16</f>
        <v>2940</v>
      </c>
      <c r="J16" s="36">
        <f t="shared" si="9"/>
        <v>2992.5</v>
      </c>
      <c r="K16" s="36">
        <f t="shared" si="9"/>
        <v>3045</v>
      </c>
      <c r="L16" s="36">
        <f t="shared" si="9"/>
        <v>3097.5</v>
      </c>
      <c r="M16" s="36">
        <f t="shared" si="9"/>
        <v>3150</v>
      </c>
      <c r="N16" s="35">
        <f>N12*$O$16</f>
        <v>0</v>
      </c>
      <c r="O16" s="45">
        <v>0.15</v>
      </c>
      <c r="P16" s="35"/>
    </row>
    <row r="17" spans="1:18" x14ac:dyDescent="0.25">
      <c r="A17" t="s">
        <v>42</v>
      </c>
      <c r="I17" s="31"/>
      <c r="J17" s="31"/>
      <c r="K17" s="31"/>
      <c r="L17" s="31"/>
      <c r="M17" s="31"/>
      <c r="N17" s="35"/>
      <c r="O17" s="35"/>
      <c r="P17" s="35"/>
    </row>
    <row r="18" spans="1:18" x14ac:dyDescent="0.25">
      <c r="A18" s="7" t="s">
        <v>39</v>
      </c>
      <c r="D18" s="10">
        <v>1300</v>
      </c>
      <c r="E18" s="10">
        <v>1300</v>
      </c>
      <c r="F18" s="10">
        <v>1300</v>
      </c>
      <c r="G18" s="10">
        <v>1350</v>
      </c>
      <c r="H18" s="10">
        <v>1350</v>
      </c>
      <c r="I18" s="10">
        <v>1350</v>
      </c>
      <c r="J18" s="10">
        <v>1350</v>
      </c>
      <c r="K18" s="10">
        <v>1350</v>
      </c>
      <c r="L18" s="10">
        <v>1350</v>
      </c>
      <c r="M18" s="10">
        <v>1350</v>
      </c>
      <c r="N18" s="48">
        <v>50</v>
      </c>
      <c r="O18" s="45"/>
      <c r="P18" s="35"/>
    </row>
    <row r="19" spans="1:18" x14ac:dyDescent="0.25">
      <c r="A19" s="7" t="s">
        <v>40</v>
      </c>
      <c r="D19" s="10">
        <v>1150</v>
      </c>
      <c r="E19" s="10">
        <v>1150</v>
      </c>
      <c r="F19" s="10">
        <v>1150</v>
      </c>
      <c r="G19" s="10">
        <v>1200</v>
      </c>
      <c r="H19" s="10">
        <v>1200</v>
      </c>
      <c r="I19" s="10">
        <v>1200</v>
      </c>
      <c r="J19" s="10">
        <v>1200</v>
      </c>
      <c r="K19" s="10">
        <v>1200</v>
      </c>
      <c r="L19" s="10">
        <v>1200</v>
      </c>
      <c r="M19" s="10">
        <v>1200</v>
      </c>
      <c r="N19" s="35">
        <v>50</v>
      </c>
      <c r="O19" s="45"/>
      <c r="P19" s="35"/>
    </row>
    <row r="20" spans="1:18" x14ac:dyDescent="0.25">
      <c r="A20" s="7" t="s">
        <v>41</v>
      </c>
      <c r="D20" s="10">
        <v>1000</v>
      </c>
      <c r="E20" s="10">
        <v>1000</v>
      </c>
      <c r="F20" s="10">
        <v>1000</v>
      </c>
      <c r="G20" s="10">
        <v>1050</v>
      </c>
      <c r="H20" s="10">
        <v>1050</v>
      </c>
      <c r="I20" s="10">
        <v>1050</v>
      </c>
      <c r="J20" s="10">
        <v>1050</v>
      </c>
      <c r="K20" s="10">
        <v>1050</v>
      </c>
      <c r="L20" s="10">
        <v>1050</v>
      </c>
      <c r="M20" s="10">
        <v>1050</v>
      </c>
      <c r="N20" s="35"/>
      <c r="O20" s="35"/>
      <c r="P20" s="35"/>
      <c r="R20" s="9"/>
    </row>
    <row r="21" spans="1:18" x14ac:dyDescent="0.25">
      <c r="A21" t="s">
        <v>38</v>
      </c>
      <c r="N21" s="35"/>
      <c r="O21" s="35"/>
      <c r="P21" s="35"/>
    </row>
    <row r="22" spans="1:18" x14ac:dyDescent="0.25">
      <c r="A22" s="7" t="s">
        <v>32</v>
      </c>
      <c r="D22">
        <v>6</v>
      </c>
      <c r="E22">
        <f t="shared" ref="E22:F24" si="10">+D22</f>
        <v>6</v>
      </c>
      <c r="F22">
        <f t="shared" si="10"/>
        <v>6</v>
      </c>
      <c r="G22">
        <v>7</v>
      </c>
      <c r="H22">
        <v>7</v>
      </c>
      <c r="I22" s="31">
        <v>7</v>
      </c>
      <c r="J22" s="31">
        <v>7</v>
      </c>
      <c r="K22" s="31">
        <v>7</v>
      </c>
      <c r="L22" s="31">
        <v>7</v>
      </c>
      <c r="M22" s="31">
        <v>7</v>
      </c>
      <c r="N22" s="35"/>
      <c r="O22" s="35"/>
      <c r="P22" s="35"/>
    </row>
    <row r="23" spans="1:18" x14ac:dyDescent="0.25">
      <c r="A23" s="7" t="s">
        <v>33</v>
      </c>
      <c r="D23">
        <v>6</v>
      </c>
      <c r="E23">
        <f t="shared" si="10"/>
        <v>6</v>
      </c>
      <c r="F23">
        <f t="shared" si="10"/>
        <v>6</v>
      </c>
      <c r="G23">
        <v>7</v>
      </c>
      <c r="H23">
        <v>7</v>
      </c>
      <c r="I23" s="31">
        <v>7</v>
      </c>
      <c r="J23" s="31">
        <v>7</v>
      </c>
      <c r="K23" s="31">
        <v>7</v>
      </c>
      <c r="L23" s="31">
        <v>7</v>
      </c>
      <c r="M23" s="31">
        <v>7</v>
      </c>
      <c r="N23" s="35"/>
      <c r="O23" s="35"/>
      <c r="P23" s="35"/>
    </row>
    <row r="24" spans="1:18" x14ac:dyDescent="0.25">
      <c r="A24" s="7" t="s">
        <v>34</v>
      </c>
      <c r="D24">
        <v>6</v>
      </c>
      <c r="E24">
        <f t="shared" si="10"/>
        <v>6</v>
      </c>
      <c r="F24">
        <f t="shared" si="10"/>
        <v>6</v>
      </c>
      <c r="G24">
        <v>7</v>
      </c>
      <c r="H24">
        <v>7</v>
      </c>
      <c r="I24" s="31">
        <v>7</v>
      </c>
      <c r="J24" s="31">
        <v>7</v>
      </c>
      <c r="K24" s="31">
        <v>7</v>
      </c>
      <c r="L24" s="31">
        <v>7</v>
      </c>
      <c r="M24" s="31">
        <v>7</v>
      </c>
      <c r="N24" s="35"/>
      <c r="O24" s="35"/>
      <c r="P24" s="35"/>
    </row>
    <row r="25" spans="1:18" x14ac:dyDescent="0.25">
      <c r="A25" s="7" t="s">
        <v>14</v>
      </c>
      <c r="D25" s="11">
        <v>25</v>
      </c>
      <c r="E25" s="11">
        <v>25</v>
      </c>
      <c r="F25" s="11">
        <v>25</v>
      </c>
      <c r="G25" s="11">
        <v>25</v>
      </c>
      <c r="H25" s="11">
        <v>25</v>
      </c>
      <c r="I25" s="36">
        <v>25</v>
      </c>
      <c r="J25" s="36">
        <v>25</v>
      </c>
      <c r="K25" s="36">
        <v>25</v>
      </c>
      <c r="L25" s="36">
        <v>25</v>
      </c>
      <c r="M25" s="36">
        <v>25</v>
      </c>
      <c r="N25" s="35"/>
      <c r="O25" s="35"/>
      <c r="P25" s="35"/>
    </row>
    <row r="26" spans="1:18" x14ac:dyDescent="0.25">
      <c r="A26" s="7" t="s">
        <v>15</v>
      </c>
      <c r="D26">
        <v>20</v>
      </c>
      <c r="E26">
        <v>20</v>
      </c>
      <c r="F26">
        <v>20</v>
      </c>
      <c r="G26">
        <v>20</v>
      </c>
      <c r="H26">
        <v>20</v>
      </c>
      <c r="I26" s="31">
        <v>20</v>
      </c>
      <c r="J26" s="31">
        <v>20</v>
      </c>
      <c r="K26" s="31">
        <v>20</v>
      </c>
      <c r="L26" s="31">
        <v>20</v>
      </c>
      <c r="M26" s="31">
        <v>20</v>
      </c>
      <c r="N26" s="35"/>
      <c r="O26" s="35"/>
      <c r="P26" s="35"/>
    </row>
    <row r="27" spans="1:18" x14ac:dyDescent="0.25">
      <c r="A27" s="7" t="s">
        <v>45</v>
      </c>
      <c r="D27" s="10">
        <f>+(0.8*D12)*7</f>
        <v>98000</v>
      </c>
      <c r="E27" s="10">
        <f t="shared" ref="E27:M27" si="11">+(0.8*E12)*7</f>
        <v>98000</v>
      </c>
      <c r="F27" s="10">
        <f t="shared" si="11"/>
        <v>107800</v>
      </c>
      <c r="G27" s="10">
        <f t="shared" si="11"/>
        <v>107800</v>
      </c>
      <c r="H27" s="10">
        <f t="shared" si="11"/>
        <v>107800</v>
      </c>
      <c r="I27" s="10">
        <f t="shared" si="11"/>
        <v>109760</v>
      </c>
      <c r="J27" s="10">
        <f t="shared" si="11"/>
        <v>111720</v>
      </c>
      <c r="K27" s="10">
        <f t="shared" si="11"/>
        <v>113680</v>
      </c>
      <c r="L27" s="10">
        <f t="shared" si="11"/>
        <v>115640</v>
      </c>
      <c r="M27" s="10">
        <f t="shared" si="11"/>
        <v>117600</v>
      </c>
      <c r="N27" s="35"/>
      <c r="O27" s="35"/>
      <c r="P27" s="35"/>
    </row>
    <row r="28" spans="1:18" x14ac:dyDescent="0.25">
      <c r="A28" s="7" t="s">
        <v>46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5"/>
      <c r="O28" s="35"/>
      <c r="P28" s="35"/>
    </row>
    <row r="29" spans="1:18" x14ac:dyDescent="0.25">
      <c r="A29" s="7" t="s">
        <v>47</v>
      </c>
      <c r="D29" s="10">
        <f>7.25*$N$29</f>
        <v>29</v>
      </c>
      <c r="E29" s="10">
        <f>7.25*$N$29</f>
        <v>29</v>
      </c>
      <c r="F29" s="10">
        <f>7.25*$N$29</f>
        <v>29</v>
      </c>
      <c r="G29" s="10">
        <f>7.25*$N$29</f>
        <v>29</v>
      </c>
      <c r="H29" s="10">
        <f>7.25*$N$29</f>
        <v>29</v>
      </c>
      <c r="I29" s="10">
        <f t="shared" ref="I29:M29" si="12">7.25*$N$29</f>
        <v>29</v>
      </c>
      <c r="J29" s="10">
        <f t="shared" si="12"/>
        <v>29</v>
      </c>
      <c r="K29" s="10">
        <f t="shared" si="12"/>
        <v>29</v>
      </c>
      <c r="L29" s="10">
        <f>7.25*$N$29</f>
        <v>29</v>
      </c>
      <c r="M29" s="10">
        <f t="shared" si="12"/>
        <v>29</v>
      </c>
      <c r="N29" s="35">
        <v>4</v>
      </c>
      <c r="O29" s="35"/>
      <c r="P29" s="35"/>
    </row>
    <row r="30" spans="1:18" x14ac:dyDescent="0.25">
      <c r="A30" s="7" t="s">
        <v>48</v>
      </c>
      <c r="D30" s="10">
        <f>10*$N$30</f>
        <v>10</v>
      </c>
      <c r="E30" s="10">
        <f>10*$N$30</f>
        <v>10</v>
      </c>
      <c r="F30" s="10">
        <f>10*$N$30</f>
        <v>10</v>
      </c>
      <c r="G30" s="10">
        <f>10*$N$30</f>
        <v>10</v>
      </c>
      <c r="H30" s="10">
        <f>10*$N$30</f>
        <v>10</v>
      </c>
      <c r="I30" s="10">
        <f t="shared" ref="I30:M30" si="13">10*$N$30</f>
        <v>10</v>
      </c>
      <c r="J30" s="10">
        <f t="shared" si="13"/>
        <v>10</v>
      </c>
      <c r="K30" s="10">
        <f t="shared" si="13"/>
        <v>10</v>
      </c>
      <c r="L30" s="10">
        <f t="shared" si="13"/>
        <v>10</v>
      </c>
      <c r="M30" s="10">
        <f t="shared" si="13"/>
        <v>10</v>
      </c>
      <c r="N30" s="35">
        <v>1</v>
      </c>
      <c r="O30" s="35"/>
      <c r="P30" s="35"/>
    </row>
    <row r="31" spans="1:18" x14ac:dyDescent="0.25">
      <c r="A31" s="7" t="s">
        <v>51</v>
      </c>
      <c r="D31" s="12">
        <v>1750000</v>
      </c>
      <c r="E31" s="12">
        <v>1750000</v>
      </c>
      <c r="F31" s="12">
        <v>1750000</v>
      </c>
      <c r="G31" s="12">
        <v>1750000</v>
      </c>
      <c r="H31" s="12">
        <v>1750000</v>
      </c>
      <c r="I31" s="39">
        <v>1750000</v>
      </c>
      <c r="J31" s="39">
        <v>1750000</v>
      </c>
      <c r="K31" s="39">
        <v>1750000</v>
      </c>
      <c r="L31" s="39">
        <v>1750000</v>
      </c>
      <c r="M31" s="39">
        <v>1750000</v>
      </c>
      <c r="N31" s="35"/>
      <c r="O31" s="35"/>
      <c r="P31" s="35"/>
    </row>
    <row r="32" spans="1:18" x14ac:dyDescent="0.25">
      <c r="A32" s="7" t="s">
        <v>72</v>
      </c>
      <c r="D32" s="17">
        <v>90000</v>
      </c>
      <c r="E32" s="17">
        <v>90000</v>
      </c>
      <c r="F32" s="17">
        <v>90000</v>
      </c>
      <c r="G32" s="17">
        <v>90000</v>
      </c>
      <c r="H32" s="17">
        <v>90000</v>
      </c>
      <c r="I32" s="17">
        <v>90000</v>
      </c>
      <c r="J32" s="17">
        <v>90000</v>
      </c>
      <c r="K32" s="17">
        <v>90000</v>
      </c>
      <c r="L32" s="17">
        <v>90000</v>
      </c>
      <c r="M32" s="17">
        <v>90000</v>
      </c>
      <c r="N32" s="35"/>
      <c r="O32" s="35"/>
      <c r="P32" s="35"/>
    </row>
    <row r="33" spans="1:17" x14ac:dyDescent="0.25">
      <c r="A33" s="7" t="s">
        <v>95</v>
      </c>
      <c r="D33" s="2">
        <f>0.5*7*(D13*0.25)</f>
        <v>43.75</v>
      </c>
      <c r="E33" s="2">
        <f>D33*(1+$N$33)</f>
        <v>45.9375</v>
      </c>
      <c r="F33" s="2">
        <f t="shared" ref="F33:H33" si="14">E33*(1+$N$33)</f>
        <v>48.234375</v>
      </c>
      <c r="G33" s="2">
        <f t="shared" si="14"/>
        <v>50.646093750000006</v>
      </c>
      <c r="H33" s="2">
        <f t="shared" si="14"/>
        <v>53.178398437500007</v>
      </c>
      <c r="I33" s="2">
        <f t="shared" ref="I33:M33" si="15">H33*(1+$N$33)</f>
        <v>55.837318359375011</v>
      </c>
      <c r="J33" s="2">
        <f t="shared" si="15"/>
        <v>58.629184277343761</v>
      </c>
      <c r="K33" s="2">
        <f t="shared" si="15"/>
        <v>61.560643491210953</v>
      </c>
      <c r="L33" s="2">
        <f t="shared" si="15"/>
        <v>64.638675665771501</v>
      </c>
      <c r="M33" s="2">
        <f t="shared" si="15"/>
        <v>67.870609449060083</v>
      </c>
      <c r="N33" s="49">
        <v>0.05</v>
      </c>
      <c r="O33" s="35"/>
      <c r="P33" s="35"/>
    </row>
    <row r="34" spans="1:17" x14ac:dyDescent="0.25">
      <c r="A34" s="7" t="s">
        <v>98</v>
      </c>
      <c r="D34" s="39">
        <f>6000*12</f>
        <v>72000</v>
      </c>
      <c r="E34" s="39">
        <f>D34*(1+$N$34)</f>
        <v>72720</v>
      </c>
      <c r="F34" s="39">
        <f t="shared" ref="F34:M34" si="16">E34*(1+$N$34)</f>
        <v>73447.199999999997</v>
      </c>
      <c r="G34" s="39">
        <f t="shared" si="16"/>
        <v>74181.671999999991</v>
      </c>
      <c r="H34" s="39">
        <f t="shared" si="16"/>
        <v>74923.488719999994</v>
      </c>
      <c r="I34" s="39">
        <f>H34*(1+$N$34)</f>
        <v>75672.723607199994</v>
      </c>
      <c r="J34" s="39">
        <f t="shared" si="16"/>
        <v>76429.450843271989</v>
      </c>
      <c r="K34" s="39">
        <f t="shared" si="16"/>
        <v>77193.745351704711</v>
      </c>
      <c r="L34" s="39">
        <f>K34*(1+$N$34)</f>
        <v>77965.682805221761</v>
      </c>
      <c r="M34" s="39">
        <f t="shared" si="16"/>
        <v>78745.339633273979</v>
      </c>
      <c r="N34" s="35">
        <v>0.01</v>
      </c>
      <c r="O34" s="35" t="s">
        <v>97</v>
      </c>
      <c r="P34" s="35"/>
    </row>
    <row r="35" spans="1:17" x14ac:dyDescent="0.25">
      <c r="A35" s="7" t="s">
        <v>127</v>
      </c>
      <c r="D35" s="17">
        <v>600</v>
      </c>
      <c r="E35" s="17">
        <v>600</v>
      </c>
      <c r="F35" s="17">
        <v>600</v>
      </c>
      <c r="G35" s="17">
        <v>600</v>
      </c>
      <c r="H35" s="17">
        <v>600</v>
      </c>
      <c r="I35" s="17">
        <v>601</v>
      </c>
      <c r="J35" s="17">
        <v>602</v>
      </c>
      <c r="K35" s="17">
        <v>603</v>
      </c>
      <c r="L35" s="17">
        <v>604</v>
      </c>
      <c r="M35" s="17">
        <v>605</v>
      </c>
      <c r="N35" s="35"/>
      <c r="O35" s="35"/>
      <c r="P35" s="35"/>
    </row>
    <row r="36" spans="1:17" x14ac:dyDescent="0.25">
      <c r="A36" s="7"/>
      <c r="D36" s="17"/>
      <c r="E36" s="17"/>
      <c r="F36" s="17"/>
      <c r="G36" s="17"/>
      <c r="H36" s="17"/>
      <c r="N36" s="35"/>
      <c r="O36" s="35"/>
      <c r="P36" s="35"/>
    </row>
    <row r="37" spans="1:17" x14ac:dyDescent="0.25">
      <c r="A37" s="26" t="s">
        <v>43</v>
      </c>
      <c r="D37" s="17"/>
      <c r="E37" s="17"/>
      <c r="F37" s="17"/>
      <c r="G37" s="17"/>
      <c r="H37" s="17"/>
      <c r="N37" s="34"/>
      <c r="O37" s="34"/>
      <c r="P37" s="34"/>
      <c r="Q37" s="34"/>
    </row>
    <row r="38" spans="1:17" s="31" customFormat="1" x14ac:dyDescent="0.25">
      <c r="A38" s="26" t="s">
        <v>119</v>
      </c>
      <c r="D38" s="17"/>
      <c r="E38" s="17"/>
      <c r="F38" s="17"/>
      <c r="G38" s="17"/>
      <c r="H38" s="17"/>
      <c r="N38" s="34"/>
      <c r="O38" s="34"/>
      <c r="P38" s="34"/>
      <c r="Q38" s="34"/>
    </row>
    <row r="39" spans="1:17" x14ac:dyDescent="0.25">
      <c r="B39" s="7" t="s">
        <v>101</v>
      </c>
      <c r="D39" s="17">
        <f>D13*0.9</f>
        <v>45</v>
      </c>
      <c r="E39" s="17">
        <f t="shared" ref="E39:H39" si="17">E13*0.9</f>
        <v>45</v>
      </c>
      <c r="F39" s="37">
        <f t="shared" si="17"/>
        <v>49.5</v>
      </c>
      <c r="G39" s="37">
        <f t="shared" si="17"/>
        <v>49.5</v>
      </c>
      <c r="H39" s="37">
        <f t="shared" si="17"/>
        <v>49.5</v>
      </c>
      <c r="I39" s="37">
        <f t="shared" ref="I39:M39" si="18">I13*0.9</f>
        <v>50.4</v>
      </c>
      <c r="J39" s="37">
        <f t="shared" si="18"/>
        <v>51.300000000000004</v>
      </c>
      <c r="K39" s="37">
        <f t="shared" si="18"/>
        <v>52.2</v>
      </c>
      <c r="L39" s="37">
        <f t="shared" si="18"/>
        <v>53.1</v>
      </c>
      <c r="M39" s="37">
        <f t="shared" si="18"/>
        <v>54</v>
      </c>
      <c r="N39" s="34"/>
      <c r="O39" s="34"/>
      <c r="P39" s="34"/>
      <c r="Q39" s="34"/>
    </row>
    <row r="40" spans="1:17" x14ac:dyDescent="0.25">
      <c r="B40" t="s">
        <v>123</v>
      </c>
      <c r="D40" s="17">
        <f>50</f>
        <v>50</v>
      </c>
      <c r="E40" s="17">
        <f>50</f>
        <v>50</v>
      </c>
      <c r="F40" s="17">
        <f>50</f>
        <v>50</v>
      </c>
      <c r="G40" s="17">
        <f>50</f>
        <v>50</v>
      </c>
      <c r="H40" s="17">
        <f>50</f>
        <v>50</v>
      </c>
      <c r="I40" s="17">
        <f>50</f>
        <v>50</v>
      </c>
      <c r="J40" s="17">
        <f>50</f>
        <v>50</v>
      </c>
      <c r="K40" s="17">
        <f>50</f>
        <v>50</v>
      </c>
      <c r="L40" s="17">
        <f>50</f>
        <v>50</v>
      </c>
      <c r="M40" s="17">
        <f>50</f>
        <v>50</v>
      </c>
      <c r="N40" s="34"/>
      <c r="O40" s="34"/>
      <c r="P40" s="34"/>
      <c r="Q40" s="34"/>
    </row>
    <row r="41" spans="1:17" s="31" customFormat="1" x14ac:dyDescent="0.25">
      <c r="A41" s="40" t="s">
        <v>128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4"/>
      <c r="O41" s="34"/>
      <c r="P41" s="34"/>
      <c r="Q41" s="34"/>
    </row>
    <row r="42" spans="1:17" x14ac:dyDescent="0.25">
      <c r="B42" s="7" t="s">
        <v>102</v>
      </c>
      <c r="D42" s="17">
        <f>D35/10</f>
        <v>60</v>
      </c>
      <c r="E42" s="17">
        <f>E35/10</f>
        <v>60</v>
      </c>
      <c r="F42" s="17">
        <f>F35/10</f>
        <v>60</v>
      </c>
      <c r="G42" s="17">
        <f>G35/10</f>
        <v>60</v>
      </c>
      <c r="H42" s="17">
        <f>H35/10</f>
        <v>60</v>
      </c>
      <c r="I42" s="17">
        <f t="shared" ref="I42:M42" si="19">I35/10</f>
        <v>60.1</v>
      </c>
      <c r="J42" s="17">
        <f t="shared" si="19"/>
        <v>60.2</v>
      </c>
      <c r="K42" s="17">
        <f t="shared" si="19"/>
        <v>60.3</v>
      </c>
      <c r="L42" s="17">
        <f t="shared" si="19"/>
        <v>60.4</v>
      </c>
      <c r="M42" s="17">
        <f t="shared" si="19"/>
        <v>60.5</v>
      </c>
      <c r="N42" s="34"/>
      <c r="O42" s="34"/>
      <c r="P42" s="34"/>
      <c r="Q42" s="34"/>
    </row>
    <row r="43" spans="1:17" x14ac:dyDescent="0.25">
      <c r="B43" s="7" t="s">
        <v>103</v>
      </c>
      <c r="D43" s="17">
        <f>D35</f>
        <v>600</v>
      </c>
      <c r="E43" s="17">
        <f>E35</f>
        <v>600</v>
      </c>
      <c r="F43" s="17">
        <f>F35</f>
        <v>600</v>
      </c>
      <c r="G43" s="17">
        <f>G35</f>
        <v>600</v>
      </c>
      <c r="H43" s="17">
        <f>H35</f>
        <v>600</v>
      </c>
      <c r="I43" s="17">
        <f t="shared" ref="I43:M43" si="20">I35</f>
        <v>601</v>
      </c>
      <c r="J43" s="17">
        <f t="shared" si="20"/>
        <v>602</v>
      </c>
      <c r="K43" s="17">
        <f t="shared" si="20"/>
        <v>603</v>
      </c>
      <c r="L43" s="17">
        <f t="shared" si="20"/>
        <v>604</v>
      </c>
      <c r="M43" s="17">
        <f t="shared" si="20"/>
        <v>605</v>
      </c>
      <c r="N43" s="34"/>
      <c r="O43" s="34"/>
      <c r="P43" s="34"/>
      <c r="Q43" s="34"/>
    </row>
    <row r="44" spans="1:17" x14ac:dyDescent="0.25">
      <c r="A44" s="26" t="s">
        <v>117</v>
      </c>
      <c r="B44" s="40"/>
      <c r="E44" s="31"/>
      <c r="F44" s="31"/>
      <c r="G44" s="31"/>
      <c r="H44" s="31"/>
      <c r="I44" s="31"/>
      <c r="J44" s="31"/>
      <c r="K44" s="31"/>
      <c r="L44" s="31"/>
      <c r="M44" s="31"/>
      <c r="N44" s="34"/>
      <c r="O44" s="34"/>
      <c r="P44" s="34"/>
      <c r="Q44" s="34"/>
    </row>
    <row r="45" spans="1:17" x14ac:dyDescent="0.25">
      <c r="B45" t="s">
        <v>120</v>
      </c>
      <c r="D45">
        <f>600</f>
        <v>600</v>
      </c>
      <c r="E45" s="31">
        <f>600</f>
        <v>600</v>
      </c>
      <c r="F45" s="31">
        <f>600</f>
        <v>600</v>
      </c>
      <c r="G45" s="31">
        <f>600</f>
        <v>600</v>
      </c>
      <c r="H45" s="31">
        <f>600</f>
        <v>600</v>
      </c>
      <c r="I45" s="31">
        <f>600</f>
        <v>600</v>
      </c>
      <c r="J45" s="31">
        <f>600</f>
        <v>600</v>
      </c>
      <c r="K45" s="31">
        <f>600</f>
        <v>600</v>
      </c>
      <c r="L45" s="31">
        <f>600</f>
        <v>600</v>
      </c>
      <c r="M45" s="31">
        <f>600</f>
        <v>600</v>
      </c>
      <c r="N45" s="34"/>
      <c r="O45" s="34"/>
      <c r="P45" s="34"/>
      <c r="Q45" s="34"/>
    </row>
    <row r="46" spans="1:17" x14ac:dyDescent="0.25">
      <c r="B46" t="s">
        <v>121</v>
      </c>
      <c r="D46">
        <v>200</v>
      </c>
      <c r="E46" s="31">
        <v>200</v>
      </c>
      <c r="F46" s="31">
        <v>200</v>
      </c>
      <c r="G46" s="31">
        <v>200</v>
      </c>
      <c r="H46" s="31">
        <v>200</v>
      </c>
      <c r="I46" s="31">
        <v>200</v>
      </c>
      <c r="J46" s="31">
        <v>200</v>
      </c>
      <c r="K46" s="31">
        <v>200</v>
      </c>
      <c r="L46" s="31">
        <v>200</v>
      </c>
      <c r="M46" s="31">
        <v>200</v>
      </c>
      <c r="N46" s="34"/>
      <c r="O46" s="34"/>
      <c r="P46" s="34"/>
      <c r="Q46" s="34"/>
    </row>
    <row r="47" spans="1:17" s="31" customFormat="1" x14ac:dyDescent="0.25">
      <c r="A47" s="7"/>
      <c r="B47" s="31" t="s">
        <v>122</v>
      </c>
      <c r="D47" s="17">
        <v>250</v>
      </c>
      <c r="E47" s="17">
        <v>250</v>
      </c>
      <c r="F47" s="17">
        <v>250</v>
      </c>
      <c r="G47" s="17">
        <v>250</v>
      </c>
      <c r="H47" s="17">
        <v>250</v>
      </c>
      <c r="I47" s="17">
        <v>250</v>
      </c>
      <c r="J47" s="17">
        <v>250</v>
      </c>
      <c r="K47" s="17">
        <v>250</v>
      </c>
      <c r="L47" s="17">
        <v>250</v>
      </c>
      <c r="M47" s="17">
        <v>250</v>
      </c>
      <c r="N47" s="34"/>
      <c r="O47" s="34"/>
      <c r="P47" s="34"/>
      <c r="Q47" s="34"/>
    </row>
    <row r="48" spans="1:17" s="31" customFormat="1" x14ac:dyDescent="0.25">
      <c r="A48" s="7"/>
      <c r="B48" s="31" t="s">
        <v>123</v>
      </c>
      <c r="D48" s="17">
        <v>100</v>
      </c>
      <c r="E48" s="17">
        <v>100</v>
      </c>
      <c r="F48" s="17">
        <v>100</v>
      </c>
      <c r="G48" s="17">
        <v>100</v>
      </c>
      <c r="H48" s="17">
        <v>100</v>
      </c>
      <c r="I48" s="17">
        <v>100</v>
      </c>
      <c r="J48" s="17">
        <v>100</v>
      </c>
      <c r="K48" s="17">
        <v>100</v>
      </c>
      <c r="L48" s="17">
        <v>100</v>
      </c>
      <c r="M48" s="17">
        <v>100</v>
      </c>
      <c r="N48" s="34"/>
      <c r="O48" s="34"/>
      <c r="P48" s="34"/>
      <c r="Q48" s="34"/>
    </row>
    <row r="49" spans="1:17" s="31" customFormat="1" x14ac:dyDescent="0.25">
      <c r="A49" s="26" t="s">
        <v>118</v>
      </c>
      <c r="B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4"/>
      <c r="O49" s="34"/>
      <c r="P49" s="34"/>
      <c r="Q49" s="34"/>
    </row>
    <row r="50" spans="1:17" s="31" customFormat="1" x14ac:dyDescent="0.25">
      <c r="A50" s="7"/>
      <c r="B50" s="31" t="s">
        <v>124</v>
      </c>
      <c r="D50" s="17">
        <v>150</v>
      </c>
      <c r="E50" s="17">
        <v>150</v>
      </c>
      <c r="F50" s="17">
        <v>150</v>
      </c>
      <c r="G50" s="17">
        <v>150</v>
      </c>
      <c r="H50" s="17">
        <v>150</v>
      </c>
      <c r="I50" s="17">
        <v>150</v>
      </c>
      <c r="J50" s="17">
        <v>150</v>
      </c>
      <c r="K50" s="17">
        <v>150</v>
      </c>
      <c r="L50" s="17">
        <v>150</v>
      </c>
      <c r="M50" s="17">
        <v>150</v>
      </c>
      <c r="N50" s="34"/>
      <c r="O50" s="34"/>
      <c r="P50" s="34"/>
      <c r="Q50" s="34"/>
    </row>
    <row r="51" spans="1:17" s="31" customFormat="1" x14ac:dyDescent="0.25">
      <c r="A51" s="7"/>
      <c r="B51" s="31" t="s">
        <v>126</v>
      </c>
      <c r="D51" s="17">
        <v>2000</v>
      </c>
      <c r="E51" s="17">
        <v>2000</v>
      </c>
      <c r="F51" s="17">
        <v>2000</v>
      </c>
      <c r="G51" s="17">
        <v>2000</v>
      </c>
      <c r="H51" s="17">
        <v>2000</v>
      </c>
      <c r="I51" s="17">
        <v>2000</v>
      </c>
      <c r="J51" s="17">
        <v>2000</v>
      </c>
      <c r="K51" s="17">
        <v>2000</v>
      </c>
      <c r="L51" s="17">
        <v>2000</v>
      </c>
      <c r="M51" s="17">
        <v>2000</v>
      </c>
      <c r="N51" s="34"/>
      <c r="O51" s="34"/>
      <c r="P51" s="34"/>
      <c r="Q51" s="34"/>
    </row>
    <row r="52" spans="1:17" s="31" customFormat="1" x14ac:dyDescent="0.25">
      <c r="A52" s="7"/>
      <c r="B52" s="31" t="s">
        <v>125</v>
      </c>
      <c r="D52" s="17">
        <v>6000</v>
      </c>
      <c r="E52" s="17">
        <v>6000</v>
      </c>
      <c r="F52" s="17">
        <v>6000</v>
      </c>
      <c r="G52" s="17">
        <v>6000</v>
      </c>
      <c r="H52" s="17">
        <v>6000</v>
      </c>
      <c r="I52" s="17">
        <v>6000</v>
      </c>
      <c r="J52" s="17">
        <v>6000</v>
      </c>
      <c r="K52" s="17">
        <v>6000</v>
      </c>
      <c r="L52" s="17">
        <v>6000</v>
      </c>
      <c r="M52" s="17">
        <v>6000</v>
      </c>
      <c r="N52" s="34"/>
      <c r="O52" s="34"/>
      <c r="P52" s="34"/>
      <c r="Q52" s="34"/>
    </row>
    <row r="53" spans="1:17" s="31" customFormat="1" x14ac:dyDescent="0.25">
      <c r="B53" s="31" t="s">
        <v>123</v>
      </c>
      <c r="C53"/>
      <c r="D53" s="17">
        <v>500</v>
      </c>
      <c r="E53" s="17">
        <v>500</v>
      </c>
      <c r="F53" s="17">
        <v>500</v>
      </c>
      <c r="G53" s="17">
        <v>500</v>
      </c>
      <c r="H53" s="17">
        <v>500</v>
      </c>
      <c r="I53" s="17">
        <v>500</v>
      </c>
      <c r="J53" s="17">
        <v>500</v>
      </c>
      <c r="K53" s="17">
        <v>500</v>
      </c>
      <c r="L53" s="17">
        <v>500</v>
      </c>
      <c r="M53" s="17">
        <v>500</v>
      </c>
      <c r="N53" s="34"/>
      <c r="O53" s="34"/>
      <c r="P53" s="34"/>
      <c r="Q53" s="34"/>
    </row>
    <row r="54" spans="1:17" s="31" customFormat="1" x14ac:dyDescent="0.25">
      <c r="A54" s="7"/>
      <c r="B54"/>
      <c r="C54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4"/>
      <c r="O54" s="34"/>
      <c r="P54" s="34"/>
      <c r="Q54" s="34"/>
    </row>
    <row r="55" spans="1:17" s="31" customFormat="1" ht="15.75" x14ac:dyDescent="0.25">
      <c r="A55" s="24" t="s">
        <v>133</v>
      </c>
      <c r="D55" s="36">
        <f>SUM(D39:D53)/7</f>
        <v>1507.8571428571429</v>
      </c>
      <c r="E55" s="36">
        <f t="shared" ref="E55:H55" si="21">SUM(E39:E53)/7</f>
        <v>1507.8571428571429</v>
      </c>
      <c r="F55" s="36">
        <f t="shared" si="21"/>
        <v>1508.5</v>
      </c>
      <c r="G55" s="36">
        <f t="shared" si="21"/>
        <v>1508.5</v>
      </c>
      <c r="H55" s="36">
        <f t="shared" si="21"/>
        <v>1508.5</v>
      </c>
      <c r="I55" s="36">
        <f t="shared" ref="I55:M55" si="22">SUM(I39:I53)/7</f>
        <v>1508.7857142857142</v>
      </c>
      <c r="J55" s="36">
        <f t="shared" si="22"/>
        <v>1509.0714285714287</v>
      </c>
      <c r="K55" s="36">
        <f t="shared" si="22"/>
        <v>1509.3571428571429</v>
      </c>
      <c r="L55" s="36">
        <f t="shared" si="22"/>
        <v>1509.6428571428571</v>
      </c>
      <c r="M55" s="36">
        <f t="shared" si="22"/>
        <v>1509.9285714285713</v>
      </c>
      <c r="N55" s="34"/>
      <c r="O55" s="34"/>
      <c r="P55" s="34"/>
      <c r="Q55" s="34"/>
    </row>
    <row r="56" spans="1:17" s="31" customFormat="1" x14ac:dyDescent="0.25">
      <c r="A56" s="7"/>
      <c r="D56" s="17"/>
      <c r="E56" s="17"/>
      <c r="F56" s="17"/>
      <c r="G56" s="17"/>
      <c r="H56" s="17"/>
      <c r="N56" s="34"/>
      <c r="O56" s="34"/>
      <c r="P56" s="34"/>
      <c r="Q56" s="34"/>
    </row>
    <row r="57" spans="1:17" s="31" customFormat="1" x14ac:dyDescent="0.25">
      <c r="A57" s="7"/>
      <c r="D57" s="17"/>
      <c r="E57" s="17"/>
      <c r="F57" s="17"/>
      <c r="G57" s="17"/>
      <c r="H57" s="17"/>
      <c r="N57" s="34"/>
      <c r="O57" s="34"/>
      <c r="P57" s="34"/>
      <c r="Q57" s="34"/>
    </row>
    <row r="58" spans="1:17" s="31" customFormat="1" x14ac:dyDescent="0.25">
      <c r="A58" s="7"/>
      <c r="D58" s="17"/>
      <c r="E58" s="17"/>
      <c r="F58" s="17"/>
      <c r="G58" s="17"/>
      <c r="H58" s="17"/>
      <c r="N58" s="34"/>
      <c r="O58" s="34"/>
      <c r="P58" s="34"/>
      <c r="Q58" s="34"/>
    </row>
    <row r="59" spans="1:17" x14ac:dyDescent="0.25">
      <c r="N59" s="34"/>
      <c r="O59" s="34"/>
      <c r="P59" s="34"/>
      <c r="Q59" s="34"/>
    </row>
    <row r="60" spans="1:17" ht="18.75" x14ac:dyDescent="0.3">
      <c r="A60" s="5" t="s">
        <v>16</v>
      </c>
      <c r="B60" s="1"/>
      <c r="C60" s="1"/>
      <c r="D60" s="1"/>
      <c r="E60" s="1"/>
      <c r="F60" s="1"/>
      <c r="G60" s="1"/>
      <c r="H60" s="1"/>
      <c r="I60" s="1"/>
      <c r="J60" s="32"/>
      <c r="K60" s="32"/>
      <c r="L60" s="32"/>
      <c r="M60" s="32"/>
      <c r="N60" s="34"/>
      <c r="O60" s="34"/>
      <c r="P60" s="34"/>
      <c r="Q60" s="34"/>
    </row>
    <row r="61" spans="1:17" x14ac:dyDescent="0.25">
      <c r="A61" t="s">
        <v>23</v>
      </c>
      <c r="D61" s="10">
        <f t="shared" ref="D61:J61" si="23">D6*D13</f>
        <v>500</v>
      </c>
      <c r="E61" s="10">
        <f t="shared" si="23"/>
        <v>509.99999999999994</v>
      </c>
      <c r="F61" s="10">
        <f t="shared" si="23"/>
        <v>572.22</v>
      </c>
      <c r="G61" s="10">
        <f t="shared" si="23"/>
        <v>583.6644</v>
      </c>
      <c r="H61" s="10">
        <f t="shared" si="23"/>
        <v>595.33768800000007</v>
      </c>
      <c r="I61" s="10">
        <f t="shared" si="23"/>
        <v>618.28524979200006</v>
      </c>
      <c r="J61" s="10">
        <f t="shared" si="23"/>
        <v>641.91257898048002</v>
      </c>
      <c r="K61" s="10">
        <f t="shared" ref="K61:M61" si="24">K6*K13</f>
        <v>666.23768723658247</v>
      </c>
      <c r="L61" s="10">
        <f t="shared" si="24"/>
        <v>691.2790347913367</v>
      </c>
      <c r="M61" s="10">
        <f t="shared" si="24"/>
        <v>717.05554117338659</v>
      </c>
      <c r="N61" s="34"/>
      <c r="O61" s="34"/>
      <c r="P61" s="34"/>
      <c r="Q61" s="34"/>
    </row>
    <row r="62" spans="1:17" x14ac:dyDescent="0.25">
      <c r="A62" t="s">
        <v>22</v>
      </c>
      <c r="D62" s="10">
        <f>(D5*D12)</f>
        <v>122500</v>
      </c>
      <c r="E62" s="10">
        <f>(E5*E12)</f>
        <v>124950.00000000001</v>
      </c>
      <c r="F62" s="10">
        <f>(F5*F12)</f>
        <v>140193.90000000002</v>
      </c>
      <c r="G62" s="10">
        <f>(G5*G12)</f>
        <v>142997.77800000002</v>
      </c>
      <c r="H62" s="10">
        <f>(H5*H12)</f>
        <v>145857.73356000002</v>
      </c>
      <c r="I62" s="10">
        <f t="shared" ref="I62:M62" si="25">(I5*I12)</f>
        <v>151479.88619904002</v>
      </c>
      <c r="J62" s="10">
        <f t="shared" si="25"/>
        <v>157268.58185021763</v>
      </c>
      <c r="K62" s="10">
        <f t="shared" si="25"/>
        <v>163228.23337296271</v>
      </c>
      <c r="L62" s="10">
        <f t="shared" si="25"/>
        <v>169363.36352387755</v>
      </c>
      <c r="M62" s="10">
        <f t="shared" si="25"/>
        <v>175678.60758747975</v>
      </c>
      <c r="N62" s="34"/>
      <c r="O62" s="34"/>
      <c r="P62" s="34"/>
      <c r="Q62" s="34"/>
    </row>
    <row r="63" spans="1:17" x14ac:dyDescent="0.25">
      <c r="A63" t="s">
        <v>17</v>
      </c>
      <c r="D63" s="10">
        <f>(D7*D14)</f>
        <v>26250</v>
      </c>
      <c r="E63" s="10">
        <f>(E7*E14)</f>
        <v>28875.000000000004</v>
      </c>
      <c r="F63" s="10">
        <f>(F7*F14)</f>
        <v>34938.750000000007</v>
      </c>
      <c r="G63" s="10">
        <f>(G7*G14)</f>
        <v>38432.625000000015</v>
      </c>
      <c r="H63" s="10">
        <f>(H7*H14)</f>
        <v>42275.887500000019</v>
      </c>
      <c r="I63" s="10">
        <f t="shared" ref="I63:M63" si="26">(I7*I14)</f>
        <v>47348.994000000021</v>
      </c>
      <c r="J63" s="10">
        <f t="shared" si="26"/>
        <v>53013.962925000029</v>
      </c>
      <c r="K63" s="10">
        <f t="shared" si="26"/>
        <v>59338.435695000044</v>
      </c>
      <c r="L63" s="10">
        <f t="shared" si="26"/>
        <v>66397.663389750043</v>
      </c>
      <c r="M63" s="10">
        <f t="shared" si="26"/>
        <v>74275.352266500064</v>
      </c>
      <c r="N63" s="34"/>
      <c r="O63" s="34"/>
      <c r="P63" s="34"/>
      <c r="Q63" s="34"/>
    </row>
    <row r="64" spans="1:17" x14ac:dyDescent="0.25">
      <c r="A64" t="s">
        <v>18</v>
      </c>
      <c r="D64" s="10">
        <f>D9*D16</f>
        <v>21000</v>
      </c>
      <c r="E64" s="10">
        <f>E9*E16</f>
        <v>21420</v>
      </c>
      <c r="F64" s="10">
        <f>F9*F16</f>
        <v>24033.24</v>
      </c>
      <c r="G64" s="10">
        <f>G9*G16</f>
        <v>24513.904799999997</v>
      </c>
      <c r="H64" s="10">
        <f>H9*H16</f>
        <v>25004.182895999998</v>
      </c>
      <c r="I64" s="10">
        <f t="shared" ref="I64:M64" si="27">I9*I16</f>
        <v>25967.980491263999</v>
      </c>
      <c r="J64" s="10">
        <f t="shared" si="27"/>
        <v>26960.328317180163</v>
      </c>
      <c r="K64" s="10">
        <f t="shared" si="27"/>
        <v>27981.98286393646</v>
      </c>
      <c r="L64" s="10">
        <f t="shared" si="27"/>
        <v>29033.719461236145</v>
      </c>
      <c r="M64" s="10">
        <f t="shared" si="27"/>
        <v>30116.33272928224</v>
      </c>
      <c r="N64" s="34"/>
      <c r="O64" s="34"/>
      <c r="P64" s="34"/>
      <c r="Q64" s="34"/>
    </row>
    <row r="65" spans="1:17" x14ac:dyDescent="0.25">
      <c r="A65" t="s">
        <v>19</v>
      </c>
      <c r="D65" s="10">
        <f>D8*D15*(D12*0.02)</f>
        <v>42000</v>
      </c>
      <c r="E65" s="10">
        <f>E8*E15*(E12*0.02)</f>
        <v>42420.000000000007</v>
      </c>
      <c r="F65" s="10">
        <f>F8*F15*(F12*0.02)</f>
        <v>47128.62</v>
      </c>
      <c r="G65" s="10">
        <f>G8*G15*(G12*0.02)</f>
        <v>47599.906200000005</v>
      </c>
      <c r="H65" s="10">
        <f>H8*H15*(H12*0.02)</f>
        <v>48075.905262000007</v>
      </c>
      <c r="I65" s="10">
        <f t="shared" ref="I65:M65" si="28">I8*I15*(I12*0.02)</f>
        <v>49439.512756704011</v>
      </c>
      <c r="J65" s="10">
        <f t="shared" si="28"/>
        <v>50825.584810775894</v>
      </c>
      <c r="K65" s="10">
        <f t="shared" si="28"/>
        <v>52234.434354653538</v>
      </c>
      <c r="L65" s="10">
        <f t="shared" si="28"/>
        <v>53666.378330927662</v>
      </c>
      <c r="M65" s="10">
        <f t="shared" si="28"/>
        <v>55121.7377432918</v>
      </c>
      <c r="N65" s="34"/>
      <c r="O65" s="34"/>
      <c r="P65" s="34"/>
      <c r="Q65" s="34"/>
    </row>
    <row r="66" spans="1:17" x14ac:dyDescent="0.25">
      <c r="A66" t="s">
        <v>35</v>
      </c>
      <c r="D66" s="10">
        <f t="shared" ref="D66:H68" si="29">+D18*D22</f>
        <v>7800</v>
      </c>
      <c r="E66" s="10">
        <f t="shared" si="29"/>
        <v>7800</v>
      </c>
      <c r="F66" s="10">
        <f t="shared" si="29"/>
        <v>7800</v>
      </c>
      <c r="G66" s="10">
        <f t="shared" si="29"/>
        <v>9450</v>
      </c>
      <c r="H66" s="10">
        <f t="shared" si="29"/>
        <v>9450</v>
      </c>
      <c r="I66" s="10">
        <f t="shared" ref="I66:M66" si="30">+I18*I22</f>
        <v>9450</v>
      </c>
      <c r="J66" s="10">
        <f t="shared" si="30"/>
        <v>9450</v>
      </c>
      <c r="K66" s="10">
        <f t="shared" si="30"/>
        <v>9450</v>
      </c>
      <c r="L66" s="10">
        <f t="shared" si="30"/>
        <v>9450</v>
      </c>
      <c r="M66" s="10">
        <f t="shared" si="30"/>
        <v>9450</v>
      </c>
      <c r="N66" s="34"/>
      <c r="O66" s="34"/>
      <c r="P66" s="34"/>
      <c r="Q66" s="34"/>
    </row>
    <row r="67" spans="1:17" x14ac:dyDescent="0.25">
      <c r="A67" t="s">
        <v>36</v>
      </c>
      <c r="D67" s="10">
        <f t="shared" si="29"/>
        <v>6900</v>
      </c>
      <c r="E67" s="10">
        <f t="shared" si="29"/>
        <v>6900</v>
      </c>
      <c r="F67" s="10">
        <f t="shared" si="29"/>
        <v>6900</v>
      </c>
      <c r="G67" s="10">
        <f t="shared" si="29"/>
        <v>8400</v>
      </c>
      <c r="H67" s="10">
        <f t="shared" si="29"/>
        <v>8400</v>
      </c>
      <c r="I67" s="10">
        <f t="shared" ref="I67:M67" si="31">+I19*I23</f>
        <v>8400</v>
      </c>
      <c r="J67" s="10">
        <f t="shared" si="31"/>
        <v>8400</v>
      </c>
      <c r="K67" s="10">
        <f t="shared" si="31"/>
        <v>8400</v>
      </c>
      <c r="L67" s="10">
        <f t="shared" si="31"/>
        <v>8400</v>
      </c>
      <c r="M67" s="10">
        <f t="shared" si="31"/>
        <v>8400</v>
      </c>
      <c r="N67" s="34"/>
      <c r="O67" s="34"/>
      <c r="P67" s="34"/>
      <c r="Q67" s="34"/>
    </row>
    <row r="68" spans="1:17" x14ac:dyDescent="0.25">
      <c r="A68" t="s">
        <v>37</v>
      </c>
      <c r="D68" s="10">
        <f t="shared" si="29"/>
        <v>6000</v>
      </c>
      <c r="E68" s="10">
        <f t="shared" si="29"/>
        <v>6000</v>
      </c>
      <c r="F68" s="10">
        <f t="shared" si="29"/>
        <v>6000</v>
      </c>
      <c r="G68" s="10">
        <f t="shared" si="29"/>
        <v>7350</v>
      </c>
      <c r="H68" s="10">
        <f t="shared" si="29"/>
        <v>7350</v>
      </c>
      <c r="I68" s="10">
        <f t="shared" ref="I68:M68" si="32">+I20*I24</f>
        <v>7350</v>
      </c>
      <c r="J68" s="10">
        <f t="shared" si="32"/>
        <v>7350</v>
      </c>
      <c r="K68" s="10">
        <f t="shared" si="32"/>
        <v>7350</v>
      </c>
      <c r="L68" s="10">
        <f t="shared" si="32"/>
        <v>7350</v>
      </c>
      <c r="M68" s="10">
        <f t="shared" si="32"/>
        <v>7350</v>
      </c>
      <c r="N68" s="34"/>
      <c r="O68" s="34"/>
      <c r="P68" s="34"/>
      <c r="Q68" s="34"/>
    </row>
    <row r="69" spans="1:17" x14ac:dyDescent="0.25">
      <c r="A69" t="s">
        <v>25</v>
      </c>
      <c r="D69" s="10">
        <f t="shared" ref="D69:H70" si="33">D10*D25</f>
        <v>3250</v>
      </c>
      <c r="E69" s="10">
        <f t="shared" si="33"/>
        <v>3250</v>
      </c>
      <c r="F69" s="10">
        <f t="shared" si="33"/>
        <v>3250</v>
      </c>
      <c r="G69" s="10">
        <f t="shared" si="33"/>
        <v>3500</v>
      </c>
      <c r="H69" s="10">
        <f t="shared" si="33"/>
        <v>3500</v>
      </c>
      <c r="I69" s="10">
        <f t="shared" ref="I69:M69" si="34">I10*I25</f>
        <v>3500</v>
      </c>
      <c r="J69" s="10">
        <f t="shared" si="34"/>
        <v>3500</v>
      </c>
      <c r="K69" s="10">
        <f t="shared" si="34"/>
        <v>3500</v>
      </c>
      <c r="L69" s="10">
        <f t="shared" si="34"/>
        <v>3500</v>
      </c>
      <c r="M69" s="10">
        <f t="shared" si="34"/>
        <v>3500</v>
      </c>
      <c r="N69" s="34"/>
      <c r="O69" s="34"/>
      <c r="P69" s="34"/>
      <c r="Q69" s="34"/>
    </row>
    <row r="70" spans="1:17" x14ac:dyDescent="0.25">
      <c r="A70" t="s">
        <v>24</v>
      </c>
      <c r="D70" s="10">
        <f t="shared" si="33"/>
        <v>3200</v>
      </c>
      <c r="E70" s="10">
        <f t="shared" si="33"/>
        <v>3200</v>
      </c>
      <c r="F70" s="10">
        <f t="shared" si="33"/>
        <v>3200</v>
      </c>
      <c r="G70" s="10">
        <f t="shared" si="33"/>
        <v>3400</v>
      </c>
      <c r="H70" s="10">
        <f t="shared" si="33"/>
        <v>3400</v>
      </c>
      <c r="I70" s="10">
        <f t="shared" ref="I70:M70" si="35">I11*I26</f>
        <v>3400</v>
      </c>
      <c r="J70" s="10">
        <f t="shared" si="35"/>
        <v>3400</v>
      </c>
      <c r="K70" s="10">
        <f t="shared" si="35"/>
        <v>3400</v>
      </c>
      <c r="L70" s="10">
        <f t="shared" si="35"/>
        <v>3400</v>
      </c>
      <c r="M70" s="10">
        <f t="shared" si="35"/>
        <v>3400</v>
      </c>
      <c r="N70" s="34"/>
      <c r="O70" s="34"/>
      <c r="P70" s="34"/>
      <c r="Q70" s="34"/>
    </row>
    <row r="71" spans="1:17" x14ac:dyDescent="0.25">
      <c r="A71" t="s">
        <v>45</v>
      </c>
      <c r="D71" s="10">
        <f>+D27</f>
        <v>98000</v>
      </c>
      <c r="E71" s="10">
        <f>+E27</f>
        <v>98000</v>
      </c>
      <c r="F71" s="10">
        <f>+F27</f>
        <v>107800</v>
      </c>
      <c r="G71" s="10">
        <f>+G27</f>
        <v>107800</v>
      </c>
      <c r="H71" s="10">
        <f>+H27</f>
        <v>107800</v>
      </c>
      <c r="I71" s="10">
        <f t="shared" ref="I71:M71" si="36">+I27</f>
        <v>109760</v>
      </c>
      <c r="J71" s="10">
        <f t="shared" si="36"/>
        <v>111720</v>
      </c>
      <c r="K71" s="10">
        <f t="shared" si="36"/>
        <v>113680</v>
      </c>
      <c r="L71" s="10">
        <f t="shared" si="36"/>
        <v>115640</v>
      </c>
      <c r="M71" s="10">
        <f t="shared" si="36"/>
        <v>117600</v>
      </c>
      <c r="N71" s="34"/>
      <c r="O71" s="34"/>
      <c r="P71" s="34"/>
      <c r="Q71" s="34"/>
    </row>
    <row r="72" spans="1:17" x14ac:dyDescent="0.25">
      <c r="A72" t="s">
        <v>96</v>
      </c>
      <c r="D72" s="10">
        <f>D33*365</f>
        <v>15968.75</v>
      </c>
      <c r="E72" s="10">
        <f>E33*365</f>
        <v>16767.1875</v>
      </c>
      <c r="F72" s="10">
        <f>F33*365</f>
        <v>17605.546875</v>
      </c>
      <c r="G72" s="10">
        <f>G33*365</f>
        <v>18485.824218750004</v>
      </c>
      <c r="H72" s="10">
        <f>H33*365</f>
        <v>19410.115429687503</v>
      </c>
      <c r="I72" s="10">
        <f t="shared" ref="I72:M72" si="37">I33*365</f>
        <v>20380.621201171878</v>
      </c>
      <c r="J72" s="10">
        <f t="shared" si="37"/>
        <v>21399.652261230473</v>
      </c>
      <c r="K72" s="10">
        <f t="shared" si="37"/>
        <v>22469.634874291998</v>
      </c>
      <c r="L72" s="10">
        <f t="shared" si="37"/>
        <v>23593.116618006599</v>
      </c>
      <c r="M72" s="10">
        <f t="shared" si="37"/>
        <v>24772.77244890693</v>
      </c>
      <c r="N72" s="34"/>
      <c r="O72" s="34"/>
      <c r="P72" s="34"/>
      <c r="Q72" s="34"/>
    </row>
    <row r="73" spans="1:17" x14ac:dyDescent="0.25">
      <c r="A73" t="s">
        <v>99</v>
      </c>
      <c r="D73" s="10">
        <f>D34</f>
        <v>72000</v>
      </c>
      <c r="E73" s="10">
        <f>E34</f>
        <v>72720</v>
      </c>
      <c r="F73" s="10">
        <f>F34</f>
        <v>73447.199999999997</v>
      </c>
      <c r="G73" s="10">
        <f>G34</f>
        <v>74181.671999999991</v>
      </c>
      <c r="H73" s="10">
        <f>H34</f>
        <v>74923.488719999994</v>
      </c>
      <c r="I73" s="10">
        <f t="shared" ref="I73:M73" si="38">I34</f>
        <v>75672.723607199994</v>
      </c>
      <c r="J73" s="10">
        <f t="shared" si="38"/>
        <v>76429.450843271989</v>
      </c>
      <c r="K73" s="10">
        <f t="shared" si="38"/>
        <v>77193.745351704711</v>
      </c>
      <c r="L73" s="10">
        <f t="shared" si="38"/>
        <v>77965.682805221761</v>
      </c>
      <c r="M73" s="10">
        <f t="shared" si="38"/>
        <v>78745.339633273979</v>
      </c>
      <c r="N73" s="34"/>
      <c r="O73" s="34"/>
      <c r="P73" s="34"/>
      <c r="Q73" s="34"/>
    </row>
    <row r="74" spans="1:17" s="31" customFormat="1" x14ac:dyDescent="0.25">
      <c r="N74" s="34"/>
      <c r="O74" s="34"/>
      <c r="P74" s="34"/>
      <c r="Q74" s="34"/>
    </row>
    <row r="75" spans="1:17" s="31" customFormat="1" x14ac:dyDescent="0.25">
      <c r="A75" s="31" t="s">
        <v>145</v>
      </c>
      <c r="D75" s="13">
        <f>SUM(D61:D73)</f>
        <v>425368.75</v>
      </c>
      <c r="E75" s="13">
        <f t="shared" ref="E75:M75" si="39">SUM(E61:E73)</f>
        <v>432812.1875</v>
      </c>
      <c r="F75" s="13">
        <f t="shared" si="39"/>
        <v>472869.47687499999</v>
      </c>
      <c r="G75" s="13">
        <f t="shared" si="39"/>
        <v>486695.37461875007</v>
      </c>
      <c r="H75" s="13">
        <f t="shared" si="39"/>
        <v>496042.65105568746</v>
      </c>
      <c r="I75" s="13">
        <f t="shared" si="39"/>
        <v>512768.00350517198</v>
      </c>
      <c r="J75" s="13">
        <f t="shared" si="39"/>
        <v>530359.47358665662</v>
      </c>
      <c r="K75" s="13">
        <f t="shared" si="39"/>
        <v>548892.70419978607</v>
      </c>
      <c r="L75" s="13">
        <f t="shared" si="39"/>
        <v>568451.20316381112</v>
      </c>
      <c r="M75" s="13">
        <f t="shared" si="39"/>
        <v>589127.19794990821</v>
      </c>
      <c r="N75" s="34"/>
      <c r="O75" s="34"/>
      <c r="P75" s="34"/>
      <c r="Q75" s="34"/>
    </row>
    <row r="76" spans="1:17" x14ac:dyDescent="0.25">
      <c r="I76" s="31"/>
      <c r="J76" s="31"/>
      <c r="K76" s="31"/>
      <c r="L76" s="31"/>
      <c r="M76" s="31"/>
      <c r="N76" s="34"/>
      <c r="O76" s="34"/>
      <c r="P76" s="34"/>
      <c r="Q76" s="34"/>
    </row>
    <row r="77" spans="1:17" s="31" customFormat="1" x14ac:dyDescent="0.25">
      <c r="A77" t="s">
        <v>31</v>
      </c>
      <c r="B77"/>
      <c r="C77"/>
      <c r="D77" s="10">
        <f>+D71*0.5</f>
        <v>49000</v>
      </c>
      <c r="E77" s="10">
        <f t="shared" ref="E77:M77" si="40">+E71*0.5</f>
        <v>49000</v>
      </c>
      <c r="F77" s="10">
        <f t="shared" si="40"/>
        <v>53900</v>
      </c>
      <c r="G77" s="10">
        <f t="shared" si="40"/>
        <v>53900</v>
      </c>
      <c r="H77" s="10">
        <f t="shared" si="40"/>
        <v>53900</v>
      </c>
      <c r="I77" s="10">
        <f t="shared" si="40"/>
        <v>54880</v>
      </c>
      <c r="J77" s="10">
        <f t="shared" si="40"/>
        <v>55860</v>
      </c>
      <c r="K77" s="10">
        <f>+K71*0.5</f>
        <v>56840</v>
      </c>
      <c r="L77" s="10">
        <f t="shared" si="40"/>
        <v>57820</v>
      </c>
      <c r="M77" s="10">
        <f t="shared" si="40"/>
        <v>58800</v>
      </c>
      <c r="N77" s="34"/>
      <c r="O77" s="34"/>
      <c r="P77" s="34"/>
      <c r="Q77" s="34"/>
    </row>
    <row r="78" spans="1:17" s="31" customFormat="1" x14ac:dyDescent="0.25">
      <c r="D78" s="10"/>
      <c r="E78" s="10"/>
      <c r="F78" s="10"/>
      <c r="G78" s="10"/>
      <c r="H78" s="10"/>
      <c r="N78" s="34"/>
      <c r="O78" s="34"/>
      <c r="P78" s="34"/>
      <c r="Q78" s="34"/>
    </row>
    <row r="79" spans="1:17" s="31" customFormat="1" x14ac:dyDescent="0.25">
      <c r="A79" s="31" t="s">
        <v>146</v>
      </c>
      <c r="D79" s="10">
        <f>D75-D77</f>
        <v>376368.75</v>
      </c>
      <c r="E79" s="10">
        <f t="shared" ref="E79:M79" si="41">E75-E77</f>
        <v>383812.1875</v>
      </c>
      <c r="F79" s="10">
        <f t="shared" si="41"/>
        <v>418969.47687499999</v>
      </c>
      <c r="G79" s="10">
        <f t="shared" si="41"/>
        <v>432795.37461875007</v>
      </c>
      <c r="H79" s="10">
        <f t="shared" si="41"/>
        <v>442142.65105568746</v>
      </c>
      <c r="I79" s="10">
        <f t="shared" si="41"/>
        <v>457888.00350517198</v>
      </c>
      <c r="J79" s="10">
        <f t="shared" si="41"/>
        <v>474499.47358665662</v>
      </c>
      <c r="K79" s="10">
        <f t="shared" si="41"/>
        <v>492052.70419978607</v>
      </c>
      <c r="L79" s="10">
        <f t="shared" si="41"/>
        <v>510631.20316381112</v>
      </c>
      <c r="M79" s="10">
        <f t="shared" si="41"/>
        <v>530327.19794990821</v>
      </c>
      <c r="N79" s="34"/>
      <c r="O79" s="34"/>
      <c r="P79" s="34"/>
      <c r="Q79" s="34"/>
    </row>
    <row r="80" spans="1:17" ht="18.75" x14ac:dyDescent="0.3">
      <c r="A80" s="5" t="s">
        <v>26</v>
      </c>
      <c r="B80" s="1"/>
      <c r="C80" s="1"/>
      <c r="I80" s="31"/>
      <c r="J80" s="31"/>
      <c r="K80" s="31"/>
      <c r="L80" s="31"/>
      <c r="M80" s="31"/>
      <c r="N80" s="35"/>
      <c r="O80" s="35"/>
      <c r="P80" s="35"/>
      <c r="Q80" s="34"/>
    </row>
    <row r="81" spans="1:17" x14ac:dyDescent="0.25">
      <c r="A81" t="s">
        <v>27</v>
      </c>
      <c r="D81" s="10">
        <f>+D31*$N$81</f>
        <v>122500.00000000001</v>
      </c>
      <c r="E81" s="10">
        <f>+E31*$N$81</f>
        <v>122500.00000000001</v>
      </c>
      <c r="F81" s="10">
        <f>+F31*$N$81</f>
        <v>122500.00000000001</v>
      </c>
      <c r="G81" s="10">
        <f>+G31*$N$81</f>
        <v>122500.00000000001</v>
      </c>
      <c r="H81" s="10">
        <f>+H31*$N$81</f>
        <v>122500.00000000001</v>
      </c>
      <c r="I81" s="10">
        <f t="shared" ref="I81:M81" si="42">+I31*$N$81</f>
        <v>122500.00000000001</v>
      </c>
      <c r="J81" s="10">
        <f t="shared" si="42"/>
        <v>122500.00000000001</v>
      </c>
      <c r="K81" s="10">
        <f t="shared" si="42"/>
        <v>122500.00000000001</v>
      </c>
      <c r="L81" s="10">
        <f t="shared" si="42"/>
        <v>122500.00000000001</v>
      </c>
      <c r="M81" s="10">
        <f t="shared" si="42"/>
        <v>122500.00000000001</v>
      </c>
      <c r="N81" s="35">
        <v>7.0000000000000007E-2</v>
      </c>
      <c r="O81" s="35" t="s">
        <v>50</v>
      </c>
      <c r="P81" s="35"/>
      <c r="Q81" s="34"/>
    </row>
    <row r="82" spans="1:17" x14ac:dyDescent="0.25">
      <c r="A82" t="s">
        <v>28</v>
      </c>
      <c r="D82" s="10">
        <f>+(D29+D30)*$N$82</f>
        <v>117000</v>
      </c>
      <c r="E82" s="10">
        <f>+(E29+E30)*$N$82</f>
        <v>117000</v>
      </c>
      <c r="F82" s="10">
        <f>+(F29+F30)*$N$82</f>
        <v>117000</v>
      </c>
      <c r="G82" s="10">
        <f>+(G29+G30)*$N$82</f>
        <v>117000</v>
      </c>
      <c r="H82" s="10">
        <f>+(H29+H30)*$N$82</f>
        <v>117000</v>
      </c>
      <c r="I82" s="10">
        <f t="shared" ref="I82:M82" si="43">+(I29+I30)*$N$82</f>
        <v>117000</v>
      </c>
      <c r="J82" s="10">
        <f t="shared" si="43"/>
        <v>117000</v>
      </c>
      <c r="K82" s="10">
        <f t="shared" si="43"/>
        <v>117000</v>
      </c>
      <c r="L82" s="10">
        <f t="shared" si="43"/>
        <v>117000</v>
      </c>
      <c r="M82" s="10">
        <f t="shared" si="43"/>
        <v>117000</v>
      </c>
      <c r="N82" s="35">
        <f>((8*5)+12+8)/7*350</f>
        <v>3000</v>
      </c>
      <c r="O82" s="35" t="s">
        <v>49</v>
      </c>
      <c r="P82" s="35"/>
      <c r="Q82" s="34"/>
    </row>
    <row r="83" spans="1:17" x14ac:dyDescent="0.25">
      <c r="A83" t="s">
        <v>65</v>
      </c>
      <c r="D83" s="50">
        <v>5000</v>
      </c>
      <c r="E83" s="50">
        <f>E75*$N$83</f>
        <v>5087.4939390822665</v>
      </c>
      <c r="F83" s="50">
        <f t="shared" ref="F83:M83" si="44">F75*$N$83</f>
        <v>5558.3476322014722</v>
      </c>
      <c r="G83" s="50">
        <f t="shared" si="44"/>
        <v>5720.8642456545067</v>
      </c>
      <c r="H83" s="50">
        <f t="shared" si="44"/>
        <v>5830.7368730740973</v>
      </c>
      <c r="I83" s="50">
        <f t="shared" si="44"/>
        <v>6027.3351475063928</v>
      </c>
      <c r="J83" s="50">
        <f t="shared" si="44"/>
        <v>6234.1142078097728</v>
      </c>
      <c r="K83" s="50">
        <f t="shared" si="44"/>
        <v>6451.9631989865975</v>
      </c>
      <c r="L83" s="50">
        <f t="shared" si="44"/>
        <v>6681.86371429273</v>
      </c>
      <c r="M83" s="50">
        <f t="shared" si="44"/>
        <v>6924.8998421946626</v>
      </c>
      <c r="N83" s="47">
        <f>D83/D75</f>
        <v>1.1754507118823374E-2</v>
      </c>
      <c r="O83" s="35"/>
      <c r="P83" s="35"/>
      <c r="Q83" s="34"/>
    </row>
    <row r="84" spans="1:17" x14ac:dyDescent="0.25">
      <c r="A84" t="s">
        <v>29</v>
      </c>
      <c r="D84" s="10">
        <v>5000</v>
      </c>
      <c r="E84" s="50">
        <f>E75*$N$84</f>
        <v>5087.4939390822665</v>
      </c>
      <c r="F84" s="50">
        <f t="shared" ref="F84:H84" si="45">F75*$N$84</f>
        <v>5558.3476322014722</v>
      </c>
      <c r="G84" s="50">
        <f t="shared" si="45"/>
        <v>5720.8642456545067</v>
      </c>
      <c r="H84" s="50">
        <f t="shared" si="45"/>
        <v>5830.7368730740973</v>
      </c>
      <c r="I84" s="10">
        <f t="shared" ref="I84:M84" si="46">+H84*(1+$N$84)</f>
        <v>5899.2743111566333</v>
      </c>
      <c r="J84" s="10">
        <f t="shared" si="46"/>
        <v>5968.6173730430164</v>
      </c>
      <c r="K84" s="10">
        <f t="shared" si="46"/>
        <v>6038.7755284439836</v>
      </c>
      <c r="L84" s="10">
        <f t="shared" si="46"/>
        <v>6109.7583583820551</v>
      </c>
      <c r="M84" s="10">
        <f t="shared" si="46"/>
        <v>6181.5755564999481</v>
      </c>
      <c r="N84" s="45">
        <f>D84/D75</f>
        <v>1.1754507118823374E-2</v>
      </c>
      <c r="O84" s="35"/>
      <c r="P84" s="35"/>
      <c r="Q84" s="34"/>
    </row>
    <row r="85" spans="1:17" x14ac:dyDescent="0.25">
      <c r="A85" t="s">
        <v>30</v>
      </c>
      <c r="D85" s="10">
        <f>+(500000-SUM(D61:D73))*0.2</f>
        <v>14926.25</v>
      </c>
      <c r="E85" s="10">
        <f t="shared" ref="E85:H85" si="47">+(500000-SUM(E61:E73))*0.2</f>
        <v>13437.5625</v>
      </c>
      <c r="F85" s="10">
        <f t="shared" si="47"/>
        <v>5426.1046250000018</v>
      </c>
      <c r="G85" s="10">
        <f t="shared" si="47"/>
        <v>2660.9250762499869</v>
      </c>
      <c r="H85" s="10">
        <f t="shared" si="47"/>
        <v>791.46978886250872</v>
      </c>
      <c r="I85" s="10">
        <f t="shared" ref="I85:M85" si="48">+(500000-SUM(I62:I71))*0.2</f>
        <v>16780.725310598384</v>
      </c>
      <c r="J85" s="10">
        <f t="shared" si="48"/>
        <v>13622.308419365261</v>
      </c>
      <c r="K85" s="10">
        <f t="shared" si="48"/>
        <v>10287.382742689446</v>
      </c>
      <c r="L85" s="10">
        <f t="shared" si="48"/>
        <v>6759.7750588417293</v>
      </c>
      <c r="M85" s="10">
        <f t="shared" si="48"/>
        <v>3021.5939346892296</v>
      </c>
      <c r="N85" s="35"/>
      <c r="O85" s="35"/>
      <c r="P85" s="35"/>
      <c r="Q85" s="34"/>
    </row>
    <row r="86" spans="1:17" x14ac:dyDescent="0.25">
      <c r="I86" s="10"/>
      <c r="J86" s="10"/>
      <c r="K86" s="10"/>
      <c r="L86" s="10"/>
      <c r="M86" s="10"/>
      <c r="N86" s="35"/>
      <c r="O86" s="35"/>
      <c r="P86" s="35"/>
      <c r="Q86" s="34"/>
    </row>
    <row r="87" spans="1:17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35"/>
      <c r="O87" s="35"/>
      <c r="P87" s="35"/>
      <c r="Q87" s="34"/>
    </row>
    <row r="88" spans="1:17" s="31" customFormat="1" x14ac:dyDescent="0.25">
      <c r="A88" s="31" t="s">
        <v>144</v>
      </c>
      <c r="D88" s="50">
        <f>D79-SUM(D81:D85)</f>
        <v>111942.5</v>
      </c>
      <c r="E88" s="50">
        <f t="shared" ref="E88:M88" si="49">E79-SUM(E81:E85)</f>
        <v>120699.63712183549</v>
      </c>
      <c r="F88" s="50">
        <f>F79-SUM(F81:F85)</f>
        <v>162926.67698559703</v>
      </c>
      <c r="G88" s="50">
        <f t="shared" si="49"/>
        <v>179192.72105119104</v>
      </c>
      <c r="H88" s="50">
        <f t="shared" si="49"/>
        <v>190189.70752067678</v>
      </c>
      <c r="I88" s="50">
        <f>I79-SUM(I81:I85)</f>
        <v>189680.66873591056</v>
      </c>
      <c r="J88" s="50">
        <f t="shared" si="49"/>
        <v>209174.43358643859</v>
      </c>
      <c r="K88" s="50">
        <f t="shared" si="49"/>
        <v>229774.58272966603</v>
      </c>
      <c r="L88" s="50">
        <f t="shared" si="49"/>
        <v>251579.80603229458</v>
      </c>
      <c r="M88" s="50">
        <f t="shared" si="49"/>
        <v>274699.12861652439</v>
      </c>
      <c r="N88" s="35"/>
      <c r="O88" s="35"/>
      <c r="P88" s="35"/>
      <c r="Q88" s="34"/>
    </row>
    <row r="89" spans="1:17" s="31" customFormat="1" x14ac:dyDescent="0.25"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35"/>
      <c r="O89" s="35"/>
      <c r="P89" s="35"/>
      <c r="Q89" s="34"/>
    </row>
    <row r="90" spans="1:17" x14ac:dyDescent="0.25">
      <c r="A90" t="s">
        <v>87</v>
      </c>
      <c r="D90" s="16">
        <f>D113*0.1</f>
        <v>2000</v>
      </c>
      <c r="E90" s="16">
        <f>E113*0.1</f>
        <v>2000</v>
      </c>
      <c r="F90" s="16">
        <f>F113*0.1</f>
        <v>2000</v>
      </c>
      <c r="G90" s="16">
        <f>G113*0.1</f>
        <v>2000</v>
      </c>
      <c r="H90" s="16">
        <f>H113*0.1</f>
        <v>2000</v>
      </c>
      <c r="I90" s="16">
        <f t="shared" ref="I90:M90" si="50">I113*0.1</f>
        <v>2000.1000000000001</v>
      </c>
      <c r="J90" s="16">
        <f t="shared" si="50"/>
        <v>2000.2</v>
      </c>
      <c r="K90" s="16">
        <f t="shared" si="50"/>
        <v>2000.3000000000002</v>
      </c>
      <c r="L90" s="16">
        <f t="shared" si="50"/>
        <v>2000.4</v>
      </c>
      <c r="M90" s="16">
        <f t="shared" si="50"/>
        <v>2000.5</v>
      </c>
      <c r="N90" s="35"/>
      <c r="O90" s="35"/>
      <c r="P90" s="35"/>
      <c r="Q90" s="34"/>
    </row>
    <row r="91" spans="1:17" x14ac:dyDescent="0.25">
      <c r="A91" t="s">
        <v>86</v>
      </c>
      <c r="D91" s="16">
        <f>D109*(1/30)</f>
        <v>69000</v>
      </c>
      <c r="E91" s="16">
        <f>E109*(1/30)</f>
        <v>69000</v>
      </c>
      <c r="F91" s="16">
        <f>F109*(1/30)</f>
        <v>69000</v>
      </c>
      <c r="G91" s="16">
        <f>G109*(1/30)</f>
        <v>69000</v>
      </c>
      <c r="H91" s="16">
        <f>H109*(1/30)</f>
        <v>69000</v>
      </c>
      <c r="I91" s="16">
        <f t="shared" ref="I91:M91" si="51">I109*(1/30)</f>
        <v>69000</v>
      </c>
      <c r="J91" s="16">
        <f t="shared" si="51"/>
        <v>69000</v>
      </c>
      <c r="K91" s="16">
        <f t="shared" si="51"/>
        <v>69000</v>
      </c>
      <c r="L91" s="16">
        <f t="shared" si="51"/>
        <v>69000</v>
      </c>
      <c r="M91" s="16">
        <f t="shared" si="51"/>
        <v>69000</v>
      </c>
      <c r="N91" s="35"/>
      <c r="O91" s="35"/>
      <c r="P91" s="35"/>
      <c r="Q91" s="34"/>
    </row>
    <row r="92" spans="1:17" s="31" customFormat="1" x14ac:dyDescent="0.25">
      <c r="A92" s="31" t="s">
        <v>168</v>
      </c>
      <c r="D92" s="16"/>
      <c r="E92" s="16"/>
      <c r="F92" s="16"/>
      <c r="G92" s="16"/>
      <c r="H92" s="16"/>
      <c r="I92" s="16"/>
      <c r="J92" s="16">
        <f>J111/10</f>
        <v>50000</v>
      </c>
      <c r="K92" s="16">
        <f t="shared" ref="K92:M92" si="52">K111/10</f>
        <v>50000</v>
      </c>
      <c r="L92" s="16">
        <f t="shared" si="52"/>
        <v>50000</v>
      </c>
      <c r="M92" s="16">
        <f t="shared" si="52"/>
        <v>50000</v>
      </c>
      <c r="N92" s="35"/>
      <c r="O92" s="35"/>
      <c r="P92" s="35"/>
      <c r="Q92" s="34"/>
    </row>
    <row r="93" spans="1:17" x14ac:dyDescent="0.25">
      <c r="A93" t="s">
        <v>62</v>
      </c>
      <c r="D93" s="22">
        <f>Amort!I19</f>
        <v>47280.767906401808</v>
      </c>
      <c r="E93" s="22">
        <f>Amort!I31</f>
        <v>46185.060624101076</v>
      </c>
      <c r="F93" s="22">
        <f>Amort!I43</f>
        <v>45061.644595325619</v>
      </c>
      <c r="G93" s="22">
        <f>Amort!I55</f>
        <v>43909.819108632131</v>
      </c>
      <c r="H93" s="22">
        <f>Amort!I67</f>
        <v>42728.86573266612</v>
      </c>
      <c r="I93" s="41">
        <f>Amort!I79</f>
        <v>41518.047868052745</v>
      </c>
      <c r="J93" s="41">
        <f>Amort!I91</f>
        <v>40276.610287955489</v>
      </c>
      <c r="K93" s="41">
        <f>Amort!I103</f>
        <v>39003.778667016501</v>
      </c>
      <c r="L93" s="41">
        <f>Amort!I115</f>
        <v>37698.759098384427</v>
      </c>
      <c r="M93" s="41">
        <f>Amort!I127</f>
        <v>36360.737598528664</v>
      </c>
      <c r="N93" s="35"/>
      <c r="O93" s="35"/>
      <c r="P93" s="35"/>
      <c r="Q93" s="34"/>
    </row>
    <row r="94" spans="1:17" x14ac:dyDescent="0.25">
      <c r="A94" t="s">
        <v>63</v>
      </c>
      <c r="D94" s="10">
        <f>D128*$N$128</f>
        <v>54521.531417704173</v>
      </c>
      <c r="E94" s="10">
        <f t="shared" ref="E94:M94" si="53">E128*$N$128</f>
        <v>56246.930683180035</v>
      </c>
      <c r="F94" s="10">
        <f t="shared" si="53"/>
        <v>54907.942359066205</v>
      </c>
      <c r="G94" s="10">
        <f t="shared" si="53"/>
        <v>52259.672689961932</v>
      </c>
      <c r="H94" s="10">
        <f t="shared" si="53"/>
        <v>48810.584292061074</v>
      </c>
      <c r="I94" s="10">
        <f t="shared" si="53"/>
        <v>45431.229655505944</v>
      </c>
      <c r="J94" s="10">
        <f t="shared" si="53"/>
        <v>71165.653523922287</v>
      </c>
      <c r="K94" s="10">
        <f t="shared" si="53"/>
        <v>65930.773468537358</v>
      </c>
      <c r="L94" s="10">
        <f t="shared" si="53"/>
        <v>58732.848305986845</v>
      </c>
      <c r="M94" s="10">
        <f t="shared" si="53"/>
        <v>49823.271367433263</v>
      </c>
      <c r="N94" s="35"/>
      <c r="O94" s="35"/>
      <c r="P94" s="35"/>
      <c r="Q94" s="34"/>
    </row>
    <row r="95" spans="1:17" x14ac:dyDescent="0.25"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35"/>
      <c r="O95" s="35"/>
      <c r="P95" s="35"/>
      <c r="Q95" s="34"/>
    </row>
    <row r="96" spans="1:17" x14ac:dyDescent="0.25">
      <c r="A96" t="s">
        <v>57</v>
      </c>
      <c r="D96" s="13">
        <f t="shared" ref="D96:M96" si="54">D88-SUM(D90:D94)</f>
        <v>-60859.799324105959</v>
      </c>
      <c r="E96" s="13">
        <f t="shared" si="54"/>
        <v>-52732.354185445642</v>
      </c>
      <c r="F96" s="13">
        <f t="shared" si="54"/>
        <v>-8042.9099687947892</v>
      </c>
      <c r="G96" s="13">
        <f t="shared" si="54"/>
        <v>12023.229252596968</v>
      </c>
      <c r="H96" s="13">
        <f t="shared" si="54"/>
        <v>27650.257495949569</v>
      </c>
      <c r="I96" s="13">
        <f t="shared" si="54"/>
        <v>31731.291212351876</v>
      </c>
      <c r="J96" s="13">
        <f t="shared" si="54"/>
        <v>-23268.030225439172</v>
      </c>
      <c r="K96" s="13">
        <f t="shared" si="54"/>
        <v>3839.7305941121886</v>
      </c>
      <c r="L96" s="13">
        <f t="shared" si="54"/>
        <v>34147.798627923301</v>
      </c>
      <c r="M96" s="13">
        <f t="shared" si="54"/>
        <v>67514.619650562468</v>
      </c>
      <c r="N96" s="35"/>
      <c r="O96" s="35"/>
      <c r="P96" s="35"/>
      <c r="Q96" s="34"/>
    </row>
    <row r="97" spans="1:17" x14ac:dyDescent="0.25">
      <c r="A97" t="s">
        <v>58</v>
      </c>
      <c r="D97" s="13">
        <f>IF(D96&lt;0,0,D96*$N$97)</f>
        <v>0</v>
      </c>
      <c r="E97" s="13">
        <f>IF(E96&lt;0,0,E96*$N$97)</f>
        <v>0</v>
      </c>
      <c r="F97" s="13">
        <f>IF(F96&lt;0,0,F96*$N$97)</f>
        <v>0</v>
      </c>
      <c r="G97" s="13">
        <f>IF(G96&lt;0,0,G96*$N$97)</f>
        <v>3005.807313149242</v>
      </c>
      <c r="H97" s="13">
        <f>IF(H96&lt;0,0,H96*$N$97)</f>
        <v>6912.5643739873922</v>
      </c>
      <c r="I97" s="13">
        <f t="shared" ref="I97:M97" si="55">IF(I96&lt;0,0,I96*$N$97)</f>
        <v>7932.8228030879691</v>
      </c>
      <c r="J97" s="13">
        <f t="shared" si="55"/>
        <v>0</v>
      </c>
      <c r="K97" s="13">
        <f t="shared" si="55"/>
        <v>959.93264852804714</v>
      </c>
      <c r="L97" s="13">
        <f t="shared" si="55"/>
        <v>8536.9496569808252</v>
      </c>
      <c r="M97" s="13">
        <f t="shared" si="55"/>
        <v>16878.654912640617</v>
      </c>
      <c r="N97" s="45">
        <v>0.25</v>
      </c>
      <c r="O97" s="35" t="s">
        <v>60</v>
      </c>
      <c r="P97" s="35"/>
      <c r="Q97" s="34"/>
    </row>
    <row r="98" spans="1:17" x14ac:dyDescent="0.25">
      <c r="A98" t="s">
        <v>59</v>
      </c>
      <c r="D98" s="13">
        <f>+D96-D97</f>
        <v>-60859.799324105959</v>
      </c>
      <c r="E98" s="13">
        <f t="shared" ref="E98:G98" si="56">+E96-E97</f>
        <v>-52732.354185445642</v>
      </c>
      <c r="F98" s="13">
        <f t="shared" si="56"/>
        <v>-8042.9099687947892</v>
      </c>
      <c r="G98" s="13">
        <f t="shared" si="56"/>
        <v>9017.4219394477259</v>
      </c>
      <c r="H98" s="13">
        <f>+H96-H97</f>
        <v>20737.693121962177</v>
      </c>
      <c r="I98" s="13">
        <f>+I96-I97</f>
        <v>23798.468409263907</v>
      </c>
      <c r="J98" s="13">
        <f t="shared" ref="J98:M98" si="57">+J96-J97</f>
        <v>-23268.030225439172</v>
      </c>
      <c r="K98" s="13">
        <f t="shared" si="57"/>
        <v>2879.7979455841414</v>
      </c>
      <c r="L98" s="13">
        <f t="shared" si="57"/>
        <v>25610.848970942476</v>
      </c>
      <c r="M98" s="13">
        <f t="shared" si="57"/>
        <v>50635.964737921851</v>
      </c>
      <c r="N98" s="35"/>
      <c r="O98" s="35"/>
      <c r="P98" s="35"/>
      <c r="Q98" s="34"/>
    </row>
    <row r="99" spans="1:17" x14ac:dyDescent="0.25">
      <c r="D99" s="13"/>
      <c r="E99" s="13"/>
      <c r="F99" s="13"/>
      <c r="G99" s="13"/>
      <c r="H99" s="13"/>
      <c r="N99" s="35"/>
      <c r="O99" s="35"/>
      <c r="P99" s="35"/>
      <c r="Q99" s="34"/>
    </row>
    <row r="100" spans="1:17" x14ac:dyDescent="0.25">
      <c r="D100" s="13"/>
      <c r="E100" s="13"/>
      <c r="F100" s="13"/>
      <c r="G100" s="13"/>
      <c r="H100" s="13"/>
      <c r="N100" s="35"/>
      <c r="O100" s="35"/>
      <c r="P100" s="35"/>
      <c r="Q100" s="34"/>
    </row>
    <row r="101" spans="1:17" ht="18.75" x14ac:dyDescent="0.3">
      <c r="A101" s="5" t="s">
        <v>61</v>
      </c>
      <c r="B101" s="5"/>
      <c r="C101" s="5"/>
      <c r="N101" s="35"/>
      <c r="O101" s="35"/>
      <c r="P101" s="35"/>
      <c r="Q101" s="34"/>
    </row>
    <row r="102" spans="1:17" ht="18.75" x14ac:dyDescent="0.3">
      <c r="A102" s="5" t="s">
        <v>43</v>
      </c>
      <c r="B102" s="1"/>
      <c r="C102" s="1"/>
      <c r="N102" s="35"/>
      <c r="O102" s="35"/>
      <c r="P102" s="35"/>
      <c r="Q102" s="34"/>
    </row>
    <row r="103" spans="1:17" x14ac:dyDescent="0.25">
      <c r="A103" t="s">
        <v>52</v>
      </c>
      <c r="D103">
        <v>5000</v>
      </c>
      <c r="E103">
        <v>5000</v>
      </c>
      <c r="F103">
        <v>5000</v>
      </c>
      <c r="G103">
        <v>5000</v>
      </c>
      <c r="H103">
        <v>5000</v>
      </c>
      <c r="I103" s="31">
        <v>5000</v>
      </c>
      <c r="J103" s="31">
        <v>5000</v>
      </c>
      <c r="K103" s="31">
        <v>5000</v>
      </c>
      <c r="L103" s="31">
        <v>5000</v>
      </c>
      <c r="M103" s="31">
        <v>5000</v>
      </c>
      <c r="N103" s="35"/>
      <c r="O103" s="35"/>
      <c r="P103" s="35"/>
      <c r="Q103" s="34"/>
    </row>
    <row r="104" spans="1:17" x14ac:dyDescent="0.25">
      <c r="A104" t="s">
        <v>53</v>
      </c>
      <c r="I104" s="31"/>
      <c r="J104" s="31"/>
      <c r="K104" s="31"/>
      <c r="L104" s="31"/>
      <c r="M104" s="31"/>
      <c r="N104" s="35"/>
      <c r="O104" s="35"/>
      <c r="P104" s="35"/>
      <c r="Q104" s="34"/>
    </row>
    <row r="105" spans="1:17" x14ac:dyDescent="0.25">
      <c r="A105" t="s">
        <v>54</v>
      </c>
      <c r="D105" s="15">
        <f t="shared" ref="D105:M105" si="58">(D77/365)*$N$105</f>
        <v>1879.4520547945203</v>
      </c>
      <c r="E105" s="15">
        <f t="shared" si="58"/>
        <v>1879.4520547945203</v>
      </c>
      <c r="F105" s="15">
        <f t="shared" si="58"/>
        <v>2067.3972602739727</v>
      </c>
      <c r="G105" s="15">
        <f t="shared" si="58"/>
        <v>2067.3972602739727</v>
      </c>
      <c r="H105" s="15">
        <f t="shared" si="58"/>
        <v>2067.3972602739727</v>
      </c>
      <c r="I105" s="15">
        <f t="shared" si="58"/>
        <v>2104.9863013698628</v>
      </c>
      <c r="J105" s="15">
        <f t="shared" si="58"/>
        <v>2142.5753424657532</v>
      </c>
      <c r="K105" s="15">
        <f t="shared" si="58"/>
        <v>2180.1643835616442</v>
      </c>
      <c r="L105" s="15">
        <f t="shared" si="58"/>
        <v>2217.7534246575342</v>
      </c>
      <c r="M105" s="15">
        <f t="shared" si="58"/>
        <v>2255.3424657534247</v>
      </c>
      <c r="N105" s="35">
        <v>14</v>
      </c>
      <c r="O105" s="35" t="s">
        <v>147</v>
      </c>
      <c r="P105" s="35"/>
      <c r="Q105" s="34"/>
    </row>
    <row r="106" spans="1:17" x14ac:dyDescent="0.25">
      <c r="I106" s="31"/>
      <c r="J106" s="31"/>
      <c r="K106" s="31"/>
      <c r="L106" s="31"/>
      <c r="M106" s="31"/>
      <c r="N106" s="35"/>
      <c r="O106" s="35"/>
      <c r="P106" s="35"/>
      <c r="Q106" s="34"/>
    </row>
    <row r="107" spans="1:17" ht="18.75" x14ac:dyDescent="0.3">
      <c r="A107" s="3" t="s">
        <v>55</v>
      </c>
      <c r="I107" s="31"/>
      <c r="J107" s="31"/>
      <c r="K107" s="31"/>
      <c r="L107" s="31"/>
      <c r="M107" s="31"/>
      <c r="N107" s="35"/>
      <c r="O107" s="35"/>
      <c r="P107" s="35"/>
      <c r="Q107" s="34"/>
    </row>
    <row r="108" spans="1:17" ht="15.75" x14ac:dyDescent="0.25">
      <c r="A108" s="24" t="s">
        <v>64</v>
      </c>
      <c r="D108">
        <f>20000*$O$108</f>
        <v>660000</v>
      </c>
      <c r="E108">
        <f>20000*$O$108</f>
        <v>660000</v>
      </c>
      <c r="F108">
        <f>20000*$O$108</f>
        <v>660000</v>
      </c>
      <c r="G108">
        <f>20000*$O$108</f>
        <v>660000</v>
      </c>
      <c r="H108">
        <f>20000*$O$108</f>
        <v>660000</v>
      </c>
      <c r="I108" s="31">
        <f t="shared" ref="I108:M108" si="59">20000*$O$108</f>
        <v>660000</v>
      </c>
      <c r="J108" s="31">
        <f t="shared" si="59"/>
        <v>660000</v>
      </c>
      <c r="K108" s="31">
        <f t="shared" si="59"/>
        <v>660000</v>
      </c>
      <c r="L108" s="31">
        <f t="shared" si="59"/>
        <v>660000</v>
      </c>
      <c r="M108" s="31">
        <f t="shared" si="59"/>
        <v>660000</v>
      </c>
      <c r="N108" s="35"/>
      <c r="O108" s="35">
        <v>33</v>
      </c>
      <c r="P108" s="35" t="s">
        <v>66</v>
      </c>
      <c r="Q108" s="34"/>
    </row>
    <row r="109" spans="1:17" s="31" customFormat="1" x14ac:dyDescent="0.25">
      <c r="A109" t="s">
        <v>56</v>
      </c>
      <c r="B109"/>
      <c r="C109"/>
      <c r="D109">
        <f t="shared" ref="D109:M109" si="60">$O$109*D32</f>
        <v>2070000</v>
      </c>
      <c r="E109">
        <f t="shared" si="60"/>
        <v>2070000</v>
      </c>
      <c r="F109">
        <f t="shared" si="60"/>
        <v>2070000</v>
      </c>
      <c r="G109">
        <f t="shared" si="60"/>
        <v>2070000</v>
      </c>
      <c r="H109">
        <f t="shared" si="60"/>
        <v>2070000</v>
      </c>
      <c r="I109" s="31">
        <f t="shared" si="60"/>
        <v>2070000</v>
      </c>
      <c r="J109" s="31">
        <f t="shared" si="60"/>
        <v>2070000</v>
      </c>
      <c r="K109" s="31">
        <f t="shared" si="60"/>
        <v>2070000</v>
      </c>
      <c r="L109" s="31">
        <f t="shared" si="60"/>
        <v>2070000</v>
      </c>
      <c r="M109" s="31">
        <f t="shared" si="60"/>
        <v>2070000</v>
      </c>
      <c r="N109" s="35"/>
      <c r="O109" s="35">
        <v>23</v>
      </c>
      <c r="P109" s="35" t="s">
        <v>71</v>
      </c>
      <c r="Q109" s="34"/>
    </row>
    <row r="110" spans="1:17" s="31" customFormat="1" x14ac:dyDescent="0.25">
      <c r="A110" t="s">
        <v>70</v>
      </c>
      <c r="B110"/>
      <c r="C110"/>
      <c r="D110" s="16">
        <f>C110+D91</f>
        <v>69000</v>
      </c>
      <c r="E110" s="16">
        <f>D110+E91</f>
        <v>138000</v>
      </c>
      <c r="F110" s="16">
        <f>E110+F91</f>
        <v>207000</v>
      </c>
      <c r="G110" s="16">
        <f>F110+G91</f>
        <v>276000</v>
      </c>
      <c r="H110" s="16">
        <f>G110+H91</f>
        <v>345000</v>
      </c>
      <c r="I110" s="16">
        <f t="shared" ref="I110:M110" si="61">H110+I91</f>
        <v>414000</v>
      </c>
      <c r="J110" s="16">
        <f t="shared" si="61"/>
        <v>483000</v>
      </c>
      <c r="K110" s="16">
        <f>J110+K91</f>
        <v>552000</v>
      </c>
      <c r="L110" s="16">
        <f t="shared" si="61"/>
        <v>621000</v>
      </c>
      <c r="M110" s="16">
        <f t="shared" si="61"/>
        <v>690000</v>
      </c>
      <c r="N110" s="35"/>
      <c r="O110" s="35">
        <v>30</v>
      </c>
      <c r="P110" s="35" t="s">
        <v>73</v>
      </c>
      <c r="Q110" s="34"/>
    </row>
    <row r="111" spans="1:17" s="31" customFormat="1" x14ac:dyDescent="0.25">
      <c r="A111" s="31" t="s">
        <v>166</v>
      </c>
      <c r="D111" s="16"/>
      <c r="E111" s="16"/>
      <c r="F111" s="16"/>
      <c r="G111" s="16"/>
      <c r="I111" s="16"/>
      <c r="J111" s="16">
        <v>500000</v>
      </c>
      <c r="K111" s="16">
        <v>500000</v>
      </c>
      <c r="L111" s="16">
        <v>500000</v>
      </c>
      <c r="M111" s="16">
        <v>500000</v>
      </c>
      <c r="N111" s="35"/>
      <c r="O111" s="35"/>
      <c r="P111" s="35"/>
      <c r="Q111" s="34"/>
    </row>
    <row r="112" spans="1:17" s="31" customFormat="1" x14ac:dyDescent="0.25">
      <c r="D112" s="16"/>
      <c r="E112" s="16"/>
      <c r="F112" s="16"/>
      <c r="G112" s="16"/>
      <c r="H112" s="16"/>
      <c r="I112" s="16"/>
      <c r="J112" s="16">
        <f>I112+J92</f>
        <v>50000</v>
      </c>
      <c r="K112" s="16">
        <f t="shared" ref="K112:M112" si="62">J112+K92</f>
        <v>100000</v>
      </c>
      <c r="L112" s="16">
        <f t="shared" si="62"/>
        <v>150000</v>
      </c>
      <c r="M112" s="16">
        <f t="shared" si="62"/>
        <v>200000</v>
      </c>
      <c r="N112" s="35">
        <v>10</v>
      </c>
      <c r="O112" s="35" t="s">
        <v>167</v>
      </c>
      <c r="P112" s="35"/>
      <c r="Q112" s="34"/>
    </row>
    <row r="113" spans="1:17" s="31" customFormat="1" x14ac:dyDescent="0.25">
      <c r="A113" t="s">
        <v>44</v>
      </c>
      <c r="B113"/>
      <c r="C113"/>
      <c r="D113" s="10">
        <v>20000</v>
      </c>
      <c r="E113" s="10">
        <v>20000</v>
      </c>
      <c r="F113" s="10">
        <v>20000</v>
      </c>
      <c r="G113" s="10">
        <v>20000</v>
      </c>
      <c r="H113" s="10">
        <v>20000</v>
      </c>
      <c r="I113" s="10">
        <v>20001</v>
      </c>
      <c r="J113" s="10">
        <v>20002</v>
      </c>
      <c r="K113" s="10">
        <v>20003</v>
      </c>
      <c r="L113" s="10">
        <v>20004</v>
      </c>
      <c r="M113" s="10">
        <v>20005</v>
      </c>
      <c r="N113" s="35"/>
      <c r="O113" s="35"/>
      <c r="P113" s="35"/>
      <c r="Q113" s="34"/>
    </row>
    <row r="114" spans="1:17" s="31" customFormat="1" x14ac:dyDescent="0.25">
      <c r="A114" t="s">
        <v>67</v>
      </c>
      <c r="B114"/>
      <c r="C114"/>
      <c r="D114" s="16">
        <f>C114+D90</f>
        <v>2000</v>
      </c>
      <c r="E114" s="16">
        <f>D114+E90</f>
        <v>4000</v>
      </c>
      <c r="F114" s="16">
        <f>E114+F90</f>
        <v>6000</v>
      </c>
      <c r="G114" s="16">
        <f>F114+G90</f>
        <v>8000</v>
      </c>
      <c r="H114" s="16">
        <f>G114+H90</f>
        <v>10000</v>
      </c>
      <c r="I114" s="16">
        <f t="shared" ref="I114:M114" si="63">H114+I90</f>
        <v>12000.1</v>
      </c>
      <c r="J114" s="16">
        <f t="shared" si="63"/>
        <v>14000.300000000001</v>
      </c>
      <c r="K114" s="16">
        <f t="shared" si="63"/>
        <v>16000.600000000002</v>
      </c>
      <c r="L114" s="16">
        <f t="shared" si="63"/>
        <v>18001.000000000004</v>
      </c>
      <c r="M114" s="16">
        <f t="shared" si="63"/>
        <v>20001.500000000004</v>
      </c>
      <c r="N114" s="35"/>
      <c r="O114" s="35">
        <v>10</v>
      </c>
      <c r="P114" s="35" t="s">
        <v>68</v>
      </c>
      <c r="Q114" s="34"/>
    </row>
    <row r="115" spans="1:17" ht="15.75" x14ac:dyDescent="0.25">
      <c r="A115" s="24" t="s">
        <v>129</v>
      </c>
      <c r="B115" s="31"/>
      <c r="C115" s="31"/>
      <c r="D115" s="31">
        <f t="shared" ref="D115:M115" si="64">SUM(D39:D40)</f>
        <v>95</v>
      </c>
      <c r="E115" s="31">
        <f t="shared" si="64"/>
        <v>95</v>
      </c>
      <c r="F115" s="31">
        <f t="shared" si="64"/>
        <v>99.5</v>
      </c>
      <c r="G115" s="31">
        <f t="shared" si="64"/>
        <v>99.5</v>
      </c>
      <c r="H115" s="31">
        <f t="shared" si="64"/>
        <v>99.5</v>
      </c>
      <c r="I115" s="31">
        <f t="shared" si="64"/>
        <v>100.4</v>
      </c>
      <c r="J115" s="31">
        <f t="shared" si="64"/>
        <v>101.30000000000001</v>
      </c>
      <c r="K115" s="31">
        <f t="shared" si="64"/>
        <v>102.2</v>
      </c>
      <c r="L115" s="31">
        <f t="shared" si="64"/>
        <v>103.1</v>
      </c>
      <c r="M115" s="31">
        <f t="shared" si="64"/>
        <v>104</v>
      </c>
      <c r="N115" s="35"/>
      <c r="O115" s="35"/>
      <c r="P115" s="35"/>
      <c r="Q115" s="34"/>
    </row>
    <row r="116" spans="1:17" ht="15.75" x14ac:dyDescent="0.25">
      <c r="A116" s="24" t="s">
        <v>130</v>
      </c>
      <c r="B116" s="31"/>
      <c r="C116" s="31"/>
      <c r="D116" s="31">
        <f t="shared" ref="D116:M116" si="65">SUM(D42:D43)</f>
        <v>660</v>
      </c>
      <c r="E116" s="31">
        <f t="shared" si="65"/>
        <v>660</v>
      </c>
      <c r="F116" s="31">
        <f t="shared" si="65"/>
        <v>660</v>
      </c>
      <c r="G116" s="31">
        <f t="shared" si="65"/>
        <v>660</v>
      </c>
      <c r="H116" s="31">
        <f t="shared" si="65"/>
        <v>660</v>
      </c>
      <c r="I116" s="31">
        <f t="shared" si="65"/>
        <v>661.1</v>
      </c>
      <c r="J116" s="31">
        <f t="shared" si="65"/>
        <v>662.2</v>
      </c>
      <c r="K116" s="31">
        <f t="shared" si="65"/>
        <v>663.3</v>
      </c>
      <c r="L116" s="31">
        <f t="shared" si="65"/>
        <v>664.4</v>
      </c>
      <c r="M116" s="31">
        <f t="shared" si="65"/>
        <v>665.5</v>
      </c>
      <c r="N116" s="35"/>
      <c r="O116" s="35"/>
      <c r="P116" s="35"/>
      <c r="Q116" s="34"/>
    </row>
    <row r="117" spans="1:17" ht="15.75" x14ac:dyDescent="0.25">
      <c r="A117" s="24" t="s">
        <v>131</v>
      </c>
      <c r="B117" s="31"/>
      <c r="C117" s="31"/>
      <c r="D117" s="31">
        <f t="shared" ref="D117:M117" si="66">SUM(D45:D48)</f>
        <v>1150</v>
      </c>
      <c r="E117" s="31">
        <f t="shared" si="66"/>
        <v>1150</v>
      </c>
      <c r="F117" s="31">
        <f t="shared" si="66"/>
        <v>1150</v>
      </c>
      <c r="G117" s="31">
        <f t="shared" si="66"/>
        <v>1150</v>
      </c>
      <c r="H117" s="31">
        <f t="shared" si="66"/>
        <v>1150</v>
      </c>
      <c r="I117" s="31">
        <f t="shared" si="66"/>
        <v>1150</v>
      </c>
      <c r="J117" s="31">
        <f t="shared" si="66"/>
        <v>1150</v>
      </c>
      <c r="K117" s="31">
        <f t="shared" si="66"/>
        <v>1150</v>
      </c>
      <c r="L117" s="31">
        <f t="shared" si="66"/>
        <v>1150</v>
      </c>
      <c r="M117" s="31">
        <f t="shared" si="66"/>
        <v>1150</v>
      </c>
      <c r="N117" s="35"/>
      <c r="O117" s="35"/>
      <c r="P117" s="35"/>
      <c r="Q117" s="34"/>
    </row>
    <row r="118" spans="1:17" ht="15.75" x14ac:dyDescent="0.25">
      <c r="A118" s="24" t="s">
        <v>132</v>
      </c>
      <c r="B118" s="31"/>
      <c r="C118" s="31"/>
      <c r="D118" s="31">
        <f t="shared" ref="D118:M118" si="67">SUM(D50:D53)</f>
        <v>8650</v>
      </c>
      <c r="E118" s="31">
        <f t="shared" si="67"/>
        <v>8650</v>
      </c>
      <c r="F118" s="31">
        <f t="shared" si="67"/>
        <v>8650</v>
      </c>
      <c r="G118" s="31">
        <f t="shared" si="67"/>
        <v>8650</v>
      </c>
      <c r="H118" s="31">
        <f t="shared" si="67"/>
        <v>8650</v>
      </c>
      <c r="I118" s="31">
        <f t="shared" si="67"/>
        <v>8650</v>
      </c>
      <c r="J118" s="31">
        <f t="shared" si="67"/>
        <v>8650</v>
      </c>
      <c r="K118" s="31">
        <f t="shared" si="67"/>
        <v>8650</v>
      </c>
      <c r="L118" s="31">
        <f t="shared" si="67"/>
        <v>8650</v>
      </c>
      <c r="M118" s="31">
        <f t="shared" si="67"/>
        <v>8650</v>
      </c>
      <c r="N118" s="35"/>
      <c r="O118" s="35"/>
      <c r="P118" s="35"/>
      <c r="Q118" s="34"/>
    </row>
    <row r="119" spans="1:17" s="31" customFormat="1" ht="15.75" x14ac:dyDescent="0.25">
      <c r="A119" s="24" t="s">
        <v>135</v>
      </c>
      <c r="D119" s="36">
        <f>D55</f>
        <v>1507.8571428571429</v>
      </c>
      <c r="E119" s="36">
        <f t="shared" ref="E119:M119" si="68">D119+E55</f>
        <v>3015.7142857142858</v>
      </c>
      <c r="F119" s="36">
        <f t="shared" si="68"/>
        <v>4524.2142857142862</v>
      </c>
      <c r="G119" s="36">
        <f t="shared" si="68"/>
        <v>6032.7142857142862</v>
      </c>
      <c r="H119" s="36">
        <f t="shared" si="68"/>
        <v>7541.2142857142862</v>
      </c>
      <c r="I119" s="36">
        <f t="shared" si="68"/>
        <v>9050</v>
      </c>
      <c r="J119" s="36">
        <f t="shared" si="68"/>
        <v>10559.071428571429</v>
      </c>
      <c r="K119" s="36">
        <f t="shared" si="68"/>
        <v>12068.428571428572</v>
      </c>
      <c r="L119" s="36">
        <f t="shared" si="68"/>
        <v>13578.071428571429</v>
      </c>
      <c r="M119" s="36">
        <f t="shared" si="68"/>
        <v>15088</v>
      </c>
      <c r="N119" s="35"/>
      <c r="O119" s="35"/>
      <c r="P119" s="35" t="s">
        <v>134</v>
      </c>
      <c r="Q119" s="34"/>
    </row>
    <row r="120" spans="1:17" x14ac:dyDescent="0.25">
      <c r="I120" s="31"/>
      <c r="J120" s="31"/>
      <c r="K120" s="31"/>
      <c r="L120" s="31"/>
      <c r="M120" s="31"/>
      <c r="N120" s="35"/>
      <c r="O120" s="35"/>
      <c r="P120" s="35"/>
      <c r="Q120" s="34"/>
    </row>
    <row r="121" spans="1:17" x14ac:dyDescent="0.25">
      <c r="A121" t="s">
        <v>94</v>
      </c>
      <c r="D121" s="15">
        <f>SUM(D103:D105)+D108+D109+-D110+D113-D114+D115+D116+D117+D118-D119+D111-D112</f>
        <v>2694926.5949119371</v>
      </c>
      <c r="E121" s="15">
        <f t="shared" ref="E121:L121" si="69">SUM(E103:E105)+E108+E109+-E110+E113-E114+E115+E116+E117+E118-E119+E111-E112</f>
        <v>2622418.7377690803</v>
      </c>
      <c r="F121" s="15">
        <f t="shared" si="69"/>
        <v>2550102.6829745597</v>
      </c>
      <c r="G121" s="15">
        <f t="shared" si="69"/>
        <v>2477594.1829745597</v>
      </c>
      <c r="H121" s="15">
        <f t="shared" si="69"/>
        <v>2405085.6829745597</v>
      </c>
      <c r="I121" s="15">
        <f t="shared" si="69"/>
        <v>2332617.3863013699</v>
      </c>
      <c r="J121" s="15">
        <f t="shared" si="69"/>
        <v>2710148.7039138945</v>
      </c>
      <c r="K121" s="15">
        <f t="shared" si="69"/>
        <v>2587679.6358121331</v>
      </c>
      <c r="L121" s="15">
        <f t="shared" si="69"/>
        <v>2465210.1819960861</v>
      </c>
      <c r="M121" s="15">
        <f>SUM(M103:M105)+M108+M109+-M110+M113-M114+M115+M116+M117+M118-M119+M111-M112</f>
        <v>2342740.3424657537</v>
      </c>
      <c r="N121" s="35"/>
      <c r="O121" s="35"/>
      <c r="P121" s="35"/>
      <c r="Q121" s="34"/>
    </row>
    <row r="122" spans="1:17" x14ac:dyDescent="0.25">
      <c r="I122" s="31"/>
      <c r="J122" s="31"/>
      <c r="K122" s="31"/>
      <c r="L122" s="31"/>
      <c r="M122" s="31"/>
      <c r="N122" s="35"/>
      <c r="O122" s="35"/>
      <c r="P122" s="35"/>
      <c r="Q122" s="34"/>
    </row>
    <row r="123" spans="1:17" ht="18.75" x14ac:dyDescent="0.3">
      <c r="A123" s="3" t="s">
        <v>69</v>
      </c>
      <c r="I123" s="31"/>
      <c r="J123" s="31"/>
      <c r="K123" s="31"/>
      <c r="L123" s="31"/>
      <c r="M123" s="31"/>
      <c r="N123" s="35"/>
      <c r="O123" s="35"/>
      <c r="P123" s="35"/>
      <c r="Q123" s="34"/>
    </row>
    <row r="124" spans="1:17" x14ac:dyDescent="0.25">
      <c r="A124" t="s">
        <v>89</v>
      </c>
      <c r="D124" s="15">
        <f t="shared" ref="D124:M124" si="70">D77/365*30</f>
        <v>4027.3972602739723</v>
      </c>
      <c r="E124" s="15">
        <f t="shared" si="70"/>
        <v>4027.3972602739723</v>
      </c>
      <c r="F124" s="15">
        <f t="shared" si="70"/>
        <v>4430.1369863013697</v>
      </c>
      <c r="G124" s="15">
        <f t="shared" si="70"/>
        <v>4430.1369863013697</v>
      </c>
      <c r="H124" s="15">
        <f t="shared" si="70"/>
        <v>4430.1369863013697</v>
      </c>
      <c r="I124" s="15">
        <f t="shared" si="70"/>
        <v>4510.6849315068494</v>
      </c>
      <c r="J124" s="15">
        <f t="shared" si="70"/>
        <v>4591.232876712329</v>
      </c>
      <c r="K124" s="15">
        <f t="shared" si="70"/>
        <v>4671.7808219178087</v>
      </c>
      <c r="L124" s="15">
        <f t="shared" si="70"/>
        <v>4752.3287671232874</v>
      </c>
      <c r="M124" s="15">
        <f t="shared" si="70"/>
        <v>4832.8767123287671</v>
      </c>
      <c r="N124" s="35"/>
      <c r="O124" s="35"/>
      <c r="P124" s="35"/>
      <c r="Q124" s="34"/>
    </row>
    <row r="125" spans="1:17" s="31" customFormat="1" x14ac:dyDescent="0.25">
      <c r="A125" s="31" t="s">
        <v>163</v>
      </c>
      <c r="D125" s="15">
        <f>D97</f>
        <v>0</v>
      </c>
      <c r="E125" s="15">
        <f t="shared" ref="E125:M125" si="71">E97</f>
        <v>0</v>
      </c>
      <c r="F125" s="15">
        <f t="shared" si="71"/>
        <v>0</v>
      </c>
      <c r="G125" s="15">
        <f t="shared" si="71"/>
        <v>3005.807313149242</v>
      </c>
      <c r="H125" s="15">
        <f t="shared" si="71"/>
        <v>6912.5643739873922</v>
      </c>
      <c r="I125" s="15">
        <f t="shared" si="71"/>
        <v>7932.8228030879691</v>
      </c>
      <c r="J125" s="15">
        <f t="shared" si="71"/>
        <v>0</v>
      </c>
      <c r="K125" s="15">
        <f t="shared" si="71"/>
        <v>959.93264852804714</v>
      </c>
      <c r="L125" s="15">
        <f t="shared" si="71"/>
        <v>8536.9496569808252</v>
      </c>
      <c r="M125" s="15">
        <f t="shared" si="71"/>
        <v>16878.654912640617</v>
      </c>
      <c r="N125" s="35"/>
      <c r="O125" s="35"/>
      <c r="P125" s="35"/>
      <c r="Q125" s="34"/>
    </row>
    <row r="126" spans="1:17" x14ac:dyDescent="0.25">
      <c r="A126" t="s">
        <v>90</v>
      </c>
      <c r="D126" s="22">
        <f>Amort!F19</f>
        <v>1867671.6433895195</v>
      </c>
      <c r="E126" s="22">
        <f>Amort!F31</f>
        <v>1823247.5794967387</v>
      </c>
      <c r="F126" s="22">
        <f>Amort!F43</f>
        <v>1777700.0995751822</v>
      </c>
      <c r="G126" s="22">
        <f>Amort!F55</f>
        <v>1731000.7941669319</v>
      </c>
      <c r="H126" s="22">
        <f>Amort!F67</f>
        <v>1683120.5353827158</v>
      </c>
      <c r="I126" s="41">
        <f>Amort!F79</f>
        <v>1634029.458733886</v>
      </c>
      <c r="J126" s="41">
        <f>Amort!F91</f>
        <v>1583696.9445049593</v>
      </c>
      <c r="K126" s="41">
        <f>Amort!F103</f>
        <v>1532091.5986550932</v>
      </c>
      <c r="L126" s="41">
        <f>Amort!F115</f>
        <v>1479181.2332365955</v>
      </c>
      <c r="M126" s="41">
        <f>Amort!F127</f>
        <v>1424932.8463182419</v>
      </c>
      <c r="N126" s="47">
        <v>0.05</v>
      </c>
      <c r="O126" s="35"/>
      <c r="P126" s="47">
        <v>0.7</v>
      </c>
      <c r="Q126" s="34"/>
    </row>
    <row r="127" spans="1:17" x14ac:dyDescent="0.25">
      <c r="A127" t="s">
        <v>91</v>
      </c>
      <c r="D127" s="15">
        <f>D81/12*$N$127</f>
        <v>10208.333333333334</v>
      </c>
      <c r="E127" s="15">
        <f>E81/12*$N$127</f>
        <v>10208.333333333334</v>
      </c>
      <c r="F127" s="15">
        <f>F81/12*$N$127</f>
        <v>10208.333333333334</v>
      </c>
      <c r="G127" s="15">
        <f>G81/12*$N$127</f>
        <v>10208.333333333334</v>
      </c>
      <c r="H127" s="15">
        <f>H81/12*$N$127</f>
        <v>10208.333333333334</v>
      </c>
      <c r="I127" s="15">
        <f>I81/12</f>
        <v>10208.333333333334</v>
      </c>
      <c r="J127" s="15">
        <f>J81/12</f>
        <v>10208.333333333334</v>
      </c>
      <c r="K127" s="15">
        <f>K81/12</f>
        <v>10208.333333333334</v>
      </c>
      <c r="L127" s="15">
        <f>L81/12</f>
        <v>10208.333333333334</v>
      </c>
      <c r="M127" s="15">
        <f>M81/12</f>
        <v>10208.333333333334</v>
      </c>
      <c r="N127" s="35">
        <v>1</v>
      </c>
      <c r="O127" s="35" t="s">
        <v>148</v>
      </c>
      <c r="P127" s="35"/>
      <c r="Q127" s="34"/>
    </row>
    <row r="128" spans="1:17" x14ac:dyDescent="0.25">
      <c r="A128" s="31" t="s">
        <v>136</v>
      </c>
      <c r="B128" s="31"/>
      <c r="D128" s="10">
        <v>778879.02025291673</v>
      </c>
      <c r="E128" s="10">
        <v>803527.58118828619</v>
      </c>
      <c r="F128" s="10">
        <v>784399.17655808851</v>
      </c>
      <c r="G128" s="10">
        <v>746566.75271374185</v>
      </c>
      <c r="H128" s="10">
        <v>697294.06131515815</v>
      </c>
      <c r="I128" s="10">
        <v>649017.56650722772</v>
      </c>
      <c r="J128" s="10">
        <v>1016652.1931988897</v>
      </c>
      <c r="K128" s="10">
        <v>941868.19240767648</v>
      </c>
      <c r="L128" s="10">
        <v>839040.69008552632</v>
      </c>
      <c r="M128" s="10">
        <v>711761.01953476085</v>
      </c>
      <c r="N128" s="47">
        <v>7.0000000000000007E-2</v>
      </c>
      <c r="O128" s="35"/>
      <c r="P128" s="35">
        <f>(D109+D108)*P126</f>
        <v>1910999.9999999998</v>
      </c>
      <c r="Q128" s="34"/>
    </row>
    <row r="129" spans="1:23" x14ac:dyDescent="0.25">
      <c r="I129" s="31"/>
      <c r="J129" s="31"/>
      <c r="K129" s="31"/>
      <c r="L129" s="31"/>
      <c r="M129" s="31"/>
      <c r="N129" s="35"/>
      <c r="O129" s="35"/>
      <c r="P129" s="35"/>
      <c r="Q129" s="34"/>
    </row>
    <row r="130" spans="1:23" x14ac:dyDescent="0.25">
      <c r="A130" t="s">
        <v>88</v>
      </c>
      <c r="D130">
        <v>95000</v>
      </c>
      <c r="E130" s="31">
        <v>95000</v>
      </c>
      <c r="F130" s="31">
        <v>95000</v>
      </c>
      <c r="G130" s="31">
        <v>95000</v>
      </c>
      <c r="H130" s="31">
        <v>95000</v>
      </c>
      <c r="I130" s="31">
        <v>95000</v>
      </c>
      <c r="J130" s="31">
        <v>95000</v>
      </c>
      <c r="K130" s="31">
        <v>95000</v>
      </c>
      <c r="L130" s="31">
        <v>95000</v>
      </c>
      <c r="M130" s="31">
        <v>95000</v>
      </c>
      <c r="N130" s="35"/>
      <c r="O130" s="35"/>
      <c r="P130" s="35"/>
      <c r="Q130" s="34"/>
    </row>
    <row r="131" spans="1:23" x14ac:dyDescent="0.25">
      <c r="A131" t="s">
        <v>92</v>
      </c>
      <c r="D131" s="13">
        <f>C131+D98</f>
        <v>-60859.799324105959</v>
      </c>
      <c r="E131" s="13">
        <f>D131+E98</f>
        <v>-113592.1535095516</v>
      </c>
      <c r="F131" s="13">
        <f>E131+F98</f>
        <v>-121635.06347834639</v>
      </c>
      <c r="G131" s="13">
        <f>F131+G98</f>
        <v>-112617.64153889866</v>
      </c>
      <c r="H131" s="13">
        <f>G131+H98</f>
        <v>-91879.948416936488</v>
      </c>
      <c r="I131" s="13">
        <f>IF(I98&lt;0,0,H131+I98)</f>
        <v>-68081.480007672581</v>
      </c>
      <c r="J131" s="13">
        <f>IF(J98&lt;0,0,I131+J98)</f>
        <v>0</v>
      </c>
      <c r="K131" s="13">
        <f>IF(K98&lt;0,0,J131+K98)</f>
        <v>2879.7979455841414</v>
      </c>
      <c r="L131" s="13">
        <f>IF(L98&lt;0,0,K131+L98)</f>
        <v>28490.646916526617</v>
      </c>
      <c r="M131" s="13">
        <f>IF(M98&lt;0,0,L131+M98)</f>
        <v>79126.611654448468</v>
      </c>
      <c r="N131" s="35"/>
      <c r="O131" s="68"/>
      <c r="P131" s="35"/>
      <c r="Q131" s="34"/>
    </row>
    <row r="132" spans="1:23" s="31" customFormat="1" x14ac:dyDescent="0.25"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35"/>
      <c r="O132" s="35"/>
      <c r="P132" s="35"/>
      <c r="Q132" s="34"/>
    </row>
    <row r="133" spans="1:23" x14ac:dyDescent="0.25">
      <c r="I133" s="31"/>
      <c r="J133" s="31"/>
      <c r="K133" s="31"/>
      <c r="L133" s="31"/>
      <c r="M133" s="31"/>
      <c r="N133" s="35"/>
      <c r="O133" s="35"/>
      <c r="P133" s="35"/>
      <c r="Q133" s="34"/>
    </row>
    <row r="134" spans="1:23" x14ac:dyDescent="0.25">
      <c r="A134" t="s">
        <v>93</v>
      </c>
      <c r="D134" s="2">
        <f t="shared" ref="D134:M134" si="72">SUM(D124:D131)</f>
        <v>2694926.5949119376</v>
      </c>
      <c r="E134" s="2">
        <f t="shared" si="72"/>
        <v>2622418.7377690803</v>
      </c>
      <c r="F134" s="2">
        <f t="shared" si="72"/>
        <v>2550102.6829745588</v>
      </c>
      <c r="G134" s="2">
        <f t="shared" si="72"/>
        <v>2477594.1829745593</v>
      </c>
      <c r="H134" s="2">
        <f t="shared" si="72"/>
        <v>2405085.6829745593</v>
      </c>
      <c r="I134" s="2">
        <f t="shared" si="72"/>
        <v>2332617.3863013694</v>
      </c>
      <c r="J134" s="2">
        <f t="shared" si="72"/>
        <v>2710148.7039138945</v>
      </c>
      <c r="K134" s="2">
        <f t="shared" si="72"/>
        <v>2587679.6358121331</v>
      </c>
      <c r="L134" s="2">
        <f t="shared" si="72"/>
        <v>2465210.1819960861</v>
      </c>
      <c r="M134" s="2">
        <f t="shared" si="72"/>
        <v>2342740.3424657537</v>
      </c>
      <c r="N134" s="64"/>
      <c r="O134" s="35"/>
      <c r="P134" s="35"/>
      <c r="Q134" s="34"/>
    </row>
    <row r="135" spans="1:23" x14ac:dyDescent="0.25">
      <c r="I135" s="31"/>
      <c r="J135" s="31"/>
      <c r="K135" s="31"/>
      <c r="L135" s="31"/>
      <c r="M135" s="31"/>
      <c r="N135" s="35"/>
      <c r="O135" s="35"/>
      <c r="P135" s="35"/>
      <c r="Q135" s="34"/>
    </row>
    <row r="136" spans="1:23" x14ac:dyDescent="0.25">
      <c r="A136" t="s">
        <v>100</v>
      </c>
      <c r="D136" s="15">
        <f t="shared" ref="D136:M136" si="73">D121-D134</f>
        <v>0</v>
      </c>
      <c r="E136" s="15">
        <f t="shared" si="73"/>
        <v>0</v>
      </c>
      <c r="F136" s="15">
        <f t="shared" si="73"/>
        <v>0</v>
      </c>
      <c r="G136" s="15">
        <f t="shared" si="73"/>
        <v>0</v>
      </c>
      <c r="H136" s="15">
        <f t="shared" si="73"/>
        <v>0</v>
      </c>
      <c r="I136" s="15">
        <f t="shared" si="73"/>
        <v>0</v>
      </c>
      <c r="J136" s="15">
        <f t="shared" si="73"/>
        <v>0</v>
      </c>
      <c r="K136" s="15">
        <f t="shared" si="73"/>
        <v>0</v>
      </c>
      <c r="L136" s="15">
        <f t="shared" si="73"/>
        <v>0</v>
      </c>
      <c r="M136" s="15">
        <f t="shared" si="73"/>
        <v>0</v>
      </c>
      <c r="N136" s="35"/>
      <c r="O136" s="35"/>
      <c r="P136" s="35"/>
      <c r="Q136" s="34"/>
    </row>
    <row r="138" spans="1:23" x14ac:dyDescent="0.25">
      <c r="A138" t="s">
        <v>137</v>
      </c>
      <c r="C138" s="32">
        <v>0</v>
      </c>
      <c r="D138" s="32">
        <v>1</v>
      </c>
      <c r="E138" s="32">
        <v>2</v>
      </c>
      <c r="F138" s="32">
        <v>3</v>
      </c>
      <c r="G138" s="32">
        <v>4</v>
      </c>
      <c r="H138" s="32">
        <v>5</v>
      </c>
      <c r="I138" s="32">
        <v>6</v>
      </c>
      <c r="J138" s="32">
        <v>7</v>
      </c>
      <c r="K138" s="32">
        <v>8</v>
      </c>
      <c r="L138" s="32">
        <v>9</v>
      </c>
      <c r="M138" s="32">
        <v>10</v>
      </c>
      <c r="O138" s="35" t="s">
        <v>107</v>
      </c>
      <c r="P138" s="35"/>
      <c r="Q138" s="35"/>
      <c r="R138" s="35"/>
      <c r="S138" s="34"/>
    </row>
    <row r="139" spans="1:23" ht="15.75" x14ac:dyDescent="0.25">
      <c r="A139" s="52" t="s">
        <v>138</v>
      </c>
      <c r="C139" s="30"/>
      <c r="D139" s="27">
        <f t="shared" ref="D139:M139" si="74">D88</f>
        <v>111942.5</v>
      </c>
      <c r="E139" s="27">
        <f t="shared" si="74"/>
        <v>120699.63712183549</v>
      </c>
      <c r="F139" s="27">
        <f t="shared" si="74"/>
        <v>162926.67698559703</v>
      </c>
      <c r="G139" s="27">
        <f t="shared" si="74"/>
        <v>179192.72105119104</v>
      </c>
      <c r="H139" s="27">
        <f t="shared" si="74"/>
        <v>190189.70752067678</v>
      </c>
      <c r="I139" s="27">
        <f t="shared" si="74"/>
        <v>189680.66873591056</v>
      </c>
      <c r="J139" s="27">
        <f t="shared" si="74"/>
        <v>209174.43358643859</v>
      </c>
      <c r="K139" s="27">
        <f t="shared" si="74"/>
        <v>229774.58272966603</v>
      </c>
      <c r="L139" s="27">
        <f t="shared" si="74"/>
        <v>251579.80603229458</v>
      </c>
      <c r="M139" s="27">
        <f t="shared" si="74"/>
        <v>274699.12861652439</v>
      </c>
      <c r="O139" s="51">
        <f>R150+Q148</f>
        <v>0.119614</v>
      </c>
      <c r="V139" s="35"/>
      <c r="W139" s="35"/>
    </row>
    <row r="140" spans="1:23" ht="15.75" x14ac:dyDescent="0.25">
      <c r="A140" s="52" t="s">
        <v>139</v>
      </c>
      <c r="C140" s="30"/>
      <c r="D140" s="54">
        <f t="shared" ref="D140:I140" si="75">SUM(D90:D91)</f>
        <v>71000</v>
      </c>
      <c r="E140" s="54">
        <f t="shared" si="75"/>
        <v>71000</v>
      </c>
      <c r="F140" s="54">
        <f t="shared" si="75"/>
        <v>71000</v>
      </c>
      <c r="G140" s="54">
        <f t="shared" si="75"/>
        <v>71000</v>
      </c>
      <c r="H140" s="54">
        <f t="shared" si="75"/>
        <v>71000</v>
      </c>
      <c r="I140" s="54">
        <f t="shared" si="75"/>
        <v>71000.100000000006</v>
      </c>
      <c r="J140" s="54">
        <f>SUM(J90:J92,)</f>
        <v>121000.2</v>
      </c>
      <c r="K140" s="54">
        <f t="shared" ref="K140:M140" si="76">SUM(K90:K92,)</f>
        <v>121000.3</v>
      </c>
      <c r="L140" s="54">
        <f t="shared" si="76"/>
        <v>121000.4</v>
      </c>
      <c r="M140" s="54">
        <f t="shared" si="76"/>
        <v>121000.5</v>
      </c>
      <c r="V140" s="35"/>
      <c r="W140" s="35"/>
    </row>
    <row r="141" spans="1:23" ht="15.75" x14ac:dyDescent="0.25">
      <c r="A141" s="52" t="s">
        <v>140</v>
      </c>
      <c r="C141" s="30"/>
      <c r="D141" s="44">
        <f>D139-D140</f>
        <v>40942.5</v>
      </c>
      <c r="E141" s="44">
        <f t="shared" ref="E141:M141" si="77">E139-E140</f>
        <v>49699.637121835491</v>
      </c>
      <c r="F141" s="44">
        <f t="shared" si="77"/>
        <v>91926.676985597034</v>
      </c>
      <c r="G141" s="44">
        <f t="shared" si="77"/>
        <v>108192.72105119104</v>
      </c>
      <c r="H141" s="44">
        <f t="shared" si="77"/>
        <v>119189.70752067678</v>
      </c>
      <c r="I141" s="44">
        <f t="shared" si="77"/>
        <v>118680.56873591055</v>
      </c>
      <c r="J141" s="44">
        <f t="shared" si="77"/>
        <v>88174.233586438597</v>
      </c>
      <c r="K141" s="44">
        <f t="shared" si="77"/>
        <v>108774.28272966603</v>
      </c>
      <c r="L141" s="44">
        <f t="shared" si="77"/>
        <v>130579.40603229459</v>
      </c>
      <c r="M141" s="44">
        <f t="shared" si="77"/>
        <v>153698.62861652439</v>
      </c>
      <c r="O141" s="56" t="s">
        <v>111</v>
      </c>
      <c r="V141" s="35"/>
      <c r="W141" s="35"/>
    </row>
    <row r="142" spans="1:23" ht="15.75" x14ac:dyDescent="0.25">
      <c r="A142" s="52" t="s">
        <v>141</v>
      </c>
      <c r="C142" s="30"/>
      <c r="D142" s="44">
        <f>-D141*$N$97</f>
        <v>-10235.625</v>
      </c>
      <c r="E142" s="44">
        <f t="shared" ref="E142:M142" si="78">-E141*$N$97</f>
        <v>-12424.909280458873</v>
      </c>
      <c r="F142" s="44">
        <f t="shared" si="78"/>
        <v>-22981.669246399259</v>
      </c>
      <c r="G142" s="44">
        <f t="shared" si="78"/>
        <v>-27048.180262797759</v>
      </c>
      <c r="H142" s="44">
        <f t="shared" si="78"/>
        <v>-29797.426880169194</v>
      </c>
      <c r="I142" s="44">
        <f t="shared" si="78"/>
        <v>-29670.142183977638</v>
      </c>
      <c r="J142" s="44">
        <f t="shared" si="78"/>
        <v>-22043.558396609649</v>
      </c>
      <c r="K142" s="44">
        <f t="shared" si="78"/>
        <v>-27193.570682416506</v>
      </c>
      <c r="L142" s="44">
        <f t="shared" si="78"/>
        <v>-32644.851508073647</v>
      </c>
      <c r="M142" s="44">
        <f t="shared" si="78"/>
        <v>-38424.657154131099</v>
      </c>
      <c r="O142" s="61">
        <f>(U153*R145)+(S157*O139)</f>
        <v>4.8307697147185365E-2</v>
      </c>
      <c r="V142" s="35"/>
      <c r="W142" s="35"/>
    </row>
    <row r="143" spans="1:23" ht="15.75" x14ac:dyDescent="0.25">
      <c r="A143" s="52" t="s">
        <v>142</v>
      </c>
      <c r="C143" s="30"/>
      <c r="D143" s="54">
        <f>D140</f>
        <v>71000</v>
      </c>
      <c r="E143" s="54">
        <f t="shared" ref="E143:M143" si="79">E140</f>
        <v>71000</v>
      </c>
      <c r="F143" s="54">
        <f t="shared" si="79"/>
        <v>71000</v>
      </c>
      <c r="G143" s="54">
        <f t="shared" si="79"/>
        <v>71000</v>
      </c>
      <c r="H143" s="54">
        <f t="shared" si="79"/>
        <v>71000</v>
      </c>
      <c r="I143" s="54">
        <f t="shared" si="79"/>
        <v>71000.100000000006</v>
      </c>
      <c r="J143" s="54">
        <f t="shared" si="79"/>
        <v>121000.2</v>
      </c>
      <c r="K143" s="54">
        <f t="shared" si="79"/>
        <v>121000.3</v>
      </c>
      <c r="L143" s="54">
        <f t="shared" si="79"/>
        <v>121000.4</v>
      </c>
      <c r="M143" s="54">
        <f t="shared" si="79"/>
        <v>121000.5</v>
      </c>
      <c r="W143" s="35"/>
    </row>
    <row r="144" spans="1:23" ht="15.75" x14ac:dyDescent="0.25">
      <c r="A144" s="53" t="s">
        <v>143</v>
      </c>
      <c r="C144" s="30"/>
      <c r="D144" s="44">
        <f>SUM(D141:D143)</f>
        <v>101706.875</v>
      </c>
      <c r="E144" s="44">
        <f t="shared" ref="E144:M144" si="80">SUM(E141:E143)</f>
        <v>108274.72784137662</v>
      </c>
      <c r="F144" s="44">
        <f t="shared" si="80"/>
        <v>139945.00773919778</v>
      </c>
      <c r="G144" s="44">
        <f t="shared" si="80"/>
        <v>152144.54078839329</v>
      </c>
      <c r="H144" s="44">
        <f t="shared" si="80"/>
        <v>160392.28064050758</v>
      </c>
      <c r="I144" s="44">
        <f t="shared" si="80"/>
        <v>160010.52655193291</v>
      </c>
      <c r="J144" s="44">
        <f t="shared" si="80"/>
        <v>187130.87518982895</v>
      </c>
      <c r="K144" s="44">
        <f t="shared" si="80"/>
        <v>202581.01204724953</v>
      </c>
      <c r="L144" s="44">
        <f t="shared" si="80"/>
        <v>218934.95452422093</v>
      </c>
      <c r="M144" s="44">
        <f t="shared" si="80"/>
        <v>236274.4714623933</v>
      </c>
      <c r="Q144" s="27"/>
      <c r="R144" s="27" t="s">
        <v>116</v>
      </c>
      <c r="S144" s="27"/>
      <c r="T144" s="27"/>
      <c r="U144" s="27"/>
      <c r="W144" s="35"/>
    </row>
    <row r="145" spans="1:23" x14ac:dyDescent="0.25">
      <c r="B145" s="30"/>
      <c r="C145" s="30"/>
      <c r="D145" s="30"/>
      <c r="P145" s="30" t="s">
        <v>104</v>
      </c>
      <c r="Q145" s="29">
        <f>T154</f>
        <v>5.6662264828009082E-2</v>
      </c>
      <c r="R145" s="28">
        <f>Q145*R146</f>
        <v>4.2496698621006815E-2</v>
      </c>
      <c r="S145" s="27"/>
      <c r="T145" s="27"/>
      <c r="U145" s="27"/>
      <c r="W145" s="35"/>
    </row>
    <row r="146" spans="1:23" x14ac:dyDescent="0.25">
      <c r="A146" s="59" t="s">
        <v>149</v>
      </c>
      <c r="B146" s="60"/>
      <c r="C146" s="30"/>
      <c r="D146" s="30"/>
      <c r="H146" s="16"/>
      <c r="P146" t="s">
        <v>164</v>
      </c>
      <c r="Q146" s="42">
        <f>N97</f>
        <v>0.25</v>
      </c>
      <c r="R146" s="42">
        <f>1-Q146</f>
        <v>0.75</v>
      </c>
      <c r="S146" s="30"/>
      <c r="T146" s="27"/>
      <c r="U146" s="27"/>
      <c r="W146" s="35"/>
    </row>
    <row r="147" spans="1:23" x14ac:dyDescent="0.25">
      <c r="A147" s="60"/>
      <c r="B147" s="60" t="s">
        <v>150</v>
      </c>
      <c r="C147" s="62">
        <f>-D109</f>
        <v>-2070000</v>
      </c>
      <c r="D147" s="30"/>
      <c r="J147" s="16">
        <f>-J111</f>
        <v>-500000</v>
      </c>
      <c r="M147" s="16">
        <f>1.47*(M109-M110)</f>
        <v>2028600</v>
      </c>
      <c r="N147" s="16">
        <f>M147-(M109-M110)</f>
        <v>648600</v>
      </c>
      <c r="P147" s="30" t="s">
        <v>105</v>
      </c>
      <c r="Q147" s="29"/>
      <c r="R147" s="30"/>
      <c r="S147" s="30"/>
      <c r="T147" s="30"/>
      <c r="U147" s="27"/>
    </row>
    <row r="148" spans="1:23" x14ac:dyDescent="0.25">
      <c r="A148" s="60"/>
      <c r="B148" s="60" t="s">
        <v>151</v>
      </c>
      <c r="C148" s="30"/>
      <c r="D148" s="30"/>
      <c r="M148">
        <f>-(N147*N97)</f>
        <v>-162150</v>
      </c>
      <c r="P148" t="s">
        <v>165</v>
      </c>
      <c r="Q148" s="29">
        <v>1.5E-3</v>
      </c>
      <c r="R148" s="30" t="s">
        <v>106</v>
      </c>
      <c r="S148" s="30"/>
      <c r="T148" s="30"/>
      <c r="U148" s="27"/>
    </row>
    <row r="149" spans="1:23" x14ac:dyDescent="0.25">
      <c r="A149" s="60"/>
      <c r="B149" s="60" t="s">
        <v>152</v>
      </c>
      <c r="C149" s="30"/>
      <c r="D149" s="30"/>
      <c r="P149" s="30" t="s">
        <v>108</v>
      </c>
      <c r="Q149" s="29">
        <v>8.2400000000000001E-2</v>
      </c>
      <c r="R149" s="29">
        <f>Q149-Q148</f>
        <v>8.09E-2</v>
      </c>
      <c r="S149" s="30"/>
      <c r="T149" s="29"/>
      <c r="W149" s="35"/>
    </row>
    <row r="150" spans="1:23" x14ac:dyDescent="0.25">
      <c r="A150" s="60"/>
      <c r="B150" s="60"/>
      <c r="C150" s="30"/>
      <c r="D150" s="30"/>
      <c r="P150" s="30" t="s">
        <v>109</v>
      </c>
      <c r="Q150" s="30">
        <v>1.46</v>
      </c>
      <c r="R150" s="28">
        <f>R149*Q150</f>
        <v>0.118114</v>
      </c>
      <c r="S150" s="30"/>
      <c r="T150" s="30"/>
      <c r="W150" s="35"/>
    </row>
    <row r="151" spans="1:23" x14ac:dyDescent="0.25">
      <c r="A151" s="59" t="s">
        <v>153</v>
      </c>
      <c r="B151" s="60"/>
      <c r="C151" s="30"/>
      <c r="D151" s="30"/>
      <c r="T151" s="30"/>
      <c r="W151" s="35"/>
    </row>
    <row r="152" spans="1:23" x14ac:dyDescent="0.25">
      <c r="A152" s="60" t="s">
        <v>154</v>
      </c>
      <c r="B152" s="60" t="s">
        <v>155</v>
      </c>
      <c r="C152" s="30"/>
      <c r="D152" s="30"/>
      <c r="R152" t="s">
        <v>169</v>
      </c>
      <c r="T152" s="30"/>
      <c r="W152" s="35"/>
    </row>
    <row r="153" spans="1:23" x14ac:dyDescent="0.25">
      <c r="A153" s="60" t="s">
        <v>154</v>
      </c>
      <c r="B153" s="60" t="s">
        <v>54</v>
      </c>
      <c r="C153" s="30"/>
      <c r="D153" s="57">
        <f>-(D105-C105)</f>
        <v>-1879.4520547945203</v>
      </c>
      <c r="E153" s="57">
        <f>-(E105-D105)</f>
        <v>0</v>
      </c>
      <c r="F153" s="57">
        <f>-(F105-E105)</f>
        <v>-187.9452054794524</v>
      </c>
      <c r="G153" s="57">
        <f>-(G105-F105)</f>
        <v>0</v>
      </c>
      <c r="H153" s="57">
        <f>-(H105-G105)</f>
        <v>0</v>
      </c>
      <c r="I153" s="57">
        <f t="shared" ref="I153:M153" si="81">-(I105-H105)</f>
        <v>-37.589041095890025</v>
      </c>
      <c r="J153" s="57">
        <f t="shared" si="81"/>
        <v>-37.589041095890479</v>
      </c>
      <c r="K153" s="57">
        <f t="shared" si="81"/>
        <v>-37.589041095890934</v>
      </c>
      <c r="L153" s="57">
        <f t="shared" si="81"/>
        <v>-37.589041095890025</v>
      </c>
      <c r="M153" s="57">
        <f t="shared" si="81"/>
        <v>-37.589041095890479</v>
      </c>
      <c r="P153" s="30" t="s">
        <v>110</v>
      </c>
      <c r="Q153" s="55">
        <f>M126</f>
        <v>1424932.8463182419</v>
      </c>
      <c r="R153" s="30">
        <f>Q153/SUM(Q153:Q154)</f>
        <v>0.66688675859954583</v>
      </c>
      <c r="S153">
        <v>0.05</v>
      </c>
      <c r="T153" s="30"/>
      <c r="U153" s="65">
        <f>(Q153+Q154)/(Q159)</f>
        <v>0.92464727859679141</v>
      </c>
      <c r="W153" s="35"/>
    </row>
    <row r="154" spans="1:23" x14ac:dyDescent="0.25">
      <c r="A154" s="60" t="s">
        <v>156</v>
      </c>
      <c r="B154" s="60" t="s">
        <v>89</v>
      </c>
      <c r="C154" s="30"/>
      <c r="D154" s="57">
        <f>D124-C124</f>
        <v>4027.3972602739723</v>
      </c>
      <c r="E154" s="57">
        <f t="shared" ref="E154:M154" si="82">E124-D124</f>
        <v>0</v>
      </c>
      <c r="F154" s="57">
        <f t="shared" si="82"/>
        <v>402.73972602739741</v>
      </c>
      <c r="G154" s="57">
        <f t="shared" si="82"/>
        <v>0</v>
      </c>
      <c r="H154" s="57">
        <f t="shared" si="82"/>
        <v>0</v>
      </c>
      <c r="I154" s="57">
        <f t="shared" si="82"/>
        <v>80.547945205479664</v>
      </c>
      <c r="J154" s="57">
        <f t="shared" si="82"/>
        <v>80.547945205479664</v>
      </c>
      <c r="K154" s="57">
        <f t="shared" si="82"/>
        <v>80.547945205479664</v>
      </c>
      <c r="L154" s="57">
        <f t="shared" si="82"/>
        <v>80.547945205478754</v>
      </c>
      <c r="M154" s="57">
        <f t="shared" si="82"/>
        <v>80.547945205479664</v>
      </c>
      <c r="P154" s="30" t="s">
        <v>112</v>
      </c>
      <c r="Q154" s="27">
        <f>M128</f>
        <v>711761.01953476085</v>
      </c>
      <c r="R154" s="30">
        <f>Q154/SUM(Q153:Q154)</f>
        <v>0.33311324140045412</v>
      </c>
      <c r="S154" s="43">
        <v>7.0000000000000007E-2</v>
      </c>
      <c r="T154" s="30">
        <f>R153*S153+R154*S154</f>
        <v>5.6662264828009082E-2</v>
      </c>
      <c r="U154" s="30"/>
    </row>
    <row r="155" spans="1:23" x14ac:dyDescent="0.25">
      <c r="A155" s="60" t="s">
        <v>156</v>
      </c>
      <c r="B155" s="60" t="s">
        <v>157</v>
      </c>
      <c r="C155" s="30"/>
      <c r="D155" s="44">
        <f>-(D142-C142)</f>
        <v>10235.625</v>
      </c>
      <c r="E155" s="44">
        <f t="shared" ref="E155:M155" si="83">-(E142-D142)</f>
        <v>2189.2842804588727</v>
      </c>
      <c r="F155" s="44">
        <f t="shared" si="83"/>
        <v>10556.759965940386</v>
      </c>
      <c r="G155" s="44">
        <f t="shared" si="83"/>
        <v>4066.5110163985009</v>
      </c>
      <c r="H155" s="44">
        <f t="shared" si="83"/>
        <v>2749.2466173714347</v>
      </c>
      <c r="I155" s="44">
        <f t="shared" si="83"/>
        <v>-127.28469619155658</v>
      </c>
      <c r="J155" s="44">
        <f t="shared" si="83"/>
        <v>-7626.5837873679884</v>
      </c>
      <c r="K155" s="44">
        <f t="shared" si="83"/>
        <v>5150.0122858068571</v>
      </c>
      <c r="L155" s="44">
        <f t="shared" si="83"/>
        <v>5451.2808256571407</v>
      </c>
      <c r="M155" s="44">
        <f t="shared" si="83"/>
        <v>5779.8056460574517</v>
      </c>
      <c r="N155" s="35"/>
      <c r="O155" s="35"/>
      <c r="P155" s="30"/>
      <c r="Q155" s="27"/>
      <c r="R155" s="66">
        <f>SUM(Q153:Q154)/Q159</f>
        <v>0.92464727859679141</v>
      </c>
      <c r="S155" s="30"/>
      <c r="T155" s="30"/>
      <c r="U155" s="30"/>
    </row>
    <row r="156" spans="1:23" x14ac:dyDescent="0.25">
      <c r="A156" s="60"/>
      <c r="B156" s="60"/>
      <c r="C156" s="30"/>
      <c r="D156" s="30"/>
      <c r="E156" s="30"/>
      <c r="F156" s="30"/>
      <c r="G156" s="30"/>
      <c r="H156" s="30"/>
      <c r="I156" s="30"/>
      <c r="J156" s="30"/>
      <c r="N156" s="34"/>
      <c r="O156" s="34"/>
      <c r="P156" s="30" t="s">
        <v>105</v>
      </c>
      <c r="R156" s="55"/>
      <c r="S156" s="30"/>
      <c r="T156" s="30"/>
      <c r="U156" s="30"/>
    </row>
    <row r="157" spans="1:23" x14ac:dyDescent="0.25">
      <c r="A157" s="59" t="s">
        <v>158</v>
      </c>
      <c r="B157" s="60"/>
      <c r="C157" s="30"/>
      <c r="D157" s="30"/>
      <c r="E157" s="30"/>
      <c r="F157" s="30"/>
      <c r="G157" s="30"/>
      <c r="H157" s="30"/>
      <c r="I157" s="30"/>
      <c r="J157" s="30"/>
      <c r="N157" s="34"/>
      <c r="O157" s="34"/>
      <c r="P157" s="30" t="s">
        <v>113</v>
      </c>
      <c r="Q157" s="30">
        <f>M130</f>
        <v>95000</v>
      </c>
      <c r="R157" s="44">
        <f>SUM(Q157:Q158)/Q159</f>
        <v>7.5352721403208617E-2</v>
      </c>
      <c r="S157" s="65">
        <f>SUM(Q157:Q158)/Q159</f>
        <v>7.5352721403208617E-2</v>
      </c>
      <c r="T157" s="30"/>
      <c r="U157" s="30"/>
    </row>
    <row r="158" spans="1:23" x14ac:dyDescent="0.25">
      <c r="A158" s="60" t="s">
        <v>156</v>
      </c>
      <c r="B158" s="60" t="s">
        <v>155</v>
      </c>
      <c r="C158" s="30"/>
      <c r="D158" s="30"/>
      <c r="E158" s="30"/>
      <c r="F158" s="30"/>
      <c r="G158" s="30"/>
      <c r="H158" s="30"/>
      <c r="I158" s="30"/>
      <c r="J158" s="30"/>
      <c r="N158" s="34"/>
      <c r="O158" s="34"/>
      <c r="P158" s="30" t="s">
        <v>114</v>
      </c>
      <c r="Q158" s="27">
        <f>M131</f>
        <v>79126.611654448468</v>
      </c>
      <c r="R158" s="30"/>
      <c r="S158" s="43"/>
      <c r="T158" s="30"/>
      <c r="U158" s="30"/>
    </row>
    <row r="159" spans="1:23" x14ac:dyDescent="0.25">
      <c r="A159" s="60" t="s">
        <v>156</v>
      </c>
      <c r="B159" s="60" t="s">
        <v>54</v>
      </c>
      <c r="C159" s="30"/>
      <c r="D159" s="30"/>
      <c r="E159" s="27"/>
      <c r="F159" s="27"/>
      <c r="G159" s="27"/>
      <c r="H159" s="27"/>
      <c r="I159" s="30"/>
      <c r="J159" s="30"/>
      <c r="M159" s="15">
        <f>M105</f>
        <v>2255.3424657534247</v>
      </c>
      <c r="N159" s="34"/>
      <c r="O159" s="34"/>
      <c r="P159" s="30" t="s">
        <v>115</v>
      </c>
      <c r="Q159" s="27">
        <f>SUM(Q153:Q158)</f>
        <v>2310820.4775074511</v>
      </c>
      <c r="R159" s="30"/>
      <c r="S159" s="30"/>
      <c r="T159" s="34"/>
    </row>
    <row r="160" spans="1:23" x14ac:dyDescent="0.25">
      <c r="A160" s="60" t="s">
        <v>154</v>
      </c>
      <c r="B160" s="60" t="s">
        <v>89</v>
      </c>
      <c r="C160" s="30"/>
      <c r="D160" s="30"/>
      <c r="E160" s="27"/>
      <c r="F160" s="27"/>
      <c r="G160" s="27"/>
      <c r="H160" s="27"/>
      <c r="I160" s="30"/>
      <c r="J160" s="30"/>
      <c r="M160" s="15">
        <f>-M124</f>
        <v>-4832.8767123287671</v>
      </c>
      <c r="N160" s="34"/>
      <c r="O160" s="34"/>
      <c r="Q160" s="27"/>
      <c r="R160" s="30"/>
      <c r="S160" s="30"/>
    </row>
    <row r="161" spans="1:19" x14ac:dyDescent="0.25">
      <c r="A161" s="60" t="s">
        <v>154</v>
      </c>
      <c r="B161" s="60" t="s">
        <v>157</v>
      </c>
      <c r="C161" s="30"/>
      <c r="D161" s="30"/>
      <c r="E161" s="30"/>
      <c r="F161" s="30"/>
      <c r="G161" s="30"/>
      <c r="H161" s="44"/>
      <c r="I161" s="30"/>
      <c r="J161" s="30"/>
      <c r="M161" s="63">
        <f>M142</f>
        <v>-38424.657154131099</v>
      </c>
      <c r="N161" s="34"/>
      <c r="O161" s="34"/>
      <c r="Q161" s="35"/>
      <c r="R161" s="35"/>
      <c r="S161" s="35"/>
    </row>
    <row r="162" spans="1:19" x14ac:dyDescent="0.25">
      <c r="A162" s="60"/>
      <c r="B162" s="60"/>
      <c r="C162" s="30"/>
      <c r="D162" s="30"/>
      <c r="E162" s="27"/>
      <c r="F162" s="27"/>
      <c r="G162" s="27"/>
      <c r="H162" s="27"/>
      <c r="I162" s="30"/>
      <c r="J162" s="30"/>
      <c r="N162" s="34"/>
      <c r="O162" s="34"/>
      <c r="P162" s="30" t="s">
        <v>170</v>
      </c>
      <c r="Q162" s="67">
        <f>Q150/(1+(1-Q146)*(R155/R157))</f>
        <v>0.14309249470218482</v>
      </c>
    </row>
    <row r="163" spans="1:19" x14ac:dyDescent="0.25">
      <c r="A163" s="59" t="s">
        <v>159</v>
      </c>
      <c r="B163" s="60"/>
      <c r="C163" s="58">
        <f>SUM(C144:C162)</f>
        <v>-2070000</v>
      </c>
      <c r="D163" s="58">
        <f t="shared" ref="D163:L163" si="84">SUM(D144:D162)</f>
        <v>114090.44520547945</v>
      </c>
      <c r="E163" s="58">
        <f t="shared" si="84"/>
        <v>110464.01212183549</v>
      </c>
      <c r="F163" s="58">
        <f t="shared" si="84"/>
        <v>150716.5622256861</v>
      </c>
      <c r="G163" s="58">
        <f t="shared" si="84"/>
        <v>156211.05180479179</v>
      </c>
      <c r="H163" s="58">
        <f t="shared" si="84"/>
        <v>163141.52725787903</v>
      </c>
      <c r="I163" s="58">
        <f t="shared" si="84"/>
        <v>159926.20075985094</v>
      </c>
      <c r="J163" s="58">
        <f>SUM(J144:J162)</f>
        <v>-320452.74969342945</v>
      </c>
      <c r="K163" s="58">
        <f t="shared" si="84"/>
        <v>207773.98323716596</v>
      </c>
      <c r="L163" s="58">
        <f t="shared" si="84"/>
        <v>224429.19425398763</v>
      </c>
      <c r="M163" s="58">
        <f>SUM(M144:M162)</f>
        <v>2067545.0446118535</v>
      </c>
      <c r="N163" s="34"/>
      <c r="O163" s="34"/>
      <c r="P163" s="34"/>
      <c r="Q163" s="34"/>
    </row>
    <row r="164" spans="1:19" x14ac:dyDescent="0.25">
      <c r="A164" s="60" t="s">
        <v>160</v>
      </c>
      <c r="B164" s="29">
        <f>IRR(C163:M163)</f>
        <v>4.816230672948385E-2</v>
      </c>
      <c r="C164" s="30"/>
      <c r="D164" s="30"/>
      <c r="E164" s="27"/>
      <c r="F164" s="27"/>
      <c r="G164" s="27"/>
      <c r="H164" s="27"/>
      <c r="I164" s="30"/>
      <c r="J164" s="30"/>
      <c r="N164" s="34"/>
      <c r="O164" s="34"/>
      <c r="P164" s="34" t="s">
        <v>171</v>
      </c>
      <c r="Q164" s="34">
        <f>Q162*(1+(1-Q146)*(0.5/0.5))</f>
        <v>0.25041186572882346</v>
      </c>
    </row>
    <row r="165" spans="1:19" x14ac:dyDescent="0.25">
      <c r="B165" s="30"/>
      <c r="C165" s="30"/>
      <c r="D165" s="30"/>
      <c r="E165" s="30"/>
      <c r="F165" s="30"/>
      <c r="G165" s="30"/>
      <c r="H165" s="30"/>
      <c r="I165" s="30"/>
      <c r="J165" s="30"/>
      <c r="N165" s="34"/>
      <c r="O165" s="34"/>
      <c r="P165" s="34"/>
      <c r="Q165" s="34"/>
    </row>
    <row r="166" spans="1:19" x14ac:dyDescent="0.25">
      <c r="A166" s="60" t="s">
        <v>161</v>
      </c>
      <c r="B166" s="30"/>
      <c r="C166" s="55">
        <f t="shared" ref="C166:M166" si="85">-PV($O$142,C138,,C163)</f>
        <v>-2070000</v>
      </c>
      <c r="D166" s="55">
        <f t="shared" si="85"/>
        <v>108832.9748183284</v>
      </c>
      <c r="E166" s="55">
        <f t="shared" si="85"/>
        <v>100517.86690518352</v>
      </c>
      <c r="F166" s="55">
        <f t="shared" si="85"/>
        <v>130826.17853401211</v>
      </c>
      <c r="G166" s="55">
        <f t="shared" si="85"/>
        <v>129347.08870677352</v>
      </c>
      <c r="H166" s="55">
        <f t="shared" si="85"/>
        <v>128860.7488062647</v>
      </c>
      <c r="I166" s="55">
        <f t="shared" si="85"/>
        <v>120499.97938532985</v>
      </c>
      <c r="J166" s="55">
        <f t="shared" si="85"/>
        <v>-230325.79576690082</v>
      </c>
      <c r="K166" s="55">
        <f t="shared" si="85"/>
        <v>142456.07323983882</v>
      </c>
      <c r="L166" s="55">
        <f t="shared" si="85"/>
        <v>146784.56120910309</v>
      </c>
      <c r="M166" s="55">
        <f t="shared" si="85"/>
        <v>1289933.2400518027</v>
      </c>
      <c r="N166" s="35"/>
      <c r="O166" s="35"/>
      <c r="P166" s="35"/>
    </row>
    <row r="167" spans="1:19" x14ac:dyDescent="0.25">
      <c r="B167" s="30"/>
      <c r="C167" s="30"/>
      <c r="D167" s="30"/>
      <c r="E167" s="42"/>
      <c r="F167" s="42"/>
      <c r="G167" s="42"/>
      <c r="H167" s="42"/>
      <c r="I167" s="30"/>
      <c r="J167" s="30"/>
      <c r="N167" s="35"/>
      <c r="O167" s="35"/>
      <c r="P167" s="35"/>
    </row>
    <row r="168" spans="1:19" x14ac:dyDescent="0.25">
      <c r="A168" t="s">
        <v>162</v>
      </c>
      <c r="B168" s="30"/>
      <c r="C168" s="55">
        <f>SUM(C166:M166)</f>
        <v>-2267.0841102642007</v>
      </c>
      <c r="D168" s="30"/>
      <c r="E168" s="44"/>
      <c r="F168" s="44"/>
      <c r="G168" s="44"/>
      <c r="H168" s="44"/>
      <c r="I168" s="30"/>
      <c r="J168" s="30"/>
      <c r="N168" s="35"/>
      <c r="O168" s="35"/>
      <c r="P168" s="35"/>
    </row>
    <row r="169" spans="1:19" x14ac:dyDescent="0.25">
      <c r="B169" s="30"/>
      <c r="C169" s="55"/>
      <c r="D169" s="30"/>
      <c r="E169" s="30"/>
      <c r="F169" s="30"/>
      <c r="G169" s="30"/>
      <c r="H169" s="30"/>
      <c r="I169" s="30"/>
      <c r="J169" s="30"/>
      <c r="N169" s="35"/>
      <c r="O169" s="35"/>
      <c r="P169" s="35"/>
    </row>
    <row r="170" spans="1:19" x14ac:dyDescent="0.25">
      <c r="B170" s="30"/>
      <c r="C170" s="30"/>
      <c r="D170" s="30"/>
      <c r="E170" s="27"/>
      <c r="F170" s="27"/>
      <c r="G170" s="27"/>
      <c r="H170" s="27"/>
      <c r="I170" s="30"/>
      <c r="J170" s="30"/>
      <c r="N170" s="35"/>
      <c r="O170" s="35"/>
      <c r="P170" s="35"/>
    </row>
    <row r="171" spans="1:19" x14ac:dyDescent="0.25">
      <c r="B171" s="30"/>
      <c r="C171" s="30"/>
      <c r="D171" s="30"/>
      <c r="E171" s="44"/>
      <c r="F171" s="44"/>
      <c r="G171" s="44"/>
      <c r="H171" s="44"/>
      <c r="I171" s="30"/>
      <c r="J171" s="30"/>
      <c r="N171" s="35"/>
      <c r="O171" s="35"/>
      <c r="P171" s="35"/>
    </row>
    <row r="172" spans="1:19" x14ac:dyDescent="0.25">
      <c r="B172" s="30"/>
      <c r="C172" s="30"/>
      <c r="D172" s="30"/>
      <c r="E172" s="27"/>
      <c r="F172" s="27"/>
      <c r="G172" s="27"/>
      <c r="H172" s="27"/>
      <c r="I172" s="30"/>
      <c r="J172" s="30"/>
      <c r="N172" s="35"/>
      <c r="O172" s="35"/>
      <c r="P172" s="35"/>
    </row>
    <row r="173" spans="1:19" x14ac:dyDescent="0.25">
      <c r="B173" s="30"/>
      <c r="C173" s="30"/>
      <c r="D173" s="30"/>
      <c r="E173" s="27"/>
      <c r="F173" s="27"/>
      <c r="G173" s="27"/>
      <c r="H173" s="27"/>
      <c r="I173" s="30"/>
      <c r="J173" s="30"/>
      <c r="N173" s="35"/>
      <c r="O173" s="35"/>
      <c r="P173" s="35"/>
    </row>
    <row r="174" spans="1:19" x14ac:dyDescent="0.25">
      <c r="B174" s="30"/>
      <c r="C174" s="30"/>
      <c r="D174" s="30"/>
      <c r="E174" s="27"/>
      <c r="F174" s="27"/>
      <c r="G174" s="27"/>
      <c r="H174" s="27"/>
      <c r="I174" s="30"/>
      <c r="J174" s="30"/>
      <c r="N174" s="35"/>
      <c r="O174" s="35"/>
      <c r="P174" s="35"/>
    </row>
    <row r="175" spans="1:19" x14ac:dyDescent="0.25">
      <c r="C175" s="30"/>
      <c r="D175" s="30"/>
      <c r="E175" s="30"/>
      <c r="F175" s="30"/>
      <c r="G175" s="30"/>
      <c r="H175" s="30"/>
      <c r="I175" s="30"/>
      <c r="J175" s="30"/>
      <c r="N175" s="35"/>
      <c r="O175" s="35"/>
      <c r="P175" s="35"/>
    </row>
    <row r="176" spans="1:19" x14ac:dyDescent="0.25">
      <c r="N176" s="35"/>
      <c r="O176" s="35"/>
      <c r="P176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8"/>
  <sheetViews>
    <sheetView tabSelected="1" zoomScale="80" zoomScaleNormal="80" workbookViewId="0">
      <selection activeCell="D168" sqref="D168"/>
    </sheetView>
  </sheetViews>
  <sheetFormatPr defaultRowHeight="15" x14ac:dyDescent="0.25"/>
  <cols>
    <col min="3" max="3" width="17.7109375" customWidth="1"/>
    <col min="4" max="4" width="18.140625" customWidth="1"/>
    <col min="5" max="6" width="15.140625" bestFit="1" customWidth="1"/>
    <col min="7" max="7" width="16.42578125" customWidth="1"/>
    <col min="8" max="8" width="15.28515625" customWidth="1"/>
    <col min="9" max="9" width="14.7109375" customWidth="1"/>
    <col min="10" max="10" width="16.5703125" customWidth="1"/>
    <col min="11" max="11" width="16.42578125" customWidth="1"/>
    <col min="12" max="12" width="17" customWidth="1"/>
    <col min="13" max="13" width="16.7109375" customWidth="1"/>
    <col min="14" max="14" width="13.42578125" customWidth="1"/>
    <col min="16" max="16" width="9.140625" customWidth="1"/>
    <col min="17" max="17" width="15.7109375" customWidth="1"/>
  </cols>
  <sheetData>
    <row r="1" spans="1:21" x14ac:dyDescent="0.25">
      <c r="A1" s="35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5" t="s">
        <v>4</v>
      </c>
      <c r="O2" s="35"/>
      <c r="P2" s="35"/>
      <c r="Q2" s="31"/>
      <c r="R2" s="31"/>
      <c r="S2" s="31"/>
      <c r="T2" s="31"/>
      <c r="U2" s="31"/>
    </row>
    <row r="3" spans="1:21" ht="18.75" x14ac:dyDescent="0.3">
      <c r="A3" s="5" t="s">
        <v>1</v>
      </c>
      <c r="B3" s="32"/>
      <c r="C3" s="32"/>
      <c r="D3" s="5">
        <v>2013</v>
      </c>
      <c r="E3" s="5">
        <v>2014</v>
      </c>
      <c r="F3" s="5">
        <v>2015</v>
      </c>
      <c r="G3" s="5">
        <v>2016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33"/>
      <c r="O3" s="35"/>
      <c r="P3" s="35"/>
      <c r="Q3" s="31"/>
      <c r="R3" s="31"/>
      <c r="S3" s="31"/>
      <c r="T3" s="31"/>
      <c r="U3" s="31"/>
    </row>
    <row r="4" spans="1:21" ht="18.75" x14ac:dyDescent="0.3">
      <c r="A4" s="5" t="s">
        <v>10</v>
      </c>
      <c r="B4" s="32"/>
      <c r="C4" s="32"/>
      <c r="D4" s="5"/>
      <c r="E4" s="5"/>
      <c r="F4" s="5"/>
      <c r="G4" s="5"/>
      <c r="H4" s="5"/>
      <c r="I4" s="5"/>
      <c r="J4" s="5"/>
      <c r="K4" s="5"/>
      <c r="L4" s="5"/>
      <c r="M4" s="5"/>
      <c r="N4" s="33"/>
      <c r="O4" s="35"/>
      <c r="P4" s="35"/>
      <c r="Q4" s="31"/>
      <c r="R4" s="31"/>
      <c r="S4" s="31"/>
      <c r="T4" s="31"/>
      <c r="U4" s="31"/>
    </row>
    <row r="5" spans="1:21" x14ac:dyDescent="0.25">
      <c r="A5" s="31" t="s">
        <v>3</v>
      </c>
      <c r="B5" s="31"/>
      <c r="C5" s="31"/>
      <c r="D5" s="31">
        <v>7</v>
      </c>
      <c r="E5" s="13">
        <f>D5*(1+$N$5)</f>
        <v>7.1400000000000006</v>
      </c>
      <c r="F5" s="13">
        <f t="shared" ref="F5:M5" si="0">E5*(1+$N$5)</f>
        <v>7.2828000000000008</v>
      </c>
      <c r="G5" s="13">
        <f t="shared" si="0"/>
        <v>7.4284560000000006</v>
      </c>
      <c r="H5" s="13">
        <f t="shared" si="0"/>
        <v>7.5770251200000009</v>
      </c>
      <c r="I5" s="13">
        <f t="shared" si="0"/>
        <v>7.7285656224000014</v>
      </c>
      <c r="J5" s="13">
        <f>I5*(1+$N$5)</f>
        <v>7.883136934848002</v>
      </c>
      <c r="K5" s="13">
        <f>J5*(1+$N$5)</f>
        <v>8.0407996735449618</v>
      </c>
      <c r="L5" s="13">
        <f t="shared" si="0"/>
        <v>8.2016156670158615</v>
      </c>
      <c r="M5" s="13">
        <f t="shared" si="0"/>
        <v>8.3656479803561794</v>
      </c>
      <c r="N5" s="45">
        <v>0.02</v>
      </c>
      <c r="O5" s="35"/>
      <c r="P5" s="35"/>
      <c r="Q5" s="31"/>
      <c r="R5" s="31"/>
      <c r="S5" s="31"/>
      <c r="T5" s="31"/>
      <c r="U5" s="31"/>
    </row>
    <row r="6" spans="1:21" x14ac:dyDescent="0.25">
      <c r="A6" s="31" t="s">
        <v>2</v>
      </c>
      <c r="B6" s="31"/>
      <c r="C6" s="31"/>
      <c r="D6" s="31">
        <v>10</v>
      </c>
      <c r="E6" s="36">
        <f>D6*(1+$N$6)</f>
        <v>10.199999999999999</v>
      </c>
      <c r="F6" s="36">
        <f t="shared" ref="F6:M6" si="1">E6*(1+$N$6)</f>
        <v>10.404</v>
      </c>
      <c r="G6" s="36">
        <f t="shared" si="1"/>
        <v>10.612080000000001</v>
      </c>
      <c r="H6" s="36">
        <f t="shared" si="1"/>
        <v>10.824321600000001</v>
      </c>
      <c r="I6" s="36">
        <f t="shared" si="1"/>
        <v>11.040808032000001</v>
      </c>
      <c r="J6" s="36">
        <f t="shared" si="1"/>
        <v>11.261624192640001</v>
      </c>
      <c r="K6" s="36">
        <f t="shared" si="1"/>
        <v>11.486856676492801</v>
      </c>
      <c r="L6" s="36">
        <f t="shared" si="1"/>
        <v>11.716593810022657</v>
      </c>
      <c r="M6" s="36">
        <f t="shared" si="1"/>
        <v>11.95092568622311</v>
      </c>
      <c r="N6" s="46">
        <v>0.02</v>
      </c>
      <c r="O6" s="35"/>
      <c r="P6" s="35"/>
      <c r="Q6" s="31"/>
      <c r="R6" s="31"/>
      <c r="S6" s="31"/>
      <c r="T6" s="31"/>
      <c r="U6" s="31"/>
    </row>
    <row r="7" spans="1:21" x14ac:dyDescent="0.25">
      <c r="A7" s="31" t="s">
        <v>5</v>
      </c>
      <c r="B7" s="31"/>
      <c r="C7" s="31"/>
      <c r="D7" s="31">
        <v>2</v>
      </c>
      <c r="E7" s="36">
        <f>D7*(1+$N$7)</f>
        <v>2.2000000000000002</v>
      </c>
      <c r="F7" s="36">
        <f t="shared" ref="F7:M7" si="2">E7*(1+$N$7)</f>
        <v>2.4200000000000004</v>
      </c>
      <c r="G7" s="36">
        <f t="shared" si="2"/>
        <v>2.6620000000000008</v>
      </c>
      <c r="H7" s="36">
        <f t="shared" si="2"/>
        <v>2.9282000000000012</v>
      </c>
      <c r="I7" s="36">
        <f t="shared" si="2"/>
        <v>3.2210200000000015</v>
      </c>
      <c r="J7" s="36">
        <f t="shared" si="2"/>
        <v>3.5431220000000021</v>
      </c>
      <c r="K7" s="36">
        <f t="shared" si="2"/>
        <v>3.8974342000000028</v>
      </c>
      <c r="L7" s="36">
        <f t="shared" si="2"/>
        <v>4.2871776200000031</v>
      </c>
      <c r="M7" s="36">
        <f t="shared" si="2"/>
        <v>4.7158953820000038</v>
      </c>
      <c r="N7" s="46">
        <v>0.1</v>
      </c>
      <c r="O7" s="35"/>
      <c r="P7" s="35"/>
      <c r="Q7" s="31"/>
      <c r="R7" s="31"/>
      <c r="S7" s="31"/>
      <c r="T7" s="31"/>
      <c r="U7" s="31"/>
    </row>
    <row r="8" spans="1:21" x14ac:dyDescent="0.25">
      <c r="A8" s="31" t="s">
        <v>6</v>
      </c>
      <c r="B8" s="31"/>
      <c r="C8" s="31"/>
      <c r="D8" s="31">
        <f>10</f>
        <v>10</v>
      </c>
      <c r="E8" s="31">
        <f>10</f>
        <v>10</v>
      </c>
      <c r="F8" s="31">
        <f>10</f>
        <v>10</v>
      </c>
      <c r="G8" s="31">
        <f>10</f>
        <v>10</v>
      </c>
      <c r="H8" s="31">
        <v>10</v>
      </c>
      <c r="I8" s="31">
        <f>10</f>
        <v>10</v>
      </c>
      <c r="J8" s="31">
        <v>10</v>
      </c>
      <c r="K8" s="31">
        <v>10</v>
      </c>
      <c r="L8" s="31">
        <v>10</v>
      </c>
      <c r="M8" s="31">
        <v>10</v>
      </c>
      <c r="N8" s="35">
        <v>0</v>
      </c>
      <c r="O8" s="35"/>
      <c r="P8" s="35"/>
      <c r="Q8" s="31"/>
      <c r="R8" s="31"/>
      <c r="S8" s="31"/>
      <c r="T8" s="31"/>
      <c r="U8" s="31"/>
    </row>
    <row r="9" spans="1:21" x14ac:dyDescent="0.25">
      <c r="A9" s="31" t="s">
        <v>7</v>
      </c>
      <c r="B9" s="31"/>
      <c r="C9" s="31"/>
      <c r="D9" s="31">
        <v>8</v>
      </c>
      <c r="E9" s="36">
        <f>D9*(1+$N$9)</f>
        <v>8.16</v>
      </c>
      <c r="F9" s="36">
        <f t="shared" ref="F9:M9" si="3">E9*(1+$N$9)</f>
        <v>8.3231999999999999</v>
      </c>
      <c r="G9" s="36">
        <f t="shared" si="3"/>
        <v>8.4896639999999994</v>
      </c>
      <c r="H9" s="36">
        <f t="shared" si="3"/>
        <v>8.6594572799999998</v>
      </c>
      <c r="I9" s="36">
        <f t="shared" si="3"/>
        <v>8.8326464256000001</v>
      </c>
      <c r="J9" s="36">
        <f t="shared" si="3"/>
        <v>9.0092993541120006</v>
      </c>
      <c r="K9" s="36">
        <f t="shared" si="3"/>
        <v>9.1894853411942403</v>
      </c>
      <c r="L9" s="36">
        <f t="shared" si="3"/>
        <v>9.3732750480181259</v>
      </c>
      <c r="M9" s="36">
        <f t="shared" si="3"/>
        <v>9.5607405489784885</v>
      </c>
      <c r="N9" s="47">
        <v>0.02</v>
      </c>
      <c r="O9" s="35"/>
      <c r="P9" s="35"/>
      <c r="Q9" s="31"/>
      <c r="R9" s="31"/>
      <c r="S9" s="31"/>
      <c r="T9" s="31"/>
      <c r="U9" s="31"/>
    </row>
    <row r="10" spans="1:21" x14ac:dyDescent="0.25">
      <c r="A10" s="31" t="s">
        <v>8</v>
      </c>
      <c r="B10" s="31"/>
      <c r="C10" s="31"/>
      <c r="D10" s="10">
        <v>130</v>
      </c>
      <c r="E10" s="10">
        <v>130</v>
      </c>
      <c r="F10" s="10">
        <v>130</v>
      </c>
      <c r="G10" s="10">
        <f>F10+N10</f>
        <v>140</v>
      </c>
      <c r="H10" s="10">
        <f>G10</f>
        <v>140</v>
      </c>
      <c r="I10" s="10">
        <f t="shared" ref="I10:M11" si="4">H10</f>
        <v>140</v>
      </c>
      <c r="J10" s="10">
        <f t="shared" si="4"/>
        <v>140</v>
      </c>
      <c r="K10" s="10">
        <f t="shared" si="4"/>
        <v>140</v>
      </c>
      <c r="L10" s="10">
        <f t="shared" si="4"/>
        <v>140</v>
      </c>
      <c r="M10" s="10">
        <f>L10</f>
        <v>140</v>
      </c>
      <c r="N10" s="35">
        <f>10</f>
        <v>10</v>
      </c>
      <c r="O10" s="35"/>
      <c r="P10" s="35"/>
      <c r="Q10" s="31"/>
      <c r="R10" s="31"/>
      <c r="S10" s="31"/>
      <c r="T10" s="31"/>
      <c r="U10" s="31"/>
    </row>
    <row r="11" spans="1:21" x14ac:dyDescent="0.25">
      <c r="A11" s="31" t="s">
        <v>9</v>
      </c>
      <c r="B11" s="31"/>
      <c r="C11" s="31"/>
      <c r="D11" s="10">
        <v>160</v>
      </c>
      <c r="E11" s="10">
        <v>160</v>
      </c>
      <c r="F11" s="10">
        <v>160</v>
      </c>
      <c r="G11" s="10">
        <f>F11+N11</f>
        <v>170</v>
      </c>
      <c r="H11" s="10">
        <f>G11</f>
        <v>170</v>
      </c>
      <c r="I11" s="10">
        <f t="shared" si="4"/>
        <v>170</v>
      </c>
      <c r="J11" s="10">
        <f t="shared" si="4"/>
        <v>170</v>
      </c>
      <c r="K11" s="10">
        <f t="shared" si="4"/>
        <v>170</v>
      </c>
      <c r="L11" s="10">
        <f t="shared" si="4"/>
        <v>170</v>
      </c>
      <c r="M11" s="10">
        <f t="shared" si="4"/>
        <v>170</v>
      </c>
      <c r="N11" s="35">
        <v>10</v>
      </c>
      <c r="O11" s="35"/>
      <c r="P11" s="35"/>
      <c r="Q11" s="31"/>
      <c r="R11" s="31"/>
      <c r="S11" s="31"/>
      <c r="T11" s="31"/>
      <c r="U11" s="31"/>
    </row>
    <row r="12" spans="1:21" x14ac:dyDescent="0.25">
      <c r="A12" s="6" t="s">
        <v>20</v>
      </c>
      <c r="B12" s="38"/>
      <c r="C12" s="38"/>
      <c r="D12" s="38">
        <f>+D13*350</f>
        <v>17500</v>
      </c>
      <c r="E12" s="38">
        <f t="shared" ref="E12:M12" si="5">+E13*350</f>
        <v>17500</v>
      </c>
      <c r="F12" s="38">
        <f t="shared" si="5"/>
        <v>19250</v>
      </c>
      <c r="G12" s="38">
        <f t="shared" si="5"/>
        <v>19250</v>
      </c>
      <c r="H12" s="38">
        <f t="shared" si="5"/>
        <v>19250</v>
      </c>
      <c r="I12" s="38">
        <f t="shared" si="5"/>
        <v>19600</v>
      </c>
      <c r="J12" s="38">
        <f t="shared" si="5"/>
        <v>19950</v>
      </c>
      <c r="K12" s="38">
        <f t="shared" si="5"/>
        <v>20300</v>
      </c>
      <c r="L12" s="38">
        <f t="shared" si="5"/>
        <v>20650</v>
      </c>
      <c r="M12" s="38">
        <f t="shared" si="5"/>
        <v>21000</v>
      </c>
      <c r="N12" s="25"/>
      <c r="O12" s="35"/>
      <c r="P12" s="35"/>
      <c r="Q12" s="31"/>
      <c r="R12" s="31"/>
      <c r="S12" s="31"/>
      <c r="T12" s="31"/>
      <c r="U12" s="31"/>
    </row>
    <row r="13" spans="1:21" x14ac:dyDescent="0.25">
      <c r="A13" s="6" t="s">
        <v>21</v>
      </c>
      <c r="B13" s="38"/>
      <c r="C13" s="38"/>
      <c r="D13" s="8">
        <v>50</v>
      </c>
      <c r="E13" s="8">
        <v>50</v>
      </c>
      <c r="F13" s="8">
        <v>55</v>
      </c>
      <c r="G13" s="8">
        <v>55</v>
      </c>
      <c r="H13" s="8">
        <v>55</v>
      </c>
      <c r="I13" s="8">
        <v>56</v>
      </c>
      <c r="J13" s="8">
        <v>57</v>
      </c>
      <c r="K13" s="8">
        <v>58</v>
      </c>
      <c r="L13" s="8">
        <v>59</v>
      </c>
      <c r="M13" s="8">
        <v>60</v>
      </c>
      <c r="N13" s="25"/>
      <c r="O13" s="35"/>
      <c r="P13" s="35"/>
      <c r="Q13" s="31"/>
      <c r="R13" s="31"/>
      <c r="S13" s="31"/>
      <c r="T13" s="31"/>
      <c r="U13" s="31"/>
    </row>
    <row r="14" spans="1:21" x14ac:dyDescent="0.25">
      <c r="A14" s="7" t="s">
        <v>11</v>
      </c>
      <c r="B14" s="31"/>
      <c r="C14" s="31"/>
      <c r="D14" s="36">
        <f>D12*$O$14</f>
        <v>13125</v>
      </c>
      <c r="E14" s="36">
        <f>E12*$O$14</f>
        <v>13125</v>
      </c>
      <c r="F14" s="36">
        <f>F12*$O$14</f>
        <v>14437.5</v>
      </c>
      <c r="G14" s="36">
        <f>G12*$O$14</f>
        <v>14437.5</v>
      </c>
      <c r="H14" s="36">
        <f>H12*$O$14</f>
        <v>14437.5</v>
      </c>
      <c r="I14" s="36">
        <f t="shared" ref="I14:M14" si="6">I12*$O$14</f>
        <v>14700</v>
      </c>
      <c r="J14" s="36">
        <f t="shared" si="6"/>
        <v>14962.5</v>
      </c>
      <c r="K14" s="36">
        <f t="shared" si="6"/>
        <v>15225</v>
      </c>
      <c r="L14" s="36">
        <f t="shared" si="6"/>
        <v>15487.5</v>
      </c>
      <c r="M14" s="36">
        <f t="shared" si="6"/>
        <v>15750</v>
      </c>
      <c r="N14" s="35">
        <f>N12*$O$14</f>
        <v>0</v>
      </c>
      <c r="O14" s="45">
        <v>0.75</v>
      </c>
      <c r="P14" s="35"/>
      <c r="Q14" s="31"/>
      <c r="R14" s="31"/>
      <c r="S14" s="31"/>
      <c r="T14" s="31"/>
      <c r="U14" s="31"/>
    </row>
    <row r="15" spans="1:21" x14ac:dyDescent="0.25">
      <c r="A15" s="7" t="s">
        <v>12</v>
      </c>
      <c r="B15" s="31"/>
      <c r="C15" s="31"/>
      <c r="D15" s="31">
        <v>12</v>
      </c>
      <c r="E15" s="36">
        <f>D15*(1+$N$15)</f>
        <v>12.120000000000001</v>
      </c>
      <c r="F15" s="36">
        <f t="shared" ref="F15:M15" si="7">E15*(1+$N$15)</f>
        <v>12.241200000000001</v>
      </c>
      <c r="G15" s="36">
        <f t="shared" si="7"/>
        <v>12.363612000000002</v>
      </c>
      <c r="H15" s="36">
        <f t="shared" si="7"/>
        <v>12.487248120000002</v>
      </c>
      <c r="I15" s="36">
        <f t="shared" si="7"/>
        <v>12.612120601200003</v>
      </c>
      <c r="J15" s="36">
        <f t="shared" si="7"/>
        <v>12.738241807212002</v>
      </c>
      <c r="K15" s="36">
        <f t="shared" si="7"/>
        <v>12.865624225284122</v>
      </c>
      <c r="L15" s="36">
        <f t="shared" si="7"/>
        <v>12.994280467536964</v>
      </c>
      <c r="M15" s="36">
        <f t="shared" si="7"/>
        <v>13.124223272212333</v>
      </c>
      <c r="N15" s="45">
        <f>1%</f>
        <v>0.01</v>
      </c>
      <c r="O15" s="35"/>
      <c r="P15" s="35"/>
      <c r="Q15" s="31"/>
      <c r="R15" s="31"/>
      <c r="S15" s="31"/>
      <c r="T15" s="31"/>
      <c r="U15" s="31"/>
    </row>
    <row r="16" spans="1:21" x14ac:dyDescent="0.25">
      <c r="A16" s="7" t="s">
        <v>13</v>
      </c>
      <c r="B16" s="31"/>
      <c r="C16" s="31"/>
      <c r="D16" s="36">
        <f>D12*$O$16</f>
        <v>2625</v>
      </c>
      <c r="E16" s="36">
        <f>E12*$O$16</f>
        <v>2625</v>
      </c>
      <c r="F16" s="36">
        <f>F12*$O$16</f>
        <v>2887.5</v>
      </c>
      <c r="G16" s="36">
        <f>G12*$O$16</f>
        <v>2887.5</v>
      </c>
      <c r="H16" s="36">
        <f>H12*$O$16</f>
        <v>2887.5</v>
      </c>
      <c r="I16" s="36">
        <f t="shared" ref="I16:M16" si="8">I12*$O$16</f>
        <v>2940</v>
      </c>
      <c r="J16" s="36">
        <f t="shared" si="8"/>
        <v>2992.5</v>
      </c>
      <c r="K16" s="36">
        <f t="shared" si="8"/>
        <v>3045</v>
      </c>
      <c r="L16" s="36">
        <f t="shared" si="8"/>
        <v>3097.5</v>
      </c>
      <c r="M16" s="36">
        <f t="shared" si="8"/>
        <v>3150</v>
      </c>
      <c r="N16" s="35">
        <f>N12*$O$16</f>
        <v>0</v>
      </c>
      <c r="O16" s="45">
        <v>0.15</v>
      </c>
      <c r="P16" s="35"/>
      <c r="Q16" s="31"/>
      <c r="R16" s="31"/>
      <c r="S16" s="31"/>
      <c r="T16" s="31"/>
      <c r="U16" s="31"/>
    </row>
    <row r="17" spans="1:21" x14ac:dyDescent="0.25">
      <c r="A17" s="3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5"/>
      <c r="O17" s="35"/>
      <c r="P17" s="35"/>
      <c r="Q17" s="31"/>
      <c r="R17" s="31"/>
      <c r="S17" s="31"/>
      <c r="T17" s="31"/>
      <c r="U17" s="31"/>
    </row>
    <row r="18" spans="1:21" x14ac:dyDescent="0.25">
      <c r="A18" s="7" t="s">
        <v>39</v>
      </c>
      <c r="B18" s="31"/>
      <c r="C18" s="31"/>
      <c r="D18" s="10">
        <v>1300</v>
      </c>
      <c r="E18" s="10">
        <v>1300</v>
      </c>
      <c r="F18" s="10">
        <v>1300</v>
      </c>
      <c r="G18" s="10">
        <v>1350</v>
      </c>
      <c r="H18" s="10">
        <v>1350</v>
      </c>
      <c r="I18" s="10">
        <v>1350</v>
      </c>
      <c r="J18" s="10">
        <v>1350</v>
      </c>
      <c r="K18" s="10">
        <v>1350</v>
      </c>
      <c r="L18" s="10">
        <v>1350</v>
      </c>
      <c r="M18" s="10">
        <v>1350</v>
      </c>
      <c r="N18" s="48">
        <v>50</v>
      </c>
      <c r="O18" s="45"/>
      <c r="P18" s="35"/>
      <c r="Q18" s="31"/>
      <c r="R18" s="31"/>
      <c r="S18" s="31"/>
      <c r="T18" s="31"/>
      <c r="U18" s="31"/>
    </row>
    <row r="19" spans="1:21" x14ac:dyDescent="0.25">
      <c r="A19" s="7" t="s">
        <v>40</v>
      </c>
      <c r="B19" s="31"/>
      <c r="C19" s="31"/>
      <c r="D19" s="10">
        <v>1150</v>
      </c>
      <c r="E19" s="10">
        <v>1150</v>
      </c>
      <c r="F19" s="10">
        <v>1150</v>
      </c>
      <c r="G19" s="10">
        <v>1200</v>
      </c>
      <c r="H19" s="10">
        <v>1200</v>
      </c>
      <c r="I19" s="10">
        <v>1200</v>
      </c>
      <c r="J19" s="10">
        <v>1200</v>
      </c>
      <c r="K19" s="10">
        <v>1200</v>
      </c>
      <c r="L19" s="10">
        <v>1200</v>
      </c>
      <c r="M19" s="10">
        <v>1200</v>
      </c>
      <c r="N19" s="35">
        <v>50</v>
      </c>
      <c r="O19" s="45"/>
      <c r="P19" s="35"/>
      <c r="Q19" s="31"/>
      <c r="R19" s="31"/>
      <c r="S19" s="31"/>
      <c r="T19" s="31"/>
      <c r="U19" s="31"/>
    </row>
    <row r="20" spans="1:21" x14ac:dyDescent="0.25">
      <c r="A20" s="7" t="s">
        <v>41</v>
      </c>
      <c r="B20" s="31"/>
      <c r="C20" s="31"/>
      <c r="D20" s="10">
        <v>1000</v>
      </c>
      <c r="E20" s="10">
        <v>1000</v>
      </c>
      <c r="F20" s="10">
        <v>1000</v>
      </c>
      <c r="G20" s="10">
        <v>1050</v>
      </c>
      <c r="H20" s="10">
        <v>1050</v>
      </c>
      <c r="I20" s="10">
        <v>1050</v>
      </c>
      <c r="J20" s="10">
        <v>1050</v>
      </c>
      <c r="K20" s="10">
        <v>1050</v>
      </c>
      <c r="L20" s="10">
        <v>1050</v>
      </c>
      <c r="M20" s="10">
        <v>1050</v>
      </c>
      <c r="N20" s="35"/>
      <c r="O20" s="35"/>
      <c r="P20" s="35"/>
      <c r="Q20" s="31"/>
      <c r="R20" s="9"/>
      <c r="S20" s="31"/>
      <c r="T20" s="31"/>
      <c r="U20" s="31"/>
    </row>
    <row r="21" spans="1:21" x14ac:dyDescent="0.25">
      <c r="A21" s="31" t="s">
        <v>38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5"/>
      <c r="O21" s="35"/>
      <c r="P21" s="35"/>
      <c r="Q21" s="31"/>
      <c r="R21" s="31"/>
      <c r="S21" s="31"/>
      <c r="T21" s="31"/>
      <c r="U21" s="31"/>
    </row>
    <row r="22" spans="1:21" x14ac:dyDescent="0.25">
      <c r="A22" s="7" t="s">
        <v>32</v>
      </c>
      <c r="B22" s="31"/>
      <c r="C22" s="31"/>
      <c r="D22" s="31">
        <v>6</v>
      </c>
      <c r="E22" s="31">
        <f t="shared" ref="E22:F24" si="9">+D22</f>
        <v>6</v>
      </c>
      <c r="F22" s="31">
        <f t="shared" si="9"/>
        <v>6</v>
      </c>
      <c r="G22" s="31">
        <v>7</v>
      </c>
      <c r="H22" s="31">
        <v>7</v>
      </c>
      <c r="I22" s="31">
        <v>7</v>
      </c>
      <c r="J22" s="31">
        <v>7</v>
      </c>
      <c r="K22" s="31">
        <v>7</v>
      </c>
      <c r="L22" s="31">
        <v>7</v>
      </c>
      <c r="M22" s="31">
        <v>7</v>
      </c>
      <c r="N22" s="35"/>
      <c r="O22" s="35"/>
      <c r="P22" s="35"/>
      <c r="Q22" s="31"/>
      <c r="R22" s="31"/>
      <c r="S22" s="31"/>
      <c r="T22" s="31"/>
      <c r="U22" s="31"/>
    </row>
    <row r="23" spans="1:21" x14ac:dyDescent="0.25">
      <c r="A23" s="7" t="s">
        <v>33</v>
      </c>
      <c r="B23" s="31"/>
      <c r="C23" s="31"/>
      <c r="D23" s="31">
        <v>6</v>
      </c>
      <c r="E23" s="31">
        <f t="shared" si="9"/>
        <v>6</v>
      </c>
      <c r="F23" s="31">
        <f t="shared" si="9"/>
        <v>6</v>
      </c>
      <c r="G23" s="31">
        <v>7</v>
      </c>
      <c r="H23" s="31">
        <v>7</v>
      </c>
      <c r="I23" s="31">
        <v>7</v>
      </c>
      <c r="J23" s="31">
        <v>7</v>
      </c>
      <c r="K23" s="31">
        <v>7</v>
      </c>
      <c r="L23" s="31">
        <v>7</v>
      </c>
      <c r="M23" s="31">
        <v>7</v>
      </c>
      <c r="N23" s="35"/>
      <c r="O23" s="35"/>
      <c r="P23" s="35"/>
      <c r="Q23" s="31"/>
      <c r="R23" s="31"/>
      <c r="S23" s="31"/>
      <c r="T23" s="31"/>
      <c r="U23" s="31"/>
    </row>
    <row r="24" spans="1:21" x14ac:dyDescent="0.25">
      <c r="A24" s="7" t="s">
        <v>34</v>
      </c>
      <c r="B24" s="31"/>
      <c r="C24" s="31"/>
      <c r="D24" s="31">
        <v>6</v>
      </c>
      <c r="E24" s="31">
        <f t="shared" si="9"/>
        <v>6</v>
      </c>
      <c r="F24" s="31">
        <f t="shared" si="9"/>
        <v>6</v>
      </c>
      <c r="G24" s="31">
        <v>7</v>
      </c>
      <c r="H24" s="31">
        <v>7</v>
      </c>
      <c r="I24" s="31">
        <v>7</v>
      </c>
      <c r="J24" s="31">
        <v>7</v>
      </c>
      <c r="K24" s="31">
        <v>7</v>
      </c>
      <c r="L24" s="31">
        <v>7</v>
      </c>
      <c r="M24" s="31">
        <v>7</v>
      </c>
      <c r="N24" s="35"/>
      <c r="O24" s="35"/>
      <c r="P24" s="35"/>
      <c r="Q24" s="31"/>
      <c r="R24" s="31"/>
      <c r="S24" s="31"/>
      <c r="T24" s="31"/>
      <c r="U24" s="31"/>
    </row>
    <row r="25" spans="1:21" x14ac:dyDescent="0.25">
      <c r="A25" s="7" t="s">
        <v>14</v>
      </c>
      <c r="B25" s="31"/>
      <c r="C25" s="31"/>
      <c r="D25" s="36">
        <v>25</v>
      </c>
      <c r="E25" s="36">
        <v>25</v>
      </c>
      <c r="F25" s="36">
        <v>25</v>
      </c>
      <c r="G25" s="36">
        <v>25</v>
      </c>
      <c r="H25" s="36">
        <v>25</v>
      </c>
      <c r="I25" s="36">
        <v>25</v>
      </c>
      <c r="J25" s="36">
        <v>25</v>
      </c>
      <c r="K25" s="36">
        <v>25</v>
      </c>
      <c r="L25" s="36">
        <v>25</v>
      </c>
      <c r="M25" s="36">
        <v>25</v>
      </c>
      <c r="N25" s="35"/>
      <c r="O25" s="35"/>
      <c r="P25" s="35"/>
      <c r="Q25" s="31"/>
      <c r="R25" s="31"/>
      <c r="S25" s="31"/>
      <c r="T25" s="31"/>
      <c r="U25" s="31"/>
    </row>
    <row r="26" spans="1:21" x14ac:dyDescent="0.25">
      <c r="A26" s="7" t="s">
        <v>15</v>
      </c>
      <c r="B26" s="31"/>
      <c r="C26" s="31"/>
      <c r="D26" s="31">
        <v>20</v>
      </c>
      <c r="E26" s="31">
        <v>20</v>
      </c>
      <c r="F26" s="31">
        <v>20</v>
      </c>
      <c r="G26" s="31">
        <v>20</v>
      </c>
      <c r="H26" s="31">
        <v>20</v>
      </c>
      <c r="I26" s="31">
        <v>20</v>
      </c>
      <c r="J26" s="31">
        <v>20</v>
      </c>
      <c r="K26" s="31">
        <v>20</v>
      </c>
      <c r="L26" s="31">
        <v>20</v>
      </c>
      <c r="M26" s="31">
        <v>20</v>
      </c>
      <c r="N26" s="35"/>
      <c r="O26" s="35"/>
      <c r="P26" s="35"/>
      <c r="Q26" s="31"/>
      <c r="R26" s="31"/>
      <c r="S26" s="31"/>
      <c r="T26" s="31"/>
      <c r="U26" s="31"/>
    </row>
    <row r="27" spans="1:21" x14ac:dyDescent="0.25">
      <c r="A27" s="7" t="s">
        <v>45</v>
      </c>
      <c r="B27" s="31"/>
      <c r="C27" s="31"/>
      <c r="D27" s="10">
        <f>+(0.8*D12)*7</f>
        <v>98000</v>
      </c>
      <c r="E27" s="10">
        <f t="shared" ref="E27:M27" si="10">+(0.8*E12)*7</f>
        <v>98000</v>
      </c>
      <c r="F27" s="10">
        <f t="shared" si="10"/>
        <v>107800</v>
      </c>
      <c r="G27" s="10">
        <f t="shared" si="10"/>
        <v>107800</v>
      </c>
      <c r="H27" s="10">
        <f t="shared" si="10"/>
        <v>107800</v>
      </c>
      <c r="I27" s="10">
        <f t="shared" si="10"/>
        <v>109760</v>
      </c>
      <c r="J27" s="10">
        <f t="shared" si="10"/>
        <v>111720</v>
      </c>
      <c r="K27" s="10">
        <f t="shared" si="10"/>
        <v>113680</v>
      </c>
      <c r="L27" s="10">
        <f t="shared" si="10"/>
        <v>115640</v>
      </c>
      <c r="M27" s="10">
        <f t="shared" si="10"/>
        <v>117600</v>
      </c>
      <c r="N27" s="35"/>
      <c r="O27" s="35"/>
      <c r="P27" s="35"/>
      <c r="Q27" s="31"/>
      <c r="R27" s="31"/>
      <c r="S27" s="31"/>
      <c r="T27" s="31"/>
      <c r="U27" s="31"/>
    </row>
    <row r="28" spans="1:21" x14ac:dyDescent="0.25">
      <c r="A28" s="7" t="s">
        <v>46</v>
      </c>
      <c r="B28" s="31"/>
      <c r="C28" s="3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5"/>
      <c r="O28" s="35"/>
      <c r="P28" s="35"/>
      <c r="Q28" s="31"/>
      <c r="R28" s="31"/>
      <c r="S28" s="31"/>
      <c r="T28" s="31"/>
      <c r="U28" s="31"/>
    </row>
    <row r="29" spans="1:21" x14ac:dyDescent="0.25">
      <c r="A29" s="7" t="s">
        <v>47</v>
      </c>
      <c r="B29" s="31"/>
      <c r="C29" s="31"/>
      <c r="D29" s="10">
        <f>7.25*$N$29</f>
        <v>29</v>
      </c>
      <c r="E29" s="10">
        <f>7.25*$N$29</f>
        <v>29</v>
      </c>
      <c r="F29" s="10">
        <f>7.25*$N$29</f>
        <v>29</v>
      </c>
      <c r="G29" s="10">
        <f>7.25*$N$29</f>
        <v>29</v>
      </c>
      <c r="H29" s="10">
        <f>7.25*$N$29</f>
        <v>29</v>
      </c>
      <c r="I29" s="10">
        <f t="shared" ref="I29:M29" si="11">7.25*$N$29</f>
        <v>29</v>
      </c>
      <c r="J29" s="10">
        <f t="shared" si="11"/>
        <v>29</v>
      </c>
      <c r="K29" s="10">
        <f t="shared" si="11"/>
        <v>29</v>
      </c>
      <c r="L29" s="10">
        <f>7.25*$N$29</f>
        <v>29</v>
      </c>
      <c r="M29" s="10">
        <f t="shared" si="11"/>
        <v>29</v>
      </c>
      <c r="N29" s="35">
        <v>4</v>
      </c>
      <c r="O29" s="35" t="s">
        <v>186</v>
      </c>
      <c r="P29" s="35"/>
      <c r="Q29" s="31"/>
      <c r="R29" s="31"/>
      <c r="S29" s="31"/>
      <c r="T29" s="31"/>
      <c r="U29" s="31"/>
    </row>
    <row r="30" spans="1:21" x14ac:dyDescent="0.25">
      <c r="A30" s="7" t="s">
        <v>48</v>
      </c>
      <c r="B30" s="31"/>
      <c r="C30" s="31"/>
      <c r="D30" s="10">
        <f>10*$N$30</f>
        <v>10</v>
      </c>
      <c r="E30" s="10">
        <f>10*$N$30</f>
        <v>10</v>
      </c>
      <c r="F30" s="10">
        <f>10*$N$30</f>
        <v>10</v>
      </c>
      <c r="G30" s="10">
        <f>10*$N$30</f>
        <v>10</v>
      </c>
      <c r="H30" s="10">
        <f>10*$N$30</f>
        <v>10</v>
      </c>
      <c r="I30" s="10">
        <f t="shared" ref="I30:M30" si="12">10*$N$30</f>
        <v>10</v>
      </c>
      <c r="J30" s="10">
        <f t="shared" si="12"/>
        <v>10</v>
      </c>
      <c r="K30" s="10">
        <f t="shared" si="12"/>
        <v>10</v>
      </c>
      <c r="L30" s="10">
        <f t="shared" si="12"/>
        <v>10</v>
      </c>
      <c r="M30" s="10">
        <f t="shared" si="12"/>
        <v>10</v>
      </c>
      <c r="N30" s="35">
        <v>1</v>
      </c>
      <c r="O30" s="35" t="s">
        <v>186</v>
      </c>
      <c r="P30" s="35"/>
      <c r="Q30" s="31"/>
      <c r="R30" s="31"/>
      <c r="S30" s="31"/>
      <c r="T30" s="31"/>
      <c r="U30" s="31"/>
    </row>
    <row r="31" spans="1:21" x14ac:dyDescent="0.25">
      <c r="A31" s="7" t="s">
        <v>51</v>
      </c>
      <c r="B31" s="31"/>
      <c r="C31" s="31"/>
      <c r="D31" s="39">
        <v>1750000</v>
      </c>
      <c r="E31" s="39">
        <v>1750000</v>
      </c>
      <c r="F31" s="39">
        <v>1750000</v>
      </c>
      <c r="G31" s="39">
        <v>1750000</v>
      </c>
      <c r="H31" s="39">
        <v>1750000</v>
      </c>
      <c r="I31" s="39">
        <v>1750000</v>
      </c>
      <c r="J31" s="39">
        <v>1750000</v>
      </c>
      <c r="K31" s="39">
        <v>1750000</v>
      </c>
      <c r="L31" s="39">
        <v>1750000</v>
      </c>
      <c r="M31" s="39">
        <v>1750000</v>
      </c>
      <c r="N31" s="35"/>
      <c r="O31" s="35"/>
      <c r="P31" s="35"/>
      <c r="Q31" s="31"/>
      <c r="R31" s="31"/>
      <c r="S31" s="31"/>
      <c r="T31" s="31"/>
      <c r="U31" s="31"/>
    </row>
    <row r="32" spans="1:21" x14ac:dyDescent="0.25">
      <c r="A32" s="7" t="s">
        <v>72</v>
      </c>
      <c r="B32" s="31"/>
      <c r="C32" s="31"/>
      <c r="D32" s="17">
        <v>90000</v>
      </c>
      <c r="E32" s="17">
        <v>90000</v>
      </c>
      <c r="F32" s="17">
        <v>90000</v>
      </c>
      <c r="G32" s="17">
        <v>90000</v>
      </c>
      <c r="H32" s="17">
        <v>90000</v>
      </c>
      <c r="I32" s="17">
        <v>90000</v>
      </c>
      <c r="J32" s="17">
        <v>90000</v>
      </c>
      <c r="K32" s="17">
        <v>90000</v>
      </c>
      <c r="L32" s="17">
        <v>90000</v>
      </c>
      <c r="M32" s="17">
        <v>90000</v>
      </c>
      <c r="N32" s="35"/>
      <c r="O32" s="35"/>
      <c r="P32" s="35"/>
      <c r="Q32" s="31"/>
      <c r="R32" s="31"/>
      <c r="S32" s="31"/>
      <c r="T32" s="31"/>
      <c r="U32" s="31"/>
    </row>
    <row r="33" spans="1:21" x14ac:dyDescent="0.25">
      <c r="A33" s="7" t="s">
        <v>95</v>
      </c>
      <c r="B33" s="31"/>
      <c r="C33" s="31"/>
      <c r="D33" s="2">
        <f>0.5*7*(D13*0.25)</f>
        <v>43.75</v>
      </c>
      <c r="E33" s="2">
        <f>D33*(1+$N$33)</f>
        <v>45.9375</v>
      </c>
      <c r="F33" s="2">
        <f t="shared" ref="F33:M33" si="13">E33*(1+$N$33)</f>
        <v>48.234375</v>
      </c>
      <c r="G33" s="2">
        <f t="shared" si="13"/>
        <v>50.646093750000006</v>
      </c>
      <c r="H33" s="2">
        <f t="shared" si="13"/>
        <v>53.178398437500007</v>
      </c>
      <c r="I33" s="2">
        <f t="shared" si="13"/>
        <v>55.837318359375011</v>
      </c>
      <c r="J33" s="2">
        <f t="shared" si="13"/>
        <v>58.629184277343761</v>
      </c>
      <c r="K33" s="2">
        <f t="shared" si="13"/>
        <v>61.560643491210953</v>
      </c>
      <c r="L33" s="2">
        <f t="shared" si="13"/>
        <v>64.638675665771501</v>
      </c>
      <c r="M33" s="2">
        <f t="shared" si="13"/>
        <v>67.870609449060083</v>
      </c>
      <c r="N33" s="49">
        <v>0.05</v>
      </c>
      <c r="O33" s="35"/>
      <c r="P33" s="35"/>
      <c r="Q33" s="31"/>
      <c r="R33" s="31"/>
      <c r="S33" s="31"/>
      <c r="T33" s="31"/>
      <c r="U33" s="31"/>
    </row>
    <row r="34" spans="1:21" x14ac:dyDescent="0.25">
      <c r="A34" s="7" t="s">
        <v>98</v>
      </c>
      <c r="B34" s="31"/>
      <c r="C34" s="31"/>
      <c r="D34" s="39">
        <f>6000*12</f>
        <v>72000</v>
      </c>
      <c r="E34" s="39">
        <f>D34*(1+$N$34)</f>
        <v>72720</v>
      </c>
      <c r="F34" s="39">
        <f t="shared" ref="F34:M34" si="14">E34*(1+$N$34)</f>
        <v>73447.199999999997</v>
      </c>
      <c r="G34" s="39">
        <f t="shared" si="14"/>
        <v>74181.671999999991</v>
      </c>
      <c r="H34" s="39">
        <f t="shared" si="14"/>
        <v>74923.488719999994</v>
      </c>
      <c r="I34" s="39">
        <f>H34*(1+$N$34)</f>
        <v>75672.723607199994</v>
      </c>
      <c r="J34" s="39">
        <f t="shared" si="14"/>
        <v>76429.450843271989</v>
      </c>
      <c r="K34" s="39">
        <f t="shared" si="14"/>
        <v>77193.745351704711</v>
      </c>
      <c r="L34" s="39">
        <f>K34*(1+$N$34)</f>
        <v>77965.682805221761</v>
      </c>
      <c r="M34" s="39">
        <f t="shared" si="14"/>
        <v>78745.339633273979</v>
      </c>
      <c r="N34" s="35">
        <v>0.01</v>
      </c>
      <c r="O34" s="35" t="s">
        <v>97</v>
      </c>
      <c r="P34" s="35"/>
      <c r="Q34" s="31"/>
      <c r="R34" s="31"/>
      <c r="S34" s="31"/>
      <c r="T34" s="31"/>
      <c r="U34" s="31"/>
    </row>
    <row r="35" spans="1:21" x14ac:dyDescent="0.25">
      <c r="A35" s="7" t="s">
        <v>127</v>
      </c>
      <c r="B35" s="31"/>
      <c r="C35" s="31"/>
      <c r="D35" s="17">
        <v>600</v>
      </c>
      <c r="E35" s="17">
        <v>600</v>
      </c>
      <c r="F35" s="17">
        <v>600</v>
      </c>
      <c r="G35" s="17">
        <v>600</v>
      </c>
      <c r="H35" s="17">
        <v>600</v>
      </c>
      <c r="I35" s="17">
        <v>601</v>
      </c>
      <c r="J35" s="17">
        <v>602</v>
      </c>
      <c r="K35" s="17">
        <v>603</v>
      </c>
      <c r="L35" s="17">
        <v>604</v>
      </c>
      <c r="M35" s="17">
        <v>605</v>
      </c>
      <c r="N35" s="35"/>
      <c r="O35" s="35"/>
      <c r="P35" s="35"/>
      <c r="Q35" s="31"/>
      <c r="R35" s="31"/>
      <c r="S35" s="31"/>
      <c r="T35" s="31"/>
      <c r="U35" s="31"/>
    </row>
    <row r="36" spans="1:21" x14ac:dyDescent="0.25">
      <c r="A36" s="7"/>
      <c r="B36" s="31"/>
      <c r="C36" s="31"/>
      <c r="D36" s="17"/>
      <c r="E36" s="17"/>
      <c r="F36" s="17"/>
      <c r="G36" s="17"/>
      <c r="H36" s="17"/>
      <c r="I36" s="31"/>
      <c r="J36" s="31"/>
      <c r="K36" s="31"/>
      <c r="L36" s="31"/>
      <c r="M36" s="31"/>
      <c r="N36" s="35"/>
      <c r="O36" s="35"/>
      <c r="P36" s="35"/>
      <c r="Q36" s="31"/>
      <c r="R36" s="31"/>
      <c r="S36" s="31"/>
      <c r="T36" s="31"/>
      <c r="U36" s="31"/>
    </row>
    <row r="37" spans="1:21" x14ac:dyDescent="0.25">
      <c r="A37" s="26" t="s">
        <v>43</v>
      </c>
      <c r="B37" s="31"/>
      <c r="C37" s="31"/>
      <c r="D37" s="17"/>
      <c r="E37" s="17"/>
      <c r="F37" s="17"/>
      <c r="G37" s="17"/>
      <c r="H37" s="17"/>
      <c r="I37" s="31"/>
      <c r="J37" s="31"/>
      <c r="K37" s="31"/>
      <c r="L37" s="31"/>
      <c r="M37" s="31"/>
      <c r="N37" s="34"/>
      <c r="O37" s="34"/>
      <c r="P37" s="34"/>
      <c r="Q37" s="34"/>
      <c r="R37" s="31"/>
      <c r="S37" s="31"/>
      <c r="T37" s="31"/>
      <c r="U37" s="31"/>
    </row>
    <row r="38" spans="1:21" x14ac:dyDescent="0.25">
      <c r="A38" s="26" t="s">
        <v>119</v>
      </c>
      <c r="B38" s="31"/>
      <c r="C38" s="31"/>
      <c r="D38" s="17"/>
      <c r="E38" s="17"/>
      <c r="F38" s="17"/>
      <c r="G38" s="17"/>
      <c r="H38" s="17"/>
      <c r="I38" s="31"/>
      <c r="J38" s="31"/>
      <c r="K38" s="31"/>
      <c r="L38" s="31"/>
      <c r="M38" s="31"/>
      <c r="N38" s="34"/>
      <c r="O38" s="34"/>
      <c r="P38" s="34"/>
      <c r="Q38" s="34"/>
      <c r="R38" s="31"/>
      <c r="S38" s="31"/>
      <c r="T38" s="31"/>
      <c r="U38" s="31"/>
    </row>
    <row r="39" spans="1:21" x14ac:dyDescent="0.25">
      <c r="A39" s="31"/>
      <c r="B39" s="7" t="s">
        <v>101</v>
      </c>
      <c r="C39" s="31"/>
      <c r="D39" s="17">
        <f>D13*0.9</f>
        <v>45</v>
      </c>
      <c r="E39" s="17">
        <f t="shared" ref="E39:M39" si="15">E13*0.9</f>
        <v>45</v>
      </c>
      <c r="F39" s="37">
        <f t="shared" si="15"/>
        <v>49.5</v>
      </c>
      <c r="G39" s="37">
        <f t="shared" si="15"/>
        <v>49.5</v>
      </c>
      <c r="H39" s="37">
        <f t="shared" si="15"/>
        <v>49.5</v>
      </c>
      <c r="I39" s="37">
        <f t="shared" si="15"/>
        <v>50.4</v>
      </c>
      <c r="J39" s="37">
        <f t="shared" si="15"/>
        <v>51.300000000000004</v>
      </c>
      <c r="K39" s="37">
        <f t="shared" si="15"/>
        <v>52.2</v>
      </c>
      <c r="L39" s="37">
        <f t="shared" si="15"/>
        <v>53.1</v>
      </c>
      <c r="M39" s="37">
        <f t="shared" si="15"/>
        <v>54</v>
      </c>
      <c r="N39" s="34"/>
      <c r="O39" s="34"/>
      <c r="P39" s="34"/>
      <c r="Q39" s="34"/>
      <c r="R39" s="31"/>
      <c r="S39" s="31"/>
      <c r="T39" s="31"/>
      <c r="U39" s="31"/>
    </row>
    <row r="40" spans="1:21" x14ac:dyDescent="0.25">
      <c r="A40" s="31"/>
      <c r="B40" s="31" t="s">
        <v>123</v>
      </c>
      <c r="C40" s="31"/>
      <c r="D40" s="17">
        <f>50</f>
        <v>50</v>
      </c>
      <c r="E40" s="17">
        <f>50</f>
        <v>50</v>
      </c>
      <c r="F40" s="17">
        <f>50</f>
        <v>50</v>
      </c>
      <c r="G40" s="17">
        <f>50</f>
        <v>50</v>
      </c>
      <c r="H40" s="17">
        <f>50</f>
        <v>50</v>
      </c>
      <c r="I40" s="17">
        <f>50</f>
        <v>50</v>
      </c>
      <c r="J40" s="17">
        <f>50</f>
        <v>50</v>
      </c>
      <c r="K40" s="17">
        <f>50</f>
        <v>50</v>
      </c>
      <c r="L40" s="17">
        <f>50</f>
        <v>50</v>
      </c>
      <c r="M40" s="17">
        <f>50</f>
        <v>50</v>
      </c>
      <c r="N40" s="34"/>
      <c r="O40" s="34"/>
      <c r="P40" s="34"/>
      <c r="Q40" s="34"/>
      <c r="R40" s="31"/>
      <c r="S40" s="31"/>
      <c r="T40" s="31"/>
      <c r="U40" s="31"/>
    </row>
    <row r="41" spans="1:21" x14ac:dyDescent="0.25">
      <c r="A41" s="40" t="s">
        <v>128</v>
      </c>
      <c r="B41" s="31"/>
      <c r="C41" s="31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4"/>
      <c r="O41" s="34"/>
      <c r="P41" s="34"/>
      <c r="Q41" s="34"/>
      <c r="R41" s="31"/>
      <c r="S41" s="31"/>
      <c r="T41" s="31"/>
      <c r="U41" s="31"/>
    </row>
    <row r="42" spans="1:21" x14ac:dyDescent="0.25">
      <c r="A42" s="31"/>
      <c r="B42" s="7" t="s">
        <v>102</v>
      </c>
      <c r="C42" s="31"/>
      <c r="D42" s="17">
        <f>D35/10</f>
        <v>60</v>
      </c>
      <c r="E42" s="17">
        <f>E35/10</f>
        <v>60</v>
      </c>
      <c r="F42" s="17">
        <f>F35/10</f>
        <v>60</v>
      </c>
      <c r="G42" s="17">
        <f>G35/10</f>
        <v>60</v>
      </c>
      <c r="H42" s="17">
        <f>H35/10</f>
        <v>60</v>
      </c>
      <c r="I42" s="17">
        <f t="shared" ref="I42:M42" si="16">I35/10</f>
        <v>60.1</v>
      </c>
      <c r="J42" s="17">
        <f t="shared" si="16"/>
        <v>60.2</v>
      </c>
      <c r="K42" s="17">
        <f t="shared" si="16"/>
        <v>60.3</v>
      </c>
      <c r="L42" s="17">
        <f t="shared" si="16"/>
        <v>60.4</v>
      </c>
      <c r="M42" s="17">
        <f t="shared" si="16"/>
        <v>60.5</v>
      </c>
      <c r="N42" s="34"/>
      <c r="O42" s="34"/>
      <c r="P42" s="34"/>
      <c r="Q42" s="34"/>
      <c r="R42" s="31"/>
      <c r="S42" s="31"/>
      <c r="T42" s="31"/>
      <c r="U42" s="31"/>
    </row>
    <row r="43" spans="1:21" x14ac:dyDescent="0.25">
      <c r="A43" s="31"/>
      <c r="B43" s="7" t="s">
        <v>103</v>
      </c>
      <c r="C43" s="31"/>
      <c r="D43" s="17">
        <f>D35</f>
        <v>600</v>
      </c>
      <c r="E43" s="17">
        <f>E35</f>
        <v>600</v>
      </c>
      <c r="F43" s="17">
        <f>F35</f>
        <v>600</v>
      </c>
      <c r="G43" s="17">
        <f>G35</f>
        <v>600</v>
      </c>
      <c r="H43" s="17">
        <f>H35</f>
        <v>600</v>
      </c>
      <c r="I43" s="17">
        <f t="shared" ref="I43:M43" si="17">I35</f>
        <v>601</v>
      </c>
      <c r="J43" s="17">
        <f t="shared" si="17"/>
        <v>602</v>
      </c>
      <c r="K43" s="17">
        <f t="shared" si="17"/>
        <v>603</v>
      </c>
      <c r="L43" s="17">
        <f t="shared" si="17"/>
        <v>604</v>
      </c>
      <c r="M43" s="17">
        <f t="shared" si="17"/>
        <v>605</v>
      </c>
      <c r="N43" s="34"/>
      <c r="O43" s="34"/>
      <c r="P43" s="34"/>
      <c r="Q43" s="34"/>
      <c r="R43" s="31"/>
      <c r="S43" s="31"/>
      <c r="T43" s="31"/>
      <c r="U43" s="31"/>
    </row>
    <row r="44" spans="1:21" x14ac:dyDescent="0.25">
      <c r="A44" s="26" t="s">
        <v>117</v>
      </c>
      <c r="B44" s="4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4"/>
      <c r="O44" s="34"/>
      <c r="P44" s="34"/>
      <c r="Q44" s="34"/>
      <c r="R44" s="31"/>
      <c r="S44" s="31"/>
      <c r="T44" s="31"/>
      <c r="U44" s="31"/>
    </row>
    <row r="45" spans="1:21" x14ac:dyDescent="0.25">
      <c r="A45" s="31"/>
      <c r="B45" s="31" t="s">
        <v>120</v>
      </c>
      <c r="C45" s="31"/>
      <c r="D45" s="31">
        <f>600</f>
        <v>600</v>
      </c>
      <c r="E45" s="31">
        <f>600</f>
        <v>600</v>
      </c>
      <c r="F45" s="31">
        <f>600</f>
        <v>600</v>
      </c>
      <c r="G45" s="31">
        <f>600</f>
        <v>600</v>
      </c>
      <c r="H45" s="31">
        <f>600</f>
        <v>600</v>
      </c>
      <c r="I45" s="31">
        <f>600</f>
        <v>600</v>
      </c>
      <c r="J45" s="31">
        <f>600</f>
        <v>600</v>
      </c>
      <c r="K45" s="31">
        <f>600</f>
        <v>600</v>
      </c>
      <c r="L45" s="31">
        <f>600</f>
        <v>600</v>
      </c>
      <c r="M45" s="31">
        <f>600</f>
        <v>600</v>
      </c>
      <c r="N45" s="34"/>
      <c r="O45" s="34"/>
      <c r="P45" s="34"/>
      <c r="Q45" s="34"/>
      <c r="R45" s="31"/>
      <c r="S45" s="31"/>
      <c r="T45" s="31"/>
      <c r="U45" s="31"/>
    </row>
    <row r="46" spans="1:21" x14ac:dyDescent="0.25">
      <c r="A46" s="31"/>
      <c r="B46" s="31" t="s">
        <v>121</v>
      </c>
      <c r="C46" s="31"/>
      <c r="D46" s="31">
        <v>200</v>
      </c>
      <c r="E46" s="31">
        <v>200</v>
      </c>
      <c r="F46" s="31">
        <v>200</v>
      </c>
      <c r="G46" s="31">
        <v>200</v>
      </c>
      <c r="H46" s="31">
        <v>200</v>
      </c>
      <c r="I46" s="31">
        <v>200</v>
      </c>
      <c r="J46" s="31">
        <v>200</v>
      </c>
      <c r="K46" s="31">
        <v>200</v>
      </c>
      <c r="L46" s="31">
        <v>200</v>
      </c>
      <c r="M46" s="31">
        <v>200</v>
      </c>
      <c r="N46" s="34"/>
      <c r="O46" s="34"/>
      <c r="P46" s="34"/>
      <c r="Q46" s="34"/>
      <c r="R46" s="31"/>
      <c r="S46" s="31"/>
      <c r="T46" s="31"/>
      <c r="U46" s="31"/>
    </row>
    <row r="47" spans="1:21" x14ac:dyDescent="0.25">
      <c r="A47" s="7"/>
      <c r="B47" s="31" t="s">
        <v>122</v>
      </c>
      <c r="C47" s="31"/>
      <c r="D47" s="17">
        <v>250</v>
      </c>
      <c r="E47" s="17">
        <v>250</v>
      </c>
      <c r="F47" s="17">
        <v>250</v>
      </c>
      <c r="G47" s="17">
        <v>250</v>
      </c>
      <c r="H47" s="17">
        <v>250</v>
      </c>
      <c r="I47" s="17">
        <v>250</v>
      </c>
      <c r="J47" s="17">
        <v>250</v>
      </c>
      <c r="K47" s="17">
        <v>250</v>
      </c>
      <c r="L47" s="17">
        <v>250</v>
      </c>
      <c r="M47" s="17">
        <v>250</v>
      </c>
      <c r="N47" s="34"/>
      <c r="O47" s="34"/>
      <c r="P47" s="34"/>
      <c r="Q47" s="34"/>
      <c r="R47" s="31"/>
      <c r="S47" s="31"/>
      <c r="T47" s="31"/>
      <c r="U47" s="31"/>
    </row>
    <row r="48" spans="1:21" x14ac:dyDescent="0.25">
      <c r="A48" s="7"/>
      <c r="B48" s="31" t="s">
        <v>123</v>
      </c>
      <c r="C48" s="31"/>
      <c r="D48" s="17">
        <v>100</v>
      </c>
      <c r="E48" s="17">
        <v>100</v>
      </c>
      <c r="F48" s="17">
        <v>100</v>
      </c>
      <c r="G48" s="17">
        <v>100</v>
      </c>
      <c r="H48" s="17">
        <v>100</v>
      </c>
      <c r="I48" s="17">
        <v>100</v>
      </c>
      <c r="J48" s="17">
        <v>100</v>
      </c>
      <c r="K48" s="17">
        <v>100</v>
      </c>
      <c r="L48" s="17">
        <v>100</v>
      </c>
      <c r="M48" s="17">
        <v>100</v>
      </c>
      <c r="N48" s="34"/>
      <c r="O48" s="34"/>
      <c r="P48" s="34"/>
      <c r="Q48" s="34"/>
      <c r="R48" s="31"/>
      <c r="S48" s="31"/>
      <c r="T48" s="31"/>
      <c r="U48" s="31"/>
    </row>
    <row r="49" spans="1:21" x14ac:dyDescent="0.25">
      <c r="A49" s="26" t="s">
        <v>118</v>
      </c>
      <c r="B49" s="40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4"/>
      <c r="O49" s="34"/>
      <c r="P49" s="34"/>
      <c r="Q49" s="34"/>
      <c r="R49" s="31"/>
      <c r="S49" s="31"/>
      <c r="T49" s="31"/>
      <c r="U49" s="31"/>
    </row>
    <row r="50" spans="1:21" x14ac:dyDescent="0.25">
      <c r="A50" s="7"/>
      <c r="B50" s="31" t="s">
        <v>124</v>
      </c>
      <c r="C50" s="31"/>
      <c r="D50" s="17">
        <v>150</v>
      </c>
      <c r="E50" s="17">
        <v>150</v>
      </c>
      <c r="F50" s="17">
        <v>150</v>
      </c>
      <c r="G50" s="17">
        <v>150</v>
      </c>
      <c r="H50" s="17">
        <v>150</v>
      </c>
      <c r="I50" s="17">
        <v>150</v>
      </c>
      <c r="J50" s="17">
        <v>150</v>
      </c>
      <c r="K50" s="17">
        <v>150</v>
      </c>
      <c r="L50" s="17">
        <v>150</v>
      </c>
      <c r="M50" s="17">
        <v>150</v>
      </c>
      <c r="N50" s="34"/>
      <c r="O50" s="34"/>
      <c r="P50" s="34"/>
      <c r="Q50" s="34"/>
      <c r="R50" s="31"/>
      <c r="S50" s="31"/>
      <c r="T50" s="31"/>
      <c r="U50" s="31"/>
    </row>
    <row r="51" spans="1:21" x14ac:dyDescent="0.25">
      <c r="A51" s="7"/>
      <c r="B51" s="31" t="s">
        <v>126</v>
      </c>
      <c r="C51" s="31"/>
      <c r="D51" s="17">
        <v>2000</v>
      </c>
      <c r="E51" s="17">
        <v>2000</v>
      </c>
      <c r="F51" s="17">
        <v>2000</v>
      </c>
      <c r="G51" s="17">
        <v>2000</v>
      </c>
      <c r="H51" s="17">
        <v>2000</v>
      </c>
      <c r="I51" s="17">
        <v>2000</v>
      </c>
      <c r="J51" s="17">
        <v>2000</v>
      </c>
      <c r="K51" s="17">
        <v>2000</v>
      </c>
      <c r="L51" s="17">
        <v>2000</v>
      </c>
      <c r="M51" s="17">
        <v>2000</v>
      </c>
      <c r="N51" s="34"/>
      <c r="O51" s="34"/>
      <c r="P51" s="34"/>
      <c r="Q51" s="34"/>
      <c r="R51" s="31"/>
      <c r="S51" s="31"/>
      <c r="T51" s="31"/>
      <c r="U51" s="31"/>
    </row>
    <row r="52" spans="1:21" x14ac:dyDescent="0.25">
      <c r="A52" s="7"/>
      <c r="B52" s="31" t="s">
        <v>125</v>
      </c>
      <c r="C52" s="31"/>
      <c r="D52" s="17">
        <v>6000</v>
      </c>
      <c r="E52" s="17">
        <v>6000</v>
      </c>
      <c r="F52" s="17">
        <v>6000</v>
      </c>
      <c r="G52" s="17">
        <v>6000</v>
      </c>
      <c r="H52" s="17">
        <v>6000</v>
      </c>
      <c r="I52" s="17">
        <v>6000</v>
      </c>
      <c r="J52" s="17">
        <v>6000</v>
      </c>
      <c r="K52" s="17">
        <v>6000</v>
      </c>
      <c r="L52" s="17">
        <v>6000</v>
      </c>
      <c r="M52" s="17">
        <v>6000</v>
      </c>
      <c r="N52" s="34"/>
      <c r="O52" s="34"/>
      <c r="P52" s="34"/>
      <c r="Q52" s="34"/>
      <c r="R52" s="31"/>
      <c r="S52" s="31"/>
      <c r="T52" s="31"/>
      <c r="U52" s="31"/>
    </row>
    <row r="53" spans="1:21" x14ac:dyDescent="0.25">
      <c r="A53" s="31"/>
      <c r="B53" s="31" t="s">
        <v>123</v>
      </c>
      <c r="C53" s="31"/>
      <c r="D53" s="17">
        <v>500</v>
      </c>
      <c r="E53" s="17">
        <v>500</v>
      </c>
      <c r="F53" s="17">
        <v>500</v>
      </c>
      <c r="G53" s="17">
        <v>500</v>
      </c>
      <c r="H53" s="17">
        <v>500</v>
      </c>
      <c r="I53" s="17">
        <v>500</v>
      </c>
      <c r="J53" s="17">
        <v>500</v>
      </c>
      <c r="K53" s="17">
        <v>500</v>
      </c>
      <c r="L53" s="17">
        <v>500</v>
      </c>
      <c r="M53" s="17">
        <v>500</v>
      </c>
      <c r="N53" s="34"/>
      <c r="O53" s="34"/>
      <c r="P53" s="34"/>
      <c r="Q53" s="34"/>
      <c r="R53" s="31"/>
      <c r="S53" s="31"/>
      <c r="T53" s="31"/>
      <c r="U53" s="31"/>
    </row>
    <row r="54" spans="1:21" x14ac:dyDescent="0.25">
      <c r="A54" s="7"/>
      <c r="B54" s="31"/>
      <c r="C54" s="31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4"/>
      <c r="O54" s="34"/>
      <c r="P54" s="34"/>
      <c r="Q54" s="34"/>
      <c r="R54" s="31"/>
      <c r="S54" s="31"/>
      <c r="T54" s="31"/>
      <c r="U54" s="31"/>
    </row>
    <row r="55" spans="1:21" ht="15.75" x14ac:dyDescent="0.25">
      <c r="A55" s="24" t="s">
        <v>133</v>
      </c>
      <c r="B55" s="31"/>
      <c r="C55" s="31"/>
      <c r="D55" s="36">
        <f>SUM(D39:D53)/7</f>
        <v>1507.8571428571429</v>
      </c>
      <c r="E55" s="36">
        <f t="shared" ref="E55:M55" si="18">SUM(E39:E53)/7</f>
        <v>1507.8571428571429</v>
      </c>
      <c r="F55" s="36">
        <f t="shared" si="18"/>
        <v>1508.5</v>
      </c>
      <c r="G55" s="36">
        <f t="shared" si="18"/>
        <v>1508.5</v>
      </c>
      <c r="H55" s="36">
        <f t="shared" si="18"/>
        <v>1508.5</v>
      </c>
      <c r="I55" s="36">
        <f t="shared" si="18"/>
        <v>1508.7857142857142</v>
      </c>
      <c r="J55" s="36">
        <f t="shared" si="18"/>
        <v>1509.0714285714287</v>
      </c>
      <c r="K55" s="36">
        <f t="shared" si="18"/>
        <v>1509.3571428571429</v>
      </c>
      <c r="L55" s="36">
        <f t="shared" si="18"/>
        <v>1509.6428571428571</v>
      </c>
      <c r="M55" s="36">
        <f t="shared" si="18"/>
        <v>1509.9285714285713</v>
      </c>
      <c r="N55" s="34"/>
      <c r="O55" s="34"/>
      <c r="P55" s="34"/>
      <c r="Q55" s="34"/>
      <c r="R55" s="31"/>
      <c r="S55" s="31"/>
      <c r="T55" s="31"/>
      <c r="U55" s="31"/>
    </row>
    <row r="56" spans="1:21" x14ac:dyDescent="0.25">
      <c r="A56" s="7"/>
      <c r="B56" s="31"/>
      <c r="C56" s="31"/>
      <c r="D56" s="17"/>
      <c r="E56" s="17"/>
      <c r="F56" s="17"/>
      <c r="G56" s="17"/>
      <c r="H56" s="17"/>
      <c r="I56" s="31"/>
      <c r="J56" s="31"/>
      <c r="K56" s="31"/>
      <c r="L56" s="31"/>
      <c r="M56" s="31"/>
      <c r="N56" s="34"/>
      <c r="O56" s="34"/>
      <c r="P56" s="34"/>
      <c r="Q56" s="34"/>
      <c r="R56" s="31"/>
      <c r="S56" s="31"/>
      <c r="T56" s="31"/>
      <c r="U56" s="31"/>
    </row>
    <row r="57" spans="1:21" x14ac:dyDescent="0.25">
      <c r="A57" s="7"/>
      <c r="B57" s="31"/>
      <c r="C57" s="31"/>
      <c r="D57" s="17"/>
      <c r="E57" s="17"/>
      <c r="F57" s="17"/>
      <c r="G57" s="17"/>
      <c r="H57" s="17"/>
      <c r="I57" s="31"/>
      <c r="J57" s="31"/>
      <c r="K57" s="31"/>
      <c r="L57" s="31"/>
      <c r="M57" s="31"/>
      <c r="N57" s="34"/>
      <c r="O57" s="34"/>
      <c r="P57" s="34"/>
      <c r="Q57" s="34"/>
      <c r="R57" s="31"/>
      <c r="S57" s="31"/>
      <c r="T57" s="31"/>
      <c r="U57" s="31"/>
    </row>
    <row r="58" spans="1:21" x14ac:dyDescent="0.25">
      <c r="A58" s="7"/>
      <c r="B58" s="31"/>
      <c r="C58" s="31"/>
      <c r="D58" s="17"/>
      <c r="E58" s="17"/>
      <c r="F58" s="17"/>
      <c r="G58" s="17"/>
      <c r="H58" s="17"/>
      <c r="I58" s="31"/>
      <c r="J58" s="31"/>
      <c r="K58" s="31"/>
      <c r="L58" s="31"/>
      <c r="M58" s="31"/>
      <c r="N58" s="34"/>
      <c r="O58" s="34"/>
      <c r="P58" s="34"/>
      <c r="Q58" s="34"/>
      <c r="R58" s="31"/>
      <c r="S58" s="31"/>
      <c r="T58" s="31"/>
      <c r="U58" s="31"/>
    </row>
    <row r="59" spans="1:2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4"/>
      <c r="O59" s="34"/>
      <c r="P59" s="34"/>
      <c r="Q59" s="34"/>
      <c r="R59" s="31"/>
      <c r="S59" s="31"/>
      <c r="T59" s="31"/>
      <c r="U59" s="31"/>
    </row>
    <row r="60" spans="1:21" ht="18.75" x14ac:dyDescent="0.3">
      <c r="A60" s="5" t="s">
        <v>16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4"/>
      <c r="O60" s="34"/>
      <c r="P60" s="34"/>
      <c r="Q60" s="34"/>
      <c r="R60" s="31"/>
      <c r="S60" s="31"/>
      <c r="T60" s="31"/>
      <c r="U60" s="31"/>
    </row>
    <row r="61" spans="1:21" x14ac:dyDescent="0.25">
      <c r="A61" s="31" t="s">
        <v>23</v>
      </c>
      <c r="B61" s="31"/>
      <c r="C61" s="31"/>
      <c r="D61" s="10">
        <f t="shared" ref="D61:M61" si="19">D6*D13</f>
        <v>500</v>
      </c>
      <c r="E61" s="10">
        <f t="shared" si="19"/>
        <v>509.99999999999994</v>
      </c>
      <c r="F61" s="10">
        <f t="shared" si="19"/>
        <v>572.22</v>
      </c>
      <c r="G61" s="10">
        <f t="shared" si="19"/>
        <v>583.6644</v>
      </c>
      <c r="H61" s="10">
        <f t="shared" si="19"/>
        <v>595.33768800000007</v>
      </c>
      <c r="I61" s="10">
        <f t="shared" si="19"/>
        <v>618.28524979200006</v>
      </c>
      <c r="J61" s="10">
        <f t="shared" si="19"/>
        <v>641.91257898048002</v>
      </c>
      <c r="K61" s="10">
        <f t="shared" si="19"/>
        <v>666.23768723658247</v>
      </c>
      <c r="L61" s="10">
        <f t="shared" si="19"/>
        <v>691.2790347913367</v>
      </c>
      <c r="M61" s="10">
        <f t="shared" si="19"/>
        <v>717.05554117338659</v>
      </c>
      <c r="N61" s="34"/>
      <c r="O61" s="34"/>
      <c r="P61" s="34"/>
      <c r="Q61" s="34"/>
      <c r="R61" s="31"/>
      <c r="S61" s="31"/>
      <c r="T61" s="31"/>
      <c r="U61" s="31"/>
    </row>
    <row r="62" spans="1:21" x14ac:dyDescent="0.25">
      <c r="A62" s="31" t="s">
        <v>22</v>
      </c>
      <c r="B62" s="31"/>
      <c r="C62" s="31"/>
      <c r="D62" s="10">
        <f>(D5*D12)</f>
        <v>122500</v>
      </c>
      <c r="E62" s="10">
        <f>(E5*E12)</f>
        <v>124950.00000000001</v>
      </c>
      <c r="F62" s="10">
        <f>(F5*F12)</f>
        <v>140193.90000000002</v>
      </c>
      <c r="G62" s="10">
        <f>(G5*G12)</f>
        <v>142997.77800000002</v>
      </c>
      <c r="H62" s="10">
        <f>(H5*H12)</f>
        <v>145857.73356000002</v>
      </c>
      <c r="I62" s="10">
        <f t="shared" ref="I62:M62" si="20">(I5*I12)</f>
        <v>151479.88619904002</v>
      </c>
      <c r="J62" s="10">
        <f t="shared" si="20"/>
        <v>157268.58185021763</v>
      </c>
      <c r="K62" s="10">
        <f t="shared" si="20"/>
        <v>163228.23337296271</v>
      </c>
      <c r="L62" s="10">
        <f t="shared" si="20"/>
        <v>169363.36352387755</v>
      </c>
      <c r="M62" s="10">
        <f t="shared" si="20"/>
        <v>175678.60758747975</v>
      </c>
      <c r="N62" s="34"/>
      <c r="O62" s="34"/>
      <c r="P62" s="34"/>
      <c r="Q62" s="34"/>
      <c r="R62" s="31"/>
      <c r="S62" s="31"/>
      <c r="T62" s="31"/>
      <c r="U62" s="31"/>
    </row>
    <row r="63" spans="1:21" x14ac:dyDescent="0.25">
      <c r="A63" s="31" t="s">
        <v>17</v>
      </c>
      <c r="B63" s="31"/>
      <c r="C63" s="31"/>
      <c r="D63" s="10">
        <f>(D7*D14)</f>
        <v>26250</v>
      </c>
      <c r="E63" s="10">
        <f>(E7*E14)</f>
        <v>28875.000000000004</v>
      </c>
      <c r="F63" s="10">
        <f>(F7*F14)</f>
        <v>34938.750000000007</v>
      </c>
      <c r="G63" s="10">
        <f>(G7*G14)</f>
        <v>38432.625000000015</v>
      </c>
      <c r="H63" s="10">
        <f>(H7*H14)</f>
        <v>42275.887500000019</v>
      </c>
      <c r="I63" s="10">
        <f t="shared" ref="I63:M63" si="21">(I7*I14)</f>
        <v>47348.994000000021</v>
      </c>
      <c r="J63" s="10">
        <f t="shared" si="21"/>
        <v>53013.962925000029</v>
      </c>
      <c r="K63" s="10">
        <f t="shared" si="21"/>
        <v>59338.435695000044</v>
      </c>
      <c r="L63" s="10">
        <f t="shared" si="21"/>
        <v>66397.663389750043</v>
      </c>
      <c r="M63" s="10">
        <f t="shared" si="21"/>
        <v>74275.352266500064</v>
      </c>
      <c r="N63" s="34"/>
      <c r="O63" s="34"/>
      <c r="P63" s="34"/>
      <c r="Q63" s="34"/>
      <c r="R63" s="31"/>
      <c r="S63" s="31"/>
      <c r="T63" s="31"/>
      <c r="U63" s="31"/>
    </row>
    <row r="64" spans="1:21" x14ac:dyDescent="0.25">
      <c r="A64" s="31" t="s">
        <v>18</v>
      </c>
      <c r="B64" s="31"/>
      <c r="C64" s="31"/>
      <c r="D64" s="10">
        <f>D9*D16</f>
        <v>21000</v>
      </c>
      <c r="E64" s="10">
        <f>E9*E16</f>
        <v>21420</v>
      </c>
      <c r="F64" s="10">
        <f>F9*F16</f>
        <v>24033.24</v>
      </c>
      <c r="G64" s="10">
        <f>G9*G16</f>
        <v>24513.904799999997</v>
      </c>
      <c r="H64" s="10">
        <f>H9*H16</f>
        <v>25004.182895999998</v>
      </c>
      <c r="I64" s="10">
        <f t="shared" ref="I64:M64" si="22">I9*I16</f>
        <v>25967.980491263999</v>
      </c>
      <c r="J64" s="10">
        <f t="shared" si="22"/>
        <v>26960.328317180163</v>
      </c>
      <c r="K64" s="10">
        <f t="shared" si="22"/>
        <v>27981.98286393646</v>
      </c>
      <c r="L64" s="10">
        <f t="shared" si="22"/>
        <v>29033.719461236145</v>
      </c>
      <c r="M64" s="10">
        <f t="shared" si="22"/>
        <v>30116.33272928224</v>
      </c>
      <c r="N64" s="34"/>
      <c r="O64" s="34"/>
      <c r="P64" s="34"/>
      <c r="Q64" s="34"/>
      <c r="R64" s="31"/>
      <c r="S64" s="31"/>
      <c r="T64" s="31"/>
      <c r="U64" s="31"/>
    </row>
    <row r="65" spans="1:21" x14ac:dyDescent="0.25">
      <c r="A65" s="31" t="s">
        <v>19</v>
      </c>
      <c r="B65" s="31"/>
      <c r="C65" s="31"/>
      <c r="D65" s="10">
        <f>D8*D15*(D12*0.02)</f>
        <v>42000</v>
      </c>
      <c r="E65" s="10">
        <f>E8*E15*(E12*0.02)</f>
        <v>42420.000000000007</v>
      </c>
      <c r="F65" s="10">
        <f>F8*F15*(F12*0.02)</f>
        <v>47128.62</v>
      </c>
      <c r="G65" s="10">
        <f>G8*G15*(G12*0.02)</f>
        <v>47599.906200000005</v>
      </c>
      <c r="H65" s="10">
        <f>H8*H15*(H12*0.02)</f>
        <v>48075.905262000007</v>
      </c>
      <c r="I65" s="10">
        <f t="shared" ref="I65:M65" si="23">I8*I15*(I12*0.02)</f>
        <v>49439.512756704011</v>
      </c>
      <c r="J65" s="10">
        <f t="shared" si="23"/>
        <v>50825.584810775894</v>
      </c>
      <c r="K65" s="10">
        <f t="shared" si="23"/>
        <v>52234.434354653538</v>
      </c>
      <c r="L65" s="10">
        <f t="shared" si="23"/>
        <v>53666.378330927662</v>
      </c>
      <c r="M65" s="10">
        <f t="shared" si="23"/>
        <v>55121.7377432918</v>
      </c>
      <c r="N65" s="34"/>
      <c r="O65" s="34"/>
      <c r="P65" s="34"/>
      <c r="Q65" s="34"/>
      <c r="R65" s="31"/>
      <c r="S65" s="31"/>
      <c r="T65" s="31"/>
      <c r="U65" s="31"/>
    </row>
    <row r="66" spans="1:21" x14ac:dyDescent="0.25">
      <c r="A66" s="31" t="s">
        <v>35</v>
      </c>
      <c r="B66" s="31"/>
      <c r="C66" s="31"/>
      <c r="D66" s="10">
        <f t="shared" ref="D66:M68" si="24">+D18*D22</f>
        <v>7800</v>
      </c>
      <c r="E66" s="10">
        <f t="shared" si="24"/>
        <v>7800</v>
      </c>
      <c r="F66" s="10">
        <f t="shared" si="24"/>
        <v>7800</v>
      </c>
      <c r="G66" s="10">
        <f t="shared" si="24"/>
        <v>9450</v>
      </c>
      <c r="H66" s="10">
        <f t="shared" si="24"/>
        <v>9450</v>
      </c>
      <c r="I66" s="10">
        <f t="shared" si="24"/>
        <v>9450</v>
      </c>
      <c r="J66" s="10">
        <f t="shared" si="24"/>
        <v>9450</v>
      </c>
      <c r="K66" s="10">
        <f t="shared" si="24"/>
        <v>9450</v>
      </c>
      <c r="L66" s="10">
        <f t="shared" si="24"/>
        <v>9450</v>
      </c>
      <c r="M66" s="10">
        <f t="shared" si="24"/>
        <v>9450</v>
      </c>
      <c r="N66" s="34"/>
      <c r="O66" s="34"/>
      <c r="P66" s="34"/>
      <c r="Q66" s="34"/>
      <c r="R66" s="31"/>
      <c r="S66" s="31"/>
      <c r="T66" s="31"/>
      <c r="U66" s="31"/>
    </row>
    <row r="67" spans="1:21" x14ac:dyDescent="0.25">
      <c r="A67" s="31" t="s">
        <v>36</v>
      </c>
      <c r="B67" s="31"/>
      <c r="C67" s="31"/>
      <c r="D67" s="10">
        <f t="shared" si="24"/>
        <v>6900</v>
      </c>
      <c r="E67" s="10">
        <f t="shared" si="24"/>
        <v>6900</v>
      </c>
      <c r="F67" s="10">
        <f t="shared" si="24"/>
        <v>6900</v>
      </c>
      <c r="G67" s="10">
        <f t="shared" si="24"/>
        <v>8400</v>
      </c>
      <c r="H67" s="10">
        <f t="shared" si="24"/>
        <v>8400</v>
      </c>
      <c r="I67" s="10">
        <f t="shared" si="24"/>
        <v>8400</v>
      </c>
      <c r="J67" s="10">
        <f t="shared" si="24"/>
        <v>8400</v>
      </c>
      <c r="K67" s="10">
        <f t="shared" si="24"/>
        <v>8400</v>
      </c>
      <c r="L67" s="10">
        <f t="shared" si="24"/>
        <v>8400</v>
      </c>
      <c r="M67" s="10">
        <f t="shared" si="24"/>
        <v>8400</v>
      </c>
      <c r="N67" s="34"/>
      <c r="O67" s="34"/>
      <c r="P67" s="34"/>
      <c r="Q67" s="34"/>
      <c r="R67" s="31"/>
      <c r="S67" s="31"/>
      <c r="T67" s="31"/>
      <c r="U67" s="31"/>
    </row>
    <row r="68" spans="1:21" x14ac:dyDescent="0.25">
      <c r="A68" s="31" t="s">
        <v>37</v>
      </c>
      <c r="B68" s="31"/>
      <c r="C68" s="31"/>
      <c r="D68" s="10">
        <f t="shared" si="24"/>
        <v>6000</v>
      </c>
      <c r="E68" s="10">
        <f t="shared" si="24"/>
        <v>6000</v>
      </c>
      <c r="F68" s="10">
        <f t="shared" si="24"/>
        <v>6000</v>
      </c>
      <c r="G68" s="10">
        <f t="shared" si="24"/>
        <v>7350</v>
      </c>
      <c r="H68" s="10">
        <f t="shared" si="24"/>
        <v>7350</v>
      </c>
      <c r="I68" s="10">
        <f t="shared" si="24"/>
        <v>7350</v>
      </c>
      <c r="J68" s="10">
        <f t="shared" si="24"/>
        <v>7350</v>
      </c>
      <c r="K68" s="10">
        <f t="shared" si="24"/>
        <v>7350</v>
      </c>
      <c r="L68" s="10">
        <f t="shared" si="24"/>
        <v>7350</v>
      </c>
      <c r="M68" s="10">
        <f t="shared" si="24"/>
        <v>7350</v>
      </c>
      <c r="N68" s="34"/>
      <c r="O68" s="34"/>
      <c r="P68" s="34"/>
      <c r="Q68" s="34"/>
      <c r="R68" s="31"/>
      <c r="S68" s="31"/>
      <c r="T68" s="31"/>
      <c r="U68" s="31"/>
    </row>
    <row r="69" spans="1:21" x14ac:dyDescent="0.25">
      <c r="A69" s="31" t="s">
        <v>25</v>
      </c>
      <c r="B69" s="31"/>
      <c r="C69" s="31"/>
      <c r="D69" s="10">
        <f t="shared" ref="D69:M70" si="25">D10*D25</f>
        <v>3250</v>
      </c>
      <c r="E69" s="10">
        <f t="shared" si="25"/>
        <v>3250</v>
      </c>
      <c r="F69" s="10">
        <f t="shared" si="25"/>
        <v>3250</v>
      </c>
      <c r="G69" s="10">
        <f t="shared" si="25"/>
        <v>3500</v>
      </c>
      <c r="H69" s="10">
        <f t="shared" si="25"/>
        <v>3500</v>
      </c>
      <c r="I69" s="10">
        <f t="shared" si="25"/>
        <v>3500</v>
      </c>
      <c r="J69" s="10">
        <f t="shared" si="25"/>
        <v>3500</v>
      </c>
      <c r="K69" s="10">
        <f t="shared" si="25"/>
        <v>3500</v>
      </c>
      <c r="L69" s="10">
        <f t="shared" si="25"/>
        <v>3500</v>
      </c>
      <c r="M69" s="10">
        <f t="shared" si="25"/>
        <v>3500</v>
      </c>
      <c r="N69" s="34"/>
      <c r="O69" s="34"/>
      <c r="P69" s="34"/>
      <c r="Q69" s="34"/>
      <c r="R69" s="31"/>
      <c r="S69" s="31"/>
      <c r="T69" s="31"/>
      <c r="U69" s="31"/>
    </row>
    <row r="70" spans="1:21" x14ac:dyDescent="0.25">
      <c r="A70" s="31" t="s">
        <v>24</v>
      </c>
      <c r="B70" s="31"/>
      <c r="C70" s="31"/>
      <c r="D70" s="10">
        <f t="shared" si="25"/>
        <v>3200</v>
      </c>
      <c r="E70" s="10">
        <f t="shared" si="25"/>
        <v>3200</v>
      </c>
      <c r="F70" s="10">
        <f t="shared" si="25"/>
        <v>3200</v>
      </c>
      <c r="G70" s="10">
        <f t="shared" si="25"/>
        <v>3400</v>
      </c>
      <c r="H70" s="10">
        <f t="shared" si="25"/>
        <v>3400</v>
      </c>
      <c r="I70" s="10">
        <f t="shared" si="25"/>
        <v>3400</v>
      </c>
      <c r="J70" s="10">
        <f t="shared" si="25"/>
        <v>3400</v>
      </c>
      <c r="K70" s="10">
        <f t="shared" si="25"/>
        <v>3400</v>
      </c>
      <c r="L70" s="10">
        <f t="shared" si="25"/>
        <v>3400</v>
      </c>
      <c r="M70" s="10">
        <f t="shared" si="25"/>
        <v>3400</v>
      </c>
      <c r="N70" s="34"/>
      <c r="O70" s="34"/>
      <c r="P70" s="34"/>
      <c r="Q70" s="34"/>
      <c r="R70" s="31"/>
      <c r="S70" s="31"/>
      <c r="T70" s="31"/>
      <c r="U70" s="31"/>
    </row>
    <row r="71" spans="1:21" x14ac:dyDescent="0.25">
      <c r="A71" s="31" t="s">
        <v>45</v>
      </c>
      <c r="B71" s="31"/>
      <c r="C71" s="31"/>
      <c r="D71" s="10">
        <f>+D27</f>
        <v>98000</v>
      </c>
      <c r="E71" s="10">
        <f>+E27</f>
        <v>98000</v>
      </c>
      <c r="F71" s="10">
        <f>+F27</f>
        <v>107800</v>
      </c>
      <c r="G71" s="10">
        <f>+G27</f>
        <v>107800</v>
      </c>
      <c r="H71" s="10">
        <f>+H27</f>
        <v>107800</v>
      </c>
      <c r="I71" s="10">
        <f t="shared" ref="I71:M71" si="26">+I27</f>
        <v>109760</v>
      </c>
      <c r="J71" s="10">
        <f t="shared" si="26"/>
        <v>111720</v>
      </c>
      <c r="K71" s="10">
        <f t="shared" si="26"/>
        <v>113680</v>
      </c>
      <c r="L71" s="10">
        <f t="shared" si="26"/>
        <v>115640</v>
      </c>
      <c r="M71" s="10">
        <f t="shared" si="26"/>
        <v>117600</v>
      </c>
      <c r="N71" s="34"/>
      <c r="O71" s="34"/>
      <c r="P71" s="34"/>
      <c r="Q71" s="34"/>
      <c r="R71" s="31"/>
      <c r="S71" s="31"/>
      <c r="T71" s="31"/>
      <c r="U71" s="31"/>
    </row>
    <row r="72" spans="1:21" x14ac:dyDescent="0.25">
      <c r="A72" s="31" t="s">
        <v>96</v>
      </c>
      <c r="B72" s="31"/>
      <c r="C72" s="31"/>
      <c r="D72" s="10">
        <f>D33*365</f>
        <v>15968.75</v>
      </c>
      <c r="E72" s="10">
        <f>E33*365</f>
        <v>16767.1875</v>
      </c>
      <c r="F72" s="10">
        <f>F33*365</f>
        <v>17605.546875</v>
      </c>
      <c r="G72" s="10">
        <f>G33*365</f>
        <v>18485.824218750004</v>
      </c>
      <c r="H72" s="10">
        <f>H33*365</f>
        <v>19410.115429687503</v>
      </c>
      <c r="I72" s="10">
        <f t="shared" ref="I72:M72" si="27">I33*365</f>
        <v>20380.621201171878</v>
      </c>
      <c r="J72" s="10">
        <f t="shared" si="27"/>
        <v>21399.652261230473</v>
      </c>
      <c r="K72" s="10">
        <f t="shared" si="27"/>
        <v>22469.634874291998</v>
      </c>
      <c r="L72" s="10">
        <f t="shared" si="27"/>
        <v>23593.116618006599</v>
      </c>
      <c r="M72" s="10">
        <f t="shared" si="27"/>
        <v>24772.77244890693</v>
      </c>
      <c r="N72" s="34"/>
      <c r="O72" s="34"/>
      <c r="P72" s="34"/>
      <c r="Q72" s="34"/>
      <c r="R72" s="31"/>
      <c r="S72" s="31"/>
      <c r="T72" s="31"/>
      <c r="U72" s="31"/>
    </row>
    <row r="73" spans="1:21" x14ac:dyDescent="0.25">
      <c r="A73" s="31" t="s">
        <v>99</v>
      </c>
      <c r="B73" s="31"/>
      <c r="C73" s="31"/>
      <c r="D73" s="10">
        <f>D34</f>
        <v>72000</v>
      </c>
      <c r="E73" s="10">
        <f>E34</f>
        <v>72720</v>
      </c>
      <c r="F73" s="10">
        <f>F34</f>
        <v>73447.199999999997</v>
      </c>
      <c r="G73" s="10">
        <f>G34</f>
        <v>74181.671999999991</v>
      </c>
      <c r="H73" s="10">
        <f>H34</f>
        <v>74923.488719999994</v>
      </c>
      <c r="I73" s="10">
        <f t="shared" ref="I73:M73" si="28">I34</f>
        <v>75672.723607199994</v>
      </c>
      <c r="J73" s="10">
        <f t="shared" si="28"/>
        <v>76429.450843271989</v>
      </c>
      <c r="K73" s="10">
        <f t="shared" si="28"/>
        <v>77193.745351704711</v>
      </c>
      <c r="L73" s="10">
        <f t="shared" si="28"/>
        <v>77965.682805221761</v>
      </c>
      <c r="M73" s="10">
        <f t="shared" si="28"/>
        <v>78745.339633273979</v>
      </c>
      <c r="N73" s="34"/>
      <c r="O73" s="34"/>
      <c r="P73" s="34"/>
      <c r="Q73" s="34"/>
      <c r="R73" s="31"/>
      <c r="S73" s="31"/>
      <c r="T73" s="31"/>
      <c r="U73" s="31"/>
    </row>
    <row r="74" spans="1:2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4"/>
      <c r="O74" s="34"/>
      <c r="P74" s="34"/>
      <c r="Q74" s="34"/>
      <c r="R74" s="31"/>
      <c r="S74" s="31"/>
      <c r="T74" s="31"/>
      <c r="U74" s="31"/>
    </row>
    <row r="75" spans="1:21" x14ac:dyDescent="0.25">
      <c r="A75" s="31" t="s">
        <v>145</v>
      </c>
      <c r="B75" s="31"/>
      <c r="C75" s="31"/>
      <c r="D75" s="13">
        <f>SUM(D61:D73)</f>
        <v>425368.75</v>
      </c>
      <c r="E75" s="13">
        <f t="shared" ref="E75:M75" si="29">SUM(E61:E73)</f>
        <v>432812.1875</v>
      </c>
      <c r="F75" s="13">
        <f t="shared" si="29"/>
        <v>472869.47687499999</v>
      </c>
      <c r="G75" s="13">
        <f t="shared" si="29"/>
        <v>486695.37461875007</v>
      </c>
      <c r="H75" s="13">
        <f t="shared" si="29"/>
        <v>496042.65105568746</v>
      </c>
      <c r="I75" s="13">
        <f t="shared" si="29"/>
        <v>512768.00350517198</v>
      </c>
      <c r="J75" s="13">
        <f t="shared" si="29"/>
        <v>530359.47358665662</v>
      </c>
      <c r="K75" s="13">
        <f t="shared" si="29"/>
        <v>548892.70419978607</v>
      </c>
      <c r="L75" s="13">
        <f t="shared" si="29"/>
        <v>568451.20316381112</v>
      </c>
      <c r="M75" s="13">
        <f t="shared" si="29"/>
        <v>589127.19794990821</v>
      </c>
      <c r="N75" s="34"/>
      <c r="O75" s="34"/>
      <c r="P75" s="34"/>
      <c r="Q75" s="34"/>
      <c r="R75" s="31"/>
      <c r="S75" s="31"/>
      <c r="T75" s="31"/>
      <c r="U75" s="31"/>
    </row>
    <row r="76" spans="1:2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4"/>
      <c r="O76" s="34"/>
      <c r="P76" s="34"/>
      <c r="Q76" s="34"/>
      <c r="R76" s="31"/>
      <c r="S76" s="31"/>
      <c r="T76" s="31"/>
      <c r="U76" s="31"/>
    </row>
    <row r="77" spans="1:21" x14ac:dyDescent="0.25">
      <c r="A77" s="31" t="s">
        <v>31</v>
      </c>
      <c r="B77" s="31"/>
      <c r="C77" s="31"/>
      <c r="D77" s="10">
        <f>+D71*0.5</f>
        <v>49000</v>
      </c>
      <c r="E77" s="10">
        <f t="shared" ref="E77:M77" si="30">+E71*0.5</f>
        <v>49000</v>
      </c>
      <c r="F77" s="10">
        <f t="shared" si="30"/>
        <v>53900</v>
      </c>
      <c r="G77" s="10">
        <f t="shared" si="30"/>
        <v>53900</v>
      </c>
      <c r="H77" s="10">
        <f t="shared" si="30"/>
        <v>53900</v>
      </c>
      <c r="I77" s="10">
        <f t="shared" si="30"/>
        <v>54880</v>
      </c>
      <c r="J77" s="10">
        <f t="shared" si="30"/>
        <v>55860</v>
      </c>
      <c r="K77" s="10">
        <f>+K71*0.5</f>
        <v>56840</v>
      </c>
      <c r="L77" s="10">
        <f t="shared" si="30"/>
        <v>57820</v>
      </c>
      <c r="M77" s="10">
        <f t="shared" si="30"/>
        <v>58800</v>
      </c>
      <c r="N77" s="34"/>
      <c r="O77" s="34"/>
      <c r="P77" s="34"/>
      <c r="Q77" s="34"/>
      <c r="R77" s="31"/>
      <c r="S77" s="31"/>
      <c r="T77" s="31"/>
      <c r="U77" s="31"/>
    </row>
    <row r="78" spans="1:21" x14ac:dyDescent="0.25">
      <c r="A78" s="31"/>
      <c r="B78" s="31"/>
      <c r="C78" s="31"/>
      <c r="D78" s="10"/>
      <c r="E78" s="10"/>
      <c r="F78" s="10"/>
      <c r="G78" s="10"/>
      <c r="H78" s="10"/>
      <c r="I78" s="31"/>
      <c r="J78" s="31"/>
      <c r="K78" s="31"/>
      <c r="L78" s="31"/>
      <c r="M78" s="31"/>
      <c r="N78" s="34"/>
      <c r="O78" s="34"/>
      <c r="P78" s="34"/>
      <c r="Q78" s="34"/>
      <c r="R78" s="31"/>
      <c r="S78" s="31"/>
      <c r="T78" s="31"/>
      <c r="U78" s="31"/>
    </row>
    <row r="79" spans="1:21" x14ac:dyDescent="0.25">
      <c r="A79" s="31" t="s">
        <v>146</v>
      </c>
      <c r="B79" s="31"/>
      <c r="C79" s="31"/>
      <c r="D79" s="10">
        <f>D75-D77</f>
        <v>376368.75</v>
      </c>
      <c r="E79" s="10">
        <f t="shared" ref="E79:M79" si="31">E75-E77</f>
        <v>383812.1875</v>
      </c>
      <c r="F79" s="10">
        <f t="shared" si="31"/>
        <v>418969.47687499999</v>
      </c>
      <c r="G79" s="10">
        <f t="shared" si="31"/>
        <v>432795.37461875007</v>
      </c>
      <c r="H79" s="10">
        <f t="shared" si="31"/>
        <v>442142.65105568746</v>
      </c>
      <c r="I79" s="10">
        <f t="shared" si="31"/>
        <v>457888.00350517198</v>
      </c>
      <c r="J79" s="10">
        <f t="shared" si="31"/>
        <v>474499.47358665662</v>
      </c>
      <c r="K79" s="10">
        <f t="shared" si="31"/>
        <v>492052.70419978607</v>
      </c>
      <c r="L79" s="10">
        <f t="shared" si="31"/>
        <v>510631.20316381112</v>
      </c>
      <c r="M79" s="10">
        <f t="shared" si="31"/>
        <v>530327.19794990821</v>
      </c>
      <c r="N79" s="34"/>
      <c r="O79" s="34"/>
      <c r="P79" s="34"/>
      <c r="Q79" s="34"/>
      <c r="R79" s="31"/>
      <c r="S79" s="31"/>
      <c r="T79" s="31"/>
      <c r="U79" s="31"/>
    </row>
    <row r="80" spans="1:21" ht="18.75" x14ac:dyDescent="0.3">
      <c r="A80" s="5" t="s">
        <v>26</v>
      </c>
      <c r="B80" s="32"/>
      <c r="C80" s="32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5"/>
      <c r="O80" s="35"/>
      <c r="P80" s="35"/>
      <c r="Q80" s="34"/>
      <c r="R80" s="31"/>
      <c r="S80" s="31"/>
      <c r="T80" s="31"/>
      <c r="U80" s="31"/>
    </row>
    <row r="81" spans="1:21" x14ac:dyDescent="0.25">
      <c r="A81" s="31" t="s">
        <v>27</v>
      </c>
      <c r="B81" s="31"/>
      <c r="C81" s="31"/>
      <c r="D81" s="10">
        <f>+D31*$N$81</f>
        <v>122500.00000000001</v>
      </c>
      <c r="E81" s="10">
        <f>+E31*$N$81</f>
        <v>122500.00000000001</v>
      </c>
      <c r="F81" s="10">
        <f>+F31*$N$81</f>
        <v>122500.00000000001</v>
      </c>
      <c r="G81" s="10">
        <f>+G31*$N$81</f>
        <v>122500.00000000001</v>
      </c>
      <c r="H81" s="10">
        <f>+H31*$N$81</f>
        <v>122500.00000000001</v>
      </c>
      <c r="I81" s="10">
        <f t="shared" ref="I81:M81" si="32">+I31*$N$81</f>
        <v>122500.00000000001</v>
      </c>
      <c r="J81" s="10">
        <f t="shared" si="32"/>
        <v>122500.00000000001</v>
      </c>
      <c r="K81" s="10">
        <f t="shared" si="32"/>
        <v>122500.00000000001</v>
      </c>
      <c r="L81" s="10">
        <f t="shared" si="32"/>
        <v>122500.00000000001</v>
      </c>
      <c r="M81" s="10">
        <f t="shared" si="32"/>
        <v>122500.00000000001</v>
      </c>
      <c r="N81" s="35">
        <v>7.0000000000000007E-2</v>
      </c>
      <c r="O81" s="35" t="s">
        <v>50</v>
      </c>
      <c r="P81" s="35"/>
      <c r="Q81" s="34"/>
      <c r="R81" s="31"/>
      <c r="S81" s="31"/>
      <c r="T81" s="31"/>
      <c r="U81" s="31"/>
    </row>
    <row r="82" spans="1:21" x14ac:dyDescent="0.25">
      <c r="A82" s="31" t="s">
        <v>28</v>
      </c>
      <c r="B82" s="31"/>
      <c r="C82" s="31"/>
      <c r="D82" s="10">
        <f>+(D29+D30)*$N$82</f>
        <v>117000</v>
      </c>
      <c r="E82" s="10">
        <f>+(E29+E30)*$N$82</f>
        <v>117000</v>
      </c>
      <c r="F82" s="10">
        <f>+(F29+F30)*$N$82</f>
        <v>117000</v>
      </c>
      <c r="G82" s="10">
        <f>+(G29+G30)*$N$82</f>
        <v>117000</v>
      </c>
      <c r="H82" s="10">
        <f>+(H29+H30)*$N$82</f>
        <v>117000</v>
      </c>
      <c r="I82" s="10">
        <f t="shared" ref="I82:M82" si="33">+(I29+I30)*$N$82</f>
        <v>117000</v>
      </c>
      <c r="J82" s="10">
        <f t="shared" si="33"/>
        <v>117000</v>
      </c>
      <c r="K82" s="10">
        <f t="shared" si="33"/>
        <v>117000</v>
      </c>
      <c r="L82" s="10">
        <f t="shared" si="33"/>
        <v>117000</v>
      </c>
      <c r="M82" s="10">
        <f t="shared" si="33"/>
        <v>117000</v>
      </c>
      <c r="N82" s="35">
        <f>((8*5)+12+8)/7*350</f>
        <v>3000</v>
      </c>
      <c r="O82" s="35" t="s">
        <v>49</v>
      </c>
      <c r="P82" s="35"/>
      <c r="Q82" s="34"/>
      <c r="R82" s="31"/>
      <c r="S82" s="31"/>
      <c r="T82" s="31"/>
      <c r="U82" s="31"/>
    </row>
    <row r="83" spans="1:21" x14ac:dyDescent="0.25">
      <c r="A83" s="31" t="s">
        <v>65</v>
      </c>
      <c r="B83" s="31"/>
      <c r="C83" s="31"/>
      <c r="D83" s="50">
        <v>5000</v>
      </c>
      <c r="E83" s="50">
        <f>E75*$N$83</f>
        <v>5087.4939390822665</v>
      </c>
      <c r="F83" s="50">
        <f t="shared" ref="F83:M83" si="34">F75*$N$83</f>
        <v>5558.3476322014722</v>
      </c>
      <c r="G83" s="50">
        <f t="shared" si="34"/>
        <v>5720.8642456545067</v>
      </c>
      <c r="H83" s="50">
        <f t="shared" si="34"/>
        <v>5830.7368730740973</v>
      </c>
      <c r="I83" s="50">
        <f t="shared" si="34"/>
        <v>6027.3351475063928</v>
      </c>
      <c r="J83" s="50">
        <f t="shared" si="34"/>
        <v>6234.1142078097728</v>
      </c>
      <c r="K83" s="50">
        <f t="shared" si="34"/>
        <v>6451.9631989865975</v>
      </c>
      <c r="L83" s="50">
        <f t="shared" si="34"/>
        <v>6681.86371429273</v>
      </c>
      <c r="M83" s="50">
        <f t="shared" si="34"/>
        <v>6924.8998421946626</v>
      </c>
      <c r="N83" s="47">
        <f>D83/D75</f>
        <v>1.1754507118823374E-2</v>
      </c>
      <c r="O83" s="35"/>
      <c r="P83" s="35"/>
      <c r="Q83" s="34"/>
      <c r="R83" s="31"/>
      <c r="S83" s="31"/>
      <c r="T83" s="31"/>
      <c r="U83" s="31"/>
    </row>
    <row r="84" spans="1:21" x14ac:dyDescent="0.25">
      <c r="A84" s="31" t="s">
        <v>29</v>
      </c>
      <c r="B84" s="31"/>
      <c r="C84" s="31"/>
      <c r="D84" s="10">
        <v>5000</v>
      </c>
      <c r="E84" s="50">
        <f>E75*$N$84</f>
        <v>5087.4939390822665</v>
      </c>
      <c r="F84" s="50">
        <f t="shared" ref="F84:H84" si="35">F75*$N$84</f>
        <v>5558.3476322014722</v>
      </c>
      <c r="G84" s="50">
        <f t="shared" si="35"/>
        <v>5720.8642456545067</v>
      </c>
      <c r="H84" s="50">
        <f t="shared" si="35"/>
        <v>5830.7368730740973</v>
      </c>
      <c r="I84" s="10">
        <f t="shared" ref="I84:M84" si="36">+H84*(1+$N$84)</f>
        <v>5899.2743111566333</v>
      </c>
      <c r="J84" s="10">
        <f t="shared" si="36"/>
        <v>5968.6173730430164</v>
      </c>
      <c r="K84" s="10">
        <f t="shared" si="36"/>
        <v>6038.7755284439836</v>
      </c>
      <c r="L84" s="10">
        <f t="shared" si="36"/>
        <v>6109.7583583820551</v>
      </c>
      <c r="M84" s="10">
        <f t="shared" si="36"/>
        <v>6181.5755564999481</v>
      </c>
      <c r="N84" s="45">
        <f>D84/D75</f>
        <v>1.1754507118823374E-2</v>
      </c>
      <c r="O84" s="35"/>
      <c r="P84" s="35"/>
      <c r="Q84" s="34"/>
      <c r="R84" s="31"/>
      <c r="S84" s="31"/>
      <c r="T84" s="31"/>
      <c r="U84" s="31"/>
    </row>
    <row r="85" spans="1:21" x14ac:dyDescent="0.25">
      <c r="A85" s="31" t="s">
        <v>30</v>
      </c>
      <c r="B85" s="31"/>
      <c r="C85" s="31"/>
      <c r="D85" s="10">
        <f>+(500000-SUM(D61:D73))*0.2</f>
        <v>14926.25</v>
      </c>
      <c r="E85" s="10">
        <f t="shared" ref="E85:H85" si="37">+(500000-SUM(E61:E73))*0.2</f>
        <v>13437.5625</v>
      </c>
      <c r="F85" s="10">
        <f t="shared" si="37"/>
        <v>5426.1046250000018</v>
      </c>
      <c r="G85" s="10">
        <f t="shared" si="37"/>
        <v>2660.9250762499869</v>
      </c>
      <c r="H85" s="10">
        <f t="shared" si="37"/>
        <v>791.46978886250872</v>
      </c>
      <c r="I85" s="10">
        <f t="shared" ref="I85:M85" si="38">+(500000-SUM(I62:I71))*0.2</f>
        <v>16780.725310598384</v>
      </c>
      <c r="J85" s="10">
        <f t="shared" si="38"/>
        <v>13622.308419365261</v>
      </c>
      <c r="K85" s="10">
        <f t="shared" si="38"/>
        <v>10287.382742689446</v>
      </c>
      <c r="L85" s="10">
        <f t="shared" si="38"/>
        <v>6759.7750588417293</v>
      </c>
      <c r="M85" s="10">
        <f t="shared" si="38"/>
        <v>3021.5939346892296</v>
      </c>
      <c r="N85" s="35"/>
      <c r="O85" s="35"/>
      <c r="P85" s="35"/>
      <c r="Q85" s="34"/>
      <c r="R85" s="31"/>
      <c r="S85" s="31"/>
      <c r="T85" s="31"/>
      <c r="U85" s="31"/>
    </row>
    <row r="86" spans="1:21" x14ac:dyDescent="0.25">
      <c r="A86" s="31"/>
      <c r="B86" s="31"/>
      <c r="C86" s="31"/>
      <c r="D86" s="31"/>
      <c r="E86" s="31"/>
      <c r="F86" s="31"/>
      <c r="G86" s="31"/>
      <c r="H86" s="31"/>
      <c r="I86" s="10"/>
      <c r="J86" s="10"/>
      <c r="K86" s="10"/>
      <c r="L86" s="10"/>
      <c r="M86" s="10"/>
      <c r="N86" s="35"/>
      <c r="O86" s="35"/>
      <c r="P86" s="35"/>
      <c r="Q86" s="34"/>
      <c r="R86" s="31"/>
      <c r="S86" s="31"/>
      <c r="T86" s="31"/>
      <c r="U86" s="31"/>
    </row>
    <row r="87" spans="1:21" x14ac:dyDescent="0.25">
      <c r="A87" s="31"/>
      <c r="B87" s="31"/>
      <c r="C87" s="3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35"/>
      <c r="O87" s="35"/>
      <c r="P87" s="35"/>
      <c r="Q87" s="34"/>
      <c r="R87" s="31"/>
      <c r="S87" s="31"/>
      <c r="T87" s="31"/>
      <c r="U87" s="31"/>
    </row>
    <row r="88" spans="1:21" x14ac:dyDescent="0.25">
      <c r="A88" s="31" t="s">
        <v>144</v>
      </c>
      <c r="B88" s="31"/>
      <c r="C88" s="31"/>
      <c r="D88" s="50">
        <f>D79-SUM(D81:D85)</f>
        <v>111942.5</v>
      </c>
      <c r="E88" s="50">
        <f t="shared" ref="E88:M88" si="39">E79-SUM(E81:E85)</f>
        <v>120699.63712183549</v>
      </c>
      <c r="F88" s="50">
        <f>F79-SUM(F81:F85)</f>
        <v>162926.67698559703</v>
      </c>
      <c r="G88" s="50">
        <f t="shared" si="39"/>
        <v>179192.72105119104</v>
      </c>
      <c r="H88" s="50">
        <f t="shared" si="39"/>
        <v>190189.70752067678</v>
      </c>
      <c r="I88" s="50">
        <f>I79-SUM(I81:I85)</f>
        <v>189680.66873591056</v>
      </c>
      <c r="J88" s="50">
        <f t="shared" si="39"/>
        <v>209174.43358643859</v>
      </c>
      <c r="K88" s="50">
        <f t="shared" si="39"/>
        <v>229774.58272966603</v>
      </c>
      <c r="L88" s="50">
        <f t="shared" si="39"/>
        <v>251579.80603229458</v>
      </c>
      <c r="M88" s="50">
        <f t="shared" si="39"/>
        <v>274699.12861652439</v>
      </c>
      <c r="N88" s="35"/>
      <c r="O88" s="35"/>
      <c r="P88" s="35"/>
      <c r="Q88" s="34"/>
      <c r="R88" s="31"/>
      <c r="S88" s="31"/>
      <c r="T88" s="31"/>
      <c r="U88" s="31"/>
    </row>
    <row r="89" spans="1:21" x14ac:dyDescent="0.25">
      <c r="A89" s="31"/>
      <c r="B89" s="31"/>
      <c r="C89" s="31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35"/>
      <c r="O89" s="35"/>
      <c r="P89" s="35"/>
      <c r="Q89" s="34"/>
      <c r="R89" s="31"/>
      <c r="S89" s="31"/>
      <c r="T89" s="31"/>
      <c r="U89" s="31"/>
    </row>
    <row r="90" spans="1:21" x14ac:dyDescent="0.25">
      <c r="A90" s="31" t="s">
        <v>87</v>
      </c>
      <c r="B90" s="31"/>
      <c r="C90" s="31"/>
      <c r="D90" s="16">
        <f>D113*0.1</f>
        <v>2000</v>
      </c>
      <c r="E90" s="16">
        <f>E113*0.1</f>
        <v>2000</v>
      </c>
      <c r="F90" s="16">
        <f>F113*0.1</f>
        <v>2000</v>
      </c>
      <c r="G90" s="16">
        <f>G113*0.1</f>
        <v>2000</v>
      </c>
      <c r="H90" s="16">
        <f>H113*0.1</f>
        <v>2000</v>
      </c>
      <c r="I90" s="16">
        <f t="shared" ref="I90:M90" si="40">I113*0.1</f>
        <v>2000.1000000000001</v>
      </c>
      <c r="J90" s="16">
        <f t="shared" si="40"/>
        <v>2000.2</v>
      </c>
      <c r="K90" s="16">
        <f t="shared" si="40"/>
        <v>2000.3000000000002</v>
      </c>
      <c r="L90" s="16">
        <f t="shared" si="40"/>
        <v>2000.4</v>
      </c>
      <c r="M90" s="16">
        <f t="shared" si="40"/>
        <v>2000.5</v>
      </c>
      <c r="N90" s="35"/>
      <c r="O90" s="35"/>
      <c r="P90" s="35"/>
      <c r="Q90" s="34"/>
      <c r="R90" s="31"/>
      <c r="S90" s="31"/>
      <c r="T90" s="31"/>
      <c r="U90" s="31"/>
    </row>
    <row r="91" spans="1:21" x14ac:dyDescent="0.25">
      <c r="A91" s="31" t="s">
        <v>86</v>
      </c>
      <c r="B91" s="31"/>
      <c r="C91" s="31"/>
      <c r="D91" s="16">
        <f>D109*(1/30)</f>
        <v>69000</v>
      </c>
      <c r="E91" s="16">
        <f>E109*(1/30)</f>
        <v>69000</v>
      </c>
      <c r="F91" s="16">
        <f>F109*(1/30)</f>
        <v>69000</v>
      </c>
      <c r="G91" s="16">
        <f>G109*(1/30)</f>
        <v>69000</v>
      </c>
      <c r="H91" s="16">
        <f>H109*(1/30)</f>
        <v>69000</v>
      </c>
      <c r="I91" s="16">
        <f t="shared" ref="I91:M91" si="41">I109*(1/30)</f>
        <v>69000</v>
      </c>
      <c r="J91" s="16">
        <f t="shared" si="41"/>
        <v>69000</v>
      </c>
      <c r="K91" s="16">
        <f t="shared" si="41"/>
        <v>69000</v>
      </c>
      <c r="L91" s="16">
        <f t="shared" si="41"/>
        <v>69000</v>
      </c>
      <c r="M91" s="16">
        <f t="shared" si="41"/>
        <v>69000</v>
      </c>
      <c r="N91" s="35"/>
      <c r="O91" s="35"/>
      <c r="P91" s="35"/>
      <c r="Q91" s="34"/>
      <c r="R91" s="31"/>
      <c r="S91" s="31"/>
      <c r="T91" s="31"/>
      <c r="U91" s="31"/>
    </row>
    <row r="92" spans="1:21" x14ac:dyDescent="0.25">
      <c r="A92" s="31" t="s">
        <v>168</v>
      </c>
      <c r="B92" s="31"/>
      <c r="C92" s="31"/>
      <c r="D92" s="16"/>
      <c r="E92" s="16"/>
      <c r="F92" s="16"/>
      <c r="G92" s="16"/>
      <c r="H92" s="16"/>
      <c r="I92" s="16"/>
      <c r="J92" s="16">
        <f>J111/10</f>
        <v>50000</v>
      </c>
      <c r="K92" s="16">
        <f t="shared" ref="K92:M92" si="42">K111/10</f>
        <v>50000</v>
      </c>
      <c r="L92" s="16">
        <f t="shared" si="42"/>
        <v>50000</v>
      </c>
      <c r="M92" s="16">
        <f t="shared" si="42"/>
        <v>50000</v>
      </c>
      <c r="N92" s="35"/>
      <c r="O92" s="35"/>
      <c r="P92" s="35"/>
      <c r="Q92" s="34"/>
      <c r="R92" s="31"/>
      <c r="S92" s="31"/>
      <c r="T92" s="31"/>
      <c r="U92" s="31"/>
    </row>
    <row r="93" spans="1:21" x14ac:dyDescent="0.25">
      <c r="A93" s="31" t="s">
        <v>62</v>
      </c>
      <c r="B93" s="31"/>
      <c r="C93" s="31"/>
      <c r="D93" s="41">
        <f>[1]Amort!I19</f>
        <v>47280.767906401808</v>
      </c>
      <c r="E93" s="41">
        <f>[1]Amort!I31</f>
        <v>46185.060624101076</v>
      </c>
      <c r="F93" s="41">
        <f>[1]Amort!I43</f>
        <v>45061.644595325619</v>
      </c>
      <c r="G93" s="41">
        <f>[1]Amort!I55</f>
        <v>43909.819108632131</v>
      </c>
      <c r="H93" s="41">
        <f>[1]Amort!I67</f>
        <v>42728.86573266612</v>
      </c>
      <c r="I93" s="41">
        <f>[1]Amort!I79</f>
        <v>41518.047868052745</v>
      </c>
      <c r="J93" s="41">
        <f>[1]Amort!I91</f>
        <v>40276.610287955489</v>
      </c>
      <c r="K93" s="41">
        <f>[1]Amort!I103</f>
        <v>39003.778667016501</v>
      </c>
      <c r="L93" s="41">
        <f>[1]Amort!I115</f>
        <v>37698.759098384427</v>
      </c>
      <c r="M93" s="41">
        <f>[1]Amort!I127</f>
        <v>36360.737598528664</v>
      </c>
      <c r="N93" s="35"/>
      <c r="O93" s="35"/>
      <c r="P93" s="35"/>
      <c r="Q93" s="34"/>
      <c r="R93" s="31"/>
      <c r="S93" s="31"/>
      <c r="T93" s="31"/>
      <c r="U93" s="31"/>
    </row>
    <row r="94" spans="1:21" x14ac:dyDescent="0.25">
      <c r="A94" s="31" t="s">
        <v>63</v>
      </c>
      <c r="B94" s="31"/>
      <c r="C94" s="31"/>
      <c r="D94" s="10">
        <f>D128*$N$128</f>
        <v>54521.531417704173</v>
      </c>
      <c r="E94" s="10">
        <f t="shared" ref="E94:M94" si="43">E128*$N$128</f>
        <v>56246.930683180035</v>
      </c>
      <c r="F94" s="10">
        <f t="shared" si="43"/>
        <v>54907.942359066205</v>
      </c>
      <c r="G94" s="10">
        <f t="shared" si="43"/>
        <v>52259.672689961932</v>
      </c>
      <c r="H94" s="10">
        <f t="shared" si="43"/>
        <v>48810.584292061074</v>
      </c>
      <c r="I94" s="10">
        <f t="shared" si="43"/>
        <v>45431.229655505944</v>
      </c>
      <c r="J94" s="10">
        <f t="shared" si="43"/>
        <v>71165.653523922287</v>
      </c>
      <c r="K94" s="10">
        <f t="shared" si="43"/>
        <v>65930.773468537358</v>
      </c>
      <c r="L94" s="10">
        <f t="shared" si="43"/>
        <v>58732.848305986845</v>
      </c>
      <c r="M94" s="10">
        <f t="shared" si="43"/>
        <v>49823.271367433263</v>
      </c>
      <c r="N94" s="35"/>
      <c r="O94" s="35"/>
      <c r="P94" s="35"/>
      <c r="Q94" s="34"/>
      <c r="R94" s="31"/>
      <c r="S94" s="31"/>
      <c r="T94" s="31"/>
      <c r="U94" s="31"/>
    </row>
    <row r="95" spans="1:21" x14ac:dyDescent="0.25">
      <c r="A95" s="31"/>
      <c r="B95" s="31"/>
      <c r="C95" s="3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35"/>
      <c r="O95" s="35"/>
      <c r="P95" s="35"/>
      <c r="Q95" s="34"/>
      <c r="R95" s="31"/>
      <c r="S95" s="31"/>
      <c r="T95" s="31"/>
      <c r="U95" s="31"/>
    </row>
    <row r="96" spans="1:21" x14ac:dyDescent="0.25">
      <c r="A96" s="31" t="s">
        <v>57</v>
      </c>
      <c r="B96" s="31"/>
      <c r="C96" s="31"/>
      <c r="D96" s="13">
        <f t="shared" ref="D96:M96" si="44">D88-SUM(D90:D94)</f>
        <v>-60859.799324105959</v>
      </c>
      <c r="E96" s="13">
        <f t="shared" si="44"/>
        <v>-52732.354185445642</v>
      </c>
      <c r="F96" s="13">
        <f t="shared" si="44"/>
        <v>-8042.9099687947892</v>
      </c>
      <c r="G96" s="13">
        <f t="shared" si="44"/>
        <v>12023.229252596968</v>
      </c>
      <c r="H96" s="13">
        <f t="shared" si="44"/>
        <v>27650.257495949569</v>
      </c>
      <c r="I96" s="13">
        <f t="shared" si="44"/>
        <v>31731.291212351876</v>
      </c>
      <c r="J96" s="13">
        <f t="shared" si="44"/>
        <v>-23268.030225439172</v>
      </c>
      <c r="K96" s="13">
        <f t="shared" si="44"/>
        <v>3839.7305941121886</v>
      </c>
      <c r="L96" s="13">
        <f t="shared" si="44"/>
        <v>34147.798627923301</v>
      </c>
      <c r="M96" s="13">
        <f t="shared" si="44"/>
        <v>67514.619650562468</v>
      </c>
      <c r="N96" s="35"/>
      <c r="O96" s="35"/>
      <c r="P96" s="35"/>
      <c r="Q96" s="34"/>
      <c r="R96" s="31"/>
      <c r="S96" s="31"/>
      <c r="T96" s="31"/>
      <c r="U96" s="31"/>
    </row>
    <row r="97" spans="1:21" x14ac:dyDescent="0.25">
      <c r="A97" s="31" t="s">
        <v>58</v>
      </c>
      <c r="B97" s="31"/>
      <c r="C97" s="31"/>
      <c r="D97" s="13">
        <f>IF(D96&lt;0,0,D96*$N$97)</f>
        <v>0</v>
      </c>
      <c r="E97" s="13">
        <f>IF(E96&lt;0,0,E96*$N$97)</f>
        <v>0</v>
      </c>
      <c r="F97" s="13">
        <f>IF(F96&lt;0,0,F96*$N$97)</f>
        <v>0</v>
      </c>
      <c r="G97" s="13">
        <f>IF(G96&lt;0,0,G96*$N$97)</f>
        <v>3005.807313149242</v>
      </c>
      <c r="H97" s="13">
        <f>IF(H96&lt;0,0,H96*$N$97)</f>
        <v>6912.5643739873922</v>
      </c>
      <c r="I97" s="13">
        <f t="shared" ref="I97:M97" si="45">IF(I96&lt;0,0,I96*$N$97)</f>
        <v>7932.8228030879691</v>
      </c>
      <c r="J97" s="13">
        <f t="shared" si="45"/>
        <v>0</v>
      </c>
      <c r="K97" s="13">
        <f t="shared" si="45"/>
        <v>959.93264852804714</v>
      </c>
      <c r="L97" s="13">
        <f t="shared" si="45"/>
        <v>8536.9496569808252</v>
      </c>
      <c r="M97" s="13">
        <f t="shared" si="45"/>
        <v>16878.654912640617</v>
      </c>
      <c r="N97" s="45">
        <v>0.25</v>
      </c>
      <c r="O97" s="35" t="s">
        <v>60</v>
      </c>
      <c r="P97" s="35"/>
      <c r="Q97" s="34"/>
      <c r="R97" s="31"/>
      <c r="S97" s="31"/>
      <c r="T97" s="31"/>
      <c r="U97" s="31"/>
    </row>
    <row r="98" spans="1:21" x14ac:dyDescent="0.25">
      <c r="A98" s="31" t="s">
        <v>59</v>
      </c>
      <c r="B98" s="31"/>
      <c r="C98" s="31"/>
      <c r="D98" s="13">
        <f>+D96-D97</f>
        <v>-60859.799324105959</v>
      </c>
      <c r="E98" s="13">
        <f t="shared" ref="E98:G98" si="46">+E96-E97</f>
        <v>-52732.354185445642</v>
      </c>
      <c r="F98" s="13">
        <f t="shared" si="46"/>
        <v>-8042.9099687947892</v>
      </c>
      <c r="G98" s="13">
        <f t="shared" si="46"/>
        <v>9017.4219394477259</v>
      </c>
      <c r="H98" s="13">
        <f>+H96-H97</f>
        <v>20737.693121962177</v>
      </c>
      <c r="I98" s="13">
        <f>+I96-I97</f>
        <v>23798.468409263907</v>
      </c>
      <c r="J98" s="13">
        <f t="shared" ref="J98:M98" si="47">+J96-J97</f>
        <v>-23268.030225439172</v>
      </c>
      <c r="K98" s="13">
        <f t="shared" si="47"/>
        <v>2879.7979455841414</v>
      </c>
      <c r="L98" s="13">
        <f t="shared" si="47"/>
        <v>25610.848970942476</v>
      </c>
      <c r="M98" s="13">
        <f t="shared" si="47"/>
        <v>50635.964737921851</v>
      </c>
      <c r="N98" s="35"/>
      <c r="O98" s="35"/>
      <c r="P98" s="35"/>
      <c r="Q98" s="34"/>
      <c r="R98" s="31"/>
      <c r="S98" s="31"/>
      <c r="T98" s="31"/>
      <c r="U98" s="31"/>
    </row>
    <row r="99" spans="1:21" x14ac:dyDescent="0.25">
      <c r="A99" s="31"/>
      <c r="B99" s="31"/>
      <c r="C99" s="31"/>
      <c r="D99" s="13"/>
      <c r="E99" s="13"/>
      <c r="F99" s="13"/>
      <c r="G99" s="13"/>
      <c r="H99" s="13"/>
      <c r="I99" s="31"/>
      <c r="J99" s="31"/>
      <c r="K99" s="31"/>
      <c r="L99" s="31"/>
      <c r="M99" s="31"/>
      <c r="N99" s="35"/>
      <c r="O99" s="35"/>
      <c r="P99" s="35"/>
      <c r="Q99" s="34"/>
      <c r="R99" s="31"/>
      <c r="S99" s="31"/>
      <c r="T99" s="31"/>
      <c r="U99" s="31"/>
    </row>
    <row r="100" spans="1:21" x14ac:dyDescent="0.25">
      <c r="A100" s="31"/>
      <c r="B100" s="31"/>
      <c r="C100" s="31"/>
      <c r="D100" s="13"/>
      <c r="E100" s="13"/>
      <c r="F100" s="13"/>
      <c r="G100" s="13"/>
      <c r="H100" s="13"/>
      <c r="I100" s="31"/>
      <c r="J100" s="31"/>
      <c r="K100" s="31"/>
      <c r="L100" s="31"/>
      <c r="M100" s="31"/>
      <c r="N100" s="35"/>
      <c r="O100" s="35"/>
      <c r="P100" s="35"/>
      <c r="Q100" s="34"/>
      <c r="R100" s="31"/>
      <c r="S100" s="31"/>
      <c r="T100" s="31"/>
      <c r="U100" s="31"/>
    </row>
    <row r="101" spans="1:21" ht="18.75" x14ac:dyDescent="0.3">
      <c r="A101" s="5" t="s">
        <v>61</v>
      </c>
      <c r="B101" s="5"/>
      <c r="C101" s="5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5"/>
      <c r="O101" s="35"/>
      <c r="P101" s="35"/>
      <c r="Q101" s="34"/>
      <c r="R101" s="31"/>
      <c r="S101" s="31"/>
      <c r="T101" s="31"/>
      <c r="U101" s="31"/>
    </row>
    <row r="102" spans="1:21" ht="18.75" x14ac:dyDescent="0.3">
      <c r="A102" s="5" t="s">
        <v>43</v>
      </c>
      <c r="B102" s="32"/>
      <c r="C102" s="32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5"/>
      <c r="O102" s="35"/>
      <c r="P102" s="35"/>
      <c r="Q102" s="34"/>
      <c r="R102" s="31"/>
      <c r="S102" s="31"/>
      <c r="T102" s="31"/>
      <c r="U102" s="31"/>
    </row>
    <row r="103" spans="1:21" x14ac:dyDescent="0.25">
      <c r="A103" s="31" t="s">
        <v>52</v>
      </c>
      <c r="B103" s="31"/>
      <c r="C103" s="31"/>
      <c r="D103" s="31">
        <v>5000</v>
      </c>
      <c r="E103" s="31">
        <v>5000</v>
      </c>
      <c r="F103" s="31">
        <v>5000</v>
      </c>
      <c r="G103" s="31">
        <v>5000</v>
      </c>
      <c r="H103" s="31">
        <v>5000</v>
      </c>
      <c r="I103" s="31">
        <v>5000</v>
      </c>
      <c r="J103" s="31">
        <v>5000</v>
      </c>
      <c r="K103" s="31">
        <v>5000</v>
      </c>
      <c r="L103" s="31">
        <v>5000</v>
      </c>
      <c r="M103" s="31">
        <v>5000</v>
      </c>
      <c r="N103" s="35"/>
      <c r="O103" s="35"/>
      <c r="P103" s="35"/>
      <c r="Q103" s="34"/>
      <c r="R103" s="31"/>
      <c r="S103" s="31"/>
      <c r="T103" s="31"/>
      <c r="U103" s="31"/>
    </row>
    <row r="104" spans="1:21" x14ac:dyDescent="0.25">
      <c r="A104" s="31" t="s">
        <v>53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5"/>
      <c r="O104" s="35"/>
      <c r="P104" s="35"/>
      <c r="Q104" s="34"/>
      <c r="R104" s="31"/>
      <c r="S104" s="31"/>
      <c r="T104" s="31"/>
      <c r="U104" s="31"/>
    </row>
    <row r="105" spans="1:21" x14ac:dyDescent="0.25">
      <c r="A105" s="31" t="s">
        <v>54</v>
      </c>
      <c r="B105" s="31"/>
      <c r="C105" s="31"/>
      <c r="D105" s="15">
        <f t="shared" ref="D105:M105" si="48">(D77/365)*$N$105</f>
        <v>1879.4520547945203</v>
      </c>
      <c r="E105" s="15">
        <f t="shared" si="48"/>
        <v>1879.4520547945203</v>
      </c>
      <c r="F105" s="15">
        <f t="shared" si="48"/>
        <v>2067.3972602739727</v>
      </c>
      <c r="G105" s="15">
        <f t="shared" si="48"/>
        <v>2067.3972602739727</v>
      </c>
      <c r="H105" s="15">
        <f t="shared" si="48"/>
        <v>2067.3972602739727</v>
      </c>
      <c r="I105" s="15">
        <f t="shared" si="48"/>
        <v>2104.9863013698628</v>
      </c>
      <c r="J105" s="15">
        <f t="shared" si="48"/>
        <v>2142.5753424657532</v>
      </c>
      <c r="K105" s="15">
        <f t="shared" si="48"/>
        <v>2180.1643835616442</v>
      </c>
      <c r="L105" s="15">
        <f t="shared" si="48"/>
        <v>2217.7534246575342</v>
      </c>
      <c r="M105" s="15">
        <f t="shared" si="48"/>
        <v>2255.3424657534247</v>
      </c>
      <c r="N105" s="35">
        <v>14</v>
      </c>
      <c r="O105" s="35" t="s">
        <v>147</v>
      </c>
      <c r="P105" s="35"/>
      <c r="Q105" s="34"/>
      <c r="R105" s="31"/>
      <c r="S105" s="31"/>
      <c r="T105" s="31"/>
      <c r="U105" s="31"/>
    </row>
    <row r="106" spans="1:2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5"/>
      <c r="O106" s="35"/>
      <c r="P106" s="35"/>
      <c r="Q106" s="34"/>
      <c r="R106" s="31"/>
      <c r="S106" s="31"/>
      <c r="T106" s="31"/>
      <c r="U106" s="31"/>
    </row>
    <row r="107" spans="1:21" ht="18.75" x14ac:dyDescent="0.3">
      <c r="A107" s="3" t="s">
        <v>55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5"/>
      <c r="O107" s="35"/>
      <c r="P107" s="35"/>
      <c r="Q107" s="34"/>
      <c r="R107" s="31"/>
      <c r="S107" s="31"/>
      <c r="T107" s="31"/>
      <c r="U107" s="31"/>
    </row>
    <row r="108" spans="1:21" ht="15.75" x14ac:dyDescent="0.25">
      <c r="A108" s="24" t="s">
        <v>64</v>
      </c>
      <c r="B108" s="31"/>
      <c r="C108" s="31"/>
      <c r="D108" s="31">
        <f>20000*$O$108</f>
        <v>660000</v>
      </c>
      <c r="E108" s="31">
        <f>20000*$O$108</f>
        <v>660000</v>
      </c>
      <c r="F108" s="31">
        <f>20000*$O$108</f>
        <v>660000</v>
      </c>
      <c r="G108" s="31">
        <f>20000*$O$108</f>
        <v>660000</v>
      </c>
      <c r="H108" s="31">
        <f>20000*$O$108</f>
        <v>660000</v>
      </c>
      <c r="I108" s="31">
        <f t="shared" ref="I108:M108" si="49">20000*$O$108</f>
        <v>660000</v>
      </c>
      <c r="J108" s="31">
        <f t="shared" si="49"/>
        <v>660000</v>
      </c>
      <c r="K108" s="31">
        <f t="shared" si="49"/>
        <v>660000</v>
      </c>
      <c r="L108" s="31">
        <f t="shared" si="49"/>
        <v>660000</v>
      </c>
      <c r="M108" s="31">
        <f t="shared" si="49"/>
        <v>660000</v>
      </c>
      <c r="N108" s="35"/>
      <c r="O108" s="35">
        <v>33</v>
      </c>
      <c r="P108" s="35" t="s">
        <v>66</v>
      </c>
      <c r="Q108" s="34"/>
      <c r="R108" s="31"/>
      <c r="S108" s="31"/>
      <c r="T108" s="31"/>
      <c r="U108" s="31"/>
    </row>
    <row r="109" spans="1:21" x14ac:dyDescent="0.25">
      <c r="A109" s="31" t="s">
        <v>56</v>
      </c>
      <c r="B109" s="31"/>
      <c r="C109" s="31"/>
      <c r="D109" s="31">
        <f t="shared" ref="D109:M109" si="50">$O$109*D32</f>
        <v>2070000</v>
      </c>
      <c r="E109" s="31">
        <f t="shared" si="50"/>
        <v>2070000</v>
      </c>
      <c r="F109" s="31">
        <f t="shared" si="50"/>
        <v>2070000</v>
      </c>
      <c r="G109" s="31">
        <f t="shared" si="50"/>
        <v>2070000</v>
      </c>
      <c r="H109" s="31">
        <f t="shared" si="50"/>
        <v>2070000</v>
      </c>
      <c r="I109" s="31">
        <f t="shared" si="50"/>
        <v>2070000</v>
      </c>
      <c r="J109" s="31">
        <f t="shared" si="50"/>
        <v>2070000</v>
      </c>
      <c r="K109" s="31">
        <f t="shared" si="50"/>
        <v>2070000</v>
      </c>
      <c r="L109" s="31">
        <f t="shared" si="50"/>
        <v>2070000</v>
      </c>
      <c r="M109" s="31">
        <f t="shared" si="50"/>
        <v>2070000</v>
      </c>
      <c r="N109" s="35"/>
      <c r="O109" s="35">
        <v>23</v>
      </c>
      <c r="P109" s="35" t="s">
        <v>71</v>
      </c>
      <c r="Q109" s="34"/>
      <c r="R109" s="31"/>
      <c r="S109" s="31"/>
      <c r="T109" s="31"/>
      <c r="U109" s="31"/>
    </row>
    <row r="110" spans="1:21" x14ac:dyDescent="0.25">
      <c r="A110" s="31" t="s">
        <v>70</v>
      </c>
      <c r="B110" s="31"/>
      <c r="C110" s="31"/>
      <c r="D110" s="16">
        <f>C110+D91</f>
        <v>69000</v>
      </c>
      <c r="E110" s="16">
        <f>D110+E91</f>
        <v>138000</v>
      </c>
      <c r="F110" s="16">
        <f>E110+F91</f>
        <v>207000</v>
      </c>
      <c r="G110" s="16">
        <f>F110+G91</f>
        <v>276000</v>
      </c>
      <c r="H110" s="16">
        <f>G110+H91</f>
        <v>345000</v>
      </c>
      <c r="I110" s="16">
        <f t="shared" ref="I110:M110" si="51">H110+I91</f>
        <v>414000</v>
      </c>
      <c r="J110" s="16">
        <f t="shared" si="51"/>
        <v>483000</v>
      </c>
      <c r="K110" s="16">
        <f>J110+K91</f>
        <v>552000</v>
      </c>
      <c r="L110" s="16">
        <f t="shared" si="51"/>
        <v>621000</v>
      </c>
      <c r="M110" s="16">
        <f t="shared" si="51"/>
        <v>690000</v>
      </c>
      <c r="N110" s="35"/>
      <c r="O110" s="35">
        <v>30</v>
      </c>
      <c r="P110" s="35" t="s">
        <v>73</v>
      </c>
      <c r="Q110" s="34"/>
      <c r="R110" s="31"/>
      <c r="S110" s="31"/>
      <c r="T110" s="31"/>
      <c r="U110" s="31"/>
    </row>
    <row r="111" spans="1:21" x14ac:dyDescent="0.25">
      <c r="A111" s="31" t="s">
        <v>166</v>
      </c>
      <c r="B111" s="31"/>
      <c r="C111" s="31"/>
      <c r="D111" s="16"/>
      <c r="E111" s="16"/>
      <c r="F111" s="16"/>
      <c r="G111" s="16"/>
      <c r="H111" s="31"/>
      <c r="I111" s="16"/>
      <c r="J111" s="16">
        <v>500000</v>
      </c>
      <c r="K111" s="16">
        <v>500000</v>
      </c>
      <c r="L111" s="16">
        <v>500000</v>
      </c>
      <c r="M111" s="16">
        <v>500000</v>
      </c>
      <c r="N111" s="35"/>
      <c r="O111" s="35"/>
      <c r="P111" s="35"/>
      <c r="Q111" s="34"/>
      <c r="R111" s="31"/>
      <c r="S111" s="31"/>
      <c r="T111" s="31"/>
      <c r="U111" s="31"/>
    </row>
    <row r="112" spans="1:21" x14ac:dyDescent="0.25">
      <c r="A112" s="31"/>
      <c r="B112" s="31"/>
      <c r="C112" s="31"/>
      <c r="D112" s="16"/>
      <c r="E112" s="16"/>
      <c r="F112" s="16"/>
      <c r="G112" s="16"/>
      <c r="H112" s="16"/>
      <c r="I112" s="16"/>
      <c r="J112" s="16">
        <f>I112+J92</f>
        <v>50000</v>
      </c>
      <c r="K112" s="16">
        <f t="shared" ref="K112:M112" si="52">J112+K92</f>
        <v>100000</v>
      </c>
      <c r="L112" s="16">
        <f t="shared" si="52"/>
        <v>150000</v>
      </c>
      <c r="M112" s="16">
        <f t="shared" si="52"/>
        <v>200000</v>
      </c>
      <c r="N112" s="35">
        <v>10</v>
      </c>
      <c r="O112" s="35" t="s">
        <v>167</v>
      </c>
      <c r="P112" s="35"/>
      <c r="Q112" s="34"/>
      <c r="R112" s="31"/>
      <c r="S112" s="31"/>
      <c r="T112" s="31"/>
      <c r="U112" s="31"/>
    </row>
    <row r="113" spans="1:21" x14ac:dyDescent="0.25">
      <c r="A113" s="31" t="s">
        <v>44</v>
      </c>
      <c r="B113" s="31"/>
      <c r="C113" s="31"/>
      <c r="D113" s="10">
        <v>20000</v>
      </c>
      <c r="E113" s="10">
        <v>20000</v>
      </c>
      <c r="F113" s="10">
        <v>20000</v>
      </c>
      <c r="G113" s="10">
        <v>20000</v>
      </c>
      <c r="H113" s="10">
        <v>20000</v>
      </c>
      <c r="I113" s="10">
        <v>20001</v>
      </c>
      <c r="J113" s="10">
        <v>20002</v>
      </c>
      <c r="K113" s="10">
        <v>20003</v>
      </c>
      <c r="L113" s="10">
        <v>20004</v>
      </c>
      <c r="M113" s="10">
        <v>20005</v>
      </c>
      <c r="N113" s="35"/>
      <c r="O113" s="35"/>
      <c r="P113" s="35"/>
      <c r="Q113" s="34"/>
      <c r="R113" s="31"/>
      <c r="S113" s="31"/>
      <c r="T113" s="31"/>
      <c r="U113" s="31"/>
    </row>
    <row r="114" spans="1:21" x14ac:dyDescent="0.25">
      <c r="A114" s="31" t="s">
        <v>67</v>
      </c>
      <c r="B114" s="31"/>
      <c r="C114" s="31"/>
      <c r="D114" s="16">
        <f>C114+D90</f>
        <v>2000</v>
      </c>
      <c r="E114" s="16">
        <f>D114+E90</f>
        <v>4000</v>
      </c>
      <c r="F114" s="16">
        <f>E114+F90</f>
        <v>6000</v>
      </c>
      <c r="G114" s="16">
        <f>F114+G90</f>
        <v>8000</v>
      </c>
      <c r="H114" s="16">
        <f>G114+H90</f>
        <v>10000</v>
      </c>
      <c r="I114" s="16">
        <f t="shared" ref="I114:M114" si="53">H114+I90</f>
        <v>12000.1</v>
      </c>
      <c r="J114" s="16">
        <f t="shared" si="53"/>
        <v>14000.300000000001</v>
      </c>
      <c r="K114" s="16">
        <f t="shared" si="53"/>
        <v>16000.600000000002</v>
      </c>
      <c r="L114" s="16">
        <f t="shared" si="53"/>
        <v>18001.000000000004</v>
      </c>
      <c r="M114" s="16">
        <f t="shared" si="53"/>
        <v>20001.500000000004</v>
      </c>
      <c r="N114" s="35"/>
      <c r="O114" s="35">
        <v>10</v>
      </c>
      <c r="P114" s="35" t="s">
        <v>68</v>
      </c>
      <c r="Q114" s="34"/>
      <c r="R114" s="31"/>
      <c r="S114" s="31"/>
      <c r="T114" s="31"/>
      <c r="U114" s="31"/>
    </row>
    <row r="115" spans="1:21" ht="15.75" x14ac:dyDescent="0.25">
      <c r="A115" s="24" t="s">
        <v>129</v>
      </c>
      <c r="B115" s="31"/>
      <c r="C115" s="31"/>
      <c r="D115" s="31">
        <f t="shared" ref="D115:M115" si="54">SUM(D39:D40)</f>
        <v>95</v>
      </c>
      <c r="E115" s="31">
        <f t="shared" si="54"/>
        <v>95</v>
      </c>
      <c r="F115" s="31">
        <f t="shared" si="54"/>
        <v>99.5</v>
      </c>
      <c r="G115" s="31">
        <f t="shared" si="54"/>
        <v>99.5</v>
      </c>
      <c r="H115" s="31">
        <f t="shared" si="54"/>
        <v>99.5</v>
      </c>
      <c r="I115" s="31">
        <f t="shared" si="54"/>
        <v>100.4</v>
      </c>
      <c r="J115" s="31">
        <f t="shared" si="54"/>
        <v>101.30000000000001</v>
      </c>
      <c r="K115" s="31">
        <f t="shared" si="54"/>
        <v>102.2</v>
      </c>
      <c r="L115" s="31">
        <f t="shared" si="54"/>
        <v>103.1</v>
      </c>
      <c r="M115" s="31">
        <f t="shared" si="54"/>
        <v>104</v>
      </c>
      <c r="N115" s="35"/>
      <c r="O115" s="35"/>
      <c r="P115" s="35"/>
      <c r="Q115" s="34"/>
      <c r="R115" s="31"/>
      <c r="S115" s="31"/>
      <c r="T115" s="31"/>
      <c r="U115" s="31"/>
    </row>
    <row r="116" spans="1:21" ht="15.75" x14ac:dyDescent="0.25">
      <c r="A116" s="24" t="s">
        <v>130</v>
      </c>
      <c r="B116" s="31"/>
      <c r="C116" s="31"/>
      <c r="D116" s="31">
        <f t="shared" ref="D116:M116" si="55">SUM(D42:D43)</f>
        <v>660</v>
      </c>
      <c r="E116" s="31">
        <f t="shared" si="55"/>
        <v>660</v>
      </c>
      <c r="F116" s="31">
        <f t="shared" si="55"/>
        <v>660</v>
      </c>
      <c r="G116" s="31">
        <f t="shared" si="55"/>
        <v>660</v>
      </c>
      <c r="H116" s="31">
        <f t="shared" si="55"/>
        <v>660</v>
      </c>
      <c r="I116" s="31">
        <f t="shared" si="55"/>
        <v>661.1</v>
      </c>
      <c r="J116" s="31">
        <f t="shared" si="55"/>
        <v>662.2</v>
      </c>
      <c r="K116" s="31">
        <f t="shared" si="55"/>
        <v>663.3</v>
      </c>
      <c r="L116" s="31">
        <f t="shared" si="55"/>
        <v>664.4</v>
      </c>
      <c r="M116" s="31">
        <f t="shared" si="55"/>
        <v>665.5</v>
      </c>
      <c r="N116" s="35"/>
      <c r="O116" s="35"/>
      <c r="P116" s="35"/>
      <c r="Q116" s="34"/>
      <c r="R116" s="31"/>
      <c r="S116" s="31"/>
      <c r="T116" s="31"/>
      <c r="U116" s="31"/>
    </row>
    <row r="117" spans="1:21" ht="15.75" x14ac:dyDescent="0.25">
      <c r="A117" s="24" t="s">
        <v>131</v>
      </c>
      <c r="B117" s="31"/>
      <c r="C117" s="31"/>
      <c r="D117" s="31">
        <f t="shared" ref="D117:M117" si="56">SUM(D45:D48)</f>
        <v>1150</v>
      </c>
      <c r="E117" s="31">
        <f t="shared" si="56"/>
        <v>1150</v>
      </c>
      <c r="F117" s="31">
        <f t="shared" si="56"/>
        <v>1150</v>
      </c>
      <c r="G117" s="31">
        <f t="shared" si="56"/>
        <v>1150</v>
      </c>
      <c r="H117" s="31">
        <f t="shared" si="56"/>
        <v>1150</v>
      </c>
      <c r="I117" s="31">
        <f t="shared" si="56"/>
        <v>1150</v>
      </c>
      <c r="J117" s="31">
        <f t="shared" si="56"/>
        <v>1150</v>
      </c>
      <c r="K117" s="31">
        <f t="shared" si="56"/>
        <v>1150</v>
      </c>
      <c r="L117" s="31">
        <f t="shared" si="56"/>
        <v>1150</v>
      </c>
      <c r="M117" s="31">
        <f t="shared" si="56"/>
        <v>1150</v>
      </c>
      <c r="N117" s="35"/>
      <c r="O117" s="35"/>
      <c r="P117" s="35"/>
      <c r="Q117" s="34"/>
      <c r="R117" s="31"/>
      <c r="S117" s="31"/>
      <c r="T117" s="31"/>
      <c r="U117" s="31"/>
    </row>
    <row r="118" spans="1:21" ht="15.75" x14ac:dyDescent="0.25">
      <c r="A118" s="24" t="s">
        <v>132</v>
      </c>
      <c r="B118" s="31"/>
      <c r="C118" s="31"/>
      <c r="D118" s="31">
        <f t="shared" ref="D118:M118" si="57">SUM(D50:D53)</f>
        <v>8650</v>
      </c>
      <c r="E118" s="31">
        <f t="shared" si="57"/>
        <v>8650</v>
      </c>
      <c r="F118" s="31">
        <f t="shared" si="57"/>
        <v>8650</v>
      </c>
      <c r="G118" s="31">
        <f t="shared" si="57"/>
        <v>8650</v>
      </c>
      <c r="H118" s="31">
        <f t="shared" si="57"/>
        <v>8650</v>
      </c>
      <c r="I118" s="31">
        <f t="shared" si="57"/>
        <v>8650</v>
      </c>
      <c r="J118" s="31">
        <f t="shared" si="57"/>
        <v>8650</v>
      </c>
      <c r="K118" s="31">
        <f t="shared" si="57"/>
        <v>8650</v>
      </c>
      <c r="L118" s="31">
        <f t="shared" si="57"/>
        <v>8650</v>
      </c>
      <c r="M118" s="31">
        <f t="shared" si="57"/>
        <v>8650</v>
      </c>
      <c r="N118" s="35"/>
      <c r="O118" s="35"/>
      <c r="P118" s="35"/>
      <c r="Q118" s="34"/>
      <c r="R118" s="31"/>
      <c r="S118" s="31"/>
      <c r="T118" s="31"/>
      <c r="U118" s="31"/>
    </row>
    <row r="119" spans="1:21" ht="15.75" x14ac:dyDescent="0.25">
      <c r="A119" s="24" t="s">
        <v>135</v>
      </c>
      <c r="B119" s="31"/>
      <c r="C119" s="31"/>
      <c r="D119" s="36">
        <f>D55</f>
        <v>1507.8571428571429</v>
      </c>
      <c r="E119" s="36">
        <f t="shared" ref="E119:M119" si="58">D119+E55</f>
        <v>3015.7142857142858</v>
      </c>
      <c r="F119" s="36">
        <f t="shared" si="58"/>
        <v>4524.2142857142862</v>
      </c>
      <c r="G119" s="36">
        <f t="shared" si="58"/>
        <v>6032.7142857142862</v>
      </c>
      <c r="H119" s="36">
        <f t="shared" si="58"/>
        <v>7541.2142857142862</v>
      </c>
      <c r="I119" s="36">
        <f t="shared" si="58"/>
        <v>9050</v>
      </c>
      <c r="J119" s="36">
        <f t="shared" si="58"/>
        <v>10559.071428571429</v>
      </c>
      <c r="K119" s="36">
        <f t="shared" si="58"/>
        <v>12068.428571428572</v>
      </c>
      <c r="L119" s="36">
        <f t="shared" si="58"/>
        <v>13578.071428571429</v>
      </c>
      <c r="M119" s="36">
        <f t="shared" si="58"/>
        <v>15088</v>
      </c>
      <c r="N119" s="35"/>
      <c r="O119" s="35"/>
      <c r="P119" s="35" t="s">
        <v>134</v>
      </c>
      <c r="Q119" s="34"/>
      <c r="R119" s="31"/>
      <c r="S119" s="31"/>
      <c r="T119" s="31"/>
      <c r="U119" s="31"/>
    </row>
    <row r="120" spans="1:2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5"/>
      <c r="O120" s="35"/>
      <c r="P120" s="35"/>
      <c r="Q120" s="34"/>
      <c r="R120" s="31"/>
      <c r="S120" s="31"/>
      <c r="T120" s="31"/>
      <c r="U120" s="31"/>
    </row>
    <row r="121" spans="1:21" x14ac:dyDescent="0.25">
      <c r="A121" s="31" t="s">
        <v>94</v>
      </c>
      <c r="B121" s="31"/>
      <c r="C121" s="31"/>
      <c r="D121" s="15">
        <f>SUM(D103:D105)+D108+D109+-D110+D113-D114+D115+D116+D117+D118-D119+D111-D112</f>
        <v>2694926.5949119371</v>
      </c>
      <c r="E121" s="15">
        <f t="shared" ref="E121:L121" si="59">SUM(E103:E105)+E108+E109+-E110+E113-E114+E115+E116+E117+E118-E119+E111-E112</f>
        <v>2622418.7377690803</v>
      </c>
      <c r="F121" s="15">
        <f t="shared" si="59"/>
        <v>2550102.6829745597</v>
      </c>
      <c r="G121" s="15">
        <f t="shared" si="59"/>
        <v>2477594.1829745597</v>
      </c>
      <c r="H121" s="15">
        <f t="shared" si="59"/>
        <v>2405085.6829745597</v>
      </c>
      <c r="I121" s="15">
        <f t="shared" si="59"/>
        <v>2332617.3863013699</v>
      </c>
      <c r="J121" s="15">
        <f t="shared" si="59"/>
        <v>2710148.7039138945</v>
      </c>
      <c r="K121" s="15">
        <f t="shared" si="59"/>
        <v>2587679.6358121331</v>
      </c>
      <c r="L121" s="15">
        <f t="shared" si="59"/>
        <v>2465210.1819960861</v>
      </c>
      <c r="M121" s="15">
        <f>SUM(M103:M105)+M108+M109+-M110+M113-M114+M115+M116+M117+M118-M119+M111-M112</f>
        <v>2342740.3424657537</v>
      </c>
      <c r="N121" s="35"/>
      <c r="O121" s="35"/>
      <c r="P121" s="35"/>
      <c r="Q121" s="34"/>
      <c r="R121" s="31"/>
      <c r="S121" s="31"/>
      <c r="T121" s="31"/>
      <c r="U121" s="31"/>
    </row>
    <row r="122" spans="1:21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5"/>
      <c r="O122" s="35"/>
      <c r="P122" s="35"/>
      <c r="Q122" s="34"/>
      <c r="R122" s="31"/>
      <c r="S122" s="31"/>
      <c r="T122" s="31"/>
      <c r="U122" s="31"/>
    </row>
    <row r="123" spans="1:21" ht="18.75" x14ac:dyDescent="0.3">
      <c r="A123" s="3" t="s">
        <v>69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5"/>
      <c r="O123" s="35"/>
      <c r="P123" s="35"/>
      <c r="Q123" s="34"/>
      <c r="R123" s="31"/>
      <c r="S123" s="31"/>
      <c r="T123" s="31"/>
      <c r="U123" s="31"/>
    </row>
    <row r="124" spans="1:21" x14ac:dyDescent="0.25">
      <c r="A124" s="31" t="s">
        <v>89</v>
      </c>
      <c r="B124" s="31"/>
      <c r="C124" s="31"/>
      <c r="D124" s="15">
        <f t="shared" ref="D124:M124" si="60">D77/365*30</f>
        <v>4027.3972602739723</v>
      </c>
      <c r="E124" s="15">
        <f t="shared" si="60"/>
        <v>4027.3972602739723</v>
      </c>
      <c r="F124" s="15">
        <f t="shared" si="60"/>
        <v>4430.1369863013697</v>
      </c>
      <c r="G124" s="15">
        <f t="shared" si="60"/>
        <v>4430.1369863013697</v>
      </c>
      <c r="H124" s="15">
        <f t="shared" si="60"/>
        <v>4430.1369863013697</v>
      </c>
      <c r="I124" s="15">
        <f t="shared" si="60"/>
        <v>4510.6849315068494</v>
      </c>
      <c r="J124" s="15">
        <f t="shared" si="60"/>
        <v>4591.232876712329</v>
      </c>
      <c r="K124" s="15">
        <f t="shared" si="60"/>
        <v>4671.7808219178087</v>
      </c>
      <c r="L124" s="15">
        <f t="shared" si="60"/>
        <v>4752.3287671232874</v>
      </c>
      <c r="M124" s="15">
        <f t="shared" si="60"/>
        <v>4832.8767123287671</v>
      </c>
      <c r="N124" s="35"/>
      <c r="O124" s="35"/>
      <c r="P124" s="35"/>
      <c r="Q124" s="34"/>
      <c r="R124" s="31"/>
      <c r="S124" s="31"/>
      <c r="T124" s="31"/>
      <c r="U124" s="31"/>
    </row>
    <row r="125" spans="1:21" x14ac:dyDescent="0.25">
      <c r="A125" s="31" t="s">
        <v>163</v>
      </c>
      <c r="B125" s="31"/>
      <c r="C125" s="31"/>
      <c r="D125" s="15">
        <f>D97</f>
        <v>0</v>
      </c>
      <c r="E125" s="15">
        <f t="shared" ref="E125:M125" si="61">E97</f>
        <v>0</v>
      </c>
      <c r="F125" s="15">
        <f t="shared" si="61"/>
        <v>0</v>
      </c>
      <c r="G125" s="15">
        <f t="shared" si="61"/>
        <v>3005.807313149242</v>
      </c>
      <c r="H125" s="15">
        <f t="shared" si="61"/>
        <v>6912.5643739873922</v>
      </c>
      <c r="I125" s="15">
        <f t="shared" si="61"/>
        <v>7932.8228030879691</v>
      </c>
      <c r="J125" s="15">
        <f t="shared" si="61"/>
        <v>0</v>
      </c>
      <c r="K125" s="15">
        <f t="shared" si="61"/>
        <v>959.93264852804714</v>
      </c>
      <c r="L125" s="15">
        <f t="shared" si="61"/>
        <v>8536.9496569808252</v>
      </c>
      <c r="M125" s="15">
        <f t="shared" si="61"/>
        <v>16878.654912640617</v>
      </c>
      <c r="N125" s="35"/>
      <c r="O125" s="35"/>
      <c r="P125" s="35"/>
      <c r="Q125" s="34"/>
      <c r="R125" s="31"/>
      <c r="S125" s="31"/>
      <c r="T125" s="31"/>
      <c r="U125" s="31"/>
    </row>
    <row r="126" spans="1:21" x14ac:dyDescent="0.25">
      <c r="A126" s="31" t="s">
        <v>90</v>
      </c>
      <c r="B126" s="31"/>
      <c r="C126" s="31"/>
      <c r="D126" s="41">
        <f>[1]Amort!F19</f>
        <v>1867671.6433895195</v>
      </c>
      <c r="E126" s="41">
        <f>[1]Amort!F31</f>
        <v>1823247.5794967387</v>
      </c>
      <c r="F126" s="41">
        <f>[1]Amort!F43</f>
        <v>1777700.0995751822</v>
      </c>
      <c r="G126" s="41">
        <f>[1]Amort!F55</f>
        <v>1731000.7941669319</v>
      </c>
      <c r="H126" s="41">
        <f>[1]Amort!F67</f>
        <v>1683120.5353827158</v>
      </c>
      <c r="I126" s="41">
        <f>[1]Amort!F79</f>
        <v>1634029.458733886</v>
      </c>
      <c r="J126" s="41">
        <f>[1]Amort!F91</f>
        <v>1583696.9445049593</v>
      </c>
      <c r="K126" s="41">
        <f>[1]Amort!F103</f>
        <v>1532091.5986550932</v>
      </c>
      <c r="L126" s="41">
        <f>[1]Amort!F115</f>
        <v>1479181.2332365955</v>
      </c>
      <c r="M126" s="41">
        <f>[1]Amort!F127</f>
        <v>1424932.8463182419</v>
      </c>
      <c r="N126" s="47">
        <v>0.05</v>
      </c>
      <c r="O126" s="35"/>
      <c r="P126" s="47">
        <v>0.7</v>
      </c>
      <c r="Q126" s="34"/>
      <c r="R126" s="31"/>
      <c r="S126" s="31"/>
      <c r="T126" s="31"/>
      <c r="U126" s="31"/>
    </row>
    <row r="127" spans="1:21" x14ac:dyDescent="0.25">
      <c r="A127" s="31" t="s">
        <v>91</v>
      </c>
      <c r="B127" s="31"/>
      <c r="C127" s="31"/>
      <c r="D127" s="15">
        <f>D81/12*$N$127</f>
        <v>10208.333333333334</v>
      </c>
      <c r="E127" s="15">
        <f>E81/12*$N$127</f>
        <v>10208.333333333334</v>
      </c>
      <c r="F127" s="15">
        <f>F81/12*$N$127</f>
        <v>10208.333333333334</v>
      </c>
      <c r="G127" s="15">
        <f>G81/12*$N$127</f>
        <v>10208.333333333334</v>
      </c>
      <c r="H127" s="15">
        <f>H81/12*$N$127</f>
        <v>10208.333333333334</v>
      </c>
      <c r="I127" s="15">
        <f>I81/12</f>
        <v>10208.333333333334</v>
      </c>
      <c r="J127" s="15">
        <f>J81/12</f>
        <v>10208.333333333334</v>
      </c>
      <c r="K127" s="15">
        <f>K81/12</f>
        <v>10208.333333333334</v>
      </c>
      <c r="L127" s="15">
        <f>L81/12</f>
        <v>10208.333333333334</v>
      </c>
      <c r="M127" s="15">
        <f>M81/12</f>
        <v>10208.333333333334</v>
      </c>
      <c r="N127" s="35">
        <v>1</v>
      </c>
      <c r="O127" s="35" t="s">
        <v>148</v>
      </c>
      <c r="P127" s="35"/>
      <c r="Q127" s="34"/>
      <c r="R127" s="31"/>
      <c r="S127" s="31"/>
      <c r="T127" s="31"/>
      <c r="U127" s="31"/>
    </row>
    <row r="128" spans="1:21" x14ac:dyDescent="0.25">
      <c r="A128" s="31" t="s">
        <v>136</v>
      </c>
      <c r="B128" s="31"/>
      <c r="C128" s="31"/>
      <c r="D128" s="10">
        <v>778879.02025291673</v>
      </c>
      <c r="E128" s="10">
        <v>803527.58118828619</v>
      </c>
      <c r="F128" s="10">
        <v>784399.17655808851</v>
      </c>
      <c r="G128" s="10">
        <v>746566.75271374185</v>
      </c>
      <c r="H128" s="10">
        <v>697294.06131515815</v>
      </c>
      <c r="I128" s="10">
        <v>649017.56650722772</v>
      </c>
      <c r="J128" s="10">
        <v>1016652.1931988897</v>
      </c>
      <c r="K128" s="10">
        <v>941868.19240767648</v>
      </c>
      <c r="L128" s="10">
        <v>839040.69008552632</v>
      </c>
      <c r="M128" s="10">
        <v>711761.01953476085</v>
      </c>
      <c r="N128" s="47">
        <v>7.0000000000000007E-2</v>
      </c>
      <c r="O128" s="35"/>
      <c r="P128" s="35">
        <f>(D109+D108)*P126</f>
        <v>1910999.9999999998</v>
      </c>
      <c r="Q128" s="34"/>
      <c r="R128" s="31"/>
      <c r="S128" s="31"/>
      <c r="T128" s="31"/>
      <c r="U128" s="31"/>
    </row>
    <row r="129" spans="1:21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5"/>
      <c r="O129" s="35"/>
      <c r="P129" s="35"/>
      <c r="Q129" s="34"/>
      <c r="R129" s="31"/>
      <c r="S129" s="31"/>
      <c r="T129" s="31"/>
      <c r="U129" s="31"/>
    </row>
    <row r="130" spans="1:21" x14ac:dyDescent="0.25">
      <c r="A130" s="31" t="s">
        <v>88</v>
      </c>
      <c r="B130" s="31"/>
      <c r="C130" s="31"/>
      <c r="D130" s="31">
        <v>95000</v>
      </c>
      <c r="E130" s="31">
        <v>95000</v>
      </c>
      <c r="F130" s="31">
        <v>95000</v>
      </c>
      <c r="G130" s="31">
        <v>95000</v>
      </c>
      <c r="H130" s="31">
        <v>95000</v>
      </c>
      <c r="I130" s="31">
        <v>95000</v>
      </c>
      <c r="J130" s="31">
        <v>95000</v>
      </c>
      <c r="K130" s="31">
        <v>95000</v>
      </c>
      <c r="L130" s="31">
        <v>95000</v>
      </c>
      <c r="M130" s="31">
        <v>95000</v>
      </c>
      <c r="N130" s="35"/>
      <c r="O130" s="35"/>
      <c r="P130" s="35"/>
      <c r="Q130" s="34"/>
      <c r="R130" s="31"/>
      <c r="S130" s="31"/>
      <c r="T130" s="31"/>
      <c r="U130" s="31"/>
    </row>
    <row r="131" spans="1:21" x14ac:dyDescent="0.25">
      <c r="A131" s="31" t="s">
        <v>92</v>
      </c>
      <c r="B131" s="31"/>
      <c r="C131" s="31"/>
      <c r="D131" s="13">
        <f>C131+D98</f>
        <v>-60859.799324105959</v>
      </c>
      <c r="E131" s="13">
        <f>D131+E98</f>
        <v>-113592.1535095516</v>
      </c>
      <c r="F131" s="13">
        <f>E131+F98</f>
        <v>-121635.06347834639</v>
      </c>
      <c r="G131" s="13">
        <f>F131+G98</f>
        <v>-112617.64153889866</v>
      </c>
      <c r="H131" s="13">
        <f>G131+H98</f>
        <v>-91879.948416936488</v>
      </c>
      <c r="I131" s="13">
        <f>IF(I98&lt;0,0,H131+I98)</f>
        <v>-68081.480007672581</v>
      </c>
      <c r="J131" s="13">
        <f>IF(J98&lt;0,0,I131+J98)</f>
        <v>0</v>
      </c>
      <c r="K131" s="13">
        <f>IF(K98&lt;0,0,J131+K98)</f>
        <v>2879.7979455841414</v>
      </c>
      <c r="L131" s="13">
        <f>IF(L98&lt;0,0,K131+L98)</f>
        <v>28490.646916526617</v>
      </c>
      <c r="M131" s="13">
        <f>IF(M98&lt;0,0,L131+M98)</f>
        <v>79126.611654448468</v>
      </c>
      <c r="N131" s="35"/>
      <c r="O131" s="68"/>
      <c r="P131" s="35"/>
      <c r="Q131" s="34"/>
      <c r="R131" s="31"/>
      <c r="S131" s="31"/>
      <c r="T131" s="31"/>
      <c r="U131" s="31"/>
    </row>
    <row r="132" spans="1:21" x14ac:dyDescent="0.25">
      <c r="A132" s="31"/>
      <c r="B132" s="31"/>
      <c r="C132" s="3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35"/>
      <c r="O132" s="35"/>
      <c r="P132" s="35"/>
      <c r="Q132" s="34"/>
      <c r="R132" s="31"/>
      <c r="S132" s="31"/>
      <c r="T132" s="31"/>
      <c r="U132" s="31"/>
    </row>
    <row r="133" spans="1:21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5"/>
      <c r="O133" s="35"/>
      <c r="P133" s="35"/>
      <c r="Q133" s="34"/>
      <c r="R133" s="31"/>
      <c r="S133" s="31"/>
      <c r="T133" s="31"/>
      <c r="U133" s="31"/>
    </row>
    <row r="134" spans="1:21" x14ac:dyDescent="0.25">
      <c r="A134" s="31" t="s">
        <v>93</v>
      </c>
      <c r="B134" s="31"/>
      <c r="C134" s="31"/>
      <c r="D134" s="2">
        <f t="shared" ref="D134:M134" si="62">SUM(D124:D131)</f>
        <v>2694926.5949119376</v>
      </c>
      <c r="E134" s="2">
        <f t="shared" si="62"/>
        <v>2622418.7377690803</v>
      </c>
      <c r="F134" s="2">
        <f t="shared" si="62"/>
        <v>2550102.6829745588</v>
      </c>
      <c r="G134" s="2">
        <f t="shared" si="62"/>
        <v>2477594.1829745593</v>
      </c>
      <c r="H134" s="2">
        <f t="shared" si="62"/>
        <v>2405085.6829745593</v>
      </c>
      <c r="I134" s="2">
        <f t="shared" si="62"/>
        <v>2332617.3863013694</v>
      </c>
      <c r="J134" s="2">
        <f t="shared" si="62"/>
        <v>2710148.7039138945</v>
      </c>
      <c r="K134" s="2">
        <f t="shared" si="62"/>
        <v>2587679.6358121331</v>
      </c>
      <c r="L134" s="2">
        <f t="shared" si="62"/>
        <v>2465210.1819960861</v>
      </c>
      <c r="M134" s="2">
        <f t="shared" si="62"/>
        <v>2342740.3424657537</v>
      </c>
      <c r="N134" s="64"/>
      <c r="O134" s="35"/>
      <c r="P134" s="35"/>
      <c r="Q134" s="34"/>
      <c r="R134" s="31"/>
      <c r="S134" s="31"/>
      <c r="T134" s="31"/>
      <c r="U134" s="31"/>
    </row>
    <row r="135" spans="1:21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5"/>
      <c r="O135" s="35"/>
      <c r="P135" s="35"/>
      <c r="Q135" s="34"/>
      <c r="R135" s="31"/>
      <c r="S135" s="31"/>
      <c r="T135" s="31"/>
      <c r="U135" s="31"/>
    </row>
    <row r="136" spans="1:21" x14ac:dyDescent="0.25">
      <c r="A136" s="31" t="s">
        <v>100</v>
      </c>
      <c r="B136" s="31"/>
      <c r="C136" s="31"/>
      <c r="D136" s="15">
        <f t="shared" ref="D136:M136" si="63">D121-D134</f>
        <v>0</v>
      </c>
      <c r="E136" s="15">
        <f t="shared" si="63"/>
        <v>0</v>
      </c>
      <c r="F136" s="15">
        <f t="shared" si="63"/>
        <v>0</v>
      </c>
      <c r="G136" s="15">
        <f t="shared" si="63"/>
        <v>0</v>
      </c>
      <c r="H136" s="15">
        <f t="shared" si="63"/>
        <v>0</v>
      </c>
      <c r="I136" s="15">
        <f t="shared" si="63"/>
        <v>0</v>
      </c>
      <c r="J136" s="15">
        <f t="shared" si="63"/>
        <v>0</v>
      </c>
      <c r="K136" s="15">
        <f t="shared" si="63"/>
        <v>0</v>
      </c>
      <c r="L136" s="15">
        <f t="shared" si="63"/>
        <v>0</v>
      </c>
      <c r="M136" s="15">
        <f t="shared" si="63"/>
        <v>0</v>
      </c>
      <c r="N136" s="35"/>
      <c r="O136" s="35"/>
      <c r="P136" s="35"/>
      <c r="Q136" s="34"/>
      <c r="R136" s="31"/>
      <c r="S136" s="31"/>
      <c r="T136" s="31"/>
      <c r="U136" s="31"/>
    </row>
    <row r="137" spans="1:21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x14ac:dyDescent="0.25">
      <c r="A138" s="31" t="s">
        <v>137</v>
      </c>
      <c r="B138" s="31"/>
      <c r="C138" s="32">
        <v>0</v>
      </c>
      <c r="D138" s="32">
        <v>1</v>
      </c>
      <c r="E138" s="32">
        <v>2</v>
      </c>
      <c r="F138" s="32">
        <v>3</v>
      </c>
      <c r="G138" s="32">
        <v>4</v>
      </c>
      <c r="H138" s="32">
        <v>5</v>
      </c>
      <c r="I138" s="32">
        <v>6</v>
      </c>
      <c r="J138" s="32">
        <v>7</v>
      </c>
      <c r="K138" s="32">
        <v>8</v>
      </c>
      <c r="L138" s="32">
        <v>9</v>
      </c>
      <c r="M138" s="32">
        <v>10</v>
      </c>
      <c r="N138" s="31"/>
      <c r="O138" s="35" t="s">
        <v>107</v>
      </c>
      <c r="P138" s="35"/>
      <c r="Q138" s="35"/>
      <c r="R138" s="35"/>
      <c r="S138" s="34"/>
      <c r="T138" s="31"/>
      <c r="U138" s="31"/>
    </row>
    <row r="139" spans="1:21" ht="15.75" x14ac:dyDescent="0.25">
      <c r="A139" s="52" t="s">
        <v>138</v>
      </c>
      <c r="B139" s="31"/>
      <c r="C139" s="30"/>
      <c r="D139" s="27">
        <f t="shared" ref="D139:M139" si="64">D88</f>
        <v>111942.5</v>
      </c>
      <c r="E139" s="27">
        <f t="shared" si="64"/>
        <v>120699.63712183549</v>
      </c>
      <c r="F139" s="27">
        <f t="shared" si="64"/>
        <v>162926.67698559703</v>
      </c>
      <c r="G139" s="27">
        <f t="shared" si="64"/>
        <v>179192.72105119104</v>
      </c>
      <c r="H139" s="27">
        <f t="shared" si="64"/>
        <v>190189.70752067678</v>
      </c>
      <c r="I139" s="27">
        <f t="shared" si="64"/>
        <v>189680.66873591056</v>
      </c>
      <c r="J139" s="27">
        <f t="shared" si="64"/>
        <v>209174.43358643859</v>
      </c>
      <c r="K139" s="27">
        <f t="shared" si="64"/>
        <v>229774.58272966603</v>
      </c>
      <c r="L139" s="27">
        <f t="shared" si="64"/>
        <v>251579.80603229458</v>
      </c>
      <c r="M139" s="27">
        <f t="shared" si="64"/>
        <v>274699.12861652439</v>
      </c>
      <c r="N139" s="31"/>
      <c r="O139" s="51">
        <f>R150+Q148</f>
        <v>0.119614</v>
      </c>
      <c r="P139" s="31"/>
      <c r="Q139" s="31"/>
      <c r="R139" s="31"/>
      <c r="S139" s="31"/>
      <c r="T139" s="31"/>
      <c r="U139" s="31"/>
    </row>
    <row r="140" spans="1:21" ht="15.75" x14ac:dyDescent="0.25">
      <c r="A140" s="52" t="s">
        <v>139</v>
      </c>
      <c r="B140" s="31"/>
      <c r="C140" s="30"/>
      <c r="D140" s="54">
        <f t="shared" ref="D140:I140" si="65">SUM(D90:D91)</f>
        <v>71000</v>
      </c>
      <c r="E140" s="54">
        <f t="shared" si="65"/>
        <v>71000</v>
      </c>
      <c r="F140" s="54">
        <f t="shared" si="65"/>
        <v>71000</v>
      </c>
      <c r="G140" s="54">
        <f t="shared" si="65"/>
        <v>71000</v>
      </c>
      <c r="H140" s="54">
        <f t="shared" si="65"/>
        <v>71000</v>
      </c>
      <c r="I140" s="54">
        <f t="shared" si="65"/>
        <v>71000.100000000006</v>
      </c>
      <c r="J140" s="54">
        <f>SUM(J90:J92,)</f>
        <v>121000.2</v>
      </c>
      <c r="K140" s="54">
        <f t="shared" ref="K140:M140" si="66">SUM(K90:K92,)</f>
        <v>121000.3</v>
      </c>
      <c r="L140" s="54">
        <f t="shared" si="66"/>
        <v>121000.4</v>
      </c>
      <c r="M140" s="54">
        <f t="shared" si="66"/>
        <v>121000.5</v>
      </c>
      <c r="N140" s="31"/>
      <c r="O140" s="31"/>
      <c r="P140" s="31"/>
      <c r="Q140" s="31"/>
      <c r="R140" s="31"/>
      <c r="S140" s="31"/>
      <c r="T140" s="31"/>
      <c r="U140" s="31"/>
    </row>
    <row r="141" spans="1:21" ht="15.75" x14ac:dyDescent="0.25">
      <c r="A141" s="52" t="s">
        <v>140</v>
      </c>
      <c r="B141" s="31"/>
      <c r="C141" s="30"/>
      <c r="D141" s="44">
        <f>D139-D140</f>
        <v>40942.5</v>
      </c>
      <c r="E141" s="44">
        <f t="shared" ref="E141:M141" si="67">E139-E140</f>
        <v>49699.637121835491</v>
      </c>
      <c r="F141" s="44">
        <f t="shared" si="67"/>
        <v>91926.676985597034</v>
      </c>
      <c r="G141" s="44">
        <f t="shared" si="67"/>
        <v>108192.72105119104</v>
      </c>
      <c r="H141" s="44">
        <f t="shared" si="67"/>
        <v>119189.70752067678</v>
      </c>
      <c r="I141" s="44">
        <f t="shared" si="67"/>
        <v>118680.56873591055</v>
      </c>
      <c r="J141" s="44">
        <f t="shared" si="67"/>
        <v>88174.233586438597</v>
      </c>
      <c r="K141" s="44">
        <f t="shared" si="67"/>
        <v>108774.28272966603</v>
      </c>
      <c r="L141" s="44">
        <f t="shared" si="67"/>
        <v>130579.40603229459</v>
      </c>
      <c r="M141" s="44">
        <f t="shared" si="67"/>
        <v>153698.62861652439</v>
      </c>
      <c r="N141" s="31"/>
      <c r="O141" s="56" t="s">
        <v>111</v>
      </c>
      <c r="P141" s="31"/>
      <c r="Q141" s="31"/>
      <c r="R141" s="31"/>
      <c r="S141" s="31"/>
      <c r="T141" s="31"/>
      <c r="U141" s="31"/>
    </row>
    <row r="142" spans="1:21" ht="15.75" x14ac:dyDescent="0.25">
      <c r="A142" s="52" t="s">
        <v>141</v>
      </c>
      <c r="B142" s="31"/>
      <c r="C142" s="30"/>
      <c r="D142" s="44">
        <f>-D141*$N$97</f>
        <v>-10235.625</v>
      </c>
      <c r="E142" s="44">
        <f t="shared" ref="E142:M142" si="68">-E141*$N$97</f>
        <v>-12424.909280458873</v>
      </c>
      <c r="F142" s="44">
        <f t="shared" si="68"/>
        <v>-22981.669246399259</v>
      </c>
      <c r="G142" s="44">
        <f t="shared" si="68"/>
        <v>-27048.180262797759</v>
      </c>
      <c r="H142" s="44">
        <f t="shared" si="68"/>
        <v>-29797.426880169194</v>
      </c>
      <c r="I142" s="44">
        <f t="shared" si="68"/>
        <v>-29670.142183977638</v>
      </c>
      <c r="J142" s="44">
        <f t="shared" si="68"/>
        <v>-22043.558396609649</v>
      </c>
      <c r="K142" s="44">
        <f t="shared" si="68"/>
        <v>-27193.570682416506</v>
      </c>
      <c r="L142" s="44">
        <f t="shared" si="68"/>
        <v>-32644.851508073647</v>
      </c>
      <c r="M142" s="44">
        <f t="shared" si="68"/>
        <v>-38424.657154131099</v>
      </c>
      <c r="N142" s="31"/>
      <c r="O142" s="61">
        <f>(U153*R145)+(S157*O139)</f>
        <v>4.8307697147185365E-2</v>
      </c>
      <c r="P142" s="31"/>
      <c r="Q142" s="31"/>
      <c r="R142" s="31"/>
      <c r="S142" s="31"/>
      <c r="T142" s="31"/>
      <c r="U142" s="31"/>
    </row>
    <row r="143" spans="1:21" ht="15.75" x14ac:dyDescent="0.25">
      <c r="A143" s="52" t="s">
        <v>142</v>
      </c>
      <c r="B143" s="31"/>
      <c r="C143" s="30"/>
      <c r="D143" s="54">
        <f>D140</f>
        <v>71000</v>
      </c>
      <c r="E143" s="54">
        <f t="shared" ref="E143:M143" si="69">E140</f>
        <v>71000</v>
      </c>
      <c r="F143" s="54">
        <f t="shared" si="69"/>
        <v>71000</v>
      </c>
      <c r="G143" s="54">
        <f t="shared" si="69"/>
        <v>71000</v>
      </c>
      <c r="H143" s="54">
        <f t="shared" si="69"/>
        <v>71000</v>
      </c>
      <c r="I143" s="54">
        <f t="shared" si="69"/>
        <v>71000.100000000006</v>
      </c>
      <c r="J143" s="54">
        <f t="shared" si="69"/>
        <v>121000.2</v>
      </c>
      <c r="K143" s="54">
        <f t="shared" si="69"/>
        <v>121000.3</v>
      </c>
      <c r="L143" s="54">
        <f t="shared" si="69"/>
        <v>121000.4</v>
      </c>
      <c r="M143" s="54">
        <f t="shared" si="69"/>
        <v>121000.5</v>
      </c>
      <c r="N143" s="31"/>
      <c r="O143" s="31"/>
      <c r="P143" s="31"/>
      <c r="Q143" s="31"/>
      <c r="R143" s="31"/>
      <c r="S143" s="31"/>
      <c r="T143" s="31"/>
      <c r="U143" s="31"/>
    </row>
    <row r="144" spans="1:21" ht="15.75" x14ac:dyDescent="0.25">
      <c r="A144" s="53" t="s">
        <v>143</v>
      </c>
      <c r="B144" s="31"/>
      <c r="C144" s="30"/>
      <c r="D144" s="44">
        <f>SUM(D141:D143)</f>
        <v>101706.875</v>
      </c>
      <c r="E144" s="44">
        <f t="shared" ref="E144:M144" si="70">SUM(E141:E143)</f>
        <v>108274.72784137662</v>
      </c>
      <c r="F144" s="44">
        <f t="shared" si="70"/>
        <v>139945.00773919778</v>
      </c>
      <c r="G144" s="44">
        <f t="shared" si="70"/>
        <v>152144.54078839329</v>
      </c>
      <c r="H144" s="44">
        <f t="shared" si="70"/>
        <v>160392.28064050758</v>
      </c>
      <c r="I144" s="44">
        <f t="shared" si="70"/>
        <v>160010.52655193291</v>
      </c>
      <c r="J144" s="44">
        <f t="shared" si="70"/>
        <v>187130.87518982895</v>
      </c>
      <c r="K144" s="44">
        <f t="shared" si="70"/>
        <v>202581.01204724953</v>
      </c>
      <c r="L144" s="44">
        <f t="shared" si="70"/>
        <v>218934.95452422093</v>
      </c>
      <c r="M144" s="44">
        <f t="shared" si="70"/>
        <v>236274.4714623933</v>
      </c>
      <c r="N144" s="31"/>
      <c r="O144" s="31"/>
      <c r="P144" s="31"/>
      <c r="Q144" s="27"/>
      <c r="R144" s="27" t="s">
        <v>116</v>
      </c>
      <c r="S144" s="27"/>
      <c r="T144" s="27"/>
      <c r="U144" s="27"/>
    </row>
    <row r="145" spans="1:21" x14ac:dyDescent="0.25">
      <c r="A145" s="31"/>
      <c r="B145" s="30"/>
      <c r="C145" s="30"/>
      <c r="D145" s="30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0" t="s">
        <v>104</v>
      </c>
      <c r="Q145" s="29">
        <f>T154</f>
        <v>5.6662264828009082E-2</v>
      </c>
      <c r="R145" s="28">
        <f>Q145*R146</f>
        <v>4.2496698621006815E-2</v>
      </c>
      <c r="S145" s="27"/>
      <c r="T145" s="27"/>
      <c r="U145" s="27"/>
    </row>
    <row r="146" spans="1:21" x14ac:dyDescent="0.25">
      <c r="A146" s="59" t="s">
        <v>149</v>
      </c>
      <c r="B146" s="60"/>
      <c r="C146" s="30"/>
      <c r="D146" s="30"/>
      <c r="E146" s="31"/>
      <c r="F146" s="31"/>
      <c r="G146" s="31"/>
      <c r="H146" s="16"/>
      <c r="I146" s="31"/>
      <c r="J146" s="31"/>
      <c r="K146" s="31"/>
      <c r="L146" s="31"/>
      <c r="M146" s="31"/>
      <c r="N146" s="31"/>
      <c r="O146" s="31"/>
      <c r="P146" s="31" t="s">
        <v>164</v>
      </c>
      <c r="Q146" s="42">
        <f>N97</f>
        <v>0.25</v>
      </c>
      <c r="R146" s="42">
        <f>1-Q146</f>
        <v>0.75</v>
      </c>
      <c r="S146" s="30"/>
      <c r="T146" s="27"/>
      <c r="U146" s="27"/>
    </row>
    <row r="147" spans="1:21" x14ac:dyDescent="0.25">
      <c r="A147" s="60"/>
      <c r="B147" s="60" t="s">
        <v>150</v>
      </c>
      <c r="C147" s="62">
        <f>-D109</f>
        <v>-2070000</v>
      </c>
      <c r="D147" s="30"/>
      <c r="E147" s="31"/>
      <c r="F147" s="31"/>
      <c r="G147" s="31"/>
      <c r="H147" s="31"/>
      <c r="I147" s="31"/>
      <c r="J147" s="16">
        <f>-J111</f>
        <v>-500000</v>
      </c>
      <c r="K147" s="31"/>
      <c r="L147" s="31"/>
      <c r="M147" s="16">
        <f>1.47*(M109-M110)</f>
        <v>2028600</v>
      </c>
      <c r="N147" s="16">
        <f>M147-(M109-M110)</f>
        <v>648600</v>
      </c>
      <c r="O147" s="31"/>
      <c r="P147" s="30" t="s">
        <v>105</v>
      </c>
      <c r="Q147" s="29"/>
      <c r="R147" s="30"/>
      <c r="S147" s="30"/>
      <c r="T147" s="30"/>
      <c r="U147" s="27"/>
    </row>
    <row r="148" spans="1:21" x14ac:dyDescent="0.25">
      <c r="A148" s="60"/>
      <c r="B148" s="60" t="s">
        <v>151</v>
      </c>
      <c r="C148" s="30"/>
      <c r="D148" s="30"/>
      <c r="E148" s="31"/>
      <c r="F148" s="31"/>
      <c r="G148" s="31"/>
      <c r="H148" s="31"/>
      <c r="I148" s="31"/>
      <c r="J148" s="31"/>
      <c r="K148" s="31"/>
      <c r="L148" s="31"/>
      <c r="M148" s="31">
        <f>-(N147*N97)</f>
        <v>-162150</v>
      </c>
      <c r="N148" s="31"/>
      <c r="O148" s="31"/>
      <c r="P148" s="31" t="s">
        <v>165</v>
      </c>
      <c r="Q148" s="29">
        <v>1.5E-3</v>
      </c>
      <c r="R148" s="30" t="s">
        <v>106</v>
      </c>
      <c r="S148" s="30"/>
      <c r="T148" s="30"/>
      <c r="U148" s="27"/>
    </row>
    <row r="149" spans="1:21" x14ac:dyDescent="0.25">
      <c r="A149" s="60"/>
      <c r="B149" s="60" t="s">
        <v>152</v>
      </c>
      <c r="C149" s="30"/>
      <c r="D149" s="30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0" t="s">
        <v>108</v>
      </c>
      <c r="Q149" s="29">
        <v>8.2400000000000001E-2</v>
      </c>
      <c r="R149" s="29">
        <f>Q149-Q148</f>
        <v>8.09E-2</v>
      </c>
      <c r="S149" s="30"/>
      <c r="T149" s="29"/>
      <c r="U149" s="31"/>
    </row>
    <row r="150" spans="1:21" x14ac:dyDescent="0.25">
      <c r="A150" s="60"/>
      <c r="B150" s="60"/>
      <c r="C150" s="30"/>
      <c r="D150" s="30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0" t="s">
        <v>109</v>
      </c>
      <c r="Q150" s="30">
        <v>1.46</v>
      </c>
      <c r="R150" s="28">
        <f>R149*Q150</f>
        <v>0.118114</v>
      </c>
      <c r="S150" s="30"/>
      <c r="T150" s="30"/>
      <c r="U150" s="31"/>
    </row>
    <row r="151" spans="1:21" x14ac:dyDescent="0.25">
      <c r="A151" s="59" t="s">
        <v>153</v>
      </c>
      <c r="B151" s="60"/>
      <c r="C151" s="30"/>
      <c r="D151" s="30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0"/>
      <c r="U151" s="31"/>
    </row>
    <row r="152" spans="1:21" x14ac:dyDescent="0.25">
      <c r="A152" s="60" t="s">
        <v>154</v>
      </c>
      <c r="B152" s="60" t="s">
        <v>155</v>
      </c>
      <c r="C152" s="30"/>
      <c r="D152" s="30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 t="s">
        <v>169</v>
      </c>
      <c r="S152" s="31"/>
      <c r="T152" s="30"/>
      <c r="U152" s="31"/>
    </row>
    <row r="153" spans="1:21" x14ac:dyDescent="0.25">
      <c r="A153" s="60" t="s">
        <v>154</v>
      </c>
      <c r="B153" s="60" t="s">
        <v>54</v>
      </c>
      <c r="C153" s="30"/>
      <c r="D153" s="57">
        <f>-(D105-C105)</f>
        <v>-1879.4520547945203</v>
      </c>
      <c r="E153" s="57">
        <f>-(E105-D105)</f>
        <v>0</v>
      </c>
      <c r="F153" s="57">
        <f>-(F105-E105)</f>
        <v>-187.9452054794524</v>
      </c>
      <c r="G153" s="57">
        <f>-(G105-F105)</f>
        <v>0</v>
      </c>
      <c r="H153" s="57">
        <f>-(H105-G105)</f>
        <v>0</v>
      </c>
      <c r="I153" s="57">
        <f t="shared" ref="I153:M153" si="71">-(I105-H105)</f>
        <v>-37.589041095890025</v>
      </c>
      <c r="J153" s="57">
        <f t="shared" si="71"/>
        <v>-37.589041095890479</v>
      </c>
      <c r="K153" s="57">
        <f t="shared" si="71"/>
        <v>-37.589041095890934</v>
      </c>
      <c r="L153" s="57">
        <f t="shared" si="71"/>
        <v>-37.589041095890025</v>
      </c>
      <c r="M153" s="57">
        <f t="shared" si="71"/>
        <v>-37.589041095890479</v>
      </c>
      <c r="N153" s="31"/>
      <c r="O153" s="31"/>
      <c r="P153" s="30" t="s">
        <v>110</v>
      </c>
      <c r="Q153" s="55">
        <f>M126</f>
        <v>1424932.8463182419</v>
      </c>
      <c r="R153" s="30">
        <f>Q153/SUM(Q153:Q154)</f>
        <v>0.66688675859954583</v>
      </c>
      <c r="S153" s="31">
        <v>0.05</v>
      </c>
      <c r="T153" s="30"/>
      <c r="U153" s="65">
        <f>(Q153+Q154)/(Q159)</f>
        <v>0.92464727859679141</v>
      </c>
    </row>
    <row r="154" spans="1:21" x14ac:dyDescent="0.25">
      <c r="A154" s="60" t="s">
        <v>156</v>
      </c>
      <c r="B154" s="60" t="s">
        <v>89</v>
      </c>
      <c r="C154" s="30"/>
      <c r="D154" s="57">
        <f>D124-C124</f>
        <v>4027.3972602739723</v>
      </c>
      <c r="E154" s="57">
        <f t="shared" ref="E154:M154" si="72">E124-D124</f>
        <v>0</v>
      </c>
      <c r="F154" s="57">
        <f t="shared" si="72"/>
        <v>402.73972602739741</v>
      </c>
      <c r="G154" s="57">
        <f t="shared" si="72"/>
        <v>0</v>
      </c>
      <c r="H154" s="57">
        <f t="shared" si="72"/>
        <v>0</v>
      </c>
      <c r="I154" s="57">
        <f t="shared" si="72"/>
        <v>80.547945205479664</v>
      </c>
      <c r="J154" s="57">
        <f t="shared" si="72"/>
        <v>80.547945205479664</v>
      </c>
      <c r="K154" s="57">
        <f t="shared" si="72"/>
        <v>80.547945205479664</v>
      </c>
      <c r="L154" s="57">
        <f t="shared" si="72"/>
        <v>80.547945205478754</v>
      </c>
      <c r="M154" s="57">
        <f t="shared" si="72"/>
        <v>80.547945205479664</v>
      </c>
      <c r="N154" s="31"/>
      <c r="O154" s="31"/>
      <c r="P154" s="30" t="s">
        <v>112</v>
      </c>
      <c r="Q154" s="27">
        <f>M128</f>
        <v>711761.01953476085</v>
      </c>
      <c r="R154" s="30">
        <f>Q154/SUM(Q153:Q154)</f>
        <v>0.33311324140045412</v>
      </c>
      <c r="S154" s="43">
        <v>7.0000000000000007E-2</v>
      </c>
      <c r="T154" s="30">
        <f>R153*S153+R154*S154</f>
        <v>5.6662264828009082E-2</v>
      </c>
      <c r="U154" s="30"/>
    </row>
    <row r="155" spans="1:21" x14ac:dyDescent="0.25">
      <c r="A155" s="60" t="s">
        <v>156</v>
      </c>
      <c r="B155" s="60" t="s">
        <v>157</v>
      </c>
      <c r="C155" s="30"/>
      <c r="D155" s="44">
        <f>-(D142-C142)</f>
        <v>10235.625</v>
      </c>
      <c r="E155" s="44">
        <f t="shared" ref="E155:M155" si="73">-(E142-D142)</f>
        <v>2189.2842804588727</v>
      </c>
      <c r="F155" s="44">
        <f t="shared" si="73"/>
        <v>10556.759965940386</v>
      </c>
      <c r="G155" s="44">
        <f t="shared" si="73"/>
        <v>4066.5110163985009</v>
      </c>
      <c r="H155" s="44">
        <f t="shared" si="73"/>
        <v>2749.2466173714347</v>
      </c>
      <c r="I155" s="44">
        <f t="shared" si="73"/>
        <v>-127.28469619155658</v>
      </c>
      <c r="J155" s="44">
        <f t="shared" si="73"/>
        <v>-7626.5837873679884</v>
      </c>
      <c r="K155" s="44">
        <f t="shared" si="73"/>
        <v>5150.0122858068571</v>
      </c>
      <c r="L155" s="44">
        <f t="shared" si="73"/>
        <v>5451.2808256571407</v>
      </c>
      <c r="M155" s="44">
        <f t="shared" si="73"/>
        <v>5779.8056460574517</v>
      </c>
      <c r="N155" s="35"/>
      <c r="O155" s="35"/>
      <c r="P155" s="30"/>
      <c r="Q155" s="27"/>
      <c r="R155" s="66">
        <f>SUM(Q153:Q154)/Q159</f>
        <v>0.92464727859679141</v>
      </c>
      <c r="S155" s="30"/>
      <c r="T155" s="30"/>
      <c r="U155" s="30"/>
    </row>
    <row r="156" spans="1:21" x14ac:dyDescent="0.25">
      <c r="A156" s="60"/>
      <c r="B156" s="60"/>
      <c r="C156" s="30"/>
      <c r="D156" s="30"/>
      <c r="E156" s="30"/>
      <c r="F156" s="30"/>
      <c r="G156" s="30"/>
      <c r="H156" s="30"/>
      <c r="I156" s="30"/>
      <c r="J156" s="30"/>
      <c r="K156" s="31"/>
      <c r="L156" s="31"/>
      <c r="M156" s="31"/>
      <c r="N156" s="34"/>
      <c r="O156" s="34"/>
      <c r="P156" s="30" t="s">
        <v>105</v>
      </c>
      <c r="Q156" s="31"/>
      <c r="R156" s="55"/>
      <c r="S156" s="30"/>
      <c r="T156" s="30"/>
      <c r="U156" s="30"/>
    </row>
    <row r="157" spans="1:21" x14ac:dyDescent="0.25">
      <c r="A157" s="59" t="s">
        <v>158</v>
      </c>
      <c r="B157" s="60"/>
      <c r="C157" s="30"/>
      <c r="D157" s="30"/>
      <c r="E157" s="30"/>
      <c r="F157" s="30"/>
      <c r="G157" s="30"/>
      <c r="H157" s="30"/>
      <c r="I157" s="30"/>
      <c r="J157" s="30"/>
      <c r="K157" s="31"/>
      <c r="L157" s="31"/>
      <c r="M157" s="31"/>
      <c r="N157" s="34"/>
      <c r="O157" s="34"/>
      <c r="P157" s="30" t="s">
        <v>113</v>
      </c>
      <c r="Q157" s="30">
        <f>M130</f>
        <v>95000</v>
      </c>
      <c r="R157" s="44">
        <f>SUM(Q157:Q158)/Q159</f>
        <v>7.5352721403208617E-2</v>
      </c>
      <c r="S157" s="65">
        <f>SUM(Q157:Q158)/Q159</f>
        <v>7.5352721403208617E-2</v>
      </c>
      <c r="T157" s="30"/>
      <c r="U157" s="30"/>
    </row>
    <row r="158" spans="1:21" x14ac:dyDescent="0.25">
      <c r="A158" s="60" t="s">
        <v>156</v>
      </c>
      <c r="B158" s="60" t="s">
        <v>155</v>
      </c>
      <c r="C158" s="30"/>
      <c r="D158" s="30"/>
      <c r="E158" s="30"/>
      <c r="F158" s="30"/>
      <c r="G158" s="30"/>
      <c r="H158" s="30"/>
      <c r="I158" s="30"/>
      <c r="J158" s="30"/>
      <c r="K158" s="31"/>
      <c r="L158" s="31"/>
      <c r="M158" s="31"/>
      <c r="N158" s="34"/>
      <c r="O158" s="34"/>
      <c r="P158" s="30" t="s">
        <v>114</v>
      </c>
      <c r="Q158" s="27">
        <f>M131</f>
        <v>79126.611654448468</v>
      </c>
      <c r="R158" s="30"/>
      <c r="S158" s="43"/>
      <c r="T158" s="30"/>
      <c r="U158" s="30"/>
    </row>
    <row r="159" spans="1:21" x14ac:dyDescent="0.25">
      <c r="A159" s="60" t="s">
        <v>156</v>
      </c>
      <c r="B159" s="60" t="s">
        <v>54</v>
      </c>
      <c r="C159" s="30"/>
      <c r="D159" s="30"/>
      <c r="E159" s="27"/>
      <c r="F159" s="27"/>
      <c r="G159" s="27"/>
      <c r="H159" s="27"/>
      <c r="I159" s="30"/>
      <c r="J159" s="30"/>
      <c r="K159" s="31"/>
      <c r="L159" s="31"/>
      <c r="M159" s="15">
        <f>M105</f>
        <v>2255.3424657534247</v>
      </c>
      <c r="N159" s="34"/>
      <c r="O159" s="34"/>
      <c r="P159" s="30" t="s">
        <v>115</v>
      </c>
      <c r="Q159" s="27">
        <f>SUM(Q153:Q158)</f>
        <v>2310820.4775074511</v>
      </c>
      <c r="R159" s="30"/>
      <c r="S159" s="30"/>
      <c r="T159" s="34"/>
      <c r="U159" s="31"/>
    </row>
    <row r="160" spans="1:21" x14ac:dyDescent="0.25">
      <c r="A160" s="60" t="s">
        <v>154</v>
      </c>
      <c r="B160" s="60" t="s">
        <v>89</v>
      </c>
      <c r="C160" s="30"/>
      <c r="D160" s="30"/>
      <c r="E160" s="27"/>
      <c r="F160" s="27"/>
      <c r="G160" s="27"/>
      <c r="H160" s="27"/>
      <c r="I160" s="30"/>
      <c r="J160" s="30"/>
      <c r="K160" s="31"/>
      <c r="L160" s="31"/>
      <c r="M160" s="15">
        <f>-M124</f>
        <v>-4832.8767123287671</v>
      </c>
      <c r="N160" s="34"/>
      <c r="O160" s="34"/>
      <c r="P160" s="31"/>
      <c r="Q160" s="27"/>
      <c r="R160" s="30"/>
      <c r="S160" s="30"/>
      <c r="T160" s="31"/>
      <c r="U160" s="31"/>
    </row>
    <row r="161" spans="1:21" x14ac:dyDescent="0.25">
      <c r="A161" s="60" t="s">
        <v>154</v>
      </c>
      <c r="B161" s="60" t="s">
        <v>157</v>
      </c>
      <c r="C161" s="30"/>
      <c r="D161" s="30"/>
      <c r="E161" s="30"/>
      <c r="F161" s="30"/>
      <c r="G161" s="30"/>
      <c r="H161" s="44"/>
      <c r="I161" s="30"/>
      <c r="J161" s="30"/>
      <c r="K161" s="31"/>
      <c r="L161" s="31"/>
      <c r="M161" s="63">
        <f>M142</f>
        <v>-38424.657154131099</v>
      </c>
      <c r="N161" s="34"/>
      <c r="O161" s="34"/>
      <c r="P161" s="31"/>
      <c r="Q161" s="35"/>
      <c r="R161" s="35"/>
      <c r="S161" s="35"/>
      <c r="T161" s="31"/>
      <c r="U161" s="31"/>
    </row>
    <row r="162" spans="1:21" x14ac:dyDescent="0.25">
      <c r="A162" s="60"/>
      <c r="B162" s="60"/>
      <c r="C162" s="30"/>
      <c r="D162" s="30"/>
      <c r="E162" s="27"/>
      <c r="F162" s="27"/>
      <c r="G162" s="27"/>
      <c r="H162" s="27"/>
      <c r="I162" s="30"/>
      <c r="J162" s="30"/>
      <c r="K162" s="31"/>
      <c r="L162" s="31"/>
      <c r="M162" s="31"/>
      <c r="N162" s="34"/>
      <c r="O162" s="34"/>
      <c r="P162" s="30" t="s">
        <v>170</v>
      </c>
      <c r="Q162" s="67">
        <f>Q150/(1+(1-Q146)*(R155/R157))</f>
        <v>0.14309249470218482</v>
      </c>
      <c r="R162" s="31"/>
      <c r="S162" s="31"/>
      <c r="T162" s="31"/>
      <c r="U162" s="31"/>
    </row>
    <row r="163" spans="1:21" x14ac:dyDescent="0.25">
      <c r="A163" s="59" t="s">
        <v>159</v>
      </c>
      <c r="B163" s="60"/>
      <c r="C163" s="58">
        <f>SUM(C144:C162)</f>
        <v>-2070000</v>
      </c>
      <c r="D163" s="58">
        <f t="shared" ref="D163:L163" si="74">SUM(D144:D162)</f>
        <v>114090.44520547945</v>
      </c>
      <c r="E163" s="58">
        <f t="shared" si="74"/>
        <v>110464.01212183549</v>
      </c>
      <c r="F163" s="58">
        <f t="shared" si="74"/>
        <v>150716.5622256861</v>
      </c>
      <c r="G163" s="58">
        <f t="shared" si="74"/>
        <v>156211.05180479179</v>
      </c>
      <c r="H163" s="58">
        <f t="shared" si="74"/>
        <v>163141.52725787903</v>
      </c>
      <c r="I163" s="58">
        <f t="shared" si="74"/>
        <v>159926.20075985094</v>
      </c>
      <c r="J163" s="58">
        <f>SUM(J144:J162)</f>
        <v>-320452.74969342945</v>
      </c>
      <c r="K163" s="58">
        <f t="shared" si="74"/>
        <v>207773.98323716596</v>
      </c>
      <c r="L163" s="58">
        <f t="shared" si="74"/>
        <v>224429.19425398763</v>
      </c>
      <c r="M163" s="58">
        <f>SUM(M144:M162)</f>
        <v>2067545.0446118535</v>
      </c>
      <c r="N163" s="34"/>
      <c r="O163" s="34"/>
      <c r="P163" s="34"/>
      <c r="Q163" s="34"/>
      <c r="R163" s="31"/>
      <c r="S163" s="31"/>
      <c r="T163" s="31"/>
      <c r="U163" s="31"/>
    </row>
    <row r="164" spans="1:21" x14ac:dyDescent="0.25">
      <c r="A164" s="60" t="s">
        <v>160</v>
      </c>
      <c r="B164" s="29">
        <f>IRR(C163:M163)</f>
        <v>4.816230672948385E-2</v>
      </c>
      <c r="C164" s="30"/>
      <c r="D164" s="30"/>
      <c r="E164" s="27"/>
      <c r="F164" s="27"/>
      <c r="G164" s="27"/>
      <c r="H164" s="27"/>
      <c r="I164" s="30"/>
      <c r="J164" s="30"/>
      <c r="K164" s="31"/>
      <c r="L164" s="31"/>
      <c r="M164" s="31"/>
      <c r="N164" s="34"/>
      <c r="O164" s="34"/>
      <c r="P164" s="34" t="s">
        <v>171</v>
      </c>
      <c r="Q164" s="34">
        <f>Q162*(1+(1-Q146)*(0.5/0.5))</f>
        <v>0.25041186572882346</v>
      </c>
      <c r="R164" s="31"/>
      <c r="S164" s="31"/>
      <c r="T164" s="31"/>
      <c r="U164" s="31"/>
    </row>
    <row r="165" spans="1:21" x14ac:dyDescent="0.25">
      <c r="A165" s="31"/>
      <c r="B165" s="30"/>
      <c r="C165" s="30"/>
      <c r="D165" s="30"/>
      <c r="E165" s="30"/>
      <c r="F165" s="30"/>
      <c r="G165" s="30"/>
      <c r="H165" s="30"/>
      <c r="I165" s="30"/>
      <c r="J165" s="30"/>
      <c r="K165" s="31"/>
      <c r="L165" s="31"/>
      <c r="M165" s="31"/>
      <c r="N165" s="34"/>
      <c r="O165" s="34"/>
      <c r="P165" s="34"/>
      <c r="Q165" s="34"/>
      <c r="R165" s="31"/>
      <c r="S165" s="31"/>
      <c r="T165" s="31"/>
      <c r="U165" s="31"/>
    </row>
    <row r="166" spans="1:21" x14ac:dyDescent="0.25">
      <c r="A166" s="60" t="s">
        <v>161</v>
      </c>
      <c r="B166" s="30"/>
      <c r="C166" s="55">
        <f t="shared" ref="C166:M166" si="75">-PV($O$142,C138,,C163)</f>
        <v>-2070000</v>
      </c>
      <c r="D166" s="55">
        <f t="shared" si="75"/>
        <v>108832.9748183284</v>
      </c>
      <c r="E166" s="55">
        <f t="shared" si="75"/>
        <v>100517.86690518352</v>
      </c>
      <c r="F166" s="55">
        <f t="shared" si="75"/>
        <v>130826.17853401211</v>
      </c>
      <c r="G166" s="55">
        <f t="shared" si="75"/>
        <v>129347.08870677352</v>
      </c>
      <c r="H166" s="55">
        <f t="shared" si="75"/>
        <v>128860.7488062647</v>
      </c>
      <c r="I166" s="55">
        <f t="shared" si="75"/>
        <v>120499.97938532985</v>
      </c>
      <c r="J166" s="55">
        <f t="shared" si="75"/>
        <v>-230325.79576690082</v>
      </c>
      <c r="K166" s="55">
        <f t="shared" si="75"/>
        <v>142456.07323983882</v>
      </c>
      <c r="L166" s="55">
        <f t="shared" si="75"/>
        <v>146784.56120910309</v>
      </c>
      <c r="M166" s="55">
        <f t="shared" si="75"/>
        <v>1289933.2400518027</v>
      </c>
      <c r="N166" s="35"/>
      <c r="O166" s="35"/>
      <c r="P166" s="35"/>
      <c r="Q166" s="31"/>
      <c r="R166" s="31"/>
      <c r="S166" s="31"/>
      <c r="T166" s="31"/>
      <c r="U166" s="31"/>
    </row>
    <row r="167" spans="1:21" x14ac:dyDescent="0.25">
      <c r="A167" s="31"/>
      <c r="B167" s="30"/>
      <c r="C167" s="30"/>
      <c r="D167" s="30"/>
      <c r="E167" s="42"/>
      <c r="F167" s="42"/>
      <c r="G167" s="42"/>
      <c r="H167" s="42"/>
      <c r="I167" s="30"/>
      <c r="J167" s="30"/>
      <c r="K167" s="31"/>
      <c r="L167" s="31"/>
      <c r="M167" s="31"/>
      <c r="N167" s="35"/>
      <c r="O167" s="35"/>
      <c r="P167" s="35"/>
      <c r="Q167" s="31"/>
      <c r="R167" s="31"/>
      <c r="S167" s="31"/>
      <c r="T167" s="31"/>
      <c r="U167" s="31"/>
    </row>
    <row r="168" spans="1:21" x14ac:dyDescent="0.25">
      <c r="A168" s="31" t="s">
        <v>162</v>
      </c>
      <c r="B168" s="30"/>
      <c r="C168" s="55">
        <f>SUM(C166:M166)</f>
        <v>-2267.0841102642007</v>
      </c>
      <c r="D168" s="30"/>
      <c r="E168" s="44"/>
      <c r="F168" s="44"/>
      <c r="G168" s="44"/>
      <c r="H168" s="44"/>
      <c r="I168" s="30"/>
      <c r="J168" s="30"/>
      <c r="K168" s="31"/>
      <c r="L168" s="31"/>
      <c r="M168" s="31"/>
      <c r="N168" s="35"/>
      <c r="O168" s="35"/>
      <c r="P168" s="35"/>
      <c r="Q168" s="31"/>
      <c r="R168" s="31"/>
      <c r="S168" s="31"/>
      <c r="T168" s="31"/>
      <c r="U168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workbookViewId="0">
      <selection activeCell="E23" sqref="E23"/>
    </sheetView>
  </sheetViews>
  <sheetFormatPr defaultRowHeight="15" x14ac:dyDescent="0.25"/>
  <cols>
    <col min="1" max="1" width="9.42578125" bestFit="1" customWidth="1"/>
    <col min="2" max="2" width="13.5703125" bestFit="1" customWidth="1"/>
    <col min="3" max="3" width="13.140625" bestFit="1" customWidth="1"/>
    <col min="4" max="4" width="12" bestFit="1" customWidth="1"/>
    <col min="5" max="5" width="12" customWidth="1"/>
    <col min="6" max="6" width="18.85546875" bestFit="1" customWidth="1"/>
    <col min="7" max="7" width="18.140625" bestFit="1" customWidth="1"/>
    <col min="8" max="8" width="17.42578125" bestFit="1" customWidth="1"/>
    <col min="9" max="9" width="10.85546875" bestFit="1" customWidth="1"/>
  </cols>
  <sheetData>
    <row r="1" spans="1:8" x14ac:dyDescent="0.25">
      <c r="A1" s="87" t="s">
        <v>74</v>
      </c>
      <c r="B1" s="87"/>
      <c r="C1" s="87"/>
      <c r="D1" s="87"/>
      <c r="E1" s="18"/>
    </row>
    <row r="2" spans="1:8" x14ac:dyDescent="0.25">
      <c r="A2" s="19" t="s">
        <v>75</v>
      </c>
      <c r="B2">
        <f>'Financial Statements'!P128</f>
        <v>1910999.9999999998</v>
      </c>
    </row>
    <row r="3" spans="1:8" x14ac:dyDescent="0.25">
      <c r="A3" s="19" t="s">
        <v>76</v>
      </c>
      <c r="B3" s="20">
        <v>2.5000000000000001E-2</v>
      </c>
      <c r="C3">
        <f>B3/12</f>
        <v>2.0833333333333333E-3</v>
      </c>
    </row>
    <row r="4" spans="1:8" x14ac:dyDescent="0.25">
      <c r="A4" s="19" t="s">
        <v>77</v>
      </c>
      <c r="B4">
        <v>30</v>
      </c>
      <c r="C4">
        <f>B4*12</f>
        <v>360</v>
      </c>
    </row>
    <row r="7" spans="1:8" x14ac:dyDescent="0.25">
      <c r="A7" s="19" t="s">
        <v>78</v>
      </c>
      <c r="B7" s="19" t="s">
        <v>79</v>
      </c>
      <c r="C7" s="19" t="s">
        <v>80</v>
      </c>
      <c r="D7" s="19" t="s">
        <v>81</v>
      </c>
      <c r="E7" s="21" t="s">
        <v>82</v>
      </c>
      <c r="F7" s="19" t="s">
        <v>83</v>
      </c>
      <c r="G7" s="19" t="s">
        <v>84</v>
      </c>
      <c r="H7" s="19" t="s">
        <v>85</v>
      </c>
    </row>
    <row r="8" spans="1:8" x14ac:dyDescent="0.25">
      <c r="A8">
        <v>1</v>
      </c>
      <c r="B8" s="22">
        <f>IF(F7&lt;B7,F7,-PMT($C$3,$C$4,$B$2,))</f>
        <v>7550.7603764068581</v>
      </c>
      <c r="C8" s="22">
        <f>IF(B8&gt;F7,"",-PPMT($C$3,A8,$C$4,$B$2))</f>
        <v>3569.5103764068585</v>
      </c>
      <c r="D8" s="22">
        <f>IF(A8="","",-IPMT($C$3,A8,$C$4,$B$2))</f>
        <v>3981.2499999999995</v>
      </c>
      <c r="F8" s="22">
        <f>B2-E8-C8</f>
        <v>1907430.4896235929</v>
      </c>
      <c r="G8" s="22">
        <f>E8+C8</f>
        <v>3569.5103764068585</v>
      </c>
      <c r="H8" s="2">
        <f>D8</f>
        <v>3981.2499999999995</v>
      </c>
    </row>
    <row r="9" spans="1:8" x14ac:dyDescent="0.25">
      <c r="A9">
        <f>IF(OR(F8&lt;0.01,A8=""),"",1+A8)</f>
        <v>2</v>
      </c>
      <c r="B9" s="22">
        <f>IF(A9="","",IF(F8&lt;B8,F8+D9,B8))</f>
        <v>7550.7603764068581</v>
      </c>
      <c r="C9" s="22">
        <f>IF(A9="","",B9-D9)</f>
        <v>3576.9468563577061</v>
      </c>
      <c r="D9" s="22">
        <f>IF(A9="","",F8*$C$3)</f>
        <v>3973.813520049152</v>
      </c>
      <c r="E9" s="22"/>
      <c r="F9" s="23">
        <f>IF(A9="","",F8-E9-C9)</f>
        <v>1903853.5427672353</v>
      </c>
      <c r="G9" s="22">
        <f>IF(A9="","",G8+E9+C9)</f>
        <v>7146.4572327645647</v>
      </c>
      <c r="H9" s="22">
        <f>IF(A9="","",H8+D9)</f>
        <v>7955.0635200491515</v>
      </c>
    </row>
    <row r="10" spans="1:8" x14ac:dyDescent="0.25">
      <c r="A10">
        <f t="shared" ref="A10:A73" si="0">IF(OR(F9&lt;0.01,A9=""),"",1+A9)</f>
        <v>3</v>
      </c>
      <c r="B10" s="22">
        <f t="shared" ref="B10:B73" si="1">IF(A10="","",IF(F9&lt;B9,F9+D10,B9))</f>
        <v>7550.7603764068581</v>
      </c>
      <c r="C10" s="22">
        <f t="shared" ref="C10:C73" si="2">IF(A10="","",B10-D10)</f>
        <v>3584.3988289751178</v>
      </c>
      <c r="D10" s="22">
        <f t="shared" ref="D10:D73" si="3">IF(A10="","",F9*$C$3)</f>
        <v>3966.3615474317403</v>
      </c>
      <c r="E10" s="22"/>
      <c r="F10" s="23">
        <f t="shared" ref="F10:F73" si="4">IF(A10="","",F9-E10-C10)</f>
        <v>1900269.1439382602</v>
      </c>
      <c r="G10" s="22">
        <f t="shared" ref="G10:G73" si="5">IF(A10="","",G9+E10+C10)</f>
        <v>10730.856061739683</v>
      </c>
      <c r="H10" s="22">
        <f t="shared" ref="H10:H73" si="6">IF(A10="","",H9+D10)</f>
        <v>11921.425067480892</v>
      </c>
    </row>
    <row r="11" spans="1:8" x14ac:dyDescent="0.25">
      <c r="A11">
        <f t="shared" si="0"/>
        <v>4</v>
      </c>
      <c r="B11" s="22">
        <f t="shared" si="1"/>
        <v>7550.7603764068581</v>
      </c>
      <c r="C11" s="22">
        <f t="shared" si="2"/>
        <v>3591.866326535483</v>
      </c>
      <c r="D11" s="22">
        <f t="shared" si="3"/>
        <v>3958.894049871375</v>
      </c>
      <c r="E11" s="22"/>
      <c r="F11" s="23">
        <f t="shared" si="4"/>
        <v>1896677.2776117246</v>
      </c>
      <c r="G11" s="22">
        <f t="shared" si="5"/>
        <v>14322.722388275166</v>
      </c>
      <c r="H11" s="22">
        <f t="shared" si="6"/>
        <v>15880.319117352266</v>
      </c>
    </row>
    <row r="12" spans="1:8" x14ac:dyDescent="0.25">
      <c r="A12">
        <f t="shared" si="0"/>
        <v>5</v>
      </c>
      <c r="B12" s="22">
        <f t="shared" si="1"/>
        <v>7550.7603764068581</v>
      </c>
      <c r="C12" s="22">
        <f t="shared" si="2"/>
        <v>3599.3493813824321</v>
      </c>
      <c r="D12" s="22">
        <f t="shared" si="3"/>
        <v>3951.410995024426</v>
      </c>
      <c r="E12" s="22"/>
      <c r="F12" s="23">
        <f t="shared" si="4"/>
        <v>1893077.9282303422</v>
      </c>
      <c r="G12" s="22">
        <f t="shared" si="5"/>
        <v>17922.071769657599</v>
      </c>
      <c r="H12" s="22">
        <f t="shared" si="6"/>
        <v>19831.730112376692</v>
      </c>
    </row>
    <row r="13" spans="1:8" x14ac:dyDescent="0.25">
      <c r="A13">
        <f t="shared" si="0"/>
        <v>6</v>
      </c>
      <c r="B13" s="22">
        <f t="shared" si="1"/>
        <v>7550.7603764068581</v>
      </c>
      <c r="C13" s="22">
        <f t="shared" si="2"/>
        <v>3606.8480259269786</v>
      </c>
      <c r="D13" s="22">
        <f t="shared" si="3"/>
        <v>3943.9123504798795</v>
      </c>
      <c r="E13" s="22"/>
      <c r="F13" s="23">
        <f t="shared" si="4"/>
        <v>1889471.0802044151</v>
      </c>
      <c r="G13" s="22">
        <f t="shared" si="5"/>
        <v>21528.919795584578</v>
      </c>
      <c r="H13" s="22">
        <f t="shared" si="6"/>
        <v>23775.642462856573</v>
      </c>
    </row>
    <row r="14" spans="1:8" x14ac:dyDescent="0.25">
      <c r="A14">
        <f t="shared" si="0"/>
        <v>7</v>
      </c>
      <c r="B14" s="22">
        <f t="shared" si="1"/>
        <v>7550.7603764068581</v>
      </c>
      <c r="C14" s="22">
        <f t="shared" si="2"/>
        <v>3614.3622926476601</v>
      </c>
      <c r="D14" s="22">
        <f t="shared" si="3"/>
        <v>3936.398083759198</v>
      </c>
      <c r="E14" s="22"/>
      <c r="F14" s="23">
        <f t="shared" si="4"/>
        <v>1885856.7179117675</v>
      </c>
      <c r="G14" s="22">
        <f t="shared" si="5"/>
        <v>25143.282088232238</v>
      </c>
      <c r="H14" s="22">
        <f t="shared" si="6"/>
        <v>27712.040546615772</v>
      </c>
    </row>
    <row r="15" spans="1:8" x14ac:dyDescent="0.25">
      <c r="A15">
        <f t="shared" si="0"/>
        <v>8</v>
      </c>
      <c r="B15" s="22">
        <f t="shared" si="1"/>
        <v>7550.7603764068581</v>
      </c>
      <c r="C15" s="22">
        <f t="shared" si="2"/>
        <v>3621.8922140906757</v>
      </c>
      <c r="D15" s="22">
        <f t="shared" si="3"/>
        <v>3928.8681623161824</v>
      </c>
      <c r="E15" s="22"/>
      <c r="F15" s="23">
        <f t="shared" si="4"/>
        <v>1882234.825697677</v>
      </c>
      <c r="G15" s="22">
        <f t="shared" si="5"/>
        <v>28765.174302322914</v>
      </c>
      <c r="H15" s="22">
        <f t="shared" si="6"/>
        <v>31640.908708931955</v>
      </c>
    </row>
    <row r="16" spans="1:8" x14ac:dyDescent="0.25">
      <c r="A16">
        <f t="shared" si="0"/>
        <v>9</v>
      </c>
      <c r="B16" s="22">
        <f t="shared" si="1"/>
        <v>7550.7603764068581</v>
      </c>
      <c r="C16" s="22">
        <f t="shared" si="2"/>
        <v>3629.4378228700311</v>
      </c>
      <c r="D16" s="22">
        <f t="shared" si="3"/>
        <v>3921.3225535368269</v>
      </c>
      <c r="E16" s="22"/>
      <c r="F16" s="23">
        <f t="shared" si="4"/>
        <v>1878605.387874807</v>
      </c>
      <c r="G16" s="22">
        <f t="shared" si="5"/>
        <v>32394.612125192943</v>
      </c>
      <c r="H16" s="22">
        <f t="shared" si="6"/>
        <v>35562.231262468784</v>
      </c>
    </row>
    <row r="17" spans="1:9" x14ac:dyDescent="0.25">
      <c r="A17">
        <f t="shared" si="0"/>
        <v>10</v>
      </c>
      <c r="B17" s="22">
        <f t="shared" si="1"/>
        <v>7550.7603764068581</v>
      </c>
      <c r="C17" s="22">
        <f t="shared" si="2"/>
        <v>3636.9991516676769</v>
      </c>
      <c r="D17" s="22">
        <f t="shared" si="3"/>
        <v>3913.7612247391812</v>
      </c>
      <c r="E17" s="22"/>
      <c r="F17" s="23">
        <f t="shared" si="4"/>
        <v>1874968.3887231394</v>
      </c>
      <c r="G17" s="22">
        <f t="shared" si="5"/>
        <v>36031.611276860618</v>
      </c>
      <c r="H17" s="22">
        <f t="shared" si="6"/>
        <v>39475.992487207965</v>
      </c>
    </row>
    <row r="18" spans="1:9" x14ac:dyDescent="0.25">
      <c r="A18">
        <f t="shared" si="0"/>
        <v>11</v>
      </c>
      <c r="B18" s="22">
        <f t="shared" si="1"/>
        <v>7550.7603764068581</v>
      </c>
      <c r="C18" s="22">
        <f t="shared" si="2"/>
        <v>3644.5762332336512</v>
      </c>
      <c r="D18" s="22">
        <f t="shared" si="3"/>
        <v>3906.1841431732068</v>
      </c>
      <c r="E18" s="22"/>
      <c r="F18" s="23">
        <f t="shared" si="4"/>
        <v>1871323.8124899059</v>
      </c>
      <c r="G18" s="22">
        <f t="shared" si="5"/>
        <v>39676.187510094271</v>
      </c>
      <c r="H18" s="22">
        <f t="shared" si="6"/>
        <v>43382.176630381175</v>
      </c>
    </row>
    <row r="19" spans="1:9" x14ac:dyDescent="0.25">
      <c r="A19">
        <f>IF(OR(F18&lt;0.01,A18=""),"",1+A18)</f>
        <v>12</v>
      </c>
      <c r="B19" s="22">
        <f t="shared" si="1"/>
        <v>7550.7603764068581</v>
      </c>
      <c r="C19" s="22">
        <f t="shared" si="2"/>
        <v>3652.1691003862211</v>
      </c>
      <c r="D19" s="22">
        <f t="shared" si="3"/>
        <v>3898.591276020637</v>
      </c>
      <c r="E19" s="22"/>
      <c r="F19" s="23">
        <f t="shared" si="4"/>
        <v>1867671.6433895195</v>
      </c>
      <c r="G19" s="22">
        <f t="shared" si="5"/>
        <v>43328.356610480492</v>
      </c>
      <c r="H19" s="22">
        <f t="shared" si="6"/>
        <v>47280.767906401808</v>
      </c>
      <c r="I19" s="22">
        <f>SUM(D8:D19)</f>
        <v>47280.767906401808</v>
      </c>
    </row>
    <row r="20" spans="1:9" x14ac:dyDescent="0.25">
      <c r="A20">
        <f t="shared" si="0"/>
        <v>13</v>
      </c>
      <c r="B20" s="22">
        <f t="shared" si="1"/>
        <v>7550.7603764068581</v>
      </c>
      <c r="C20" s="22">
        <f t="shared" si="2"/>
        <v>3659.7777860120259</v>
      </c>
      <c r="D20" s="22">
        <f t="shared" si="3"/>
        <v>3890.9825903948322</v>
      </c>
      <c r="E20" s="22"/>
      <c r="F20" s="23">
        <f t="shared" si="4"/>
        <v>1864011.8656035075</v>
      </c>
      <c r="G20" s="22">
        <f t="shared" si="5"/>
        <v>46988.134396492518</v>
      </c>
      <c r="H20" s="22">
        <f t="shared" si="6"/>
        <v>51171.750496796638</v>
      </c>
    </row>
    <row r="21" spans="1:9" x14ac:dyDescent="0.25">
      <c r="A21">
        <f t="shared" si="0"/>
        <v>14</v>
      </c>
      <c r="B21" s="22">
        <f t="shared" si="1"/>
        <v>7550.7603764068581</v>
      </c>
      <c r="C21" s="22">
        <f t="shared" si="2"/>
        <v>3667.4023230662174</v>
      </c>
      <c r="D21" s="22">
        <f t="shared" si="3"/>
        <v>3883.3580533406407</v>
      </c>
      <c r="E21" s="22"/>
      <c r="F21" s="23">
        <f t="shared" si="4"/>
        <v>1860344.4632804412</v>
      </c>
      <c r="G21" s="22">
        <f t="shared" si="5"/>
        <v>50655.536719558739</v>
      </c>
      <c r="H21" s="22">
        <f t="shared" si="6"/>
        <v>55055.10855013728</v>
      </c>
    </row>
    <row r="22" spans="1:9" x14ac:dyDescent="0.25">
      <c r="A22">
        <f t="shared" si="0"/>
        <v>15</v>
      </c>
      <c r="B22" s="22">
        <f t="shared" si="1"/>
        <v>7550.7603764068581</v>
      </c>
      <c r="C22" s="22">
        <f t="shared" si="2"/>
        <v>3675.0427445726054</v>
      </c>
      <c r="D22" s="22">
        <f t="shared" si="3"/>
        <v>3875.7176318342526</v>
      </c>
      <c r="E22" s="22"/>
      <c r="F22" s="23">
        <f t="shared" si="4"/>
        <v>1856669.4205358687</v>
      </c>
      <c r="G22" s="22">
        <f t="shared" si="5"/>
        <v>54330.579464131341</v>
      </c>
      <c r="H22" s="22">
        <f t="shared" si="6"/>
        <v>58930.826181971534</v>
      </c>
    </row>
    <row r="23" spans="1:9" x14ac:dyDescent="0.25">
      <c r="A23">
        <f t="shared" si="0"/>
        <v>16</v>
      </c>
      <c r="B23" s="22">
        <f t="shared" si="1"/>
        <v>7550.7603764068581</v>
      </c>
      <c r="C23" s="22">
        <f t="shared" si="2"/>
        <v>3682.6990836237983</v>
      </c>
      <c r="D23" s="22">
        <f t="shared" si="3"/>
        <v>3868.0612927830598</v>
      </c>
      <c r="E23" s="22"/>
      <c r="F23" s="23">
        <f t="shared" si="4"/>
        <v>1852986.721452245</v>
      </c>
      <c r="G23" s="22">
        <f t="shared" si="5"/>
        <v>58013.278547755137</v>
      </c>
      <c r="H23" s="22">
        <f t="shared" si="6"/>
        <v>62798.887474754592</v>
      </c>
    </row>
    <row r="24" spans="1:9" x14ac:dyDescent="0.25">
      <c r="A24">
        <f t="shared" si="0"/>
        <v>17</v>
      </c>
      <c r="B24" s="22">
        <f t="shared" si="1"/>
        <v>7550.7603764068581</v>
      </c>
      <c r="C24" s="22">
        <f t="shared" si="2"/>
        <v>3690.3713733813479</v>
      </c>
      <c r="D24" s="22">
        <f t="shared" si="3"/>
        <v>3860.3890030255102</v>
      </c>
      <c r="E24" s="22"/>
      <c r="F24" s="23">
        <f t="shared" si="4"/>
        <v>1849296.3500788638</v>
      </c>
      <c r="G24" s="22">
        <f t="shared" si="5"/>
        <v>61703.649921136486</v>
      </c>
      <c r="H24" s="22">
        <f t="shared" si="6"/>
        <v>66659.276477780106</v>
      </c>
    </row>
    <row r="25" spans="1:9" x14ac:dyDescent="0.25">
      <c r="A25">
        <f t="shared" si="0"/>
        <v>18</v>
      </c>
      <c r="B25" s="22">
        <f t="shared" si="1"/>
        <v>7550.7603764068581</v>
      </c>
      <c r="C25" s="22">
        <f t="shared" si="2"/>
        <v>3698.0596470758919</v>
      </c>
      <c r="D25" s="22">
        <f t="shared" si="3"/>
        <v>3852.7007293309662</v>
      </c>
      <c r="E25" s="22"/>
      <c r="F25" s="23">
        <f t="shared" si="4"/>
        <v>1845598.290431788</v>
      </c>
      <c r="G25" s="22">
        <f t="shared" si="5"/>
        <v>65401.709568212376</v>
      </c>
      <c r="H25" s="22">
        <f t="shared" si="6"/>
        <v>70511.977207111078</v>
      </c>
    </row>
    <row r="26" spans="1:9" x14ac:dyDescent="0.25">
      <c r="A26">
        <f t="shared" si="0"/>
        <v>19</v>
      </c>
      <c r="B26" s="22">
        <f t="shared" si="1"/>
        <v>7550.7603764068581</v>
      </c>
      <c r="C26" s="22">
        <f t="shared" si="2"/>
        <v>3705.7639380073001</v>
      </c>
      <c r="D26" s="22">
        <f t="shared" si="3"/>
        <v>3844.996438399558</v>
      </c>
      <c r="E26" s="22"/>
      <c r="F26" s="23">
        <f t="shared" si="4"/>
        <v>1841892.5264937805</v>
      </c>
      <c r="G26" s="22">
        <f t="shared" si="5"/>
        <v>69107.473506219671</v>
      </c>
      <c r="H26" s="22">
        <f t="shared" si="6"/>
        <v>74356.973645510632</v>
      </c>
    </row>
    <row r="27" spans="1:9" x14ac:dyDescent="0.25">
      <c r="A27">
        <f t="shared" si="0"/>
        <v>20</v>
      </c>
      <c r="B27" s="22">
        <f t="shared" si="1"/>
        <v>7550.7603764068581</v>
      </c>
      <c r="C27" s="22">
        <f t="shared" si="2"/>
        <v>3713.4842795448153</v>
      </c>
      <c r="D27" s="22">
        <f t="shared" si="3"/>
        <v>3837.2760968620428</v>
      </c>
      <c r="E27" s="22"/>
      <c r="F27" s="23">
        <f t="shared" si="4"/>
        <v>1838179.0422142358</v>
      </c>
      <c r="G27" s="22">
        <f t="shared" si="5"/>
        <v>72820.957785764491</v>
      </c>
      <c r="H27" s="22">
        <f t="shared" si="6"/>
        <v>78194.249742372675</v>
      </c>
    </row>
    <row r="28" spans="1:9" x14ac:dyDescent="0.25">
      <c r="A28">
        <f t="shared" si="0"/>
        <v>21</v>
      </c>
      <c r="B28" s="22">
        <f t="shared" si="1"/>
        <v>7550.7603764068581</v>
      </c>
      <c r="C28" s="22">
        <f t="shared" si="2"/>
        <v>3721.2207051272003</v>
      </c>
      <c r="D28" s="22">
        <f t="shared" si="3"/>
        <v>3829.5396712796578</v>
      </c>
      <c r="E28" s="22"/>
      <c r="F28" s="23">
        <f t="shared" si="4"/>
        <v>1834457.8215091086</v>
      </c>
      <c r="G28" s="22">
        <f t="shared" si="5"/>
        <v>76542.178490891689</v>
      </c>
      <c r="H28" s="22">
        <f t="shared" si="6"/>
        <v>82023.789413652339</v>
      </c>
    </row>
    <row r="29" spans="1:9" x14ac:dyDescent="0.25">
      <c r="A29">
        <f t="shared" si="0"/>
        <v>22</v>
      </c>
      <c r="B29" s="22">
        <f t="shared" si="1"/>
        <v>7550.7603764068581</v>
      </c>
      <c r="C29" s="22">
        <f t="shared" si="2"/>
        <v>3728.973248262882</v>
      </c>
      <c r="D29" s="22">
        <f t="shared" si="3"/>
        <v>3821.7871281439761</v>
      </c>
      <c r="E29" s="22"/>
      <c r="F29" s="23">
        <f t="shared" si="4"/>
        <v>1830728.8482608458</v>
      </c>
      <c r="G29" s="22">
        <f t="shared" si="5"/>
        <v>80271.151739154564</v>
      </c>
      <c r="H29" s="22">
        <f t="shared" si="6"/>
        <v>85845.576541796312</v>
      </c>
    </row>
    <row r="30" spans="1:9" x14ac:dyDescent="0.25">
      <c r="A30">
        <f t="shared" si="0"/>
        <v>23</v>
      </c>
      <c r="B30" s="22">
        <f t="shared" si="1"/>
        <v>7550.7603764068581</v>
      </c>
      <c r="C30" s="22">
        <f t="shared" si="2"/>
        <v>3736.7419425300964</v>
      </c>
      <c r="D30" s="22">
        <f t="shared" si="3"/>
        <v>3814.0184338767617</v>
      </c>
      <c r="E30" s="22"/>
      <c r="F30" s="23">
        <f t="shared" si="4"/>
        <v>1826992.1063183157</v>
      </c>
      <c r="G30" s="22">
        <f t="shared" si="5"/>
        <v>84007.893681684654</v>
      </c>
      <c r="H30" s="22">
        <f t="shared" si="6"/>
        <v>89659.59497567307</v>
      </c>
    </row>
    <row r="31" spans="1:9" x14ac:dyDescent="0.25">
      <c r="A31">
        <f t="shared" si="0"/>
        <v>24</v>
      </c>
      <c r="B31" s="22">
        <f t="shared" si="1"/>
        <v>7550.7603764068581</v>
      </c>
      <c r="C31" s="22">
        <f t="shared" si="2"/>
        <v>3744.5268215770338</v>
      </c>
      <c r="D31" s="22">
        <f t="shared" si="3"/>
        <v>3806.2335548298242</v>
      </c>
      <c r="E31" s="22"/>
      <c r="F31" s="23">
        <f t="shared" si="4"/>
        <v>1823247.5794967387</v>
      </c>
      <c r="G31" s="22">
        <f t="shared" si="5"/>
        <v>87752.420503261688</v>
      </c>
      <c r="H31" s="22">
        <f t="shared" si="6"/>
        <v>93465.828530502899</v>
      </c>
      <c r="I31" s="22">
        <f>SUM(D20:D31)</f>
        <v>46185.060624101076</v>
      </c>
    </row>
    <row r="32" spans="1:9" x14ac:dyDescent="0.25">
      <c r="A32">
        <f t="shared" si="0"/>
        <v>25</v>
      </c>
      <c r="B32" s="22">
        <f t="shared" si="1"/>
        <v>7550.7603764068581</v>
      </c>
      <c r="C32" s="22">
        <f t="shared" si="2"/>
        <v>3752.3279191219858</v>
      </c>
      <c r="D32" s="22">
        <f t="shared" si="3"/>
        <v>3798.4324572848723</v>
      </c>
      <c r="E32" s="22"/>
      <c r="F32" s="23">
        <f t="shared" si="4"/>
        <v>1819495.2515776167</v>
      </c>
      <c r="G32" s="22">
        <f t="shared" si="5"/>
        <v>91504.74842238368</v>
      </c>
      <c r="H32" s="22">
        <f t="shared" si="6"/>
        <v>97264.260987787769</v>
      </c>
    </row>
    <row r="33" spans="1:9" x14ac:dyDescent="0.25">
      <c r="A33">
        <f t="shared" si="0"/>
        <v>26</v>
      </c>
      <c r="B33" s="22">
        <f t="shared" si="1"/>
        <v>7550.7603764068581</v>
      </c>
      <c r="C33" s="22">
        <f t="shared" si="2"/>
        <v>3760.1452689534899</v>
      </c>
      <c r="D33" s="22">
        <f t="shared" si="3"/>
        <v>3790.6151074533682</v>
      </c>
      <c r="E33" s="22"/>
      <c r="F33" s="23">
        <f t="shared" si="4"/>
        <v>1815735.1063086633</v>
      </c>
      <c r="G33" s="22">
        <f t="shared" si="5"/>
        <v>95264.893691337173</v>
      </c>
      <c r="H33" s="22">
        <f t="shared" si="6"/>
        <v>101054.87609524114</v>
      </c>
    </row>
    <row r="34" spans="1:9" x14ac:dyDescent="0.25">
      <c r="A34">
        <f t="shared" si="0"/>
        <v>27</v>
      </c>
      <c r="B34" s="22">
        <f t="shared" si="1"/>
        <v>7550.7603764068581</v>
      </c>
      <c r="C34" s="22">
        <f t="shared" si="2"/>
        <v>3767.9789049304763</v>
      </c>
      <c r="D34" s="22">
        <f t="shared" si="3"/>
        <v>3782.7814714763817</v>
      </c>
      <c r="E34" s="22"/>
      <c r="F34" s="23">
        <f t="shared" si="4"/>
        <v>1811967.1274037329</v>
      </c>
      <c r="G34" s="22">
        <f t="shared" si="5"/>
        <v>99032.872596267654</v>
      </c>
      <c r="H34" s="22">
        <f t="shared" si="6"/>
        <v>104837.65756671752</v>
      </c>
    </row>
    <row r="35" spans="1:9" x14ac:dyDescent="0.25">
      <c r="A35">
        <f t="shared" si="0"/>
        <v>28</v>
      </c>
      <c r="B35" s="22">
        <f t="shared" si="1"/>
        <v>7550.7603764068581</v>
      </c>
      <c r="C35" s="22">
        <f t="shared" si="2"/>
        <v>3775.8288609824149</v>
      </c>
      <c r="D35" s="22">
        <f t="shared" si="3"/>
        <v>3774.9315154244432</v>
      </c>
      <c r="E35" s="22"/>
      <c r="F35" s="23">
        <f t="shared" si="4"/>
        <v>1808191.2985427505</v>
      </c>
      <c r="G35" s="22">
        <f t="shared" si="5"/>
        <v>102808.70145725006</v>
      </c>
      <c r="H35" s="22">
        <f t="shared" si="6"/>
        <v>108612.58908214196</v>
      </c>
    </row>
    <row r="36" spans="1:9" x14ac:dyDescent="0.25">
      <c r="A36">
        <f t="shared" si="0"/>
        <v>29</v>
      </c>
      <c r="B36" s="22">
        <f t="shared" si="1"/>
        <v>7550.7603764068581</v>
      </c>
      <c r="C36" s="22">
        <f t="shared" si="2"/>
        <v>3783.6951711094612</v>
      </c>
      <c r="D36" s="22">
        <f t="shared" si="3"/>
        <v>3767.0652052973969</v>
      </c>
      <c r="E36" s="22"/>
      <c r="F36" s="23">
        <f t="shared" si="4"/>
        <v>1804407.6033716411</v>
      </c>
      <c r="G36" s="22">
        <f t="shared" si="5"/>
        <v>106592.39662835952</v>
      </c>
      <c r="H36" s="22">
        <f t="shared" si="6"/>
        <v>112379.65428743936</v>
      </c>
    </row>
    <row r="37" spans="1:9" x14ac:dyDescent="0.25">
      <c r="A37">
        <f t="shared" si="0"/>
        <v>30</v>
      </c>
      <c r="B37" s="22">
        <f t="shared" si="1"/>
        <v>7550.7603764068581</v>
      </c>
      <c r="C37" s="22">
        <f t="shared" si="2"/>
        <v>3791.577869382606</v>
      </c>
      <c r="D37" s="22">
        <f t="shared" si="3"/>
        <v>3759.1825070242521</v>
      </c>
      <c r="E37" s="22"/>
      <c r="F37" s="23">
        <f t="shared" si="4"/>
        <v>1800616.0255022584</v>
      </c>
      <c r="G37" s="22">
        <f t="shared" si="5"/>
        <v>110383.97449774212</v>
      </c>
      <c r="H37" s="22">
        <f t="shared" si="6"/>
        <v>116138.83679446361</v>
      </c>
    </row>
    <row r="38" spans="1:9" x14ac:dyDescent="0.25">
      <c r="A38">
        <f t="shared" si="0"/>
        <v>31</v>
      </c>
      <c r="B38" s="22">
        <f t="shared" si="1"/>
        <v>7550.7603764068581</v>
      </c>
      <c r="C38" s="22">
        <f t="shared" si="2"/>
        <v>3799.4769899438197</v>
      </c>
      <c r="D38" s="22">
        <f t="shared" si="3"/>
        <v>3751.2833864630384</v>
      </c>
      <c r="E38" s="22"/>
      <c r="F38" s="23">
        <f t="shared" si="4"/>
        <v>1796816.5485123147</v>
      </c>
      <c r="G38" s="22">
        <f t="shared" si="5"/>
        <v>114183.45148768595</v>
      </c>
      <c r="H38" s="22">
        <f t="shared" si="6"/>
        <v>119890.12018092665</v>
      </c>
    </row>
    <row r="39" spans="1:9" x14ac:dyDescent="0.25">
      <c r="A39">
        <f t="shared" si="0"/>
        <v>32</v>
      </c>
      <c r="B39" s="22">
        <f t="shared" si="1"/>
        <v>7550.7603764068581</v>
      </c>
      <c r="C39" s="22">
        <f t="shared" si="2"/>
        <v>3807.3925670062026</v>
      </c>
      <c r="D39" s="22">
        <f t="shared" si="3"/>
        <v>3743.3678094006555</v>
      </c>
      <c r="E39" s="22"/>
      <c r="F39" s="23">
        <f t="shared" si="4"/>
        <v>1793009.1559453085</v>
      </c>
      <c r="G39" s="22">
        <f t="shared" si="5"/>
        <v>117990.84405469215</v>
      </c>
      <c r="H39" s="22">
        <f t="shared" si="6"/>
        <v>123633.48799032731</v>
      </c>
    </row>
    <row r="40" spans="1:9" x14ac:dyDescent="0.25">
      <c r="A40">
        <f t="shared" si="0"/>
        <v>33</v>
      </c>
      <c r="B40" s="22">
        <f t="shared" si="1"/>
        <v>7550.7603764068581</v>
      </c>
      <c r="C40" s="22">
        <f t="shared" si="2"/>
        <v>3815.324634854132</v>
      </c>
      <c r="D40" s="22">
        <f t="shared" si="3"/>
        <v>3735.4357415527261</v>
      </c>
      <c r="E40" s="22"/>
      <c r="F40" s="23">
        <f t="shared" si="4"/>
        <v>1789193.8313104543</v>
      </c>
      <c r="G40" s="22">
        <f t="shared" si="5"/>
        <v>121806.16868954628</v>
      </c>
      <c r="H40" s="22">
        <f t="shared" si="6"/>
        <v>127368.92373188003</v>
      </c>
    </row>
    <row r="41" spans="1:9" x14ac:dyDescent="0.25">
      <c r="A41">
        <f t="shared" si="0"/>
        <v>34</v>
      </c>
      <c r="B41" s="22">
        <f t="shared" si="1"/>
        <v>7550.7603764068581</v>
      </c>
      <c r="C41" s="22">
        <f t="shared" si="2"/>
        <v>3823.2732278434119</v>
      </c>
      <c r="D41" s="22">
        <f t="shared" si="3"/>
        <v>3727.4871485634462</v>
      </c>
      <c r="E41" s="22"/>
      <c r="F41" s="23">
        <f t="shared" si="4"/>
        <v>1785370.5580826108</v>
      </c>
      <c r="G41" s="22">
        <f t="shared" si="5"/>
        <v>125629.44191738969</v>
      </c>
      <c r="H41" s="22">
        <f t="shared" si="6"/>
        <v>131096.41088044347</v>
      </c>
    </row>
    <row r="42" spans="1:9" x14ac:dyDescent="0.25">
      <c r="A42">
        <f t="shared" si="0"/>
        <v>35</v>
      </c>
      <c r="B42" s="22">
        <f t="shared" si="1"/>
        <v>7550.7603764068581</v>
      </c>
      <c r="C42" s="22">
        <f t="shared" si="2"/>
        <v>3831.2383804014189</v>
      </c>
      <c r="D42" s="22">
        <f t="shared" si="3"/>
        <v>3719.5219960054392</v>
      </c>
      <c r="E42" s="22"/>
      <c r="F42" s="23">
        <f t="shared" si="4"/>
        <v>1781539.3197022094</v>
      </c>
      <c r="G42" s="22">
        <f t="shared" si="5"/>
        <v>129460.68029779111</v>
      </c>
      <c r="H42" s="22">
        <f t="shared" si="6"/>
        <v>134815.9328764489</v>
      </c>
    </row>
    <row r="43" spans="1:9" x14ac:dyDescent="0.25">
      <c r="A43">
        <f t="shared" si="0"/>
        <v>36</v>
      </c>
      <c r="B43" s="22">
        <f t="shared" si="1"/>
        <v>7550.7603764068581</v>
      </c>
      <c r="C43" s="22">
        <f t="shared" si="2"/>
        <v>3839.2201270272553</v>
      </c>
      <c r="D43" s="22">
        <f t="shared" si="3"/>
        <v>3711.5402493796028</v>
      </c>
      <c r="E43" s="22"/>
      <c r="F43" s="23">
        <f t="shared" si="4"/>
        <v>1777700.0995751822</v>
      </c>
      <c r="G43" s="22">
        <f t="shared" si="5"/>
        <v>133299.90042481836</v>
      </c>
      <c r="H43" s="22">
        <f t="shared" si="6"/>
        <v>138527.47312582852</v>
      </c>
      <c r="I43" s="22">
        <f>SUM(D32:D43)</f>
        <v>45061.644595325619</v>
      </c>
    </row>
    <row r="44" spans="1:9" x14ac:dyDescent="0.25">
      <c r="A44">
        <f t="shared" si="0"/>
        <v>37</v>
      </c>
      <c r="B44" s="22">
        <f t="shared" si="1"/>
        <v>7550.7603764068581</v>
      </c>
      <c r="C44" s="22">
        <f t="shared" si="2"/>
        <v>3847.2185022918952</v>
      </c>
      <c r="D44" s="22">
        <f t="shared" si="3"/>
        <v>3703.5418741149629</v>
      </c>
      <c r="E44" s="22"/>
      <c r="F44" s="23">
        <f t="shared" si="4"/>
        <v>1773852.8810728902</v>
      </c>
      <c r="G44" s="22">
        <f t="shared" si="5"/>
        <v>137147.11892711025</v>
      </c>
      <c r="H44" s="22">
        <f t="shared" si="6"/>
        <v>142231.01499994349</v>
      </c>
    </row>
    <row r="45" spans="1:9" x14ac:dyDescent="0.25">
      <c r="A45">
        <f t="shared" si="0"/>
        <v>38</v>
      </c>
      <c r="B45" s="22">
        <f t="shared" si="1"/>
        <v>7550.7603764068581</v>
      </c>
      <c r="C45" s="22">
        <f t="shared" si="2"/>
        <v>3855.2335408383369</v>
      </c>
      <c r="D45" s="22">
        <f t="shared" si="3"/>
        <v>3695.5268355685212</v>
      </c>
      <c r="E45" s="22"/>
      <c r="F45" s="23">
        <f t="shared" si="4"/>
        <v>1769997.6475320519</v>
      </c>
      <c r="G45" s="22">
        <f t="shared" si="5"/>
        <v>141002.35246794857</v>
      </c>
      <c r="H45" s="22">
        <f t="shared" si="6"/>
        <v>145926.54183551201</v>
      </c>
    </row>
    <row r="46" spans="1:9" x14ac:dyDescent="0.25">
      <c r="A46">
        <f t="shared" si="0"/>
        <v>39</v>
      </c>
      <c r="B46" s="22">
        <f t="shared" si="1"/>
        <v>7550.7603764068581</v>
      </c>
      <c r="C46" s="22">
        <f t="shared" si="2"/>
        <v>3863.2652773817499</v>
      </c>
      <c r="D46" s="22">
        <f t="shared" si="3"/>
        <v>3687.4950990251082</v>
      </c>
      <c r="E46" s="22"/>
      <c r="F46" s="23">
        <f t="shared" si="4"/>
        <v>1766134.3822546701</v>
      </c>
      <c r="G46" s="22">
        <f t="shared" si="5"/>
        <v>144865.61774533032</v>
      </c>
      <c r="H46" s="22">
        <f t="shared" si="6"/>
        <v>149614.03693453711</v>
      </c>
    </row>
    <row r="47" spans="1:9" x14ac:dyDescent="0.25">
      <c r="A47">
        <f t="shared" si="0"/>
        <v>40</v>
      </c>
      <c r="B47" s="22">
        <f t="shared" si="1"/>
        <v>7550.7603764068581</v>
      </c>
      <c r="C47" s="22">
        <f t="shared" si="2"/>
        <v>3871.3137467096285</v>
      </c>
      <c r="D47" s="22">
        <f t="shared" si="3"/>
        <v>3679.4466296972296</v>
      </c>
      <c r="E47" s="22"/>
      <c r="F47" s="23">
        <f t="shared" si="4"/>
        <v>1762263.0685079605</v>
      </c>
      <c r="G47" s="22">
        <f t="shared" si="5"/>
        <v>148736.93149203996</v>
      </c>
      <c r="H47" s="22">
        <f t="shared" si="6"/>
        <v>153293.48356423434</v>
      </c>
    </row>
    <row r="48" spans="1:9" x14ac:dyDescent="0.25">
      <c r="A48">
        <f t="shared" si="0"/>
        <v>41</v>
      </c>
      <c r="B48" s="22">
        <f t="shared" si="1"/>
        <v>7550.7603764068581</v>
      </c>
      <c r="C48" s="22">
        <f t="shared" si="2"/>
        <v>3879.3789836819406</v>
      </c>
      <c r="D48" s="22">
        <f t="shared" si="3"/>
        <v>3671.3813927249175</v>
      </c>
      <c r="E48" s="22"/>
      <c r="F48" s="23">
        <f t="shared" si="4"/>
        <v>1758383.6895242785</v>
      </c>
      <c r="G48" s="22">
        <f t="shared" si="5"/>
        <v>152616.3104757219</v>
      </c>
      <c r="H48" s="22">
        <f t="shared" si="6"/>
        <v>156964.86495695927</v>
      </c>
    </row>
    <row r="49" spans="1:9" x14ac:dyDescent="0.25">
      <c r="A49">
        <f t="shared" si="0"/>
        <v>42</v>
      </c>
      <c r="B49" s="22">
        <f t="shared" si="1"/>
        <v>7550.7603764068581</v>
      </c>
      <c r="C49" s="22">
        <f t="shared" si="2"/>
        <v>3887.461023231278</v>
      </c>
      <c r="D49" s="22">
        <f t="shared" si="3"/>
        <v>3663.2993531755801</v>
      </c>
      <c r="E49" s="22"/>
      <c r="F49" s="23">
        <f t="shared" si="4"/>
        <v>1754496.2285010472</v>
      </c>
      <c r="G49" s="22">
        <f t="shared" si="5"/>
        <v>156503.77149895317</v>
      </c>
      <c r="H49" s="22">
        <f t="shared" si="6"/>
        <v>160628.16431013486</v>
      </c>
    </row>
    <row r="50" spans="1:9" x14ac:dyDescent="0.25">
      <c r="A50">
        <f t="shared" si="0"/>
        <v>43</v>
      </c>
      <c r="B50" s="22">
        <f t="shared" si="1"/>
        <v>7550.7603764068581</v>
      </c>
      <c r="C50" s="22">
        <f t="shared" si="2"/>
        <v>3895.5599003630095</v>
      </c>
      <c r="D50" s="22">
        <f t="shared" si="3"/>
        <v>3655.2004760438485</v>
      </c>
      <c r="E50" s="22"/>
      <c r="F50" s="23">
        <f t="shared" si="4"/>
        <v>1750600.6686006843</v>
      </c>
      <c r="G50" s="22">
        <f t="shared" si="5"/>
        <v>160399.33139931617</v>
      </c>
      <c r="H50" s="22">
        <f t="shared" si="6"/>
        <v>164283.36478617872</v>
      </c>
    </row>
    <row r="51" spans="1:9" x14ac:dyDescent="0.25">
      <c r="A51">
        <f t="shared" si="0"/>
        <v>44</v>
      </c>
      <c r="B51" s="22">
        <f t="shared" si="1"/>
        <v>7550.7603764068581</v>
      </c>
      <c r="C51" s="22">
        <f t="shared" si="2"/>
        <v>3903.6756501554328</v>
      </c>
      <c r="D51" s="22">
        <f t="shared" si="3"/>
        <v>3647.0847262514253</v>
      </c>
      <c r="E51" s="22"/>
      <c r="F51" s="23">
        <f t="shared" si="4"/>
        <v>1746696.9929505289</v>
      </c>
      <c r="G51" s="22">
        <f t="shared" si="5"/>
        <v>164303.00704947161</v>
      </c>
      <c r="H51" s="22">
        <f t="shared" si="6"/>
        <v>167930.44951243015</v>
      </c>
    </row>
    <row r="52" spans="1:9" x14ac:dyDescent="0.25">
      <c r="A52">
        <f t="shared" si="0"/>
        <v>45</v>
      </c>
      <c r="B52" s="22">
        <f t="shared" si="1"/>
        <v>7550.7603764068581</v>
      </c>
      <c r="C52" s="22">
        <f t="shared" si="2"/>
        <v>3911.8083077599231</v>
      </c>
      <c r="D52" s="22">
        <f t="shared" si="3"/>
        <v>3638.952068646935</v>
      </c>
      <c r="E52" s="22"/>
      <c r="F52" s="23">
        <f t="shared" si="4"/>
        <v>1742785.1846427689</v>
      </c>
      <c r="G52" s="22">
        <f t="shared" si="5"/>
        <v>168214.81535723154</v>
      </c>
      <c r="H52" s="22">
        <f t="shared" si="6"/>
        <v>171569.40158107708</v>
      </c>
    </row>
    <row r="53" spans="1:9" x14ac:dyDescent="0.25">
      <c r="A53">
        <f t="shared" si="0"/>
        <v>46</v>
      </c>
      <c r="B53" s="22">
        <f t="shared" si="1"/>
        <v>7550.7603764068581</v>
      </c>
      <c r="C53" s="22">
        <f t="shared" si="2"/>
        <v>3919.9579084010898</v>
      </c>
      <c r="D53" s="22">
        <f t="shared" si="3"/>
        <v>3630.8024680057683</v>
      </c>
      <c r="E53" s="22"/>
      <c r="F53" s="23">
        <f t="shared" si="4"/>
        <v>1738865.2267343679</v>
      </c>
      <c r="G53" s="22">
        <f t="shared" si="5"/>
        <v>172134.77326563263</v>
      </c>
      <c r="H53" s="22">
        <f t="shared" si="6"/>
        <v>175200.20404908285</v>
      </c>
    </row>
    <row r="54" spans="1:9" x14ac:dyDescent="0.25">
      <c r="A54">
        <f t="shared" si="0"/>
        <v>47</v>
      </c>
      <c r="B54" s="22">
        <f t="shared" si="1"/>
        <v>7550.7603764068581</v>
      </c>
      <c r="C54" s="22">
        <f t="shared" si="2"/>
        <v>3928.1244873769251</v>
      </c>
      <c r="D54" s="22">
        <f t="shared" si="3"/>
        <v>3622.635889029933</v>
      </c>
      <c r="E54" s="22"/>
      <c r="F54" s="23">
        <f t="shared" si="4"/>
        <v>1734937.1022469909</v>
      </c>
      <c r="G54" s="22">
        <f t="shared" si="5"/>
        <v>176062.89775300954</v>
      </c>
      <c r="H54" s="22">
        <f t="shared" si="6"/>
        <v>178822.8399381128</v>
      </c>
    </row>
    <row r="55" spans="1:9" x14ac:dyDescent="0.25">
      <c r="A55">
        <f t="shared" si="0"/>
        <v>48</v>
      </c>
      <c r="B55" s="22">
        <f t="shared" si="1"/>
        <v>7550.7603764068581</v>
      </c>
      <c r="C55" s="22">
        <f t="shared" si="2"/>
        <v>3936.3080800589605</v>
      </c>
      <c r="D55" s="22">
        <f t="shared" si="3"/>
        <v>3614.4522963478976</v>
      </c>
      <c r="E55" s="22"/>
      <c r="F55" s="23">
        <f t="shared" si="4"/>
        <v>1731000.7941669319</v>
      </c>
      <c r="G55" s="22">
        <f t="shared" si="5"/>
        <v>179999.2058330685</v>
      </c>
      <c r="H55" s="22">
        <f t="shared" si="6"/>
        <v>182437.29223446071</v>
      </c>
      <c r="I55" s="22">
        <f>SUM(D44:D55)</f>
        <v>43909.819108632131</v>
      </c>
    </row>
    <row r="56" spans="1:9" x14ac:dyDescent="0.25">
      <c r="A56">
        <f t="shared" si="0"/>
        <v>49</v>
      </c>
      <c r="B56" s="22">
        <f t="shared" si="1"/>
        <v>7550.7603764068581</v>
      </c>
      <c r="C56" s="22">
        <f t="shared" si="2"/>
        <v>3944.5087218924168</v>
      </c>
      <c r="D56" s="22">
        <f t="shared" si="3"/>
        <v>3606.2516545144413</v>
      </c>
      <c r="E56" s="22"/>
      <c r="F56" s="23">
        <f t="shared" si="4"/>
        <v>1727056.2854450394</v>
      </c>
      <c r="G56" s="22">
        <f t="shared" si="5"/>
        <v>183943.71455496093</v>
      </c>
      <c r="H56" s="22">
        <f t="shared" si="6"/>
        <v>186043.54388897514</v>
      </c>
    </row>
    <row r="57" spans="1:9" x14ac:dyDescent="0.25">
      <c r="A57">
        <f t="shared" si="0"/>
        <v>50</v>
      </c>
      <c r="B57" s="22">
        <f t="shared" si="1"/>
        <v>7550.7603764068581</v>
      </c>
      <c r="C57" s="22">
        <f t="shared" si="2"/>
        <v>3952.7264483963595</v>
      </c>
      <c r="D57" s="22">
        <f t="shared" si="3"/>
        <v>3598.0339280104986</v>
      </c>
      <c r="E57" s="22"/>
      <c r="F57" s="23">
        <f t="shared" si="4"/>
        <v>1723103.5589966429</v>
      </c>
      <c r="G57" s="22">
        <f t="shared" si="5"/>
        <v>187896.44100335729</v>
      </c>
      <c r="H57" s="22">
        <f t="shared" si="6"/>
        <v>189641.57781698563</v>
      </c>
    </row>
    <row r="58" spans="1:9" x14ac:dyDescent="0.25">
      <c r="A58">
        <f t="shared" si="0"/>
        <v>51</v>
      </c>
      <c r="B58" s="22">
        <f t="shared" si="1"/>
        <v>7550.7603764068581</v>
      </c>
      <c r="C58" s="22">
        <f t="shared" si="2"/>
        <v>3960.9612951638519</v>
      </c>
      <c r="D58" s="22">
        <f t="shared" si="3"/>
        <v>3589.7990812430062</v>
      </c>
      <c r="E58" s="22"/>
      <c r="F58" s="23">
        <f t="shared" si="4"/>
        <v>1719142.597701479</v>
      </c>
      <c r="G58" s="22">
        <f t="shared" si="5"/>
        <v>191857.40229852113</v>
      </c>
      <c r="H58" s="22">
        <f t="shared" si="6"/>
        <v>193231.37689822863</v>
      </c>
    </row>
    <row r="59" spans="1:9" x14ac:dyDescent="0.25">
      <c r="A59">
        <f t="shared" si="0"/>
        <v>52</v>
      </c>
      <c r="B59" s="22">
        <f t="shared" si="1"/>
        <v>7550.7603764068581</v>
      </c>
      <c r="C59" s="22">
        <f t="shared" si="2"/>
        <v>3969.2132978621103</v>
      </c>
      <c r="D59" s="22">
        <f t="shared" si="3"/>
        <v>3581.5470785447478</v>
      </c>
      <c r="E59" s="22"/>
      <c r="F59" s="23">
        <f t="shared" si="4"/>
        <v>1715173.3844036169</v>
      </c>
      <c r="G59" s="22">
        <f t="shared" si="5"/>
        <v>195826.61559638326</v>
      </c>
      <c r="H59" s="22">
        <f t="shared" si="6"/>
        <v>196812.92397677337</v>
      </c>
    </row>
    <row r="60" spans="1:9" x14ac:dyDescent="0.25">
      <c r="A60">
        <f t="shared" si="0"/>
        <v>53</v>
      </c>
      <c r="B60" s="22">
        <f t="shared" si="1"/>
        <v>7550.7603764068581</v>
      </c>
      <c r="C60" s="22">
        <f t="shared" si="2"/>
        <v>3977.4824922326561</v>
      </c>
      <c r="D60" s="22">
        <f t="shared" si="3"/>
        <v>3573.277884174202</v>
      </c>
      <c r="E60" s="22"/>
      <c r="F60" s="23">
        <f t="shared" si="4"/>
        <v>1711195.9019113842</v>
      </c>
      <c r="G60" s="22">
        <f t="shared" si="5"/>
        <v>199804.09808861592</v>
      </c>
      <c r="H60" s="22">
        <f t="shared" si="6"/>
        <v>200386.20186094756</v>
      </c>
    </row>
    <row r="61" spans="1:9" x14ac:dyDescent="0.25">
      <c r="A61">
        <f t="shared" si="0"/>
        <v>54</v>
      </c>
      <c r="B61" s="22">
        <f t="shared" si="1"/>
        <v>7550.7603764068581</v>
      </c>
      <c r="C61" s="22">
        <f t="shared" si="2"/>
        <v>3985.7689140914745</v>
      </c>
      <c r="D61" s="22">
        <f t="shared" si="3"/>
        <v>3564.9914623153836</v>
      </c>
      <c r="E61" s="22"/>
      <c r="F61" s="23">
        <f t="shared" si="4"/>
        <v>1707210.1329972928</v>
      </c>
      <c r="G61" s="22">
        <f t="shared" si="5"/>
        <v>203789.86700270741</v>
      </c>
      <c r="H61" s="22">
        <f t="shared" si="6"/>
        <v>203951.19332326294</v>
      </c>
    </row>
    <row r="62" spans="1:9" x14ac:dyDescent="0.25">
      <c r="A62">
        <f t="shared" si="0"/>
        <v>55</v>
      </c>
      <c r="B62" s="22">
        <f t="shared" si="1"/>
        <v>7550.7603764068581</v>
      </c>
      <c r="C62" s="22">
        <f t="shared" si="2"/>
        <v>3994.0725993291649</v>
      </c>
      <c r="D62" s="22">
        <f t="shared" si="3"/>
        <v>3556.6877770776932</v>
      </c>
      <c r="E62" s="22"/>
      <c r="F62" s="23">
        <f t="shared" si="4"/>
        <v>1703216.0603979637</v>
      </c>
      <c r="G62" s="22">
        <f t="shared" si="5"/>
        <v>207783.93960203658</v>
      </c>
      <c r="H62" s="22">
        <f t="shared" si="6"/>
        <v>207507.88110034063</v>
      </c>
    </row>
    <row r="63" spans="1:9" x14ac:dyDescent="0.25">
      <c r="A63">
        <f t="shared" si="0"/>
        <v>56</v>
      </c>
      <c r="B63" s="22">
        <f t="shared" si="1"/>
        <v>7550.7603764068581</v>
      </c>
      <c r="C63" s="22">
        <f t="shared" si="2"/>
        <v>4002.3935839111004</v>
      </c>
      <c r="D63" s="22">
        <f t="shared" si="3"/>
        <v>3548.3667924957576</v>
      </c>
      <c r="E63" s="22"/>
      <c r="F63" s="23">
        <f t="shared" si="4"/>
        <v>1699213.6668140527</v>
      </c>
      <c r="G63" s="22">
        <f t="shared" si="5"/>
        <v>211786.33318594767</v>
      </c>
      <c r="H63" s="22">
        <f t="shared" si="6"/>
        <v>211056.2478928364</v>
      </c>
    </row>
    <row r="64" spans="1:9" x14ac:dyDescent="0.25">
      <c r="A64">
        <f t="shared" si="0"/>
        <v>57</v>
      </c>
      <c r="B64" s="22">
        <f t="shared" si="1"/>
        <v>7550.7603764068581</v>
      </c>
      <c r="C64" s="22">
        <f t="shared" si="2"/>
        <v>4010.7319038775818</v>
      </c>
      <c r="D64" s="22">
        <f t="shared" si="3"/>
        <v>3540.0284725292763</v>
      </c>
      <c r="E64" s="22"/>
      <c r="F64" s="23">
        <f t="shared" si="4"/>
        <v>1695202.9349101752</v>
      </c>
      <c r="G64" s="22">
        <f t="shared" si="5"/>
        <v>215797.06508982525</v>
      </c>
      <c r="H64" s="22">
        <f t="shared" si="6"/>
        <v>214596.27636536569</v>
      </c>
    </row>
    <row r="65" spans="1:9" x14ac:dyDescent="0.25">
      <c r="A65">
        <f t="shared" si="0"/>
        <v>58</v>
      </c>
      <c r="B65" s="22">
        <f t="shared" si="1"/>
        <v>7550.7603764068581</v>
      </c>
      <c r="C65" s="22">
        <f t="shared" si="2"/>
        <v>4019.0875953439931</v>
      </c>
      <c r="D65" s="22">
        <f t="shared" si="3"/>
        <v>3531.6727810628649</v>
      </c>
      <c r="E65" s="22"/>
      <c r="F65" s="23">
        <f t="shared" si="4"/>
        <v>1691183.8473148311</v>
      </c>
      <c r="G65" s="22">
        <f t="shared" si="5"/>
        <v>219816.15268516925</v>
      </c>
      <c r="H65" s="22">
        <f t="shared" si="6"/>
        <v>218127.94914642855</v>
      </c>
    </row>
    <row r="66" spans="1:9" x14ac:dyDescent="0.25">
      <c r="A66">
        <f t="shared" si="0"/>
        <v>59</v>
      </c>
      <c r="B66" s="22">
        <f t="shared" si="1"/>
        <v>7550.7603764068581</v>
      </c>
      <c r="C66" s="22">
        <f t="shared" si="2"/>
        <v>4027.46069450096</v>
      </c>
      <c r="D66" s="22">
        <f t="shared" si="3"/>
        <v>3523.2996819058981</v>
      </c>
      <c r="E66" s="22"/>
      <c r="F66" s="23">
        <f t="shared" si="4"/>
        <v>1687156.3866203302</v>
      </c>
      <c r="G66" s="22">
        <f t="shared" si="5"/>
        <v>223843.61337967022</v>
      </c>
      <c r="H66" s="22">
        <f t="shared" si="6"/>
        <v>221651.24882833444</v>
      </c>
    </row>
    <row r="67" spans="1:9" x14ac:dyDescent="0.25">
      <c r="A67">
        <f t="shared" si="0"/>
        <v>60</v>
      </c>
      <c r="B67" s="22">
        <f t="shared" si="1"/>
        <v>7550.7603764068581</v>
      </c>
      <c r="C67" s="22">
        <f t="shared" si="2"/>
        <v>4035.8512376145036</v>
      </c>
      <c r="D67" s="22">
        <f t="shared" si="3"/>
        <v>3514.9091387923545</v>
      </c>
      <c r="E67" s="22"/>
      <c r="F67" s="23">
        <f t="shared" si="4"/>
        <v>1683120.5353827158</v>
      </c>
      <c r="G67" s="22">
        <f t="shared" si="5"/>
        <v>227879.46461728471</v>
      </c>
      <c r="H67" s="22">
        <f t="shared" si="6"/>
        <v>225166.15796712681</v>
      </c>
      <c r="I67" s="22">
        <f>SUM(D56:D67)</f>
        <v>42728.86573266612</v>
      </c>
    </row>
    <row r="68" spans="1:9" x14ac:dyDescent="0.25">
      <c r="A68">
        <f t="shared" si="0"/>
        <v>61</v>
      </c>
      <c r="B68" s="22">
        <f t="shared" si="1"/>
        <v>7550.7603764068581</v>
      </c>
      <c r="C68" s="22">
        <f t="shared" si="2"/>
        <v>4044.2592610262004</v>
      </c>
      <c r="D68" s="22">
        <f t="shared" si="3"/>
        <v>3506.5011153806577</v>
      </c>
      <c r="E68" s="22"/>
      <c r="F68" s="23">
        <f t="shared" si="4"/>
        <v>1679076.2761216895</v>
      </c>
      <c r="G68" s="22">
        <f t="shared" si="5"/>
        <v>231923.72387831091</v>
      </c>
      <c r="H68" s="22">
        <f t="shared" si="6"/>
        <v>228672.65908250748</v>
      </c>
    </row>
    <row r="69" spans="1:9" x14ac:dyDescent="0.25">
      <c r="A69">
        <f t="shared" si="0"/>
        <v>62</v>
      </c>
      <c r="B69" s="22">
        <f t="shared" si="1"/>
        <v>7550.7603764068581</v>
      </c>
      <c r="C69" s="22">
        <f t="shared" si="2"/>
        <v>4052.6848011533384</v>
      </c>
      <c r="D69" s="22">
        <f t="shared" si="3"/>
        <v>3498.0755752535197</v>
      </c>
      <c r="E69" s="22"/>
      <c r="F69" s="23">
        <f t="shared" si="4"/>
        <v>1675023.5913205361</v>
      </c>
      <c r="G69" s="22">
        <f t="shared" si="5"/>
        <v>235976.40867946425</v>
      </c>
      <c r="H69" s="22">
        <f t="shared" si="6"/>
        <v>232170.734657761</v>
      </c>
    </row>
    <row r="70" spans="1:9" x14ac:dyDescent="0.25">
      <c r="A70">
        <f t="shared" si="0"/>
        <v>63</v>
      </c>
      <c r="B70" s="22">
        <f t="shared" si="1"/>
        <v>7550.7603764068581</v>
      </c>
      <c r="C70" s="22">
        <f t="shared" si="2"/>
        <v>4061.1278944890746</v>
      </c>
      <c r="D70" s="22">
        <f t="shared" si="3"/>
        <v>3489.6324819177835</v>
      </c>
      <c r="E70" s="22"/>
      <c r="F70" s="23">
        <f t="shared" si="4"/>
        <v>1670962.463426047</v>
      </c>
      <c r="G70" s="22">
        <f t="shared" si="5"/>
        <v>240037.53657395332</v>
      </c>
      <c r="H70" s="22">
        <f t="shared" si="6"/>
        <v>235660.3671396788</v>
      </c>
    </row>
    <row r="71" spans="1:9" x14ac:dyDescent="0.25">
      <c r="A71">
        <f t="shared" si="0"/>
        <v>64</v>
      </c>
      <c r="B71" s="22">
        <f t="shared" si="1"/>
        <v>7550.7603764068581</v>
      </c>
      <c r="C71" s="22">
        <f t="shared" si="2"/>
        <v>4069.5885776025934</v>
      </c>
      <c r="D71" s="22">
        <f t="shared" si="3"/>
        <v>3481.1717988042647</v>
      </c>
      <c r="E71" s="22"/>
      <c r="F71" s="23">
        <f t="shared" si="4"/>
        <v>1666892.8748484445</v>
      </c>
      <c r="G71" s="22">
        <f t="shared" si="5"/>
        <v>244107.1251515559</v>
      </c>
      <c r="H71" s="22">
        <f t="shared" si="6"/>
        <v>239141.53893848305</v>
      </c>
    </row>
    <row r="72" spans="1:9" x14ac:dyDescent="0.25">
      <c r="A72">
        <f t="shared" si="0"/>
        <v>65</v>
      </c>
      <c r="B72" s="22">
        <f t="shared" si="1"/>
        <v>7550.7603764068581</v>
      </c>
      <c r="C72" s="22">
        <f t="shared" si="2"/>
        <v>4078.0668871392654</v>
      </c>
      <c r="D72" s="22">
        <f t="shared" si="3"/>
        <v>3472.6934892675927</v>
      </c>
      <c r="E72" s="22"/>
      <c r="F72" s="23">
        <f t="shared" si="4"/>
        <v>1662814.8079613051</v>
      </c>
      <c r="G72" s="22">
        <f t="shared" si="5"/>
        <v>248185.19203869515</v>
      </c>
      <c r="H72" s="22">
        <f t="shared" si="6"/>
        <v>242614.23242775066</v>
      </c>
    </row>
    <row r="73" spans="1:9" x14ac:dyDescent="0.25">
      <c r="A73">
        <f t="shared" si="0"/>
        <v>66</v>
      </c>
      <c r="B73" s="22">
        <f t="shared" si="1"/>
        <v>7550.7603764068581</v>
      </c>
      <c r="C73" s="22">
        <f t="shared" si="2"/>
        <v>4086.5628598208059</v>
      </c>
      <c r="D73" s="22">
        <f t="shared" si="3"/>
        <v>3464.1975165860522</v>
      </c>
      <c r="E73" s="22"/>
      <c r="F73" s="23">
        <f t="shared" si="4"/>
        <v>1658728.2451014842</v>
      </c>
      <c r="G73" s="22">
        <f t="shared" si="5"/>
        <v>252271.75489851597</v>
      </c>
      <c r="H73" s="22">
        <f t="shared" si="6"/>
        <v>246078.42994433671</v>
      </c>
    </row>
    <row r="74" spans="1:9" x14ac:dyDescent="0.25">
      <c r="A74">
        <f t="shared" ref="A74:A137" si="7">IF(OR(F73&lt;0.01,A73=""),"",1+A73)</f>
        <v>67</v>
      </c>
      <c r="B74" s="22">
        <f t="shared" ref="B74:B137" si="8">IF(A74="","",IF(F73&lt;B73,F73+D74,B73))</f>
        <v>7550.7603764068581</v>
      </c>
      <c r="C74" s="22">
        <f t="shared" ref="C74:C137" si="9">IF(A74="","",B74-D74)</f>
        <v>4095.0765324454328</v>
      </c>
      <c r="D74" s="22">
        <f t="shared" ref="D74:D137" si="10">IF(A74="","",F73*$C$3)</f>
        <v>3455.6838439614253</v>
      </c>
      <c r="E74" s="22"/>
      <c r="F74" s="23">
        <f t="shared" ref="F74:F137" si="11">IF(A74="","",F73-E74-C74)</f>
        <v>1654633.1685690389</v>
      </c>
      <c r="G74" s="22">
        <f t="shared" ref="G74:G137" si="12">IF(A74="","",G73+E74+C74)</f>
        <v>256366.83143096141</v>
      </c>
      <c r="H74" s="22">
        <f t="shared" ref="H74:H137" si="13">IF(A74="","",H73+D74)</f>
        <v>249534.11378829813</v>
      </c>
    </row>
    <row r="75" spans="1:9" x14ac:dyDescent="0.25">
      <c r="A75">
        <f t="shared" si="7"/>
        <v>68</v>
      </c>
      <c r="B75" s="22">
        <f t="shared" si="8"/>
        <v>7550.7603764068581</v>
      </c>
      <c r="C75" s="22">
        <f t="shared" si="9"/>
        <v>4103.6079418880272</v>
      </c>
      <c r="D75" s="22">
        <f t="shared" si="10"/>
        <v>3447.1524345188309</v>
      </c>
      <c r="E75" s="22"/>
      <c r="F75" s="23">
        <f t="shared" si="11"/>
        <v>1650529.5606271508</v>
      </c>
      <c r="G75" s="22">
        <f t="shared" si="12"/>
        <v>260470.43937284945</v>
      </c>
      <c r="H75" s="22">
        <f t="shared" si="13"/>
        <v>252981.26622281695</v>
      </c>
    </row>
    <row r="76" spans="1:9" x14ac:dyDescent="0.25">
      <c r="A76">
        <f t="shared" si="7"/>
        <v>69</v>
      </c>
      <c r="B76" s="22">
        <f t="shared" si="8"/>
        <v>7550.7603764068581</v>
      </c>
      <c r="C76" s="22">
        <f t="shared" si="9"/>
        <v>4112.1571251002933</v>
      </c>
      <c r="D76" s="22">
        <f t="shared" si="10"/>
        <v>3438.6032513065643</v>
      </c>
      <c r="E76" s="22"/>
      <c r="F76" s="23">
        <f t="shared" si="11"/>
        <v>1646417.4035020506</v>
      </c>
      <c r="G76" s="22">
        <f t="shared" si="12"/>
        <v>264582.59649794974</v>
      </c>
      <c r="H76" s="22">
        <f t="shared" si="13"/>
        <v>256419.86947412352</v>
      </c>
    </row>
    <row r="77" spans="1:9" x14ac:dyDescent="0.25">
      <c r="A77">
        <f t="shared" si="7"/>
        <v>70</v>
      </c>
      <c r="B77" s="22">
        <f t="shared" si="8"/>
        <v>7550.7603764068581</v>
      </c>
      <c r="C77" s="22">
        <f t="shared" si="9"/>
        <v>4120.7241191109197</v>
      </c>
      <c r="D77" s="22">
        <f t="shared" si="10"/>
        <v>3430.0362572959384</v>
      </c>
      <c r="E77" s="22"/>
      <c r="F77" s="23">
        <f t="shared" si="11"/>
        <v>1642296.6793829396</v>
      </c>
      <c r="G77" s="22">
        <f t="shared" si="12"/>
        <v>268703.32061706064</v>
      </c>
      <c r="H77" s="22">
        <f t="shared" si="13"/>
        <v>259849.90573141945</v>
      </c>
    </row>
    <row r="78" spans="1:9" x14ac:dyDescent="0.25">
      <c r="A78">
        <f t="shared" si="7"/>
        <v>71</v>
      </c>
      <c r="B78" s="22">
        <f t="shared" si="8"/>
        <v>7550.7603764068581</v>
      </c>
      <c r="C78" s="22">
        <f t="shared" si="9"/>
        <v>4129.3089610257339</v>
      </c>
      <c r="D78" s="22">
        <f t="shared" si="10"/>
        <v>3421.4514153811242</v>
      </c>
      <c r="E78" s="22"/>
      <c r="F78" s="23">
        <f t="shared" si="11"/>
        <v>1638167.3704219139</v>
      </c>
      <c r="G78" s="22">
        <f t="shared" si="12"/>
        <v>272832.62957808637</v>
      </c>
      <c r="H78" s="22">
        <f t="shared" si="13"/>
        <v>263271.35714680055</v>
      </c>
    </row>
    <row r="79" spans="1:9" x14ac:dyDescent="0.25">
      <c r="A79">
        <f t="shared" si="7"/>
        <v>72</v>
      </c>
      <c r="B79" s="22">
        <f t="shared" si="8"/>
        <v>7550.7603764068581</v>
      </c>
      <c r="C79" s="22">
        <f t="shared" si="9"/>
        <v>4137.9116880278707</v>
      </c>
      <c r="D79" s="22">
        <f t="shared" si="10"/>
        <v>3412.8486883789874</v>
      </c>
      <c r="E79" s="22"/>
      <c r="F79" s="23">
        <f t="shared" si="11"/>
        <v>1634029.458733886</v>
      </c>
      <c r="G79" s="22">
        <f t="shared" si="12"/>
        <v>276970.54126611422</v>
      </c>
      <c r="H79" s="22">
        <f t="shared" si="13"/>
        <v>266684.20583517954</v>
      </c>
      <c r="I79" s="41">
        <f>SUM(D68:D79)</f>
        <v>41518.047868052745</v>
      </c>
    </row>
    <row r="80" spans="1:9" x14ac:dyDescent="0.25">
      <c r="A80">
        <f t="shared" si="7"/>
        <v>73</v>
      </c>
      <c r="B80" s="22">
        <f t="shared" si="8"/>
        <v>7550.7603764068581</v>
      </c>
      <c r="C80" s="22">
        <f t="shared" si="9"/>
        <v>4146.5323373779283</v>
      </c>
      <c r="D80" s="22">
        <f t="shared" si="10"/>
        <v>3404.2280390289293</v>
      </c>
      <c r="E80" s="22"/>
      <c r="F80" s="23">
        <f t="shared" si="11"/>
        <v>1629882.926396508</v>
      </c>
      <c r="G80" s="22">
        <f t="shared" si="12"/>
        <v>281117.07360349217</v>
      </c>
      <c r="H80" s="22">
        <f t="shared" si="13"/>
        <v>270088.43387420848</v>
      </c>
    </row>
    <row r="81" spans="1:9" x14ac:dyDescent="0.25">
      <c r="A81">
        <f t="shared" si="7"/>
        <v>74</v>
      </c>
      <c r="B81" s="22">
        <f t="shared" si="8"/>
        <v>7550.7603764068581</v>
      </c>
      <c r="C81" s="22">
        <f t="shared" si="9"/>
        <v>4155.1709464141331</v>
      </c>
      <c r="D81" s="22">
        <f t="shared" si="10"/>
        <v>3395.5894299927249</v>
      </c>
      <c r="E81" s="22"/>
      <c r="F81" s="23">
        <f t="shared" si="11"/>
        <v>1625727.7554500939</v>
      </c>
      <c r="G81" s="22">
        <f t="shared" si="12"/>
        <v>285272.24454990629</v>
      </c>
      <c r="H81" s="22">
        <f t="shared" si="13"/>
        <v>273484.0233042012</v>
      </c>
    </row>
    <row r="82" spans="1:9" x14ac:dyDescent="0.25">
      <c r="A82">
        <f t="shared" si="7"/>
        <v>75</v>
      </c>
      <c r="B82" s="22">
        <f t="shared" si="8"/>
        <v>7550.7603764068581</v>
      </c>
      <c r="C82" s="22">
        <f t="shared" si="9"/>
        <v>4163.8275525524959</v>
      </c>
      <c r="D82" s="22">
        <f t="shared" si="10"/>
        <v>3386.9328238543621</v>
      </c>
      <c r="E82" s="22"/>
      <c r="F82" s="23">
        <f t="shared" si="11"/>
        <v>1621563.9278975413</v>
      </c>
      <c r="G82" s="22">
        <f t="shared" si="12"/>
        <v>289436.0721024588</v>
      </c>
      <c r="H82" s="22">
        <f t="shared" si="13"/>
        <v>276870.95612805558</v>
      </c>
    </row>
    <row r="83" spans="1:9" x14ac:dyDescent="0.25">
      <c r="A83">
        <f t="shared" si="7"/>
        <v>76</v>
      </c>
      <c r="B83" s="22">
        <f t="shared" si="8"/>
        <v>7550.7603764068581</v>
      </c>
      <c r="C83" s="22">
        <f t="shared" si="9"/>
        <v>4172.5021932869804</v>
      </c>
      <c r="D83" s="22">
        <f t="shared" si="10"/>
        <v>3378.2581831198777</v>
      </c>
      <c r="E83" s="22"/>
      <c r="F83" s="23">
        <f t="shared" si="11"/>
        <v>1617391.4257042543</v>
      </c>
      <c r="G83" s="22">
        <f t="shared" si="12"/>
        <v>293608.57429574576</v>
      </c>
      <c r="H83" s="22">
        <f t="shared" si="13"/>
        <v>280249.21431117546</v>
      </c>
    </row>
    <row r="84" spans="1:9" x14ac:dyDescent="0.25">
      <c r="A84">
        <f t="shared" si="7"/>
        <v>77</v>
      </c>
      <c r="B84" s="22">
        <f t="shared" si="8"/>
        <v>7550.7603764068581</v>
      </c>
      <c r="C84" s="22">
        <f t="shared" si="9"/>
        <v>4181.1949061896612</v>
      </c>
      <c r="D84" s="22">
        <f t="shared" si="10"/>
        <v>3369.5654702171964</v>
      </c>
      <c r="E84" s="22"/>
      <c r="F84" s="23">
        <f t="shared" si="11"/>
        <v>1613210.2307980647</v>
      </c>
      <c r="G84" s="22">
        <f t="shared" si="12"/>
        <v>297789.76920193544</v>
      </c>
      <c r="H84" s="22">
        <f t="shared" si="13"/>
        <v>283618.77978139266</v>
      </c>
    </row>
    <row r="85" spans="1:9" x14ac:dyDescent="0.25">
      <c r="A85">
        <f t="shared" si="7"/>
        <v>78</v>
      </c>
      <c r="B85" s="22">
        <f t="shared" si="8"/>
        <v>7550.7603764068581</v>
      </c>
      <c r="C85" s="22">
        <f t="shared" si="9"/>
        <v>4189.9057289108896</v>
      </c>
      <c r="D85" s="22">
        <f t="shared" si="10"/>
        <v>3360.854647495968</v>
      </c>
      <c r="E85" s="22"/>
      <c r="F85" s="23">
        <f t="shared" si="11"/>
        <v>1609020.3250691539</v>
      </c>
      <c r="G85" s="22">
        <f t="shared" si="12"/>
        <v>301979.67493084632</v>
      </c>
      <c r="H85" s="22">
        <f t="shared" si="13"/>
        <v>286979.63442888862</v>
      </c>
    </row>
    <row r="86" spans="1:9" x14ac:dyDescent="0.25">
      <c r="A86">
        <f t="shared" si="7"/>
        <v>79</v>
      </c>
      <c r="B86" s="22">
        <f t="shared" si="8"/>
        <v>7550.7603764068581</v>
      </c>
      <c r="C86" s="22">
        <f t="shared" si="9"/>
        <v>4198.6346991794544</v>
      </c>
      <c r="D86" s="22">
        <f t="shared" si="10"/>
        <v>3352.1256772274041</v>
      </c>
      <c r="E86" s="22"/>
      <c r="F86" s="23">
        <f t="shared" si="11"/>
        <v>1604821.6903699744</v>
      </c>
      <c r="G86" s="22">
        <f t="shared" si="12"/>
        <v>306178.30963002576</v>
      </c>
      <c r="H86" s="22">
        <f t="shared" si="13"/>
        <v>290331.76010611601</v>
      </c>
    </row>
    <row r="87" spans="1:9" x14ac:dyDescent="0.25">
      <c r="A87">
        <f t="shared" si="7"/>
        <v>80</v>
      </c>
      <c r="B87" s="22">
        <f t="shared" si="8"/>
        <v>7550.7603764068581</v>
      </c>
      <c r="C87" s="22">
        <f t="shared" si="9"/>
        <v>4207.3818548027448</v>
      </c>
      <c r="D87" s="22">
        <f t="shared" si="10"/>
        <v>3343.3785216041133</v>
      </c>
      <c r="E87" s="22"/>
      <c r="F87" s="23">
        <f t="shared" si="11"/>
        <v>1600614.3085151715</v>
      </c>
      <c r="G87" s="22">
        <f t="shared" si="12"/>
        <v>310385.69148482848</v>
      </c>
      <c r="H87" s="22">
        <f t="shared" si="13"/>
        <v>293675.13862772012</v>
      </c>
    </row>
    <row r="88" spans="1:9" x14ac:dyDescent="0.25">
      <c r="A88">
        <f t="shared" si="7"/>
        <v>81</v>
      </c>
      <c r="B88" s="22">
        <f t="shared" si="8"/>
        <v>7550.7603764068581</v>
      </c>
      <c r="C88" s="22">
        <f t="shared" si="9"/>
        <v>4216.1472336669176</v>
      </c>
      <c r="D88" s="22">
        <f t="shared" si="10"/>
        <v>3334.6131427399405</v>
      </c>
      <c r="E88" s="22"/>
      <c r="F88" s="23">
        <f t="shared" si="11"/>
        <v>1596398.1612815047</v>
      </c>
      <c r="G88" s="22">
        <f t="shared" si="12"/>
        <v>314601.83871849539</v>
      </c>
      <c r="H88" s="22">
        <f t="shared" si="13"/>
        <v>297009.75177046005</v>
      </c>
    </row>
    <row r="89" spans="1:9" x14ac:dyDescent="0.25">
      <c r="A89">
        <f t="shared" si="7"/>
        <v>82</v>
      </c>
      <c r="B89" s="22">
        <f t="shared" si="8"/>
        <v>7550.7603764068581</v>
      </c>
      <c r="C89" s="22">
        <f t="shared" si="9"/>
        <v>4224.9308737370566</v>
      </c>
      <c r="D89" s="22">
        <f t="shared" si="10"/>
        <v>3325.8295026698015</v>
      </c>
      <c r="E89" s="22"/>
      <c r="F89" s="23">
        <f t="shared" si="11"/>
        <v>1592173.2304077677</v>
      </c>
      <c r="G89" s="22">
        <f t="shared" si="12"/>
        <v>318826.76959223242</v>
      </c>
      <c r="H89" s="22">
        <f t="shared" si="13"/>
        <v>300335.58127312985</v>
      </c>
    </row>
    <row r="90" spans="1:9" x14ac:dyDescent="0.25">
      <c r="A90">
        <f t="shared" si="7"/>
        <v>83</v>
      </c>
      <c r="B90" s="22">
        <f t="shared" si="8"/>
        <v>7550.7603764068581</v>
      </c>
      <c r="C90" s="22">
        <f t="shared" si="9"/>
        <v>4233.7328130573424</v>
      </c>
      <c r="D90" s="22">
        <f t="shared" si="10"/>
        <v>3317.0275633495162</v>
      </c>
      <c r="E90" s="22"/>
      <c r="F90" s="23">
        <f t="shared" si="11"/>
        <v>1587939.4975947104</v>
      </c>
      <c r="G90" s="22">
        <f t="shared" si="12"/>
        <v>323060.50240528974</v>
      </c>
      <c r="H90" s="22">
        <f t="shared" si="13"/>
        <v>303652.60883647937</v>
      </c>
      <c r="I90" s="41"/>
    </row>
    <row r="91" spans="1:9" x14ac:dyDescent="0.25">
      <c r="A91">
        <f t="shared" si="7"/>
        <v>84</v>
      </c>
      <c r="B91" s="22">
        <f t="shared" si="8"/>
        <v>7550.7603764068581</v>
      </c>
      <c r="C91" s="22">
        <f t="shared" si="9"/>
        <v>4242.5530897512108</v>
      </c>
      <c r="D91" s="22">
        <f t="shared" si="10"/>
        <v>3308.2072866556468</v>
      </c>
      <c r="E91" s="22"/>
      <c r="F91" s="23">
        <f t="shared" si="11"/>
        <v>1583696.9445049593</v>
      </c>
      <c r="G91" s="22">
        <f t="shared" si="12"/>
        <v>327303.05549504096</v>
      </c>
      <c r="H91" s="22">
        <f t="shared" si="13"/>
        <v>306960.81612313504</v>
      </c>
      <c r="I91" s="41">
        <f>SUM(D80:D91)</f>
        <v>40276.610287955489</v>
      </c>
    </row>
    <row r="92" spans="1:9" x14ac:dyDescent="0.25">
      <c r="A92">
        <f t="shared" si="7"/>
        <v>85</v>
      </c>
      <c r="B92" s="22">
        <f t="shared" si="8"/>
        <v>7550.7603764068581</v>
      </c>
      <c r="C92" s="22">
        <f t="shared" si="9"/>
        <v>4251.3917420215257</v>
      </c>
      <c r="D92" s="22">
        <f t="shared" si="10"/>
        <v>3299.3686343853319</v>
      </c>
      <c r="E92" s="22"/>
      <c r="F92" s="23">
        <f t="shared" si="11"/>
        <v>1579445.5527629377</v>
      </c>
      <c r="G92" s="22">
        <f t="shared" si="12"/>
        <v>331554.4472370625</v>
      </c>
      <c r="H92" s="22">
        <f t="shared" si="13"/>
        <v>310260.18475752039</v>
      </c>
    </row>
    <row r="93" spans="1:9" x14ac:dyDescent="0.25">
      <c r="A93">
        <f t="shared" si="7"/>
        <v>86</v>
      </c>
      <c r="B93" s="22">
        <f t="shared" si="8"/>
        <v>7550.7603764068581</v>
      </c>
      <c r="C93" s="22">
        <f t="shared" si="9"/>
        <v>4260.2488081507381</v>
      </c>
      <c r="D93" s="22">
        <f t="shared" si="10"/>
        <v>3290.5115682561204</v>
      </c>
      <c r="E93" s="22"/>
      <c r="F93" s="23">
        <f t="shared" si="11"/>
        <v>1575185.3039547871</v>
      </c>
      <c r="G93" s="22">
        <f t="shared" si="12"/>
        <v>335814.69604521326</v>
      </c>
      <c r="H93" s="22">
        <f t="shared" si="13"/>
        <v>313550.69632577652</v>
      </c>
    </row>
    <row r="94" spans="1:9" x14ac:dyDescent="0.25">
      <c r="A94">
        <f t="shared" si="7"/>
        <v>87</v>
      </c>
      <c r="B94" s="22">
        <f t="shared" si="8"/>
        <v>7550.7603764068581</v>
      </c>
      <c r="C94" s="22">
        <f t="shared" si="9"/>
        <v>4269.1243265010517</v>
      </c>
      <c r="D94" s="22">
        <f t="shared" si="10"/>
        <v>3281.6360499058064</v>
      </c>
      <c r="E94" s="22"/>
      <c r="F94" s="23">
        <f t="shared" si="11"/>
        <v>1570916.179628286</v>
      </c>
      <c r="G94" s="22">
        <f t="shared" si="12"/>
        <v>340083.8203717143</v>
      </c>
      <c r="H94" s="22">
        <f t="shared" si="13"/>
        <v>316832.33237568231</v>
      </c>
    </row>
    <row r="95" spans="1:9" x14ac:dyDescent="0.25">
      <c r="A95">
        <f t="shared" si="7"/>
        <v>88</v>
      </c>
      <c r="B95" s="22">
        <f t="shared" si="8"/>
        <v>7550.7603764068581</v>
      </c>
      <c r="C95" s="22">
        <f t="shared" si="9"/>
        <v>4278.0183355145955</v>
      </c>
      <c r="D95" s="22">
        <f t="shared" si="10"/>
        <v>3272.7420408922626</v>
      </c>
      <c r="E95" s="22"/>
      <c r="F95" s="23">
        <f t="shared" si="11"/>
        <v>1566638.1612927713</v>
      </c>
      <c r="G95" s="22">
        <f t="shared" si="12"/>
        <v>344361.83870722889</v>
      </c>
      <c r="H95" s="22">
        <f t="shared" si="13"/>
        <v>320105.07441657456</v>
      </c>
    </row>
    <row r="96" spans="1:9" x14ac:dyDescent="0.25">
      <c r="A96">
        <f t="shared" si="7"/>
        <v>89</v>
      </c>
      <c r="B96" s="22">
        <f t="shared" si="8"/>
        <v>7550.7603764068581</v>
      </c>
      <c r="C96" s="22">
        <f t="shared" si="9"/>
        <v>4286.9308737135843</v>
      </c>
      <c r="D96" s="22">
        <f t="shared" si="10"/>
        <v>3263.8295026932738</v>
      </c>
      <c r="E96" s="22"/>
      <c r="F96" s="23">
        <f t="shared" si="11"/>
        <v>1562351.2304190577</v>
      </c>
      <c r="G96" s="22">
        <f t="shared" si="12"/>
        <v>348648.76958094246</v>
      </c>
      <c r="H96" s="22">
        <f t="shared" si="13"/>
        <v>323368.90391926782</v>
      </c>
    </row>
    <row r="97" spans="1:9" x14ac:dyDescent="0.25">
      <c r="A97">
        <f t="shared" si="7"/>
        <v>90</v>
      </c>
      <c r="B97" s="22">
        <f t="shared" si="8"/>
        <v>7550.7603764068581</v>
      </c>
      <c r="C97" s="22">
        <f t="shared" si="9"/>
        <v>4295.8619797004885</v>
      </c>
      <c r="D97" s="22">
        <f t="shared" si="10"/>
        <v>3254.89839670637</v>
      </c>
      <c r="E97" s="22"/>
      <c r="F97" s="23">
        <f t="shared" si="11"/>
        <v>1558055.3684393573</v>
      </c>
      <c r="G97" s="22">
        <f t="shared" si="12"/>
        <v>352944.63156064297</v>
      </c>
      <c r="H97" s="22">
        <f t="shared" si="13"/>
        <v>326623.8023159742</v>
      </c>
    </row>
    <row r="98" spans="1:9" x14ac:dyDescent="0.25">
      <c r="A98">
        <f t="shared" si="7"/>
        <v>91</v>
      </c>
      <c r="B98" s="22">
        <f t="shared" si="8"/>
        <v>7550.7603764068581</v>
      </c>
      <c r="C98" s="22">
        <f t="shared" si="9"/>
        <v>4304.8116921581968</v>
      </c>
      <c r="D98" s="22">
        <f t="shared" si="10"/>
        <v>3245.9486842486608</v>
      </c>
      <c r="E98" s="22"/>
      <c r="F98" s="23">
        <f t="shared" si="11"/>
        <v>1553750.556747199</v>
      </c>
      <c r="G98" s="22">
        <f t="shared" si="12"/>
        <v>357249.4432528012</v>
      </c>
      <c r="H98" s="22">
        <f t="shared" si="13"/>
        <v>329869.75100022287</v>
      </c>
    </row>
    <row r="99" spans="1:9" x14ac:dyDescent="0.25">
      <c r="A99">
        <f t="shared" si="7"/>
        <v>92</v>
      </c>
      <c r="B99" s="22">
        <f t="shared" si="8"/>
        <v>7550.7603764068581</v>
      </c>
      <c r="C99" s="22">
        <f t="shared" si="9"/>
        <v>4313.7800498501929</v>
      </c>
      <c r="D99" s="22">
        <f t="shared" si="10"/>
        <v>3236.9803265566647</v>
      </c>
      <c r="E99" s="22"/>
      <c r="F99" s="23">
        <f t="shared" si="11"/>
        <v>1549436.7766973488</v>
      </c>
      <c r="G99" s="22">
        <f t="shared" si="12"/>
        <v>361563.22330265137</v>
      </c>
      <c r="H99" s="22">
        <f t="shared" si="13"/>
        <v>333106.73132677953</v>
      </c>
    </row>
    <row r="100" spans="1:9" x14ac:dyDescent="0.25">
      <c r="A100">
        <f t="shared" si="7"/>
        <v>93</v>
      </c>
      <c r="B100" s="22">
        <f t="shared" si="8"/>
        <v>7550.7603764068581</v>
      </c>
      <c r="C100" s="22">
        <f t="shared" si="9"/>
        <v>4322.7670916207153</v>
      </c>
      <c r="D100" s="22">
        <f t="shared" si="10"/>
        <v>3227.9932847861432</v>
      </c>
      <c r="E100" s="22"/>
      <c r="F100" s="23">
        <f t="shared" si="11"/>
        <v>1545114.0096057281</v>
      </c>
      <c r="G100" s="22">
        <f t="shared" si="12"/>
        <v>365885.99039427208</v>
      </c>
      <c r="H100" s="22">
        <f t="shared" si="13"/>
        <v>336334.72461156565</v>
      </c>
    </row>
    <row r="101" spans="1:9" x14ac:dyDescent="0.25">
      <c r="A101">
        <f t="shared" si="7"/>
        <v>94</v>
      </c>
      <c r="B101" s="22">
        <f t="shared" si="8"/>
        <v>7550.7603764068581</v>
      </c>
      <c r="C101" s="22">
        <f t="shared" si="9"/>
        <v>4331.772856394924</v>
      </c>
      <c r="D101" s="22">
        <f t="shared" si="10"/>
        <v>3218.9875200119336</v>
      </c>
      <c r="E101" s="22"/>
      <c r="F101" s="23">
        <f t="shared" si="11"/>
        <v>1540782.2367493331</v>
      </c>
      <c r="G101" s="22">
        <f t="shared" si="12"/>
        <v>370217.76325066702</v>
      </c>
      <c r="H101" s="22">
        <f t="shared" si="13"/>
        <v>339553.7121315776</v>
      </c>
    </row>
    <row r="102" spans="1:9" x14ac:dyDescent="0.25">
      <c r="A102">
        <f t="shared" si="7"/>
        <v>95</v>
      </c>
      <c r="B102" s="22">
        <f t="shared" si="8"/>
        <v>7550.7603764068581</v>
      </c>
      <c r="C102" s="22">
        <f t="shared" si="9"/>
        <v>4340.7973831790805</v>
      </c>
      <c r="D102" s="22">
        <f t="shared" si="10"/>
        <v>3209.9629932277771</v>
      </c>
      <c r="E102" s="22"/>
      <c r="F102" s="23">
        <f t="shared" si="11"/>
        <v>1536441.4393661539</v>
      </c>
      <c r="G102" s="22">
        <f t="shared" si="12"/>
        <v>374558.56063384609</v>
      </c>
      <c r="H102" s="22">
        <f t="shared" si="13"/>
        <v>342763.67512480536</v>
      </c>
    </row>
    <row r="103" spans="1:9" x14ac:dyDescent="0.25">
      <c r="A103">
        <f t="shared" si="7"/>
        <v>96</v>
      </c>
      <c r="B103" s="22">
        <f t="shared" si="8"/>
        <v>7550.7603764068581</v>
      </c>
      <c r="C103" s="22">
        <f t="shared" si="9"/>
        <v>4349.8407110607041</v>
      </c>
      <c r="D103" s="22">
        <f t="shared" si="10"/>
        <v>3200.919665346154</v>
      </c>
      <c r="E103" s="22"/>
      <c r="F103" s="23">
        <f t="shared" si="11"/>
        <v>1532091.5986550932</v>
      </c>
      <c r="G103" s="22">
        <f t="shared" si="12"/>
        <v>378908.40134490677</v>
      </c>
      <c r="H103" s="22">
        <f t="shared" si="13"/>
        <v>345964.59479015152</v>
      </c>
      <c r="I103" s="41">
        <f>SUM(D92:D103)</f>
        <v>39003.778667016501</v>
      </c>
    </row>
    <row r="104" spans="1:9" x14ac:dyDescent="0.25">
      <c r="A104">
        <f t="shared" si="7"/>
        <v>97</v>
      </c>
      <c r="B104" s="22">
        <f t="shared" si="8"/>
        <v>7550.7603764068581</v>
      </c>
      <c r="C104" s="22">
        <f t="shared" si="9"/>
        <v>4358.9028792087474</v>
      </c>
      <c r="D104" s="22">
        <f t="shared" si="10"/>
        <v>3191.8574971981107</v>
      </c>
      <c r="E104" s="22"/>
      <c r="F104" s="23">
        <f t="shared" si="11"/>
        <v>1527732.6957758844</v>
      </c>
      <c r="G104" s="22">
        <f t="shared" si="12"/>
        <v>383267.30422411551</v>
      </c>
      <c r="H104" s="22">
        <f t="shared" si="13"/>
        <v>349156.45228734962</v>
      </c>
    </row>
    <row r="105" spans="1:9" x14ac:dyDescent="0.25">
      <c r="A105">
        <f t="shared" si="7"/>
        <v>98</v>
      </c>
      <c r="B105" s="22">
        <f t="shared" si="8"/>
        <v>7550.7603764068581</v>
      </c>
      <c r="C105" s="22">
        <f t="shared" si="9"/>
        <v>4367.9839268737651</v>
      </c>
      <c r="D105" s="22">
        <f t="shared" si="10"/>
        <v>3182.7764495330925</v>
      </c>
      <c r="E105" s="22"/>
      <c r="F105" s="23">
        <f t="shared" si="11"/>
        <v>1523364.7118490108</v>
      </c>
      <c r="G105" s="22">
        <f t="shared" si="12"/>
        <v>387635.28815098928</v>
      </c>
      <c r="H105" s="22">
        <f t="shared" si="13"/>
        <v>352339.22873688274</v>
      </c>
    </row>
    <row r="106" spans="1:9" x14ac:dyDescent="0.25">
      <c r="A106">
        <f t="shared" si="7"/>
        <v>99</v>
      </c>
      <c r="B106" s="22">
        <f t="shared" si="8"/>
        <v>7550.7603764068581</v>
      </c>
      <c r="C106" s="22">
        <f t="shared" si="9"/>
        <v>4377.0838933880859</v>
      </c>
      <c r="D106" s="22">
        <f t="shared" si="10"/>
        <v>3173.6764830187726</v>
      </c>
      <c r="E106" s="22"/>
      <c r="F106" s="23">
        <f t="shared" si="11"/>
        <v>1518987.6279556227</v>
      </c>
      <c r="G106" s="22">
        <f t="shared" si="12"/>
        <v>392012.37204437738</v>
      </c>
      <c r="H106" s="22">
        <f t="shared" si="13"/>
        <v>355512.90521990153</v>
      </c>
    </row>
    <row r="107" spans="1:9" x14ac:dyDescent="0.25">
      <c r="A107">
        <f t="shared" si="7"/>
        <v>100</v>
      </c>
      <c r="B107" s="22">
        <f t="shared" si="8"/>
        <v>7550.7603764068581</v>
      </c>
      <c r="C107" s="22">
        <f t="shared" si="9"/>
        <v>4386.2028181659771</v>
      </c>
      <c r="D107" s="22">
        <f t="shared" si="10"/>
        <v>3164.5575582408806</v>
      </c>
      <c r="E107" s="22"/>
      <c r="F107" s="23">
        <f t="shared" si="11"/>
        <v>1514601.4251374567</v>
      </c>
      <c r="G107" s="22">
        <f t="shared" si="12"/>
        <v>396398.57486254338</v>
      </c>
      <c r="H107" s="22">
        <f t="shared" si="13"/>
        <v>358677.46277814242</v>
      </c>
    </row>
    <row r="108" spans="1:9" x14ac:dyDescent="0.25">
      <c r="A108">
        <f t="shared" si="7"/>
        <v>101</v>
      </c>
      <c r="B108" s="22">
        <f t="shared" si="8"/>
        <v>7550.7603764068581</v>
      </c>
      <c r="C108" s="22">
        <f t="shared" si="9"/>
        <v>4395.340740703823</v>
      </c>
      <c r="D108" s="22">
        <f t="shared" si="10"/>
        <v>3155.4196357030351</v>
      </c>
      <c r="E108" s="22"/>
      <c r="F108" s="23">
        <f t="shared" si="11"/>
        <v>1510206.084396753</v>
      </c>
      <c r="G108" s="22">
        <f t="shared" si="12"/>
        <v>400793.91560324718</v>
      </c>
      <c r="H108" s="22">
        <f t="shared" si="13"/>
        <v>361832.88241384545</v>
      </c>
    </row>
    <row r="109" spans="1:9" x14ac:dyDescent="0.25">
      <c r="A109">
        <f t="shared" si="7"/>
        <v>102</v>
      </c>
      <c r="B109" s="22">
        <f t="shared" si="8"/>
        <v>7550.7603764068581</v>
      </c>
      <c r="C109" s="22">
        <f t="shared" si="9"/>
        <v>4404.4977005802893</v>
      </c>
      <c r="D109" s="22">
        <f t="shared" si="10"/>
        <v>3146.2626758265687</v>
      </c>
      <c r="E109" s="22"/>
      <c r="F109" s="23">
        <f t="shared" si="11"/>
        <v>1505801.5866961726</v>
      </c>
      <c r="G109" s="22">
        <f t="shared" si="12"/>
        <v>405198.41330382746</v>
      </c>
      <c r="H109" s="22">
        <f t="shared" si="13"/>
        <v>364979.14508967201</v>
      </c>
    </row>
    <row r="110" spans="1:9" x14ac:dyDescent="0.25">
      <c r="A110">
        <f t="shared" si="7"/>
        <v>103</v>
      </c>
      <c r="B110" s="22">
        <f t="shared" si="8"/>
        <v>7550.7603764068581</v>
      </c>
      <c r="C110" s="22">
        <f t="shared" si="9"/>
        <v>4413.6737374564982</v>
      </c>
      <c r="D110" s="22">
        <f t="shared" si="10"/>
        <v>3137.0866389503594</v>
      </c>
      <c r="E110" s="22"/>
      <c r="F110" s="23">
        <f t="shared" si="11"/>
        <v>1501387.912958716</v>
      </c>
      <c r="G110" s="22">
        <f t="shared" si="12"/>
        <v>409612.08704128396</v>
      </c>
      <c r="H110" s="22">
        <f t="shared" si="13"/>
        <v>368116.23172862234</v>
      </c>
    </row>
    <row r="111" spans="1:9" x14ac:dyDescent="0.25">
      <c r="A111">
        <f t="shared" si="7"/>
        <v>104</v>
      </c>
      <c r="B111" s="22">
        <f t="shared" si="8"/>
        <v>7550.7603764068581</v>
      </c>
      <c r="C111" s="22">
        <f t="shared" si="9"/>
        <v>4422.8688910761994</v>
      </c>
      <c r="D111" s="22">
        <f t="shared" si="10"/>
        <v>3127.8914853306583</v>
      </c>
      <c r="E111" s="22"/>
      <c r="F111" s="23">
        <f t="shared" si="11"/>
        <v>1496965.0440676399</v>
      </c>
      <c r="G111" s="22">
        <f t="shared" si="12"/>
        <v>414034.95593236014</v>
      </c>
      <c r="H111" s="22">
        <f t="shared" si="13"/>
        <v>371244.12321395299</v>
      </c>
    </row>
    <row r="112" spans="1:9" x14ac:dyDescent="0.25">
      <c r="A112">
        <f t="shared" si="7"/>
        <v>105</v>
      </c>
      <c r="B112" s="22">
        <f t="shared" si="8"/>
        <v>7550.7603764068581</v>
      </c>
      <c r="C112" s="22">
        <f t="shared" si="9"/>
        <v>4432.0832012659412</v>
      </c>
      <c r="D112" s="22">
        <f t="shared" si="10"/>
        <v>3118.6771751409165</v>
      </c>
      <c r="E112" s="22"/>
      <c r="F112" s="23">
        <f t="shared" si="11"/>
        <v>1492532.960866374</v>
      </c>
      <c r="G112" s="22">
        <f t="shared" si="12"/>
        <v>418467.03913362609</v>
      </c>
      <c r="H112" s="22">
        <f t="shared" si="13"/>
        <v>374362.80038909393</v>
      </c>
    </row>
    <row r="113" spans="1:9" x14ac:dyDescent="0.25">
      <c r="A113">
        <f t="shared" si="7"/>
        <v>106</v>
      </c>
      <c r="B113" s="22">
        <f t="shared" si="8"/>
        <v>7550.7603764068581</v>
      </c>
      <c r="C113" s="22">
        <f t="shared" si="9"/>
        <v>4441.3167079352461</v>
      </c>
      <c r="D113" s="22">
        <f t="shared" si="10"/>
        <v>3109.4436684716125</v>
      </c>
      <c r="E113" s="22"/>
      <c r="F113" s="23">
        <f t="shared" si="11"/>
        <v>1488091.6441584388</v>
      </c>
      <c r="G113" s="22">
        <f t="shared" si="12"/>
        <v>422908.35584156134</v>
      </c>
      <c r="H113" s="22">
        <f t="shared" si="13"/>
        <v>377472.24405756552</v>
      </c>
    </row>
    <row r="114" spans="1:9" x14ac:dyDescent="0.25">
      <c r="A114">
        <f t="shared" si="7"/>
        <v>107</v>
      </c>
      <c r="B114" s="22">
        <f t="shared" si="8"/>
        <v>7550.7603764068581</v>
      </c>
      <c r="C114" s="22">
        <f t="shared" si="9"/>
        <v>4450.5694510767771</v>
      </c>
      <c r="D114" s="22">
        <f t="shared" si="10"/>
        <v>3100.190925330081</v>
      </c>
      <c r="E114" s="22"/>
      <c r="F114" s="23">
        <f t="shared" si="11"/>
        <v>1483641.0747073621</v>
      </c>
      <c r="G114" s="22">
        <f t="shared" si="12"/>
        <v>427358.92529263813</v>
      </c>
      <c r="H114" s="22">
        <f t="shared" si="13"/>
        <v>380572.43498289562</v>
      </c>
    </row>
    <row r="115" spans="1:9" x14ac:dyDescent="0.25">
      <c r="A115">
        <f t="shared" si="7"/>
        <v>108</v>
      </c>
      <c r="B115" s="22">
        <f t="shared" si="8"/>
        <v>7550.7603764068581</v>
      </c>
      <c r="C115" s="22">
        <f t="shared" si="9"/>
        <v>4459.8414707665206</v>
      </c>
      <c r="D115" s="22">
        <f t="shared" si="10"/>
        <v>3090.9189056403375</v>
      </c>
      <c r="E115" s="22"/>
      <c r="F115" s="23">
        <f t="shared" si="11"/>
        <v>1479181.2332365955</v>
      </c>
      <c r="G115" s="22">
        <f t="shared" si="12"/>
        <v>431818.76676340465</v>
      </c>
      <c r="H115" s="22">
        <f t="shared" si="13"/>
        <v>383663.35388853593</v>
      </c>
      <c r="I115" s="41">
        <f>SUM(D104:D115)</f>
        <v>37698.759098384427</v>
      </c>
    </row>
    <row r="116" spans="1:9" x14ac:dyDescent="0.25">
      <c r="A116">
        <f t="shared" si="7"/>
        <v>109</v>
      </c>
      <c r="B116" s="22">
        <f t="shared" si="8"/>
        <v>7550.7603764068581</v>
      </c>
      <c r="C116" s="22">
        <f t="shared" si="9"/>
        <v>4469.1328071639509</v>
      </c>
      <c r="D116" s="22">
        <f t="shared" si="10"/>
        <v>3081.6275692429072</v>
      </c>
      <c r="E116" s="22"/>
      <c r="F116" s="23">
        <f t="shared" si="11"/>
        <v>1474712.1004294315</v>
      </c>
      <c r="G116" s="22">
        <f t="shared" si="12"/>
        <v>436287.89957056858</v>
      </c>
      <c r="H116" s="22">
        <f t="shared" si="13"/>
        <v>386744.98145777883</v>
      </c>
    </row>
    <row r="117" spans="1:9" x14ac:dyDescent="0.25">
      <c r="A117">
        <f t="shared" si="7"/>
        <v>110</v>
      </c>
      <c r="B117" s="22">
        <f t="shared" si="8"/>
        <v>7550.7603764068581</v>
      </c>
      <c r="C117" s="22">
        <f t="shared" si="9"/>
        <v>4478.4435005122086</v>
      </c>
      <c r="D117" s="22">
        <f t="shared" si="10"/>
        <v>3072.316875894649</v>
      </c>
      <c r="E117" s="22"/>
      <c r="F117" s="23">
        <f t="shared" si="11"/>
        <v>1470233.6569289193</v>
      </c>
      <c r="G117" s="22">
        <f t="shared" si="12"/>
        <v>440766.3430710808</v>
      </c>
      <c r="H117" s="22">
        <f t="shared" si="13"/>
        <v>389817.29833367351</v>
      </c>
    </row>
    <row r="118" spans="1:9" x14ac:dyDescent="0.25">
      <c r="A118">
        <f t="shared" si="7"/>
        <v>111</v>
      </c>
      <c r="B118" s="22">
        <f t="shared" si="8"/>
        <v>7550.7603764068581</v>
      </c>
      <c r="C118" s="22">
        <f t="shared" si="9"/>
        <v>4487.773591138277</v>
      </c>
      <c r="D118" s="22">
        <f t="shared" si="10"/>
        <v>3062.9867852685816</v>
      </c>
      <c r="E118" s="22"/>
      <c r="F118" s="23">
        <f t="shared" si="11"/>
        <v>1465745.8833377811</v>
      </c>
      <c r="G118" s="22">
        <f t="shared" si="12"/>
        <v>445254.11666221905</v>
      </c>
      <c r="H118" s="22">
        <f t="shared" si="13"/>
        <v>392880.28511894209</v>
      </c>
    </row>
    <row r="119" spans="1:9" x14ac:dyDescent="0.25">
      <c r="A119">
        <f t="shared" si="7"/>
        <v>112</v>
      </c>
      <c r="B119" s="22">
        <f t="shared" si="8"/>
        <v>7550.7603764068581</v>
      </c>
      <c r="C119" s="22">
        <f t="shared" si="9"/>
        <v>4497.1231194531474</v>
      </c>
      <c r="D119" s="22">
        <f t="shared" si="10"/>
        <v>3053.6372569537107</v>
      </c>
      <c r="E119" s="22"/>
      <c r="F119" s="23">
        <f t="shared" si="11"/>
        <v>1461248.7602183279</v>
      </c>
      <c r="G119" s="22">
        <f t="shared" si="12"/>
        <v>449751.23978167219</v>
      </c>
      <c r="H119" s="22">
        <f t="shared" si="13"/>
        <v>395933.92237589578</v>
      </c>
    </row>
    <row r="120" spans="1:9" x14ac:dyDescent="0.25">
      <c r="A120">
        <f t="shared" si="7"/>
        <v>113</v>
      </c>
      <c r="B120" s="22">
        <f t="shared" si="8"/>
        <v>7550.7603764068581</v>
      </c>
      <c r="C120" s="22">
        <f t="shared" si="9"/>
        <v>4506.4921259520088</v>
      </c>
      <c r="D120" s="22">
        <f t="shared" si="10"/>
        <v>3044.2682504548497</v>
      </c>
      <c r="E120" s="22"/>
      <c r="F120" s="23">
        <f t="shared" si="11"/>
        <v>1456742.2680923759</v>
      </c>
      <c r="G120" s="22">
        <f t="shared" si="12"/>
        <v>454257.73190762423</v>
      </c>
      <c r="H120" s="22">
        <f t="shared" si="13"/>
        <v>398978.19062635064</v>
      </c>
    </row>
    <row r="121" spans="1:9" x14ac:dyDescent="0.25">
      <c r="A121">
        <f t="shared" si="7"/>
        <v>114</v>
      </c>
      <c r="B121" s="22">
        <f t="shared" si="8"/>
        <v>7550.7603764068581</v>
      </c>
      <c r="C121" s="22">
        <f t="shared" si="9"/>
        <v>4515.8806512144083</v>
      </c>
      <c r="D121" s="22">
        <f t="shared" si="10"/>
        <v>3034.8797251924498</v>
      </c>
      <c r="E121" s="22"/>
      <c r="F121" s="23">
        <f t="shared" si="11"/>
        <v>1452226.3874411616</v>
      </c>
      <c r="G121" s="22">
        <f t="shared" si="12"/>
        <v>458773.61255883862</v>
      </c>
      <c r="H121" s="22">
        <f t="shared" si="13"/>
        <v>402013.07035154308</v>
      </c>
    </row>
    <row r="122" spans="1:9" x14ac:dyDescent="0.25">
      <c r="A122">
        <f t="shared" si="7"/>
        <v>115</v>
      </c>
      <c r="B122" s="22">
        <f t="shared" si="8"/>
        <v>7550.7603764068581</v>
      </c>
      <c r="C122" s="22">
        <f t="shared" si="9"/>
        <v>4525.288735904438</v>
      </c>
      <c r="D122" s="22">
        <f t="shared" si="10"/>
        <v>3025.4716405024201</v>
      </c>
      <c r="E122" s="22"/>
      <c r="F122" s="23">
        <f t="shared" si="11"/>
        <v>1447701.0987052571</v>
      </c>
      <c r="G122" s="22">
        <f t="shared" si="12"/>
        <v>463298.90129474306</v>
      </c>
      <c r="H122" s="22">
        <f t="shared" si="13"/>
        <v>405038.54199204547</v>
      </c>
    </row>
    <row r="123" spans="1:9" x14ac:dyDescent="0.25">
      <c r="A123">
        <f t="shared" si="7"/>
        <v>116</v>
      </c>
      <c r="B123" s="22">
        <f t="shared" si="8"/>
        <v>7550.7603764068581</v>
      </c>
      <c r="C123" s="22">
        <f t="shared" si="9"/>
        <v>4534.7164207709066</v>
      </c>
      <c r="D123" s="22">
        <f t="shared" si="10"/>
        <v>3016.043955635952</v>
      </c>
      <c r="E123" s="22"/>
      <c r="F123" s="23">
        <f t="shared" si="11"/>
        <v>1443166.3822844862</v>
      </c>
      <c r="G123" s="22">
        <f t="shared" si="12"/>
        <v>467833.61771551397</v>
      </c>
      <c r="H123" s="22">
        <f t="shared" si="13"/>
        <v>408054.58594768145</v>
      </c>
    </row>
    <row r="124" spans="1:9" x14ac:dyDescent="0.25">
      <c r="A124">
        <f t="shared" si="7"/>
        <v>117</v>
      </c>
      <c r="B124" s="22">
        <f t="shared" si="8"/>
        <v>7550.7603764068581</v>
      </c>
      <c r="C124" s="22">
        <f t="shared" si="9"/>
        <v>4544.1637466475113</v>
      </c>
      <c r="D124" s="22">
        <f t="shared" si="10"/>
        <v>3006.5966297593463</v>
      </c>
      <c r="E124" s="22"/>
      <c r="F124" s="23">
        <f t="shared" si="11"/>
        <v>1438622.2185378387</v>
      </c>
      <c r="G124" s="22">
        <f t="shared" si="12"/>
        <v>472377.78146216151</v>
      </c>
      <c r="H124" s="22">
        <f t="shared" si="13"/>
        <v>411061.18257744081</v>
      </c>
    </row>
    <row r="125" spans="1:9" x14ac:dyDescent="0.25">
      <c r="A125">
        <f t="shared" si="7"/>
        <v>118</v>
      </c>
      <c r="B125" s="22">
        <f t="shared" si="8"/>
        <v>7550.7603764068581</v>
      </c>
      <c r="C125" s="22">
        <f t="shared" si="9"/>
        <v>4553.6307544530282</v>
      </c>
      <c r="D125" s="22">
        <f t="shared" si="10"/>
        <v>2997.1296219538303</v>
      </c>
      <c r="E125" s="22"/>
      <c r="F125" s="23">
        <f t="shared" si="11"/>
        <v>1434068.5877833855</v>
      </c>
      <c r="G125" s="22">
        <f t="shared" si="12"/>
        <v>476931.41221661452</v>
      </c>
      <c r="H125" s="22">
        <f t="shared" si="13"/>
        <v>414058.31219939463</v>
      </c>
    </row>
    <row r="126" spans="1:9" x14ac:dyDescent="0.25">
      <c r="A126">
        <f t="shared" si="7"/>
        <v>119</v>
      </c>
      <c r="B126" s="22">
        <f t="shared" si="8"/>
        <v>7550.7603764068581</v>
      </c>
      <c r="C126" s="22">
        <f t="shared" si="9"/>
        <v>4563.1174851914711</v>
      </c>
      <c r="D126" s="22">
        <f t="shared" si="10"/>
        <v>2987.6428912153865</v>
      </c>
      <c r="E126" s="22"/>
      <c r="F126" s="23">
        <f t="shared" si="11"/>
        <v>1429505.4702981941</v>
      </c>
      <c r="G126" s="22">
        <f t="shared" si="12"/>
        <v>481494.52970180602</v>
      </c>
      <c r="H126" s="22">
        <f t="shared" si="13"/>
        <v>417045.95509061002</v>
      </c>
    </row>
    <row r="127" spans="1:9" x14ac:dyDescent="0.25">
      <c r="A127">
        <f t="shared" si="7"/>
        <v>120</v>
      </c>
      <c r="B127" s="22">
        <f t="shared" si="8"/>
        <v>7550.7603764068581</v>
      </c>
      <c r="C127" s="22">
        <f t="shared" si="9"/>
        <v>4572.6239799522873</v>
      </c>
      <c r="D127" s="22">
        <f t="shared" si="10"/>
        <v>2978.1363964545708</v>
      </c>
      <c r="E127" s="22"/>
      <c r="F127" s="23">
        <f t="shared" si="11"/>
        <v>1424932.8463182419</v>
      </c>
      <c r="G127" s="22">
        <f t="shared" si="12"/>
        <v>486067.15368175833</v>
      </c>
      <c r="H127" s="22">
        <f t="shared" si="13"/>
        <v>420024.09148706461</v>
      </c>
      <c r="I127" s="41">
        <f>SUM(D116:D127)</f>
        <v>36360.737598528664</v>
      </c>
    </row>
    <row r="128" spans="1:9" x14ac:dyDescent="0.25">
      <c r="A128">
        <f t="shared" si="7"/>
        <v>121</v>
      </c>
      <c r="B128" s="22">
        <f t="shared" si="8"/>
        <v>7550.7603764068581</v>
      </c>
      <c r="C128" s="22">
        <f t="shared" si="9"/>
        <v>4582.150279910521</v>
      </c>
      <c r="D128" s="22">
        <f t="shared" si="10"/>
        <v>2968.6100964963371</v>
      </c>
      <c r="E128" s="22"/>
      <c r="F128" s="23">
        <f t="shared" si="11"/>
        <v>1420350.6960383314</v>
      </c>
      <c r="G128" s="22">
        <f t="shared" si="12"/>
        <v>490649.30396166886</v>
      </c>
      <c r="H128" s="22">
        <f t="shared" si="13"/>
        <v>422992.70158356096</v>
      </c>
    </row>
    <row r="129" spans="1:9" x14ac:dyDescent="0.25">
      <c r="A129">
        <f t="shared" si="7"/>
        <v>122</v>
      </c>
      <c r="B129" s="22">
        <f t="shared" si="8"/>
        <v>7550.7603764068581</v>
      </c>
      <c r="C129" s="22">
        <f t="shared" si="9"/>
        <v>4591.6964263270011</v>
      </c>
      <c r="D129" s="22">
        <f t="shared" si="10"/>
        <v>2959.063950079857</v>
      </c>
      <c r="E129" s="22"/>
      <c r="F129" s="23">
        <f t="shared" si="11"/>
        <v>1415758.9996120043</v>
      </c>
      <c r="G129" s="22">
        <f t="shared" si="12"/>
        <v>495241.00038799585</v>
      </c>
      <c r="H129" s="22">
        <f t="shared" si="13"/>
        <v>425951.76553364081</v>
      </c>
    </row>
    <row r="130" spans="1:9" x14ac:dyDescent="0.25">
      <c r="A130">
        <f t="shared" si="7"/>
        <v>123</v>
      </c>
      <c r="B130" s="22">
        <f t="shared" si="8"/>
        <v>7550.7603764068581</v>
      </c>
      <c r="C130" s="22">
        <f t="shared" si="9"/>
        <v>4601.2624605485162</v>
      </c>
      <c r="D130" s="22">
        <f t="shared" si="10"/>
        <v>2949.4979158583424</v>
      </c>
      <c r="E130" s="22"/>
      <c r="F130" s="23">
        <f t="shared" si="11"/>
        <v>1411157.7371514558</v>
      </c>
      <c r="G130" s="22">
        <f t="shared" si="12"/>
        <v>499842.26284854434</v>
      </c>
      <c r="H130" s="22">
        <f t="shared" si="13"/>
        <v>428901.26344949915</v>
      </c>
    </row>
    <row r="131" spans="1:9" x14ac:dyDescent="0.25">
      <c r="A131">
        <f t="shared" si="7"/>
        <v>124</v>
      </c>
      <c r="B131" s="22">
        <f t="shared" si="8"/>
        <v>7550.7603764068581</v>
      </c>
      <c r="C131" s="22">
        <f t="shared" si="9"/>
        <v>4610.8484240079924</v>
      </c>
      <c r="D131" s="22">
        <f t="shared" si="10"/>
        <v>2939.9119523988661</v>
      </c>
      <c r="E131" s="22"/>
      <c r="F131" s="23">
        <f t="shared" si="11"/>
        <v>1406546.8887274479</v>
      </c>
      <c r="G131" s="22">
        <f t="shared" si="12"/>
        <v>504453.11127255234</v>
      </c>
      <c r="H131" s="22">
        <f t="shared" si="13"/>
        <v>431841.17540189804</v>
      </c>
    </row>
    <row r="132" spans="1:9" x14ac:dyDescent="0.25">
      <c r="A132">
        <f t="shared" si="7"/>
        <v>125</v>
      </c>
      <c r="B132" s="22">
        <f t="shared" si="8"/>
        <v>7550.7603764068581</v>
      </c>
      <c r="C132" s="22">
        <f t="shared" si="9"/>
        <v>4620.4543582246752</v>
      </c>
      <c r="D132" s="22">
        <f t="shared" si="10"/>
        <v>2930.3060181821834</v>
      </c>
      <c r="E132" s="22"/>
      <c r="F132" s="23">
        <f t="shared" si="11"/>
        <v>1401926.4343692232</v>
      </c>
      <c r="G132" s="22">
        <f t="shared" si="12"/>
        <v>509073.56563077704</v>
      </c>
      <c r="H132" s="22">
        <f t="shared" si="13"/>
        <v>434771.48142008024</v>
      </c>
    </row>
    <row r="133" spans="1:9" x14ac:dyDescent="0.25">
      <c r="A133">
        <f t="shared" si="7"/>
        <v>126</v>
      </c>
      <c r="B133" s="22">
        <f t="shared" si="8"/>
        <v>7550.7603764068581</v>
      </c>
      <c r="C133" s="22">
        <f t="shared" si="9"/>
        <v>4630.0803048043099</v>
      </c>
      <c r="D133" s="22">
        <f t="shared" si="10"/>
        <v>2920.6800716025482</v>
      </c>
      <c r="E133" s="22"/>
      <c r="F133" s="23">
        <f t="shared" si="11"/>
        <v>1397296.3540644189</v>
      </c>
      <c r="G133" s="22">
        <f t="shared" si="12"/>
        <v>513703.64593558136</v>
      </c>
      <c r="H133" s="22">
        <f t="shared" si="13"/>
        <v>437692.16149168281</v>
      </c>
    </row>
    <row r="134" spans="1:9" x14ac:dyDescent="0.25">
      <c r="A134">
        <f t="shared" si="7"/>
        <v>127</v>
      </c>
      <c r="B134" s="22">
        <f t="shared" si="8"/>
        <v>7550.7603764068581</v>
      </c>
      <c r="C134" s="22">
        <f t="shared" si="9"/>
        <v>4639.7263054393188</v>
      </c>
      <c r="D134" s="22">
        <f t="shared" si="10"/>
        <v>2911.0340709675393</v>
      </c>
      <c r="E134" s="22"/>
      <c r="F134" s="23">
        <f t="shared" si="11"/>
        <v>1392656.6277589796</v>
      </c>
      <c r="G134" s="22">
        <f t="shared" si="12"/>
        <v>518343.37224102067</v>
      </c>
      <c r="H134" s="22">
        <f t="shared" si="13"/>
        <v>440603.19556265033</v>
      </c>
    </row>
    <row r="135" spans="1:9" x14ac:dyDescent="0.25">
      <c r="A135">
        <f t="shared" si="7"/>
        <v>128</v>
      </c>
      <c r="B135" s="22">
        <f t="shared" si="8"/>
        <v>7550.7603764068581</v>
      </c>
      <c r="C135" s="22">
        <f t="shared" si="9"/>
        <v>4649.3924019089845</v>
      </c>
      <c r="D135" s="22">
        <f t="shared" si="10"/>
        <v>2901.367974497874</v>
      </c>
      <c r="E135" s="22"/>
      <c r="F135" s="23">
        <f t="shared" si="11"/>
        <v>1388007.2353570706</v>
      </c>
      <c r="G135" s="22">
        <f t="shared" si="12"/>
        <v>522992.76464292966</v>
      </c>
      <c r="H135" s="22">
        <f t="shared" si="13"/>
        <v>443504.56353714823</v>
      </c>
    </row>
    <row r="136" spans="1:9" x14ac:dyDescent="0.25">
      <c r="A136">
        <f t="shared" si="7"/>
        <v>129</v>
      </c>
      <c r="B136" s="22">
        <f t="shared" si="8"/>
        <v>7550.7603764068581</v>
      </c>
      <c r="C136" s="22">
        <f t="shared" si="9"/>
        <v>4659.0786360796283</v>
      </c>
      <c r="D136" s="22">
        <f t="shared" si="10"/>
        <v>2891.6817403272303</v>
      </c>
      <c r="E136" s="22"/>
      <c r="F136" s="23">
        <f t="shared" si="11"/>
        <v>1383348.156720991</v>
      </c>
      <c r="G136" s="22">
        <f t="shared" si="12"/>
        <v>527651.84327900934</v>
      </c>
      <c r="H136" s="22">
        <f t="shared" si="13"/>
        <v>446396.24527747545</v>
      </c>
    </row>
    <row r="137" spans="1:9" x14ac:dyDescent="0.25">
      <c r="A137">
        <f t="shared" si="7"/>
        <v>130</v>
      </c>
      <c r="B137" s="22">
        <f t="shared" si="8"/>
        <v>7550.7603764068581</v>
      </c>
      <c r="C137" s="22">
        <f t="shared" si="9"/>
        <v>4668.7850499047936</v>
      </c>
      <c r="D137" s="22">
        <f t="shared" si="10"/>
        <v>2881.9753265020645</v>
      </c>
      <c r="E137" s="22"/>
      <c r="F137" s="23">
        <f t="shared" si="11"/>
        <v>1378679.3716710862</v>
      </c>
      <c r="G137" s="22">
        <f t="shared" si="12"/>
        <v>532320.62832891417</v>
      </c>
      <c r="H137" s="22">
        <f t="shared" si="13"/>
        <v>449278.2206039775</v>
      </c>
    </row>
    <row r="138" spans="1:9" x14ac:dyDescent="0.25">
      <c r="A138">
        <f t="shared" ref="A138:A201" si="14">IF(OR(F137&lt;0.01,A137=""),"",1+A137)</f>
        <v>131</v>
      </c>
      <c r="B138" s="22">
        <f t="shared" ref="B138:B201" si="15">IF(A138="","",IF(F137&lt;B137,F137+D138,B137))</f>
        <v>7550.7603764068581</v>
      </c>
      <c r="C138" s="22">
        <f t="shared" ref="C138:C201" si="16">IF(A138="","",B138-D138)</f>
        <v>4678.5116854254284</v>
      </c>
      <c r="D138" s="22">
        <f t="shared" ref="D138:D201" si="17">IF(A138="","",F137*$C$3)</f>
        <v>2872.2486909814297</v>
      </c>
      <c r="E138" s="22"/>
      <c r="F138" s="23">
        <f t="shared" ref="F138:F201" si="18">IF(A138="","",F137-E138-C138)</f>
        <v>1374000.8599856608</v>
      </c>
      <c r="G138" s="22">
        <f t="shared" ref="G138:G201" si="19">IF(A138="","",G137+E138+C138)</f>
        <v>536999.14001433959</v>
      </c>
      <c r="H138" s="22">
        <f t="shared" ref="H138:H201" si="20">IF(A138="","",H137+D138)</f>
        <v>452150.46929495892</v>
      </c>
    </row>
    <row r="139" spans="1:9" x14ac:dyDescent="0.25">
      <c r="A139">
        <f t="shared" si="14"/>
        <v>132</v>
      </c>
      <c r="B139" s="22">
        <f t="shared" si="15"/>
        <v>7550.7603764068581</v>
      </c>
      <c r="C139" s="22">
        <f t="shared" si="16"/>
        <v>4688.2585847700648</v>
      </c>
      <c r="D139" s="22">
        <f t="shared" si="17"/>
        <v>2862.5017916367933</v>
      </c>
      <c r="E139" s="22"/>
      <c r="F139" s="23">
        <f t="shared" si="18"/>
        <v>1369312.6014008906</v>
      </c>
      <c r="G139" s="22">
        <f t="shared" si="19"/>
        <v>541687.39859910961</v>
      </c>
      <c r="H139" s="22">
        <f t="shared" si="20"/>
        <v>455012.97108659573</v>
      </c>
      <c r="I139" s="41">
        <f>SUM(D128:D139)</f>
        <v>34988.879599531065</v>
      </c>
    </row>
    <row r="140" spans="1:9" x14ac:dyDescent="0.25">
      <c r="A140">
        <f t="shared" si="14"/>
        <v>133</v>
      </c>
      <c r="B140" s="22">
        <f t="shared" si="15"/>
        <v>7550.7603764068581</v>
      </c>
      <c r="C140" s="22">
        <f t="shared" si="16"/>
        <v>4698.0257901550031</v>
      </c>
      <c r="D140" s="22">
        <f t="shared" si="17"/>
        <v>2852.7345862518555</v>
      </c>
      <c r="E140" s="22"/>
      <c r="F140" s="23">
        <f t="shared" si="18"/>
        <v>1364614.5756107357</v>
      </c>
      <c r="G140" s="22">
        <f t="shared" si="19"/>
        <v>546385.42438926466</v>
      </c>
      <c r="H140" s="22">
        <f t="shared" si="20"/>
        <v>457865.70567284757</v>
      </c>
    </row>
    <row r="141" spans="1:9" x14ac:dyDescent="0.25">
      <c r="A141">
        <f t="shared" si="14"/>
        <v>134</v>
      </c>
      <c r="B141" s="22">
        <f t="shared" si="15"/>
        <v>7550.7603764068581</v>
      </c>
      <c r="C141" s="22">
        <f t="shared" si="16"/>
        <v>4707.8133438844925</v>
      </c>
      <c r="D141" s="22">
        <f t="shared" si="17"/>
        <v>2842.947032522366</v>
      </c>
      <c r="E141" s="22"/>
      <c r="F141" s="23">
        <f t="shared" si="18"/>
        <v>1359906.7622668513</v>
      </c>
      <c r="G141" s="22">
        <f t="shared" si="19"/>
        <v>551093.2377331492</v>
      </c>
      <c r="H141" s="22">
        <f t="shared" si="20"/>
        <v>460708.65270536992</v>
      </c>
    </row>
    <row r="142" spans="1:9" x14ac:dyDescent="0.25">
      <c r="A142">
        <f t="shared" si="14"/>
        <v>135</v>
      </c>
      <c r="B142" s="22">
        <f t="shared" si="15"/>
        <v>7550.7603764068581</v>
      </c>
      <c r="C142" s="22">
        <f t="shared" si="16"/>
        <v>4717.6212883509179</v>
      </c>
      <c r="D142" s="22">
        <f t="shared" si="17"/>
        <v>2833.1390880559402</v>
      </c>
      <c r="E142" s="22"/>
      <c r="F142" s="23">
        <f t="shared" si="18"/>
        <v>1355189.1409785002</v>
      </c>
      <c r="G142" s="22">
        <f t="shared" si="19"/>
        <v>555810.8590215001</v>
      </c>
      <c r="H142" s="22">
        <f t="shared" si="20"/>
        <v>463541.79179342586</v>
      </c>
    </row>
    <row r="143" spans="1:9" x14ac:dyDescent="0.25">
      <c r="A143">
        <f t="shared" si="14"/>
        <v>136</v>
      </c>
      <c r="B143" s="22">
        <f t="shared" si="15"/>
        <v>7550.7603764068581</v>
      </c>
      <c r="C143" s="22">
        <f t="shared" si="16"/>
        <v>4727.4496660349832</v>
      </c>
      <c r="D143" s="22">
        <f t="shared" si="17"/>
        <v>2823.3107103718753</v>
      </c>
      <c r="E143" s="22"/>
      <c r="F143" s="23">
        <f t="shared" si="18"/>
        <v>1350461.6913124654</v>
      </c>
      <c r="G143" s="22">
        <f t="shared" si="19"/>
        <v>560538.30868753511</v>
      </c>
      <c r="H143" s="22">
        <f t="shared" si="20"/>
        <v>466365.10250379774</v>
      </c>
    </row>
    <row r="144" spans="1:9" x14ac:dyDescent="0.25">
      <c r="A144">
        <f t="shared" si="14"/>
        <v>137</v>
      </c>
      <c r="B144" s="22">
        <f t="shared" si="15"/>
        <v>7550.7603764068581</v>
      </c>
      <c r="C144" s="22">
        <f t="shared" si="16"/>
        <v>4737.2985195058882</v>
      </c>
      <c r="D144" s="22">
        <f t="shared" si="17"/>
        <v>2813.4618569009695</v>
      </c>
      <c r="E144" s="22"/>
      <c r="F144" s="23">
        <f t="shared" si="18"/>
        <v>1345724.3927929595</v>
      </c>
      <c r="G144" s="22">
        <f t="shared" si="19"/>
        <v>565275.607207041</v>
      </c>
      <c r="H144" s="22">
        <f t="shared" si="20"/>
        <v>469178.56436069869</v>
      </c>
    </row>
    <row r="145" spans="1:9" x14ac:dyDescent="0.25">
      <c r="A145">
        <f t="shared" si="14"/>
        <v>138</v>
      </c>
      <c r="B145" s="22">
        <f t="shared" si="15"/>
        <v>7550.7603764068581</v>
      </c>
      <c r="C145" s="22">
        <f t="shared" si="16"/>
        <v>4747.1678914215263</v>
      </c>
      <c r="D145" s="22">
        <f t="shared" si="17"/>
        <v>2803.5924849853322</v>
      </c>
      <c r="E145" s="22"/>
      <c r="F145" s="23">
        <f t="shared" si="18"/>
        <v>1340977.2249015379</v>
      </c>
      <c r="G145" s="22">
        <f t="shared" si="19"/>
        <v>570022.77509846247</v>
      </c>
      <c r="H145" s="22">
        <f t="shared" si="20"/>
        <v>471982.15684568399</v>
      </c>
    </row>
    <row r="146" spans="1:9" x14ac:dyDescent="0.25">
      <c r="A146">
        <f t="shared" si="14"/>
        <v>139</v>
      </c>
      <c r="B146" s="22">
        <f t="shared" si="15"/>
        <v>7550.7603764068581</v>
      </c>
      <c r="C146" s="22">
        <f t="shared" si="16"/>
        <v>4757.0578245286542</v>
      </c>
      <c r="D146" s="22">
        <f t="shared" si="17"/>
        <v>2793.7025518782038</v>
      </c>
      <c r="E146" s="22"/>
      <c r="F146" s="23">
        <f t="shared" si="18"/>
        <v>1336220.1670770093</v>
      </c>
      <c r="G146" s="22">
        <f t="shared" si="19"/>
        <v>574779.83292299113</v>
      </c>
      <c r="H146" s="22">
        <f t="shared" si="20"/>
        <v>474775.85939756222</v>
      </c>
    </row>
    <row r="147" spans="1:9" x14ac:dyDescent="0.25">
      <c r="A147">
        <f t="shared" si="14"/>
        <v>140</v>
      </c>
      <c r="B147" s="22">
        <f t="shared" si="15"/>
        <v>7550.7603764068581</v>
      </c>
      <c r="C147" s="22">
        <f t="shared" si="16"/>
        <v>4766.9683616630882</v>
      </c>
      <c r="D147" s="22">
        <f t="shared" si="17"/>
        <v>2783.7920147437694</v>
      </c>
      <c r="E147" s="22"/>
      <c r="F147" s="23">
        <f t="shared" si="18"/>
        <v>1331453.1987153462</v>
      </c>
      <c r="G147" s="22">
        <f t="shared" si="19"/>
        <v>579546.80128465418</v>
      </c>
      <c r="H147" s="22">
        <f t="shared" si="20"/>
        <v>477559.651412306</v>
      </c>
    </row>
    <row r="148" spans="1:9" x14ac:dyDescent="0.25">
      <c r="A148">
        <f t="shared" si="14"/>
        <v>141</v>
      </c>
      <c r="B148" s="22">
        <f t="shared" si="15"/>
        <v>7550.7603764068581</v>
      </c>
      <c r="C148" s="22">
        <f t="shared" si="16"/>
        <v>4776.8995457498868</v>
      </c>
      <c r="D148" s="22">
        <f t="shared" si="17"/>
        <v>2773.8608306569713</v>
      </c>
      <c r="E148" s="22"/>
      <c r="F148" s="23">
        <f t="shared" si="18"/>
        <v>1326676.2991695963</v>
      </c>
      <c r="G148" s="22">
        <f t="shared" si="19"/>
        <v>584323.70083040406</v>
      </c>
      <c r="H148" s="22">
        <f t="shared" si="20"/>
        <v>480333.51224296296</v>
      </c>
    </row>
    <row r="149" spans="1:9" x14ac:dyDescent="0.25">
      <c r="A149">
        <f t="shared" si="14"/>
        <v>142</v>
      </c>
      <c r="B149" s="22">
        <f t="shared" si="15"/>
        <v>7550.7603764068581</v>
      </c>
      <c r="C149" s="22">
        <f t="shared" si="16"/>
        <v>4786.8514198035327</v>
      </c>
      <c r="D149" s="22">
        <f t="shared" si="17"/>
        <v>2763.9089566033254</v>
      </c>
      <c r="E149" s="22"/>
      <c r="F149" s="23">
        <f t="shared" si="18"/>
        <v>1321889.4477497928</v>
      </c>
      <c r="G149" s="22">
        <f t="shared" si="19"/>
        <v>589110.55225020763</v>
      </c>
      <c r="H149" s="22">
        <f t="shared" si="20"/>
        <v>483097.42119956628</v>
      </c>
    </row>
    <row r="150" spans="1:9" x14ac:dyDescent="0.25">
      <c r="A150">
        <f t="shared" si="14"/>
        <v>143</v>
      </c>
      <c r="B150" s="22">
        <f t="shared" si="15"/>
        <v>7550.7603764068581</v>
      </c>
      <c r="C150" s="22">
        <f t="shared" si="16"/>
        <v>4796.8240269281232</v>
      </c>
      <c r="D150" s="22">
        <f t="shared" si="17"/>
        <v>2753.9363494787349</v>
      </c>
      <c r="E150" s="22"/>
      <c r="F150" s="23">
        <f t="shared" si="18"/>
        <v>1317092.6237228648</v>
      </c>
      <c r="G150" s="22">
        <f t="shared" si="19"/>
        <v>593907.3762771358</v>
      </c>
      <c r="H150" s="22">
        <f t="shared" si="20"/>
        <v>485851.357549045</v>
      </c>
    </row>
    <row r="151" spans="1:9" x14ac:dyDescent="0.25">
      <c r="A151">
        <f t="shared" si="14"/>
        <v>144</v>
      </c>
      <c r="B151" s="22">
        <f t="shared" si="15"/>
        <v>7550.7603764068581</v>
      </c>
      <c r="C151" s="22">
        <f t="shared" si="16"/>
        <v>4806.817410317557</v>
      </c>
      <c r="D151" s="22">
        <f t="shared" si="17"/>
        <v>2743.9429660893015</v>
      </c>
      <c r="E151" s="22"/>
      <c r="F151" s="23">
        <f t="shared" si="18"/>
        <v>1312285.8063125473</v>
      </c>
      <c r="G151" s="22">
        <f t="shared" si="19"/>
        <v>598714.1936874534</v>
      </c>
      <c r="H151" s="22">
        <f t="shared" si="20"/>
        <v>488595.30051513429</v>
      </c>
      <c r="I151" s="41">
        <f>SUM(D140:D151)</f>
        <v>33582.329428538644</v>
      </c>
    </row>
    <row r="152" spans="1:9" x14ac:dyDescent="0.25">
      <c r="A152">
        <f t="shared" si="14"/>
        <v>145</v>
      </c>
      <c r="B152" s="22">
        <f t="shared" si="15"/>
        <v>7550.7603764068581</v>
      </c>
      <c r="C152" s="22">
        <f t="shared" si="16"/>
        <v>4816.8316132557175</v>
      </c>
      <c r="D152" s="22">
        <f t="shared" si="17"/>
        <v>2733.9287631511402</v>
      </c>
      <c r="E152" s="22"/>
      <c r="F152" s="23">
        <f t="shared" si="18"/>
        <v>1307468.9746992916</v>
      </c>
      <c r="G152" s="22">
        <f t="shared" si="19"/>
        <v>603531.02530070907</v>
      </c>
      <c r="H152" s="22">
        <f t="shared" si="20"/>
        <v>491329.22927828546</v>
      </c>
    </row>
    <row r="153" spans="1:9" x14ac:dyDescent="0.25">
      <c r="A153">
        <f t="shared" si="14"/>
        <v>146</v>
      </c>
      <c r="B153" s="22">
        <f t="shared" si="15"/>
        <v>7550.7603764068581</v>
      </c>
      <c r="C153" s="22">
        <f t="shared" si="16"/>
        <v>4826.866679116667</v>
      </c>
      <c r="D153" s="22">
        <f t="shared" si="17"/>
        <v>2723.8936972901911</v>
      </c>
      <c r="E153" s="22"/>
      <c r="F153" s="23">
        <f t="shared" si="18"/>
        <v>1302642.108020175</v>
      </c>
      <c r="G153" s="22">
        <f t="shared" si="19"/>
        <v>608357.89197982568</v>
      </c>
      <c r="H153" s="22">
        <f t="shared" si="20"/>
        <v>494053.12297557568</v>
      </c>
    </row>
    <row r="154" spans="1:9" x14ac:dyDescent="0.25">
      <c r="A154">
        <f t="shared" si="14"/>
        <v>147</v>
      </c>
      <c r="B154" s="22">
        <f t="shared" si="15"/>
        <v>7550.7603764068581</v>
      </c>
      <c r="C154" s="22">
        <f t="shared" si="16"/>
        <v>4836.9226513648264</v>
      </c>
      <c r="D154" s="22">
        <f t="shared" si="17"/>
        <v>2713.8377250420313</v>
      </c>
      <c r="E154" s="22"/>
      <c r="F154" s="23">
        <f t="shared" si="18"/>
        <v>1297805.1853688101</v>
      </c>
      <c r="G154" s="22">
        <f t="shared" si="19"/>
        <v>613194.8146311905</v>
      </c>
      <c r="H154" s="22">
        <f t="shared" si="20"/>
        <v>496766.9607006177</v>
      </c>
    </row>
    <row r="155" spans="1:9" x14ac:dyDescent="0.25">
      <c r="A155">
        <f t="shared" si="14"/>
        <v>148</v>
      </c>
      <c r="B155" s="22">
        <f t="shared" si="15"/>
        <v>7550.7603764068581</v>
      </c>
      <c r="C155" s="22">
        <f t="shared" si="16"/>
        <v>4846.9995735551711</v>
      </c>
      <c r="D155" s="22">
        <f t="shared" si="17"/>
        <v>2703.7608028516875</v>
      </c>
      <c r="E155" s="22"/>
      <c r="F155" s="23">
        <f t="shared" si="18"/>
        <v>1292958.185795255</v>
      </c>
      <c r="G155" s="22">
        <f t="shared" si="19"/>
        <v>618041.81420474569</v>
      </c>
      <c r="H155" s="22">
        <f t="shared" si="20"/>
        <v>499470.72150346939</v>
      </c>
    </row>
    <row r="156" spans="1:9" x14ac:dyDescent="0.25">
      <c r="A156">
        <f t="shared" si="14"/>
        <v>149</v>
      </c>
      <c r="B156" s="22">
        <f t="shared" si="15"/>
        <v>7550.7603764068581</v>
      </c>
      <c r="C156" s="22">
        <f t="shared" si="16"/>
        <v>4857.0974893334096</v>
      </c>
      <c r="D156" s="22">
        <f t="shared" si="17"/>
        <v>2693.662887073448</v>
      </c>
      <c r="E156" s="22"/>
      <c r="F156" s="23">
        <f t="shared" si="18"/>
        <v>1288101.0883059215</v>
      </c>
      <c r="G156" s="22">
        <f t="shared" si="19"/>
        <v>622898.91169407906</v>
      </c>
      <c r="H156" s="22">
        <f t="shared" si="20"/>
        <v>502164.38439054287</v>
      </c>
    </row>
    <row r="157" spans="1:9" x14ac:dyDescent="0.25">
      <c r="A157">
        <f t="shared" si="14"/>
        <v>150</v>
      </c>
      <c r="B157" s="22">
        <f t="shared" si="15"/>
        <v>7550.7603764068581</v>
      </c>
      <c r="C157" s="22">
        <f t="shared" si="16"/>
        <v>4867.2164424361881</v>
      </c>
      <c r="D157" s="22">
        <f t="shared" si="17"/>
        <v>2683.54393397067</v>
      </c>
      <c r="E157" s="22"/>
      <c r="F157" s="23">
        <f t="shared" si="18"/>
        <v>1283233.8718634853</v>
      </c>
      <c r="G157" s="22">
        <f t="shared" si="19"/>
        <v>627766.12813651527</v>
      </c>
      <c r="H157" s="22">
        <f t="shared" si="20"/>
        <v>504847.92832451354</v>
      </c>
    </row>
    <row r="158" spans="1:9" x14ac:dyDescent="0.25">
      <c r="A158">
        <f t="shared" si="14"/>
        <v>151</v>
      </c>
      <c r="B158" s="22">
        <f t="shared" si="15"/>
        <v>7550.7603764068581</v>
      </c>
      <c r="C158" s="22">
        <f t="shared" si="16"/>
        <v>4877.3564766912641</v>
      </c>
      <c r="D158" s="22">
        <f t="shared" si="17"/>
        <v>2673.4038997155944</v>
      </c>
      <c r="E158" s="22"/>
      <c r="F158" s="23">
        <f t="shared" si="18"/>
        <v>1278356.515386794</v>
      </c>
      <c r="G158" s="22">
        <f t="shared" si="19"/>
        <v>632643.48461320659</v>
      </c>
      <c r="H158" s="22">
        <f t="shared" si="20"/>
        <v>507521.33222422912</v>
      </c>
    </row>
    <row r="159" spans="1:9" x14ac:dyDescent="0.25">
      <c r="A159">
        <f t="shared" si="14"/>
        <v>152</v>
      </c>
      <c r="B159" s="22">
        <f t="shared" si="15"/>
        <v>7550.7603764068581</v>
      </c>
      <c r="C159" s="22">
        <f t="shared" si="16"/>
        <v>4887.5176360177038</v>
      </c>
      <c r="D159" s="22">
        <f t="shared" si="17"/>
        <v>2663.2427403891543</v>
      </c>
      <c r="E159" s="22"/>
      <c r="F159" s="23">
        <f t="shared" si="18"/>
        <v>1273468.9977507764</v>
      </c>
      <c r="G159" s="22">
        <f t="shared" si="19"/>
        <v>637531.00224922434</v>
      </c>
      <c r="H159" s="22">
        <f t="shared" si="20"/>
        <v>510184.57496461825</v>
      </c>
    </row>
    <row r="160" spans="1:9" x14ac:dyDescent="0.25">
      <c r="A160">
        <f t="shared" si="14"/>
        <v>153</v>
      </c>
      <c r="B160" s="22">
        <f t="shared" si="15"/>
        <v>7550.7603764068581</v>
      </c>
      <c r="C160" s="22">
        <f t="shared" si="16"/>
        <v>4897.6999644260741</v>
      </c>
      <c r="D160" s="22">
        <f t="shared" si="17"/>
        <v>2653.060411980784</v>
      </c>
      <c r="E160" s="22"/>
      <c r="F160" s="23">
        <f t="shared" si="18"/>
        <v>1268571.2977863504</v>
      </c>
      <c r="G160" s="22">
        <f t="shared" si="19"/>
        <v>642428.70221365045</v>
      </c>
      <c r="H160" s="22">
        <f t="shared" si="20"/>
        <v>512837.63537659904</v>
      </c>
    </row>
    <row r="161" spans="1:8" x14ac:dyDescent="0.25">
      <c r="A161">
        <f t="shared" si="14"/>
        <v>154</v>
      </c>
      <c r="B161" s="22">
        <f t="shared" si="15"/>
        <v>7550.7603764068581</v>
      </c>
      <c r="C161" s="22">
        <f t="shared" si="16"/>
        <v>4907.9035060186288</v>
      </c>
      <c r="D161" s="22">
        <f t="shared" si="17"/>
        <v>2642.8568703882297</v>
      </c>
      <c r="E161" s="22"/>
      <c r="F161" s="23">
        <f t="shared" si="18"/>
        <v>1263663.3942803317</v>
      </c>
      <c r="G161" s="22">
        <f t="shared" si="19"/>
        <v>647336.60571966902</v>
      </c>
      <c r="H161" s="22">
        <f t="shared" si="20"/>
        <v>515480.49224698724</v>
      </c>
    </row>
    <row r="162" spans="1:8" x14ac:dyDescent="0.25">
      <c r="A162">
        <f t="shared" si="14"/>
        <v>155</v>
      </c>
      <c r="B162" s="22">
        <f t="shared" si="15"/>
        <v>7550.7603764068581</v>
      </c>
      <c r="C162" s="22">
        <f t="shared" si="16"/>
        <v>4918.128304989501</v>
      </c>
      <c r="D162" s="22">
        <f t="shared" si="17"/>
        <v>2632.6320714173576</v>
      </c>
      <c r="E162" s="22"/>
      <c r="F162" s="23">
        <f t="shared" si="18"/>
        <v>1258745.2659753421</v>
      </c>
      <c r="G162" s="22">
        <f t="shared" si="19"/>
        <v>652254.73402465857</v>
      </c>
      <c r="H162" s="22">
        <f t="shared" si="20"/>
        <v>518113.12431840459</v>
      </c>
    </row>
    <row r="163" spans="1:8" x14ac:dyDescent="0.25">
      <c r="A163">
        <f t="shared" si="14"/>
        <v>156</v>
      </c>
      <c r="B163" s="22">
        <f t="shared" si="15"/>
        <v>7550.7603764068581</v>
      </c>
      <c r="C163" s="22">
        <f t="shared" si="16"/>
        <v>4928.3744056248952</v>
      </c>
      <c r="D163" s="22">
        <f t="shared" si="17"/>
        <v>2622.3859707819629</v>
      </c>
      <c r="E163" s="22"/>
      <c r="F163" s="23">
        <f t="shared" si="18"/>
        <v>1253816.8915697173</v>
      </c>
      <c r="G163" s="22">
        <f t="shared" si="19"/>
        <v>657183.10843028349</v>
      </c>
      <c r="H163" s="22">
        <f t="shared" si="20"/>
        <v>520735.51028918655</v>
      </c>
    </row>
    <row r="164" spans="1:8" x14ac:dyDescent="0.25">
      <c r="A164">
        <f t="shared" si="14"/>
        <v>157</v>
      </c>
      <c r="B164" s="22">
        <f t="shared" si="15"/>
        <v>7550.7603764068581</v>
      </c>
      <c r="C164" s="22">
        <f t="shared" si="16"/>
        <v>4938.6418523032808</v>
      </c>
      <c r="D164" s="22">
        <f t="shared" si="17"/>
        <v>2612.1185241035778</v>
      </c>
      <c r="E164" s="22"/>
      <c r="F164" s="23">
        <f t="shared" si="18"/>
        <v>1248878.2497174141</v>
      </c>
      <c r="G164" s="22">
        <f t="shared" si="19"/>
        <v>662121.75028258679</v>
      </c>
      <c r="H164" s="22">
        <f t="shared" si="20"/>
        <v>523347.62881329015</v>
      </c>
    </row>
    <row r="165" spans="1:8" x14ac:dyDescent="0.25">
      <c r="A165">
        <f t="shared" si="14"/>
        <v>158</v>
      </c>
      <c r="B165" s="22">
        <f t="shared" si="15"/>
        <v>7550.7603764068581</v>
      </c>
      <c r="C165" s="22">
        <f t="shared" si="16"/>
        <v>4948.9306894955789</v>
      </c>
      <c r="D165" s="22">
        <f t="shared" si="17"/>
        <v>2601.8296869112796</v>
      </c>
      <c r="E165" s="22"/>
      <c r="F165" s="23">
        <f t="shared" si="18"/>
        <v>1243929.3190279186</v>
      </c>
      <c r="G165" s="22">
        <f t="shared" si="19"/>
        <v>667070.68097208231</v>
      </c>
      <c r="H165" s="22">
        <f t="shared" si="20"/>
        <v>525949.45850020146</v>
      </c>
    </row>
    <row r="166" spans="1:8" x14ac:dyDescent="0.25">
      <c r="A166">
        <f t="shared" si="14"/>
        <v>159</v>
      </c>
      <c r="B166" s="22">
        <f t="shared" si="15"/>
        <v>7550.7603764068581</v>
      </c>
      <c r="C166" s="22">
        <f t="shared" si="16"/>
        <v>4959.2409617653611</v>
      </c>
      <c r="D166" s="22">
        <f t="shared" si="17"/>
        <v>2591.519414641497</v>
      </c>
      <c r="E166" s="22"/>
      <c r="F166" s="23">
        <f t="shared" si="18"/>
        <v>1238970.0780661532</v>
      </c>
      <c r="G166" s="22">
        <f t="shared" si="19"/>
        <v>672029.92193384771</v>
      </c>
      <c r="H166" s="22">
        <f t="shared" si="20"/>
        <v>528540.97791484301</v>
      </c>
    </row>
    <row r="167" spans="1:8" x14ac:dyDescent="0.25">
      <c r="A167">
        <f t="shared" si="14"/>
        <v>160</v>
      </c>
      <c r="B167" s="22">
        <f t="shared" si="15"/>
        <v>7550.7603764068581</v>
      </c>
      <c r="C167" s="22">
        <f t="shared" si="16"/>
        <v>4969.5727137690392</v>
      </c>
      <c r="D167" s="22">
        <f t="shared" si="17"/>
        <v>2581.1876626378194</v>
      </c>
      <c r="E167" s="22"/>
      <c r="F167" s="23">
        <f t="shared" si="18"/>
        <v>1234000.5053523842</v>
      </c>
      <c r="G167" s="22">
        <f t="shared" si="19"/>
        <v>676999.49464761675</v>
      </c>
      <c r="H167" s="22">
        <f t="shared" si="20"/>
        <v>531122.1655774808</v>
      </c>
    </row>
    <row r="168" spans="1:8" x14ac:dyDescent="0.25">
      <c r="A168">
        <f t="shared" si="14"/>
        <v>161</v>
      </c>
      <c r="B168" s="22">
        <f t="shared" si="15"/>
        <v>7550.7603764068581</v>
      </c>
      <c r="C168" s="22">
        <f t="shared" si="16"/>
        <v>4979.925990256058</v>
      </c>
      <c r="D168" s="22">
        <f t="shared" si="17"/>
        <v>2570.8343861508001</v>
      </c>
      <c r="E168" s="22"/>
      <c r="F168" s="23">
        <f t="shared" si="18"/>
        <v>1229020.5793621282</v>
      </c>
      <c r="G168" s="22">
        <f t="shared" si="19"/>
        <v>681979.42063787277</v>
      </c>
      <c r="H168" s="22">
        <f t="shared" si="20"/>
        <v>533692.99996363162</v>
      </c>
    </row>
    <row r="169" spans="1:8" x14ac:dyDescent="0.25">
      <c r="A169">
        <f t="shared" si="14"/>
        <v>162</v>
      </c>
      <c r="B169" s="22">
        <f t="shared" si="15"/>
        <v>7550.7603764068581</v>
      </c>
      <c r="C169" s="22">
        <f t="shared" si="16"/>
        <v>4990.300836069091</v>
      </c>
      <c r="D169" s="22">
        <f t="shared" si="17"/>
        <v>2560.4595403377671</v>
      </c>
      <c r="E169" s="22"/>
      <c r="F169" s="23">
        <f t="shared" si="18"/>
        <v>1224030.2785260591</v>
      </c>
      <c r="G169" s="22">
        <f t="shared" si="19"/>
        <v>686969.72147394181</v>
      </c>
      <c r="H169" s="22">
        <f t="shared" si="20"/>
        <v>536253.45950396941</v>
      </c>
    </row>
    <row r="170" spans="1:8" x14ac:dyDescent="0.25">
      <c r="A170">
        <f t="shared" si="14"/>
        <v>163</v>
      </c>
      <c r="B170" s="22">
        <f t="shared" si="15"/>
        <v>7550.7603764068581</v>
      </c>
      <c r="C170" s="22">
        <f t="shared" si="16"/>
        <v>5000.6972961442352</v>
      </c>
      <c r="D170" s="22">
        <f t="shared" si="17"/>
        <v>2550.0630802626233</v>
      </c>
      <c r="E170" s="22"/>
      <c r="F170" s="23">
        <f t="shared" si="18"/>
        <v>1219029.5812299149</v>
      </c>
      <c r="G170" s="22">
        <f t="shared" si="19"/>
        <v>691970.41877008602</v>
      </c>
      <c r="H170" s="22">
        <f t="shared" si="20"/>
        <v>538803.52258423204</v>
      </c>
    </row>
    <row r="171" spans="1:8" x14ac:dyDescent="0.25">
      <c r="A171">
        <f t="shared" si="14"/>
        <v>164</v>
      </c>
      <c r="B171" s="22">
        <f t="shared" si="15"/>
        <v>7550.7603764068581</v>
      </c>
      <c r="C171" s="22">
        <f t="shared" si="16"/>
        <v>5011.1154155112017</v>
      </c>
      <c r="D171" s="22">
        <f t="shared" si="17"/>
        <v>2539.6449608956559</v>
      </c>
      <c r="E171" s="22"/>
      <c r="F171" s="23">
        <f t="shared" si="18"/>
        <v>1214018.4658144037</v>
      </c>
      <c r="G171" s="22">
        <f t="shared" si="19"/>
        <v>696981.53418559721</v>
      </c>
      <c r="H171" s="22">
        <f t="shared" si="20"/>
        <v>541343.16754512768</v>
      </c>
    </row>
    <row r="172" spans="1:8" x14ac:dyDescent="0.25">
      <c r="A172">
        <f t="shared" si="14"/>
        <v>165</v>
      </c>
      <c r="B172" s="22">
        <f t="shared" si="15"/>
        <v>7550.7603764068581</v>
      </c>
      <c r="C172" s="22">
        <f t="shared" si="16"/>
        <v>5021.5552392935169</v>
      </c>
      <c r="D172" s="22">
        <f t="shared" si="17"/>
        <v>2529.2051371133412</v>
      </c>
      <c r="E172" s="22"/>
      <c r="F172" s="23">
        <f t="shared" si="18"/>
        <v>1208996.9105751102</v>
      </c>
      <c r="G172" s="22">
        <f t="shared" si="19"/>
        <v>702003.0894248907</v>
      </c>
      <c r="H172" s="22">
        <f t="shared" si="20"/>
        <v>543872.37268224102</v>
      </c>
    </row>
    <row r="173" spans="1:8" x14ac:dyDescent="0.25">
      <c r="A173">
        <f t="shared" si="14"/>
        <v>166</v>
      </c>
      <c r="B173" s="22">
        <f t="shared" si="15"/>
        <v>7550.7603764068581</v>
      </c>
      <c r="C173" s="22">
        <f t="shared" si="16"/>
        <v>5032.0168127087118</v>
      </c>
      <c r="D173" s="22">
        <f t="shared" si="17"/>
        <v>2518.7435636981463</v>
      </c>
      <c r="E173" s="22"/>
      <c r="F173" s="23">
        <f t="shared" si="18"/>
        <v>1203964.8937624015</v>
      </c>
      <c r="G173" s="22">
        <f t="shared" si="19"/>
        <v>707035.10623759939</v>
      </c>
      <c r="H173" s="22">
        <f t="shared" si="20"/>
        <v>546391.11624593916</v>
      </c>
    </row>
    <row r="174" spans="1:8" x14ac:dyDescent="0.25">
      <c r="A174">
        <f t="shared" si="14"/>
        <v>167</v>
      </c>
      <c r="B174" s="22">
        <f t="shared" si="15"/>
        <v>7550.7603764068581</v>
      </c>
      <c r="C174" s="22">
        <f t="shared" si="16"/>
        <v>5042.5001810685217</v>
      </c>
      <c r="D174" s="22">
        <f t="shared" si="17"/>
        <v>2508.2601953383364</v>
      </c>
      <c r="E174" s="22"/>
      <c r="F174" s="23">
        <f t="shared" si="18"/>
        <v>1198922.3935813331</v>
      </c>
      <c r="G174" s="22">
        <f t="shared" si="19"/>
        <v>712077.60641866794</v>
      </c>
      <c r="H174" s="22">
        <f t="shared" si="20"/>
        <v>548899.37644127745</v>
      </c>
    </row>
    <row r="175" spans="1:8" x14ac:dyDescent="0.25">
      <c r="A175">
        <f t="shared" si="14"/>
        <v>168</v>
      </c>
      <c r="B175" s="22">
        <f t="shared" si="15"/>
        <v>7550.7603764068581</v>
      </c>
      <c r="C175" s="22">
        <f t="shared" si="16"/>
        <v>5053.0053897790804</v>
      </c>
      <c r="D175" s="22">
        <f t="shared" si="17"/>
        <v>2497.7549866277773</v>
      </c>
      <c r="E175" s="22"/>
      <c r="F175" s="23">
        <f t="shared" si="18"/>
        <v>1193869.388191554</v>
      </c>
      <c r="G175" s="22">
        <f t="shared" si="19"/>
        <v>717130.61180844705</v>
      </c>
      <c r="H175" s="22">
        <f t="shared" si="20"/>
        <v>551397.13142790517</v>
      </c>
    </row>
    <row r="176" spans="1:8" x14ac:dyDescent="0.25">
      <c r="A176">
        <f t="shared" si="14"/>
        <v>169</v>
      </c>
      <c r="B176" s="22">
        <f t="shared" si="15"/>
        <v>7550.7603764068581</v>
      </c>
      <c r="C176" s="22">
        <f t="shared" si="16"/>
        <v>5063.5324843411208</v>
      </c>
      <c r="D176" s="22">
        <f t="shared" si="17"/>
        <v>2487.2278920657373</v>
      </c>
      <c r="E176" s="22"/>
      <c r="F176" s="23">
        <f t="shared" si="18"/>
        <v>1188805.8557072128</v>
      </c>
      <c r="G176" s="22">
        <f t="shared" si="19"/>
        <v>722194.14429278811</v>
      </c>
      <c r="H176" s="22">
        <f t="shared" si="20"/>
        <v>553884.35931997094</v>
      </c>
    </row>
    <row r="177" spans="1:8" x14ac:dyDescent="0.25">
      <c r="A177">
        <f t="shared" si="14"/>
        <v>170</v>
      </c>
      <c r="B177" s="22">
        <f t="shared" si="15"/>
        <v>7550.7603764068581</v>
      </c>
      <c r="C177" s="22">
        <f t="shared" si="16"/>
        <v>5074.0815103501645</v>
      </c>
      <c r="D177" s="22">
        <f t="shared" si="17"/>
        <v>2476.6788660566936</v>
      </c>
      <c r="E177" s="22"/>
      <c r="F177" s="23">
        <f t="shared" si="18"/>
        <v>1183731.7741968627</v>
      </c>
      <c r="G177" s="22">
        <f t="shared" si="19"/>
        <v>727268.22580313822</v>
      </c>
      <c r="H177" s="22">
        <f t="shared" si="20"/>
        <v>556361.03818602767</v>
      </c>
    </row>
    <row r="178" spans="1:8" x14ac:dyDescent="0.25">
      <c r="A178">
        <f t="shared" si="14"/>
        <v>171</v>
      </c>
      <c r="B178" s="22">
        <f t="shared" si="15"/>
        <v>7550.7603764068581</v>
      </c>
      <c r="C178" s="22">
        <f t="shared" si="16"/>
        <v>5084.6525134967269</v>
      </c>
      <c r="D178" s="22">
        <f t="shared" si="17"/>
        <v>2466.1078629101307</v>
      </c>
      <c r="E178" s="22"/>
      <c r="F178" s="23">
        <f t="shared" si="18"/>
        <v>1178647.1216833659</v>
      </c>
      <c r="G178" s="22">
        <f t="shared" si="19"/>
        <v>732352.87831663492</v>
      </c>
      <c r="H178" s="22">
        <f t="shared" si="20"/>
        <v>558827.14604893781</v>
      </c>
    </row>
    <row r="179" spans="1:8" x14ac:dyDescent="0.25">
      <c r="A179">
        <f t="shared" si="14"/>
        <v>172</v>
      </c>
      <c r="B179" s="22">
        <f t="shared" si="15"/>
        <v>7550.7603764068581</v>
      </c>
      <c r="C179" s="22">
        <f t="shared" si="16"/>
        <v>5095.2455395665129</v>
      </c>
      <c r="D179" s="22">
        <f t="shared" si="17"/>
        <v>2455.5148368403457</v>
      </c>
      <c r="E179" s="22"/>
      <c r="F179" s="23">
        <f t="shared" si="18"/>
        <v>1173551.8761437994</v>
      </c>
      <c r="G179" s="22">
        <f t="shared" si="19"/>
        <v>737448.12385620142</v>
      </c>
      <c r="H179" s="22">
        <f t="shared" si="20"/>
        <v>561282.66088577814</v>
      </c>
    </row>
    <row r="180" spans="1:8" x14ac:dyDescent="0.25">
      <c r="A180">
        <f t="shared" si="14"/>
        <v>173</v>
      </c>
      <c r="B180" s="22">
        <f t="shared" si="15"/>
        <v>7550.7603764068581</v>
      </c>
      <c r="C180" s="22">
        <f t="shared" si="16"/>
        <v>5105.8606344406089</v>
      </c>
      <c r="D180" s="22">
        <f t="shared" si="17"/>
        <v>2444.8997419662487</v>
      </c>
      <c r="E180" s="22"/>
      <c r="F180" s="23">
        <f t="shared" si="18"/>
        <v>1168446.0155093588</v>
      </c>
      <c r="G180" s="22">
        <f t="shared" si="19"/>
        <v>742553.98449064197</v>
      </c>
      <c r="H180" s="22">
        <f t="shared" si="20"/>
        <v>563727.56062774442</v>
      </c>
    </row>
    <row r="181" spans="1:8" x14ac:dyDescent="0.25">
      <c r="A181">
        <f t="shared" si="14"/>
        <v>174</v>
      </c>
      <c r="B181" s="22">
        <f t="shared" si="15"/>
        <v>7550.7603764068581</v>
      </c>
      <c r="C181" s="22">
        <f t="shared" si="16"/>
        <v>5116.4978440956938</v>
      </c>
      <c r="D181" s="22">
        <f t="shared" si="17"/>
        <v>2434.2625323111643</v>
      </c>
      <c r="E181" s="22"/>
      <c r="F181" s="23">
        <f t="shared" si="18"/>
        <v>1163329.517665263</v>
      </c>
      <c r="G181" s="22">
        <f t="shared" si="19"/>
        <v>747670.48233473767</v>
      </c>
      <c r="H181" s="22">
        <f t="shared" si="20"/>
        <v>566161.82316005556</v>
      </c>
    </row>
    <row r="182" spans="1:8" x14ac:dyDescent="0.25">
      <c r="A182">
        <f t="shared" si="14"/>
        <v>175</v>
      </c>
      <c r="B182" s="22">
        <f t="shared" si="15"/>
        <v>7550.7603764068581</v>
      </c>
      <c r="C182" s="22">
        <f t="shared" si="16"/>
        <v>5127.1572146042272</v>
      </c>
      <c r="D182" s="22">
        <f t="shared" si="17"/>
        <v>2423.6031618026313</v>
      </c>
      <c r="E182" s="22"/>
      <c r="F182" s="23">
        <f t="shared" si="18"/>
        <v>1158202.3604506587</v>
      </c>
      <c r="G182" s="22">
        <f t="shared" si="19"/>
        <v>752797.63954934187</v>
      </c>
      <c r="H182" s="22">
        <f t="shared" si="20"/>
        <v>568585.42632185819</v>
      </c>
    </row>
    <row r="183" spans="1:8" x14ac:dyDescent="0.25">
      <c r="A183">
        <f t="shared" si="14"/>
        <v>176</v>
      </c>
      <c r="B183" s="22">
        <f t="shared" si="15"/>
        <v>7550.7603764068581</v>
      </c>
      <c r="C183" s="22">
        <f t="shared" si="16"/>
        <v>5137.838792134653</v>
      </c>
      <c r="D183" s="22">
        <f t="shared" si="17"/>
        <v>2412.9215842722056</v>
      </c>
      <c r="E183" s="22"/>
      <c r="F183" s="23">
        <f t="shared" si="18"/>
        <v>1153064.5216585242</v>
      </c>
      <c r="G183" s="22">
        <f t="shared" si="19"/>
        <v>757935.47834147653</v>
      </c>
      <c r="H183" s="22">
        <f t="shared" si="20"/>
        <v>570998.34790613037</v>
      </c>
    </row>
    <row r="184" spans="1:8" x14ac:dyDescent="0.25">
      <c r="A184">
        <f t="shared" si="14"/>
        <v>177</v>
      </c>
      <c r="B184" s="22">
        <f t="shared" si="15"/>
        <v>7550.7603764068581</v>
      </c>
      <c r="C184" s="22">
        <f t="shared" si="16"/>
        <v>5148.5426229515997</v>
      </c>
      <c r="D184" s="22">
        <f t="shared" si="17"/>
        <v>2402.2177534552588</v>
      </c>
      <c r="E184" s="22"/>
      <c r="F184" s="23">
        <f t="shared" si="18"/>
        <v>1147915.9790355726</v>
      </c>
      <c r="G184" s="22">
        <f t="shared" si="19"/>
        <v>763084.02096442808</v>
      </c>
      <c r="H184" s="22">
        <f t="shared" si="20"/>
        <v>573400.56565958564</v>
      </c>
    </row>
    <row r="185" spans="1:8" x14ac:dyDescent="0.25">
      <c r="A185">
        <f t="shared" si="14"/>
        <v>178</v>
      </c>
      <c r="B185" s="22">
        <f t="shared" si="15"/>
        <v>7550.7603764068581</v>
      </c>
      <c r="C185" s="22">
        <f t="shared" si="16"/>
        <v>5159.2687534160814</v>
      </c>
      <c r="D185" s="22">
        <f t="shared" si="17"/>
        <v>2391.4916229907762</v>
      </c>
      <c r="E185" s="22"/>
      <c r="F185" s="23">
        <f t="shared" si="18"/>
        <v>1142756.7102821565</v>
      </c>
      <c r="G185" s="22">
        <f t="shared" si="19"/>
        <v>768243.28971784422</v>
      </c>
      <c r="H185" s="22">
        <f t="shared" si="20"/>
        <v>575792.05728257645</v>
      </c>
    </row>
    <row r="186" spans="1:8" x14ac:dyDescent="0.25">
      <c r="A186">
        <f t="shared" si="14"/>
        <v>179</v>
      </c>
      <c r="B186" s="22">
        <f t="shared" si="15"/>
        <v>7550.7603764068581</v>
      </c>
      <c r="C186" s="22">
        <f t="shared" si="16"/>
        <v>5170.0172299856986</v>
      </c>
      <c r="D186" s="22">
        <f t="shared" si="17"/>
        <v>2380.7431464211595</v>
      </c>
      <c r="E186" s="22"/>
      <c r="F186" s="23">
        <f t="shared" si="18"/>
        <v>1137586.6930521708</v>
      </c>
      <c r="G186" s="22">
        <f t="shared" si="19"/>
        <v>773413.3069478299</v>
      </c>
      <c r="H186" s="22">
        <f t="shared" si="20"/>
        <v>578172.80042899761</v>
      </c>
    </row>
    <row r="187" spans="1:8" x14ac:dyDescent="0.25">
      <c r="A187">
        <f t="shared" si="14"/>
        <v>180</v>
      </c>
      <c r="B187" s="22">
        <f t="shared" si="15"/>
        <v>7550.7603764068581</v>
      </c>
      <c r="C187" s="22">
        <f t="shared" si="16"/>
        <v>5180.7880992148357</v>
      </c>
      <c r="D187" s="22">
        <f t="shared" si="17"/>
        <v>2369.9722771920224</v>
      </c>
      <c r="E187" s="22"/>
      <c r="F187" s="23">
        <f t="shared" si="18"/>
        <v>1132405.9049529559</v>
      </c>
      <c r="G187" s="22">
        <f t="shared" si="19"/>
        <v>778594.09504704468</v>
      </c>
      <c r="H187" s="22">
        <f t="shared" si="20"/>
        <v>580542.77270618966</v>
      </c>
    </row>
    <row r="188" spans="1:8" x14ac:dyDescent="0.25">
      <c r="A188">
        <f t="shared" si="14"/>
        <v>181</v>
      </c>
      <c r="B188" s="22">
        <f t="shared" si="15"/>
        <v>7550.7603764068581</v>
      </c>
      <c r="C188" s="22">
        <f t="shared" si="16"/>
        <v>5191.5814077548666</v>
      </c>
      <c r="D188" s="22">
        <f t="shared" si="17"/>
        <v>2359.1789686519915</v>
      </c>
      <c r="E188" s="22"/>
      <c r="F188" s="23">
        <f t="shared" si="18"/>
        <v>1127214.323545201</v>
      </c>
      <c r="G188" s="22">
        <f t="shared" si="19"/>
        <v>783785.6764547996</v>
      </c>
      <c r="H188" s="22">
        <f t="shared" si="20"/>
        <v>582901.95167484169</v>
      </c>
    </row>
    <row r="189" spans="1:8" x14ac:dyDescent="0.25">
      <c r="A189">
        <f t="shared" si="14"/>
        <v>182</v>
      </c>
      <c r="B189" s="22">
        <f t="shared" si="15"/>
        <v>7550.7603764068581</v>
      </c>
      <c r="C189" s="22">
        <f t="shared" si="16"/>
        <v>5202.3972023543556</v>
      </c>
      <c r="D189" s="22">
        <f t="shared" si="17"/>
        <v>2348.363174052502</v>
      </c>
      <c r="E189" s="22"/>
      <c r="F189" s="23">
        <f t="shared" si="18"/>
        <v>1122011.9263428466</v>
      </c>
      <c r="G189" s="22">
        <f t="shared" si="19"/>
        <v>788988.07365715399</v>
      </c>
      <c r="H189" s="22">
        <f t="shared" si="20"/>
        <v>585250.31484889425</v>
      </c>
    </row>
    <row r="190" spans="1:8" x14ac:dyDescent="0.25">
      <c r="A190">
        <f t="shared" si="14"/>
        <v>183</v>
      </c>
      <c r="B190" s="22">
        <f t="shared" si="15"/>
        <v>7550.7603764068581</v>
      </c>
      <c r="C190" s="22">
        <f t="shared" si="16"/>
        <v>5213.2355298592611</v>
      </c>
      <c r="D190" s="22">
        <f t="shared" si="17"/>
        <v>2337.524846547597</v>
      </c>
      <c r="E190" s="22"/>
      <c r="F190" s="23">
        <f t="shared" si="18"/>
        <v>1116798.6908129873</v>
      </c>
      <c r="G190" s="22">
        <f t="shared" si="19"/>
        <v>794201.30918701331</v>
      </c>
      <c r="H190" s="22">
        <f t="shared" si="20"/>
        <v>587587.83969544189</v>
      </c>
    </row>
    <row r="191" spans="1:8" x14ac:dyDescent="0.25">
      <c r="A191">
        <f t="shared" si="14"/>
        <v>184</v>
      </c>
      <c r="B191" s="22">
        <f t="shared" si="15"/>
        <v>7550.7603764068581</v>
      </c>
      <c r="C191" s="22">
        <f t="shared" si="16"/>
        <v>5224.0964372131348</v>
      </c>
      <c r="D191" s="22">
        <f t="shared" si="17"/>
        <v>2326.6639391937233</v>
      </c>
      <c r="E191" s="22"/>
      <c r="F191" s="23">
        <f t="shared" si="18"/>
        <v>1111574.594375774</v>
      </c>
      <c r="G191" s="22">
        <f t="shared" si="19"/>
        <v>799425.40562422643</v>
      </c>
      <c r="H191" s="22">
        <f t="shared" si="20"/>
        <v>589914.50363463559</v>
      </c>
    </row>
    <row r="192" spans="1:8" x14ac:dyDescent="0.25">
      <c r="A192">
        <f t="shared" si="14"/>
        <v>185</v>
      </c>
      <c r="B192" s="22">
        <f t="shared" si="15"/>
        <v>7550.7603764068581</v>
      </c>
      <c r="C192" s="22">
        <f t="shared" si="16"/>
        <v>5234.9799714573292</v>
      </c>
      <c r="D192" s="22">
        <f t="shared" si="17"/>
        <v>2315.7804049495294</v>
      </c>
      <c r="E192" s="22"/>
      <c r="F192" s="23">
        <f t="shared" si="18"/>
        <v>1106339.6144043168</v>
      </c>
      <c r="G192" s="22">
        <f t="shared" si="19"/>
        <v>804660.38559568371</v>
      </c>
      <c r="H192" s="22">
        <f t="shared" si="20"/>
        <v>592230.28403958515</v>
      </c>
    </row>
    <row r="193" spans="1:8" x14ac:dyDescent="0.25">
      <c r="A193">
        <f t="shared" si="14"/>
        <v>186</v>
      </c>
      <c r="B193" s="22">
        <f t="shared" si="15"/>
        <v>7550.7603764068581</v>
      </c>
      <c r="C193" s="22">
        <f t="shared" si="16"/>
        <v>5245.8861797311984</v>
      </c>
      <c r="D193" s="22">
        <f t="shared" si="17"/>
        <v>2304.8741966756597</v>
      </c>
      <c r="E193" s="22"/>
      <c r="F193" s="23">
        <f t="shared" si="18"/>
        <v>1101093.7282245855</v>
      </c>
      <c r="G193" s="22">
        <f t="shared" si="19"/>
        <v>809906.27177541493</v>
      </c>
      <c r="H193" s="22">
        <f t="shared" si="20"/>
        <v>594535.15823626076</v>
      </c>
    </row>
    <row r="194" spans="1:8" x14ac:dyDescent="0.25">
      <c r="A194">
        <f t="shared" si="14"/>
        <v>187</v>
      </c>
      <c r="B194" s="22">
        <f t="shared" si="15"/>
        <v>7550.7603764068581</v>
      </c>
      <c r="C194" s="22">
        <f t="shared" si="16"/>
        <v>5256.8151092723056</v>
      </c>
      <c r="D194" s="22">
        <f t="shared" si="17"/>
        <v>2293.945267134553</v>
      </c>
      <c r="E194" s="22"/>
      <c r="F194" s="23">
        <f t="shared" si="18"/>
        <v>1095836.9131153133</v>
      </c>
      <c r="G194" s="22">
        <f t="shared" si="19"/>
        <v>815163.08688468719</v>
      </c>
      <c r="H194" s="22">
        <f t="shared" si="20"/>
        <v>596829.10350339534</v>
      </c>
    </row>
    <row r="195" spans="1:8" x14ac:dyDescent="0.25">
      <c r="A195">
        <f t="shared" si="14"/>
        <v>188</v>
      </c>
      <c r="B195" s="22">
        <f t="shared" si="15"/>
        <v>7550.7603764068581</v>
      </c>
      <c r="C195" s="22">
        <f t="shared" si="16"/>
        <v>5267.7668074166222</v>
      </c>
      <c r="D195" s="22">
        <f t="shared" si="17"/>
        <v>2282.9935689902359</v>
      </c>
      <c r="E195" s="22"/>
      <c r="F195" s="23">
        <f t="shared" si="18"/>
        <v>1090569.1463078966</v>
      </c>
      <c r="G195" s="22">
        <f t="shared" si="19"/>
        <v>820430.85369210376</v>
      </c>
      <c r="H195" s="22">
        <f t="shared" si="20"/>
        <v>599112.0970723856</v>
      </c>
    </row>
    <row r="196" spans="1:8" x14ac:dyDescent="0.25">
      <c r="A196">
        <f t="shared" si="14"/>
        <v>189</v>
      </c>
      <c r="B196" s="22">
        <f t="shared" si="15"/>
        <v>7550.7603764068581</v>
      </c>
      <c r="C196" s="22">
        <f t="shared" si="16"/>
        <v>5278.7413215987399</v>
      </c>
      <c r="D196" s="22">
        <f t="shared" si="17"/>
        <v>2272.0190548081177</v>
      </c>
      <c r="E196" s="22"/>
      <c r="F196" s="23">
        <f t="shared" si="18"/>
        <v>1085290.4049862979</v>
      </c>
      <c r="G196" s="22">
        <f t="shared" si="19"/>
        <v>825709.59501370252</v>
      </c>
      <c r="H196" s="22">
        <f t="shared" si="20"/>
        <v>601384.11612719367</v>
      </c>
    </row>
    <row r="197" spans="1:8" x14ac:dyDescent="0.25">
      <c r="A197">
        <f t="shared" si="14"/>
        <v>190</v>
      </c>
      <c r="B197" s="22">
        <f t="shared" si="15"/>
        <v>7550.7603764068581</v>
      </c>
      <c r="C197" s="22">
        <f t="shared" si="16"/>
        <v>5289.7386993520704</v>
      </c>
      <c r="D197" s="22">
        <f t="shared" si="17"/>
        <v>2261.0216770547872</v>
      </c>
      <c r="E197" s="22"/>
      <c r="F197" s="23">
        <f t="shared" si="18"/>
        <v>1080000.6662869458</v>
      </c>
      <c r="G197" s="22">
        <f t="shared" si="19"/>
        <v>830999.33371305454</v>
      </c>
      <c r="H197" s="22">
        <f t="shared" si="20"/>
        <v>603645.13780424849</v>
      </c>
    </row>
    <row r="198" spans="1:8" x14ac:dyDescent="0.25">
      <c r="A198">
        <f t="shared" si="14"/>
        <v>191</v>
      </c>
      <c r="B198" s="22">
        <f t="shared" si="15"/>
        <v>7550.7603764068581</v>
      </c>
      <c r="C198" s="22">
        <f t="shared" si="16"/>
        <v>5300.758988309055</v>
      </c>
      <c r="D198" s="22">
        <f t="shared" si="17"/>
        <v>2250.0013880978036</v>
      </c>
      <c r="E198" s="22"/>
      <c r="F198" s="23">
        <f t="shared" si="18"/>
        <v>1074699.9072986369</v>
      </c>
      <c r="G198" s="22">
        <f t="shared" si="19"/>
        <v>836300.09270136361</v>
      </c>
      <c r="H198" s="22">
        <f t="shared" si="20"/>
        <v>605895.13919234625</v>
      </c>
    </row>
    <row r="199" spans="1:8" x14ac:dyDescent="0.25">
      <c r="A199">
        <f t="shared" si="14"/>
        <v>192</v>
      </c>
      <c r="B199" s="22">
        <f t="shared" si="15"/>
        <v>7550.7603764068581</v>
      </c>
      <c r="C199" s="22">
        <f t="shared" si="16"/>
        <v>5311.8022362013653</v>
      </c>
      <c r="D199" s="22">
        <f t="shared" si="17"/>
        <v>2238.9581402054932</v>
      </c>
      <c r="E199" s="22"/>
      <c r="F199" s="23">
        <f t="shared" si="18"/>
        <v>1069388.1050624354</v>
      </c>
      <c r="G199" s="22">
        <f t="shared" si="19"/>
        <v>841611.89493756497</v>
      </c>
      <c r="H199" s="22">
        <f t="shared" si="20"/>
        <v>608134.09733255173</v>
      </c>
    </row>
    <row r="200" spans="1:8" x14ac:dyDescent="0.25">
      <c r="A200">
        <f t="shared" si="14"/>
        <v>193</v>
      </c>
      <c r="B200" s="22">
        <f t="shared" si="15"/>
        <v>7550.7603764068581</v>
      </c>
      <c r="C200" s="22">
        <f t="shared" si="16"/>
        <v>5322.8684908601172</v>
      </c>
      <c r="D200" s="22">
        <f t="shared" si="17"/>
        <v>2227.8918855467405</v>
      </c>
      <c r="E200" s="22"/>
      <c r="F200" s="23">
        <f t="shared" si="18"/>
        <v>1064065.2365715753</v>
      </c>
      <c r="G200" s="22">
        <f t="shared" si="19"/>
        <v>846934.76342842507</v>
      </c>
      <c r="H200" s="22">
        <f t="shared" si="20"/>
        <v>610361.98921809846</v>
      </c>
    </row>
    <row r="201" spans="1:8" x14ac:dyDescent="0.25">
      <c r="A201">
        <f t="shared" si="14"/>
        <v>194</v>
      </c>
      <c r="B201" s="22">
        <f t="shared" si="15"/>
        <v>7550.7603764068581</v>
      </c>
      <c r="C201" s="22">
        <f t="shared" si="16"/>
        <v>5333.9578002160761</v>
      </c>
      <c r="D201" s="22">
        <f t="shared" si="17"/>
        <v>2216.802576190782</v>
      </c>
      <c r="E201" s="22"/>
      <c r="F201" s="23">
        <f t="shared" si="18"/>
        <v>1058731.2787713592</v>
      </c>
      <c r="G201" s="22">
        <f t="shared" si="19"/>
        <v>852268.72122864111</v>
      </c>
      <c r="H201" s="22">
        <f t="shared" si="20"/>
        <v>612578.79179428925</v>
      </c>
    </row>
    <row r="202" spans="1:8" x14ac:dyDescent="0.25">
      <c r="A202">
        <f t="shared" ref="A202:A265" si="21">IF(OR(F201&lt;0.01,A201=""),"",1+A201)</f>
        <v>195</v>
      </c>
      <c r="B202" s="22">
        <f t="shared" ref="B202:B265" si="22">IF(A202="","",IF(F201&lt;B201,F201+D202,B201))</f>
        <v>7550.7603764068581</v>
      </c>
      <c r="C202" s="22">
        <f t="shared" ref="C202:C265" si="23">IF(A202="","",B202-D202)</f>
        <v>5345.0702122998591</v>
      </c>
      <c r="D202" s="22">
        <f t="shared" ref="D202:D265" si="24">IF(A202="","",F201*$C$3)</f>
        <v>2205.6901641069985</v>
      </c>
      <c r="E202" s="22"/>
      <c r="F202" s="23">
        <f t="shared" ref="F202:F265" si="25">IF(A202="","",F201-E202-C202)</f>
        <v>1053386.2085590593</v>
      </c>
      <c r="G202" s="22">
        <f t="shared" ref="G202:G265" si="26">IF(A202="","",G201+E202+C202)</f>
        <v>857613.79144094093</v>
      </c>
      <c r="H202" s="22">
        <f t="shared" ref="H202:H265" si="27">IF(A202="","",H201+D202)</f>
        <v>614784.48195839627</v>
      </c>
    </row>
    <row r="203" spans="1:8" x14ac:dyDescent="0.25">
      <c r="A203">
        <f t="shared" si="21"/>
        <v>196</v>
      </c>
      <c r="B203" s="22">
        <f t="shared" si="22"/>
        <v>7550.7603764068581</v>
      </c>
      <c r="C203" s="22">
        <f t="shared" si="23"/>
        <v>5356.2057752421515</v>
      </c>
      <c r="D203" s="22">
        <f t="shared" si="24"/>
        <v>2194.554601164707</v>
      </c>
      <c r="E203" s="22"/>
      <c r="F203" s="23">
        <f t="shared" si="25"/>
        <v>1048030.0027838171</v>
      </c>
      <c r="G203" s="22">
        <f t="shared" si="26"/>
        <v>862969.99721618311</v>
      </c>
      <c r="H203" s="22">
        <f t="shared" si="27"/>
        <v>616979.03655956092</v>
      </c>
    </row>
    <row r="204" spans="1:8" x14ac:dyDescent="0.25">
      <c r="A204">
        <f t="shared" si="21"/>
        <v>197</v>
      </c>
      <c r="B204" s="22">
        <f t="shared" si="22"/>
        <v>7550.7603764068581</v>
      </c>
      <c r="C204" s="22">
        <f t="shared" si="23"/>
        <v>5367.3645372739056</v>
      </c>
      <c r="D204" s="22">
        <f t="shared" si="24"/>
        <v>2183.3958391329525</v>
      </c>
      <c r="E204" s="22"/>
      <c r="F204" s="23">
        <f t="shared" si="25"/>
        <v>1042662.6382465432</v>
      </c>
      <c r="G204" s="22">
        <f t="shared" si="26"/>
        <v>868337.36175345699</v>
      </c>
      <c r="H204" s="22">
        <f t="shared" si="27"/>
        <v>619162.43239869387</v>
      </c>
    </row>
    <row r="205" spans="1:8" x14ac:dyDescent="0.25">
      <c r="A205">
        <f t="shared" si="21"/>
        <v>198</v>
      </c>
      <c r="B205" s="22">
        <f t="shared" si="22"/>
        <v>7550.7603764068581</v>
      </c>
      <c r="C205" s="22">
        <f t="shared" si="23"/>
        <v>5378.5465467265603</v>
      </c>
      <c r="D205" s="22">
        <f t="shared" si="24"/>
        <v>2172.2138296802982</v>
      </c>
      <c r="E205" s="22"/>
      <c r="F205" s="23">
        <f t="shared" si="25"/>
        <v>1037284.0916998166</v>
      </c>
      <c r="G205" s="22">
        <f t="shared" si="26"/>
        <v>873715.9083001836</v>
      </c>
      <c r="H205" s="22">
        <f t="shared" si="27"/>
        <v>621334.64622837421</v>
      </c>
    </row>
    <row r="206" spans="1:8" x14ac:dyDescent="0.25">
      <c r="A206">
        <f t="shared" si="21"/>
        <v>199</v>
      </c>
      <c r="B206" s="22">
        <f t="shared" si="22"/>
        <v>7550.7603764068581</v>
      </c>
      <c r="C206" s="22">
        <f t="shared" si="23"/>
        <v>5389.7518520322401</v>
      </c>
      <c r="D206" s="22">
        <f t="shared" si="24"/>
        <v>2161.008524374618</v>
      </c>
      <c r="E206" s="22"/>
      <c r="F206" s="23">
        <f t="shared" si="25"/>
        <v>1031894.3398477844</v>
      </c>
      <c r="G206" s="22">
        <f t="shared" si="26"/>
        <v>879105.66015221586</v>
      </c>
      <c r="H206" s="22">
        <f t="shared" si="27"/>
        <v>623495.65475274879</v>
      </c>
    </row>
    <row r="207" spans="1:8" x14ac:dyDescent="0.25">
      <c r="A207">
        <f t="shared" si="21"/>
        <v>200</v>
      </c>
      <c r="B207" s="22">
        <f t="shared" si="22"/>
        <v>7550.7603764068581</v>
      </c>
      <c r="C207" s="22">
        <f t="shared" si="23"/>
        <v>5400.9805017239742</v>
      </c>
      <c r="D207" s="22">
        <f t="shared" si="24"/>
        <v>2149.7798746828839</v>
      </c>
      <c r="E207" s="22"/>
      <c r="F207" s="23">
        <f t="shared" si="25"/>
        <v>1026493.3593460604</v>
      </c>
      <c r="G207" s="22">
        <f t="shared" si="26"/>
        <v>884506.6406539398</v>
      </c>
      <c r="H207" s="22">
        <f t="shared" si="27"/>
        <v>625645.43462743168</v>
      </c>
    </row>
    <row r="208" spans="1:8" x14ac:dyDescent="0.25">
      <c r="A208">
        <f t="shared" si="21"/>
        <v>201</v>
      </c>
      <c r="B208" s="22">
        <f t="shared" si="22"/>
        <v>7550.7603764068581</v>
      </c>
      <c r="C208" s="22">
        <f t="shared" si="23"/>
        <v>5412.2325444358994</v>
      </c>
      <c r="D208" s="22">
        <f t="shared" si="24"/>
        <v>2138.5278319709591</v>
      </c>
      <c r="E208" s="22"/>
      <c r="F208" s="23">
        <f t="shared" si="25"/>
        <v>1021081.1268016245</v>
      </c>
      <c r="G208" s="22">
        <f t="shared" si="26"/>
        <v>889918.87319837569</v>
      </c>
      <c r="H208" s="22">
        <f t="shared" si="27"/>
        <v>627783.96245940262</v>
      </c>
    </row>
    <row r="209" spans="1:8" x14ac:dyDescent="0.25">
      <c r="A209">
        <f t="shared" si="21"/>
        <v>202</v>
      </c>
      <c r="B209" s="22">
        <f t="shared" si="22"/>
        <v>7550.7603764068581</v>
      </c>
      <c r="C209" s="22">
        <f t="shared" si="23"/>
        <v>5423.508028903474</v>
      </c>
      <c r="D209" s="22">
        <f t="shared" si="24"/>
        <v>2127.2523475033845</v>
      </c>
      <c r="E209" s="22"/>
      <c r="F209" s="23">
        <f t="shared" si="25"/>
        <v>1015657.618772721</v>
      </c>
      <c r="G209" s="22">
        <f t="shared" si="26"/>
        <v>895342.3812272792</v>
      </c>
      <c r="H209" s="22">
        <f t="shared" si="27"/>
        <v>629911.21480690606</v>
      </c>
    </row>
    <row r="210" spans="1:8" x14ac:dyDescent="0.25">
      <c r="A210">
        <f t="shared" si="21"/>
        <v>203</v>
      </c>
      <c r="B210" s="22">
        <f t="shared" si="22"/>
        <v>7550.7603764068581</v>
      </c>
      <c r="C210" s="22">
        <f t="shared" si="23"/>
        <v>5434.8070039636896</v>
      </c>
      <c r="D210" s="22">
        <f t="shared" si="24"/>
        <v>2115.953372443169</v>
      </c>
      <c r="E210" s="22"/>
      <c r="F210" s="23">
        <f t="shared" si="25"/>
        <v>1010222.8117687573</v>
      </c>
      <c r="G210" s="22">
        <f t="shared" si="26"/>
        <v>900777.18823124294</v>
      </c>
      <c r="H210" s="22">
        <f t="shared" si="27"/>
        <v>632027.16817934928</v>
      </c>
    </row>
    <row r="211" spans="1:8" x14ac:dyDescent="0.25">
      <c r="A211">
        <f t="shared" si="21"/>
        <v>204</v>
      </c>
      <c r="B211" s="22">
        <f t="shared" si="22"/>
        <v>7550.7603764068581</v>
      </c>
      <c r="C211" s="22">
        <f t="shared" si="23"/>
        <v>5446.1295185552808</v>
      </c>
      <c r="D211" s="22">
        <f t="shared" si="24"/>
        <v>2104.6308578515777</v>
      </c>
      <c r="E211" s="22"/>
      <c r="F211" s="23">
        <f t="shared" si="25"/>
        <v>1004776.6822502021</v>
      </c>
      <c r="G211" s="22">
        <f t="shared" si="26"/>
        <v>906223.31774979818</v>
      </c>
      <c r="H211" s="22">
        <f t="shared" si="27"/>
        <v>634131.79903720086</v>
      </c>
    </row>
    <row r="212" spans="1:8" x14ac:dyDescent="0.25">
      <c r="A212">
        <f t="shared" si="21"/>
        <v>205</v>
      </c>
      <c r="B212" s="22">
        <f t="shared" si="22"/>
        <v>7550.7603764068581</v>
      </c>
      <c r="C212" s="22">
        <f t="shared" si="23"/>
        <v>5457.475621718937</v>
      </c>
      <c r="D212" s="22">
        <f t="shared" si="24"/>
        <v>2093.2847546879211</v>
      </c>
      <c r="E212" s="22"/>
      <c r="F212" s="23">
        <f t="shared" si="25"/>
        <v>999319.20662848314</v>
      </c>
      <c r="G212" s="22">
        <f t="shared" si="26"/>
        <v>911680.79337151709</v>
      </c>
      <c r="H212" s="22">
        <f t="shared" si="27"/>
        <v>636225.08379188878</v>
      </c>
    </row>
    <row r="213" spans="1:8" x14ac:dyDescent="0.25">
      <c r="A213">
        <f t="shared" si="21"/>
        <v>206</v>
      </c>
      <c r="B213" s="22">
        <f t="shared" si="22"/>
        <v>7550.7603764068581</v>
      </c>
      <c r="C213" s="22">
        <f t="shared" si="23"/>
        <v>5468.845362597518</v>
      </c>
      <c r="D213" s="22">
        <f t="shared" si="24"/>
        <v>2081.9150138093401</v>
      </c>
      <c r="E213" s="22"/>
      <c r="F213" s="23">
        <f t="shared" si="25"/>
        <v>993850.36126588564</v>
      </c>
      <c r="G213" s="22">
        <f t="shared" si="26"/>
        <v>917149.63873411459</v>
      </c>
      <c r="H213" s="22">
        <f t="shared" si="27"/>
        <v>638306.99880569812</v>
      </c>
    </row>
    <row r="214" spans="1:8" x14ac:dyDescent="0.25">
      <c r="A214">
        <f t="shared" si="21"/>
        <v>207</v>
      </c>
      <c r="B214" s="22">
        <f t="shared" si="22"/>
        <v>7550.7603764068581</v>
      </c>
      <c r="C214" s="22">
        <f t="shared" si="23"/>
        <v>5480.2387904362631</v>
      </c>
      <c r="D214" s="22">
        <f t="shared" si="24"/>
        <v>2070.521585970595</v>
      </c>
      <c r="E214" s="22"/>
      <c r="F214" s="23">
        <f t="shared" si="25"/>
        <v>988370.12247544935</v>
      </c>
      <c r="G214" s="22">
        <f t="shared" si="26"/>
        <v>922629.87752455089</v>
      </c>
      <c r="H214" s="22">
        <f t="shared" si="27"/>
        <v>640377.52039166878</v>
      </c>
    </row>
    <row r="215" spans="1:8" x14ac:dyDescent="0.25">
      <c r="A215">
        <f t="shared" si="21"/>
        <v>208</v>
      </c>
      <c r="B215" s="22">
        <f t="shared" si="22"/>
        <v>7550.7603764068581</v>
      </c>
      <c r="C215" s="22">
        <f t="shared" si="23"/>
        <v>5491.655954583006</v>
      </c>
      <c r="D215" s="22">
        <f t="shared" si="24"/>
        <v>2059.1044218238526</v>
      </c>
      <c r="E215" s="22"/>
      <c r="F215" s="23">
        <f t="shared" si="25"/>
        <v>982878.46652086638</v>
      </c>
      <c r="G215" s="22">
        <f t="shared" si="26"/>
        <v>928121.53347913385</v>
      </c>
      <c r="H215" s="22">
        <f t="shared" si="27"/>
        <v>642436.62481349264</v>
      </c>
    </row>
    <row r="216" spans="1:8" x14ac:dyDescent="0.25">
      <c r="A216">
        <f t="shared" si="21"/>
        <v>209</v>
      </c>
      <c r="B216" s="22">
        <f t="shared" si="22"/>
        <v>7550.7603764068581</v>
      </c>
      <c r="C216" s="22">
        <f t="shared" si="23"/>
        <v>5503.0969044883868</v>
      </c>
      <c r="D216" s="22">
        <f t="shared" si="24"/>
        <v>2047.6634719184715</v>
      </c>
      <c r="E216" s="22"/>
      <c r="F216" s="23">
        <f t="shared" si="25"/>
        <v>977375.36961637798</v>
      </c>
      <c r="G216" s="22">
        <f t="shared" si="26"/>
        <v>933624.63038362225</v>
      </c>
      <c r="H216" s="22">
        <f t="shared" si="27"/>
        <v>644484.28828541108</v>
      </c>
    </row>
    <row r="217" spans="1:8" x14ac:dyDescent="0.25">
      <c r="A217">
        <f t="shared" si="21"/>
        <v>210</v>
      </c>
      <c r="B217" s="22">
        <f t="shared" si="22"/>
        <v>7550.7603764068581</v>
      </c>
      <c r="C217" s="22">
        <f t="shared" si="23"/>
        <v>5514.5616897060709</v>
      </c>
      <c r="D217" s="22">
        <f t="shared" si="24"/>
        <v>2036.1986867007874</v>
      </c>
      <c r="E217" s="22"/>
      <c r="F217" s="23">
        <f t="shared" si="25"/>
        <v>971860.80792667193</v>
      </c>
      <c r="G217" s="22">
        <f t="shared" si="26"/>
        <v>939139.1920733283</v>
      </c>
      <c r="H217" s="22">
        <f t="shared" si="27"/>
        <v>646520.48697211186</v>
      </c>
    </row>
    <row r="218" spans="1:8" x14ac:dyDescent="0.25">
      <c r="A218">
        <f t="shared" si="21"/>
        <v>211</v>
      </c>
      <c r="B218" s="22">
        <f t="shared" si="22"/>
        <v>7550.7603764068581</v>
      </c>
      <c r="C218" s="22">
        <f t="shared" si="23"/>
        <v>5526.0503598929581</v>
      </c>
      <c r="D218" s="22">
        <f t="shared" si="24"/>
        <v>2024.7100165138997</v>
      </c>
      <c r="E218" s="22"/>
      <c r="F218" s="23">
        <f t="shared" si="25"/>
        <v>966334.75756677892</v>
      </c>
      <c r="G218" s="22">
        <f t="shared" si="26"/>
        <v>944665.24243322131</v>
      </c>
      <c r="H218" s="22">
        <f t="shared" si="27"/>
        <v>648545.1969886258</v>
      </c>
    </row>
    <row r="219" spans="1:8" x14ac:dyDescent="0.25">
      <c r="A219">
        <f t="shared" si="21"/>
        <v>212</v>
      </c>
      <c r="B219" s="22">
        <f t="shared" si="22"/>
        <v>7550.7603764068581</v>
      </c>
      <c r="C219" s="22">
        <f t="shared" si="23"/>
        <v>5537.5629648094018</v>
      </c>
      <c r="D219" s="22">
        <f t="shared" si="24"/>
        <v>2013.197411597456</v>
      </c>
      <c r="E219" s="22"/>
      <c r="F219" s="23">
        <f t="shared" si="25"/>
        <v>960797.19460196956</v>
      </c>
      <c r="G219" s="22">
        <f t="shared" si="26"/>
        <v>950202.80539803067</v>
      </c>
      <c r="H219" s="22">
        <f t="shared" si="27"/>
        <v>650558.39440022327</v>
      </c>
    </row>
    <row r="220" spans="1:8" x14ac:dyDescent="0.25">
      <c r="A220">
        <f t="shared" si="21"/>
        <v>213</v>
      </c>
      <c r="B220" s="22">
        <f t="shared" si="22"/>
        <v>7550.7603764068581</v>
      </c>
      <c r="C220" s="22">
        <f t="shared" si="23"/>
        <v>5549.0995543194213</v>
      </c>
      <c r="D220" s="22">
        <f t="shared" si="24"/>
        <v>2001.6608220874366</v>
      </c>
      <c r="E220" s="22"/>
      <c r="F220" s="23">
        <f t="shared" si="25"/>
        <v>955248.09504765016</v>
      </c>
      <c r="G220" s="22">
        <f t="shared" si="26"/>
        <v>955751.90495235007</v>
      </c>
      <c r="H220" s="22">
        <f t="shared" si="27"/>
        <v>652560.05522231071</v>
      </c>
    </row>
    <row r="221" spans="1:8" x14ac:dyDescent="0.25">
      <c r="A221">
        <f t="shared" si="21"/>
        <v>214</v>
      </c>
      <c r="B221" s="22">
        <f t="shared" si="22"/>
        <v>7550.7603764068581</v>
      </c>
      <c r="C221" s="22">
        <f t="shared" si="23"/>
        <v>5560.66017839092</v>
      </c>
      <c r="D221" s="22">
        <f t="shared" si="24"/>
        <v>1990.1001980159378</v>
      </c>
      <c r="E221" s="22"/>
      <c r="F221" s="23">
        <f t="shared" si="25"/>
        <v>949687.43486925925</v>
      </c>
      <c r="G221" s="22">
        <f t="shared" si="26"/>
        <v>961312.56513074099</v>
      </c>
      <c r="H221" s="22">
        <f t="shared" si="27"/>
        <v>654550.15542032663</v>
      </c>
    </row>
    <row r="222" spans="1:8" x14ac:dyDescent="0.25">
      <c r="A222">
        <f t="shared" si="21"/>
        <v>215</v>
      </c>
      <c r="B222" s="22">
        <f t="shared" si="22"/>
        <v>7550.7603764068581</v>
      </c>
      <c r="C222" s="22">
        <f t="shared" si="23"/>
        <v>5572.2448870959015</v>
      </c>
      <c r="D222" s="22">
        <f t="shared" si="24"/>
        <v>1978.5154893109568</v>
      </c>
      <c r="E222" s="22"/>
      <c r="F222" s="23">
        <f t="shared" si="25"/>
        <v>944115.18998216337</v>
      </c>
      <c r="G222" s="22">
        <f t="shared" si="26"/>
        <v>966884.81001783686</v>
      </c>
      <c r="H222" s="22">
        <f t="shared" si="27"/>
        <v>656528.67090963759</v>
      </c>
    </row>
    <row r="223" spans="1:8" x14ac:dyDescent="0.25">
      <c r="A223">
        <f t="shared" si="21"/>
        <v>216</v>
      </c>
      <c r="B223" s="22">
        <f t="shared" si="22"/>
        <v>7550.7603764068581</v>
      </c>
      <c r="C223" s="22">
        <f t="shared" si="23"/>
        <v>5583.8537306106846</v>
      </c>
      <c r="D223" s="22">
        <f t="shared" si="24"/>
        <v>1966.9066457961737</v>
      </c>
      <c r="E223" s="22"/>
      <c r="F223" s="23">
        <f t="shared" si="25"/>
        <v>938531.33625155268</v>
      </c>
      <c r="G223" s="22">
        <f t="shared" si="26"/>
        <v>972468.66374844755</v>
      </c>
      <c r="H223" s="22">
        <f t="shared" si="27"/>
        <v>658495.57755543373</v>
      </c>
    </row>
    <row r="224" spans="1:8" x14ac:dyDescent="0.25">
      <c r="A224">
        <f t="shared" si="21"/>
        <v>217</v>
      </c>
      <c r="B224" s="22">
        <f t="shared" si="22"/>
        <v>7550.7603764068581</v>
      </c>
      <c r="C224" s="22">
        <f t="shared" si="23"/>
        <v>5595.4867592161236</v>
      </c>
      <c r="D224" s="22">
        <f t="shared" si="24"/>
        <v>1955.2736171907347</v>
      </c>
      <c r="E224" s="22"/>
      <c r="F224" s="23">
        <f t="shared" si="25"/>
        <v>932935.84949233651</v>
      </c>
      <c r="G224" s="22">
        <f t="shared" si="26"/>
        <v>978064.15050766373</v>
      </c>
      <c r="H224" s="22">
        <f t="shared" si="27"/>
        <v>660450.85117262451</v>
      </c>
    </row>
    <row r="225" spans="1:8" x14ac:dyDescent="0.25">
      <c r="A225">
        <f t="shared" si="21"/>
        <v>218</v>
      </c>
      <c r="B225" s="22">
        <f t="shared" si="22"/>
        <v>7550.7603764068581</v>
      </c>
      <c r="C225" s="22">
        <f t="shared" si="23"/>
        <v>5607.1440232978239</v>
      </c>
      <c r="D225" s="22">
        <f t="shared" si="24"/>
        <v>1943.6163531090344</v>
      </c>
      <c r="E225" s="22"/>
      <c r="F225" s="23">
        <f t="shared" si="25"/>
        <v>927328.70546903869</v>
      </c>
      <c r="G225" s="22">
        <f t="shared" si="26"/>
        <v>983671.29453096155</v>
      </c>
      <c r="H225" s="22">
        <f t="shared" si="27"/>
        <v>662394.46752573352</v>
      </c>
    </row>
    <row r="226" spans="1:8" x14ac:dyDescent="0.25">
      <c r="A226">
        <f t="shared" si="21"/>
        <v>219</v>
      </c>
      <c r="B226" s="22">
        <f t="shared" si="22"/>
        <v>7550.7603764068581</v>
      </c>
      <c r="C226" s="22">
        <f t="shared" si="23"/>
        <v>5618.8255733463611</v>
      </c>
      <c r="D226" s="22">
        <f t="shared" si="24"/>
        <v>1931.9348030604972</v>
      </c>
      <c r="E226" s="22"/>
      <c r="F226" s="23">
        <f t="shared" si="25"/>
        <v>921709.87989569234</v>
      </c>
      <c r="G226" s="22">
        <f t="shared" si="26"/>
        <v>989290.12010430789</v>
      </c>
      <c r="H226" s="22">
        <f t="shared" si="27"/>
        <v>664326.40232879401</v>
      </c>
    </row>
    <row r="227" spans="1:8" x14ac:dyDescent="0.25">
      <c r="A227">
        <f t="shared" si="21"/>
        <v>220</v>
      </c>
      <c r="B227" s="22">
        <f t="shared" si="22"/>
        <v>7550.7603764068581</v>
      </c>
      <c r="C227" s="22">
        <f t="shared" si="23"/>
        <v>5630.5314599574995</v>
      </c>
      <c r="D227" s="22">
        <f t="shared" si="24"/>
        <v>1920.2289164493591</v>
      </c>
      <c r="E227" s="22"/>
      <c r="F227" s="23">
        <f t="shared" si="25"/>
        <v>916079.34843573486</v>
      </c>
      <c r="G227" s="22">
        <f t="shared" si="26"/>
        <v>994920.65156426537</v>
      </c>
      <c r="H227" s="22">
        <f t="shared" si="27"/>
        <v>666246.63124524336</v>
      </c>
    </row>
    <row r="228" spans="1:8" x14ac:dyDescent="0.25">
      <c r="A228">
        <f t="shared" si="21"/>
        <v>221</v>
      </c>
      <c r="B228" s="22">
        <f t="shared" si="22"/>
        <v>7550.7603764068581</v>
      </c>
      <c r="C228" s="22">
        <f t="shared" si="23"/>
        <v>5642.2617338324108</v>
      </c>
      <c r="D228" s="22">
        <f t="shared" si="24"/>
        <v>1908.4986425744476</v>
      </c>
      <c r="E228" s="22"/>
      <c r="F228" s="23">
        <f t="shared" si="25"/>
        <v>910437.08670190244</v>
      </c>
      <c r="G228" s="22">
        <f t="shared" si="26"/>
        <v>1000562.9132980978</v>
      </c>
      <c r="H228" s="22">
        <f t="shared" si="27"/>
        <v>668155.12988781778</v>
      </c>
    </row>
    <row r="229" spans="1:8" x14ac:dyDescent="0.25">
      <c r="A229">
        <f t="shared" si="21"/>
        <v>222</v>
      </c>
      <c r="B229" s="22">
        <f t="shared" si="22"/>
        <v>7550.7603764068581</v>
      </c>
      <c r="C229" s="22">
        <f t="shared" si="23"/>
        <v>5654.0164457778947</v>
      </c>
      <c r="D229" s="22">
        <f t="shared" si="24"/>
        <v>1896.7439306289634</v>
      </c>
      <c r="E229" s="22"/>
      <c r="F229" s="23">
        <f t="shared" si="25"/>
        <v>904783.0702561246</v>
      </c>
      <c r="G229" s="22">
        <f t="shared" si="26"/>
        <v>1006216.9297438756</v>
      </c>
      <c r="H229" s="22">
        <f t="shared" si="27"/>
        <v>670051.87381844677</v>
      </c>
    </row>
    <row r="230" spans="1:8" x14ac:dyDescent="0.25">
      <c r="A230">
        <f t="shared" si="21"/>
        <v>223</v>
      </c>
      <c r="B230" s="22">
        <f t="shared" si="22"/>
        <v>7550.7603764068581</v>
      </c>
      <c r="C230" s="22">
        <f t="shared" si="23"/>
        <v>5665.7956467065987</v>
      </c>
      <c r="D230" s="22">
        <f t="shared" si="24"/>
        <v>1884.9647297002596</v>
      </c>
      <c r="E230" s="22"/>
      <c r="F230" s="23">
        <f t="shared" si="25"/>
        <v>899117.274609418</v>
      </c>
      <c r="G230" s="22">
        <f t="shared" si="26"/>
        <v>1011882.7253905822</v>
      </c>
      <c r="H230" s="22">
        <f t="shared" si="27"/>
        <v>671936.838548147</v>
      </c>
    </row>
    <row r="231" spans="1:8" x14ac:dyDescent="0.25">
      <c r="A231">
        <f t="shared" si="21"/>
        <v>224</v>
      </c>
      <c r="B231" s="22">
        <f t="shared" si="22"/>
        <v>7550.7603764068581</v>
      </c>
      <c r="C231" s="22">
        <f t="shared" si="23"/>
        <v>5677.5993876372377</v>
      </c>
      <c r="D231" s="22">
        <f t="shared" si="24"/>
        <v>1873.1609887696209</v>
      </c>
      <c r="E231" s="22"/>
      <c r="F231" s="23">
        <f t="shared" si="25"/>
        <v>893439.67522178078</v>
      </c>
      <c r="G231" s="22">
        <f t="shared" si="26"/>
        <v>1017560.3247782195</v>
      </c>
      <c r="H231" s="22">
        <f t="shared" si="27"/>
        <v>673809.99953691661</v>
      </c>
    </row>
    <row r="232" spans="1:8" x14ac:dyDescent="0.25">
      <c r="A232">
        <f t="shared" si="21"/>
        <v>225</v>
      </c>
      <c r="B232" s="22">
        <f t="shared" si="22"/>
        <v>7550.7603764068581</v>
      </c>
      <c r="C232" s="22">
        <f t="shared" si="23"/>
        <v>5689.4277196948151</v>
      </c>
      <c r="D232" s="22">
        <f t="shared" si="24"/>
        <v>1861.3326567120432</v>
      </c>
      <c r="E232" s="22"/>
      <c r="F232" s="23">
        <f t="shared" si="25"/>
        <v>887750.24750208599</v>
      </c>
      <c r="G232" s="22">
        <f t="shared" si="26"/>
        <v>1023249.7524979142</v>
      </c>
      <c r="H232" s="22">
        <f t="shared" si="27"/>
        <v>675671.33219362865</v>
      </c>
    </row>
    <row r="233" spans="1:8" x14ac:dyDescent="0.25">
      <c r="A233">
        <f t="shared" si="21"/>
        <v>226</v>
      </c>
      <c r="B233" s="22">
        <f t="shared" si="22"/>
        <v>7550.7603764068581</v>
      </c>
      <c r="C233" s="22">
        <f t="shared" si="23"/>
        <v>5701.2806941108456</v>
      </c>
      <c r="D233" s="22">
        <f t="shared" si="24"/>
        <v>1849.4796822960125</v>
      </c>
      <c r="E233" s="22"/>
      <c r="F233" s="23">
        <f t="shared" si="25"/>
        <v>882048.96680797508</v>
      </c>
      <c r="G233" s="22">
        <f t="shared" si="26"/>
        <v>1028951.0331920251</v>
      </c>
      <c r="H233" s="22">
        <f t="shared" si="27"/>
        <v>677520.8118759247</v>
      </c>
    </row>
    <row r="234" spans="1:8" x14ac:dyDescent="0.25">
      <c r="A234">
        <f t="shared" si="21"/>
        <v>227</v>
      </c>
      <c r="B234" s="22">
        <f t="shared" si="22"/>
        <v>7550.7603764068581</v>
      </c>
      <c r="C234" s="22">
        <f t="shared" si="23"/>
        <v>5713.1583622235767</v>
      </c>
      <c r="D234" s="22">
        <f t="shared" si="24"/>
        <v>1837.6020141832814</v>
      </c>
      <c r="E234" s="22"/>
      <c r="F234" s="23">
        <f t="shared" si="25"/>
        <v>876335.80844575155</v>
      </c>
      <c r="G234" s="22">
        <f t="shared" si="26"/>
        <v>1034664.1915542487</v>
      </c>
      <c r="H234" s="22">
        <f t="shared" si="27"/>
        <v>679358.413890108</v>
      </c>
    </row>
    <row r="235" spans="1:8" x14ac:dyDescent="0.25">
      <c r="A235">
        <f t="shared" si="21"/>
        <v>228</v>
      </c>
      <c r="B235" s="22">
        <f t="shared" si="22"/>
        <v>7550.7603764068581</v>
      </c>
      <c r="C235" s="22">
        <f t="shared" si="23"/>
        <v>5725.0607754782086</v>
      </c>
      <c r="D235" s="22">
        <f t="shared" si="24"/>
        <v>1825.699600928649</v>
      </c>
      <c r="E235" s="22"/>
      <c r="F235" s="23">
        <f t="shared" si="25"/>
        <v>870610.7476702733</v>
      </c>
      <c r="G235" s="22">
        <f t="shared" si="26"/>
        <v>1040389.2523297269</v>
      </c>
      <c r="H235" s="22">
        <f t="shared" si="27"/>
        <v>681184.1134910367</v>
      </c>
    </row>
    <row r="236" spans="1:8" x14ac:dyDescent="0.25">
      <c r="A236">
        <f t="shared" si="21"/>
        <v>229</v>
      </c>
      <c r="B236" s="22">
        <f t="shared" si="22"/>
        <v>7550.7603764068581</v>
      </c>
      <c r="C236" s="22">
        <f t="shared" si="23"/>
        <v>5736.9879854271221</v>
      </c>
      <c r="D236" s="22">
        <f t="shared" si="24"/>
        <v>1813.772390979736</v>
      </c>
      <c r="E236" s="22"/>
      <c r="F236" s="23">
        <f t="shared" si="25"/>
        <v>864873.75968484615</v>
      </c>
      <c r="G236" s="22">
        <f t="shared" si="26"/>
        <v>1046126.2403151541</v>
      </c>
      <c r="H236" s="22">
        <f t="shared" si="27"/>
        <v>682997.88588201639</v>
      </c>
    </row>
    <row r="237" spans="1:8" x14ac:dyDescent="0.25">
      <c r="A237">
        <f t="shared" si="21"/>
        <v>230</v>
      </c>
      <c r="B237" s="22">
        <f t="shared" si="22"/>
        <v>7550.7603764068581</v>
      </c>
      <c r="C237" s="22">
        <f t="shared" si="23"/>
        <v>5748.9400437300956</v>
      </c>
      <c r="D237" s="22">
        <f t="shared" si="24"/>
        <v>1801.8203326767627</v>
      </c>
      <c r="E237" s="22"/>
      <c r="F237" s="23">
        <f t="shared" si="25"/>
        <v>859124.81964111608</v>
      </c>
      <c r="G237" s="22">
        <f t="shared" si="26"/>
        <v>1051875.1803588842</v>
      </c>
      <c r="H237" s="22">
        <f t="shared" si="27"/>
        <v>684799.70621469314</v>
      </c>
    </row>
    <row r="238" spans="1:8" x14ac:dyDescent="0.25">
      <c r="A238">
        <f t="shared" si="21"/>
        <v>231</v>
      </c>
      <c r="B238" s="22">
        <f t="shared" si="22"/>
        <v>7550.7603764068581</v>
      </c>
      <c r="C238" s="22">
        <f t="shared" si="23"/>
        <v>5760.9170021545333</v>
      </c>
      <c r="D238" s="22">
        <f t="shared" si="24"/>
        <v>1789.843374252325</v>
      </c>
      <c r="E238" s="22"/>
      <c r="F238" s="23">
        <f t="shared" si="25"/>
        <v>853363.90263896156</v>
      </c>
      <c r="G238" s="22">
        <f t="shared" si="26"/>
        <v>1057636.0973610387</v>
      </c>
      <c r="H238" s="22">
        <f t="shared" si="27"/>
        <v>686589.54958894546</v>
      </c>
    </row>
    <row r="239" spans="1:8" x14ac:dyDescent="0.25">
      <c r="A239">
        <f t="shared" si="21"/>
        <v>232</v>
      </c>
      <c r="B239" s="22">
        <f t="shared" si="22"/>
        <v>7550.7603764068581</v>
      </c>
      <c r="C239" s="22">
        <f t="shared" si="23"/>
        <v>5772.9189125756884</v>
      </c>
      <c r="D239" s="22">
        <f t="shared" si="24"/>
        <v>1777.8414638311699</v>
      </c>
      <c r="E239" s="22"/>
      <c r="F239" s="23">
        <f t="shared" si="25"/>
        <v>847590.98372638586</v>
      </c>
      <c r="G239" s="22">
        <f t="shared" si="26"/>
        <v>1063409.0162736143</v>
      </c>
      <c r="H239" s="22">
        <f t="shared" si="27"/>
        <v>688367.3910527766</v>
      </c>
    </row>
    <row r="240" spans="1:8" x14ac:dyDescent="0.25">
      <c r="A240">
        <f t="shared" si="21"/>
        <v>233</v>
      </c>
      <c r="B240" s="22">
        <f t="shared" si="22"/>
        <v>7550.7603764068581</v>
      </c>
      <c r="C240" s="22">
        <f t="shared" si="23"/>
        <v>5784.9458269768875</v>
      </c>
      <c r="D240" s="22">
        <f t="shared" si="24"/>
        <v>1765.8145494299706</v>
      </c>
      <c r="E240" s="22"/>
      <c r="F240" s="23">
        <f t="shared" si="25"/>
        <v>841806.03789940896</v>
      </c>
      <c r="G240" s="22">
        <f t="shared" si="26"/>
        <v>1069193.962100591</v>
      </c>
      <c r="H240" s="22">
        <f t="shared" si="27"/>
        <v>690133.20560220652</v>
      </c>
    </row>
    <row r="241" spans="1:8" x14ac:dyDescent="0.25">
      <c r="A241">
        <f t="shared" si="21"/>
        <v>234</v>
      </c>
      <c r="B241" s="22">
        <f t="shared" si="22"/>
        <v>7550.7603764068581</v>
      </c>
      <c r="C241" s="22">
        <f t="shared" si="23"/>
        <v>5796.997797449756</v>
      </c>
      <c r="D241" s="22">
        <f t="shared" si="24"/>
        <v>1753.7625789571021</v>
      </c>
      <c r="E241" s="22"/>
      <c r="F241" s="23">
        <f t="shared" si="25"/>
        <v>836009.04010195925</v>
      </c>
      <c r="G241" s="22">
        <f t="shared" si="26"/>
        <v>1074990.9598980409</v>
      </c>
      <c r="H241" s="22">
        <f t="shared" si="27"/>
        <v>691886.96818116365</v>
      </c>
    </row>
    <row r="242" spans="1:8" x14ac:dyDescent="0.25">
      <c r="A242">
        <f t="shared" si="21"/>
        <v>235</v>
      </c>
      <c r="B242" s="22">
        <f t="shared" si="22"/>
        <v>7550.7603764068581</v>
      </c>
      <c r="C242" s="22">
        <f t="shared" si="23"/>
        <v>5809.0748761944433</v>
      </c>
      <c r="D242" s="22">
        <f t="shared" si="24"/>
        <v>1741.685500212415</v>
      </c>
      <c r="E242" s="22"/>
      <c r="F242" s="23">
        <f t="shared" si="25"/>
        <v>830199.96522576478</v>
      </c>
      <c r="G242" s="22">
        <f t="shared" si="26"/>
        <v>1080800.0347742352</v>
      </c>
      <c r="H242" s="22">
        <f t="shared" si="27"/>
        <v>693628.65368137602</v>
      </c>
    </row>
    <row r="243" spans="1:8" x14ac:dyDescent="0.25">
      <c r="A243">
        <f t="shared" si="21"/>
        <v>236</v>
      </c>
      <c r="B243" s="22">
        <f t="shared" si="22"/>
        <v>7550.7603764068581</v>
      </c>
      <c r="C243" s="22">
        <f t="shared" si="23"/>
        <v>5821.1771155198485</v>
      </c>
      <c r="D243" s="22">
        <f t="shared" si="24"/>
        <v>1729.5832608870098</v>
      </c>
      <c r="E243" s="22"/>
      <c r="F243" s="23">
        <f t="shared" si="25"/>
        <v>824378.7881102449</v>
      </c>
      <c r="G243" s="22">
        <f t="shared" si="26"/>
        <v>1086621.211889755</v>
      </c>
      <c r="H243" s="22">
        <f t="shared" si="27"/>
        <v>695358.23694226297</v>
      </c>
    </row>
    <row r="244" spans="1:8" x14ac:dyDescent="0.25">
      <c r="A244">
        <f t="shared" si="21"/>
        <v>237</v>
      </c>
      <c r="B244" s="22">
        <f t="shared" si="22"/>
        <v>7550.7603764068581</v>
      </c>
      <c r="C244" s="22">
        <f t="shared" si="23"/>
        <v>5833.3045678438484</v>
      </c>
      <c r="D244" s="22">
        <f t="shared" si="24"/>
        <v>1717.4558085630101</v>
      </c>
      <c r="E244" s="22"/>
      <c r="F244" s="23">
        <f t="shared" si="25"/>
        <v>818545.48354240111</v>
      </c>
      <c r="G244" s="22">
        <f t="shared" si="26"/>
        <v>1092454.5164575989</v>
      </c>
      <c r="H244" s="22">
        <f t="shared" si="27"/>
        <v>697075.69275082601</v>
      </c>
    </row>
    <row r="245" spans="1:8" x14ac:dyDescent="0.25">
      <c r="A245">
        <f t="shared" si="21"/>
        <v>238</v>
      </c>
      <c r="B245" s="22">
        <f t="shared" si="22"/>
        <v>7550.7603764068581</v>
      </c>
      <c r="C245" s="22">
        <f t="shared" si="23"/>
        <v>5845.4572856935229</v>
      </c>
      <c r="D245" s="22">
        <f t="shared" si="24"/>
        <v>1705.3030907133357</v>
      </c>
      <c r="E245" s="22"/>
      <c r="F245" s="23">
        <f t="shared" si="25"/>
        <v>812700.02625670761</v>
      </c>
      <c r="G245" s="22">
        <f t="shared" si="26"/>
        <v>1098299.9737432925</v>
      </c>
      <c r="H245" s="22">
        <f t="shared" si="27"/>
        <v>698780.99584153935</v>
      </c>
    </row>
    <row r="246" spans="1:8" x14ac:dyDescent="0.25">
      <c r="A246">
        <f t="shared" si="21"/>
        <v>239</v>
      </c>
      <c r="B246" s="22">
        <f t="shared" si="22"/>
        <v>7550.7603764068581</v>
      </c>
      <c r="C246" s="22">
        <f t="shared" si="23"/>
        <v>5857.6353217053838</v>
      </c>
      <c r="D246" s="22">
        <f t="shared" si="24"/>
        <v>1693.1250547014743</v>
      </c>
      <c r="E246" s="22"/>
      <c r="F246" s="23">
        <f t="shared" si="25"/>
        <v>806842.39093500224</v>
      </c>
      <c r="G246" s="22">
        <f t="shared" si="26"/>
        <v>1104157.6090649979</v>
      </c>
      <c r="H246" s="22">
        <f t="shared" si="27"/>
        <v>700474.12089624081</v>
      </c>
    </row>
    <row r="247" spans="1:8" x14ac:dyDescent="0.25">
      <c r="A247">
        <f t="shared" si="21"/>
        <v>240</v>
      </c>
      <c r="B247" s="22">
        <f t="shared" si="22"/>
        <v>7550.7603764068581</v>
      </c>
      <c r="C247" s="22">
        <f t="shared" si="23"/>
        <v>5869.8387286256038</v>
      </c>
      <c r="D247" s="22">
        <f t="shared" si="24"/>
        <v>1680.9216477812547</v>
      </c>
      <c r="E247" s="22"/>
      <c r="F247" s="23">
        <f t="shared" si="25"/>
        <v>800972.55220637668</v>
      </c>
      <c r="G247" s="22">
        <f t="shared" si="26"/>
        <v>1110027.4477936234</v>
      </c>
      <c r="H247" s="22">
        <f t="shared" si="27"/>
        <v>702155.04254402209</v>
      </c>
    </row>
    <row r="248" spans="1:8" x14ac:dyDescent="0.25">
      <c r="A248">
        <f t="shared" si="21"/>
        <v>241</v>
      </c>
      <c r="B248" s="22">
        <f t="shared" si="22"/>
        <v>7550.7603764068581</v>
      </c>
      <c r="C248" s="22">
        <f t="shared" si="23"/>
        <v>5882.0675593102405</v>
      </c>
      <c r="D248" s="22">
        <f t="shared" si="24"/>
        <v>1668.692817096618</v>
      </c>
      <c r="E248" s="22"/>
      <c r="F248" s="23">
        <f t="shared" si="25"/>
        <v>795090.48464706645</v>
      </c>
      <c r="G248" s="22">
        <f t="shared" si="26"/>
        <v>1115909.5153529337</v>
      </c>
      <c r="H248" s="22">
        <f t="shared" si="27"/>
        <v>703823.73536111868</v>
      </c>
    </row>
    <row r="249" spans="1:8" x14ac:dyDescent="0.25">
      <c r="A249">
        <f t="shared" si="21"/>
        <v>242</v>
      </c>
      <c r="B249" s="22">
        <f t="shared" si="22"/>
        <v>7550.7603764068581</v>
      </c>
      <c r="C249" s="22">
        <f t="shared" si="23"/>
        <v>5894.3218667254696</v>
      </c>
      <c r="D249" s="22">
        <f t="shared" si="24"/>
        <v>1656.4385096813885</v>
      </c>
      <c r="E249" s="22"/>
      <c r="F249" s="23">
        <f t="shared" si="25"/>
        <v>789196.16278034099</v>
      </c>
      <c r="G249" s="22">
        <f t="shared" si="26"/>
        <v>1121803.8372196592</v>
      </c>
      <c r="H249" s="22">
        <f t="shared" si="27"/>
        <v>705480.17387080006</v>
      </c>
    </row>
    <row r="250" spans="1:8" x14ac:dyDescent="0.25">
      <c r="A250">
        <f t="shared" si="21"/>
        <v>243</v>
      </c>
      <c r="B250" s="22">
        <f t="shared" si="22"/>
        <v>7550.7603764068581</v>
      </c>
      <c r="C250" s="22">
        <f t="shared" si="23"/>
        <v>5906.6017039478147</v>
      </c>
      <c r="D250" s="22">
        <f t="shared" si="24"/>
        <v>1644.1586724590436</v>
      </c>
      <c r="E250" s="22"/>
      <c r="F250" s="23">
        <f t="shared" si="25"/>
        <v>783289.56107639323</v>
      </c>
      <c r="G250" s="22">
        <f t="shared" si="26"/>
        <v>1127710.4389236071</v>
      </c>
      <c r="H250" s="22">
        <f t="shared" si="27"/>
        <v>707124.33254325914</v>
      </c>
    </row>
    <row r="251" spans="1:8" x14ac:dyDescent="0.25">
      <c r="A251">
        <f t="shared" si="21"/>
        <v>244</v>
      </c>
      <c r="B251" s="22">
        <f t="shared" si="22"/>
        <v>7550.7603764068581</v>
      </c>
      <c r="C251" s="22">
        <f t="shared" si="23"/>
        <v>5918.9071241643724</v>
      </c>
      <c r="D251" s="22">
        <f t="shared" si="24"/>
        <v>1631.853252242486</v>
      </c>
      <c r="E251" s="22"/>
      <c r="F251" s="23">
        <f t="shared" si="25"/>
        <v>777370.65395222884</v>
      </c>
      <c r="G251" s="22">
        <f t="shared" si="26"/>
        <v>1133629.3460477714</v>
      </c>
      <c r="H251" s="22">
        <f t="shared" si="27"/>
        <v>708756.18579550157</v>
      </c>
    </row>
    <row r="252" spans="1:8" x14ac:dyDescent="0.25">
      <c r="A252">
        <f t="shared" si="21"/>
        <v>245</v>
      </c>
      <c r="B252" s="22">
        <f t="shared" si="22"/>
        <v>7550.7603764068581</v>
      </c>
      <c r="C252" s="22">
        <f t="shared" si="23"/>
        <v>5931.2381806730482</v>
      </c>
      <c r="D252" s="22">
        <f t="shared" si="24"/>
        <v>1619.5221957338101</v>
      </c>
      <c r="E252" s="22"/>
      <c r="F252" s="23">
        <f t="shared" si="25"/>
        <v>771439.41577155574</v>
      </c>
      <c r="G252" s="22">
        <f t="shared" si="26"/>
        <v>1139560.5842284444</v>
      </c>
      <c r="H252" s="22">
        <f t="shared" si="27"/>
        <v>710375.70799123542</v>
      </c>
    </row>
    <row r="253" spans="1:8" x14ac:dyDescent="0.25">
      <c r="A253">
        <f t="shared" si="21"/>
        <v>246</v>
      </c>
      <c r="B253" s="22">
        <f t="shared" si="22"/>
        <v>7550.7603764068581</v>
      </c>
      <c r="C253" s="22">
        <f t="shared" si="23"/>
        <v>5943.5949268827835</v>
      </c>
      <c r="D253" s="22">
        <f t="shared" si="24"/>
        <v>1607.1654495240743</v>
      </c>
      <c r="E253" s="22"/>
      <c r="F253" s="23">
        <f t="shared" si="25"/>
        <v>765495.82084467297</v>
      </c>
      <c r="G253" s="22">
        <f t="shared" si="26"/>
        <v>1145504.1791553271</v>
      </c>
      <c r="H253" s="22">
        <f t="shared" si="27"/>
        <v>711982.87344075949</v>
      </c>
    </row>
    <row r="254" spans="1:8" x14ac:dyDescent="0.25">
      <c r="A254">
        <f t="shared" si="21"/>
        <v>247</v>
      </c>
      <c r="B254" s="22">
        <f t="shared" si="22"/>
        <v>7550.7603764068581</v>
      </c>
      <c r="C254" s="22">
        <f t="shared" si="23"/>
        <v>5955.9774163137899</v>
      </c>
      <c r="D254" s="22">
        <f t="shared" si="24"/>
        <v>1594.7829600930686</v>
      </c>
      <c r="E254" s="22"/>
      <c r="F254" s="23">
        <f t="shared" si="25"/>
        <v>759539.84342835913</v>
      </c>
      <c r="G254" s="22">
        <f t="shared" si="26"/>
        <v>1151460.1565716409</v>
      </c>
      <c r="H254" s="22">
        <f t="shared" si="27"/>
        <v>713577.6564008526</v>
      </c>
    </row>
    <row r="255" spans="1:8" x14ac:dyDescent="0.25">
      <c r="A255">
        <f t="shared" si="21"/>
        <v>248</v>
      </c>
      <c r="B255" s="22">
        <f t="shared" si="22"/>
        <v>7550.7603764068581</v>
      </c>
      <c r="C255" s="22">
        <f t="shared" si="23"/>
        <v>5968.3857025977768</v>
      </c>
      <c r="D255" s="22">
        <f t="shared" si="24"/>
        <v>1582.3746738090815</v>
      </c>
      <c r="E255" s="22"/>
      <c r="F255" s="23">
        <f t="shared" si="25"/>
        <v>753571.45772576134</v>
      </c>
      <c r="G255" s="22">
        <f t="shared" si="26"/>
        <v>1157428.5422742385</v>
      </c>
      <c r="H255" s="22">
        <f t="shared" si="27"/>
        <v>715160.03107466165</v>
      </c>
    </row>
    <row r="256" spans="1:8" x14ac:dyDescent="0.25">
      <c r="A256">
        <f t="shared" si="21"/>
        <v>249</v>
      </c>
      <c r="B256" s="22">
        <f t="shared" si="22"/>
        <v>7550.7603764068581</v>
      </c>
      <c r="C256" s="22">
        <f t="shared" si="23"/>
        <v>5980.8198394781884</v>
      </c>
      <c r="D256" s="22">
        <f t="shared" si="24"/>
        <v>1569.9405369286694</v>
      </c>
      <c r="E256" s="22"/>
      <c r="F256" s="23">
        <f t="shared" si="25"/>
        <v>747590.6378862831</v>
      </c>
      <c r="G256" s="22">
        <f t="shared" si="26"/>
        <v>1163409.3621137168</v>
      </c>
      <c r="H256" s="22">
        <f t="shared" si="27"/>
        <v>716729.97161159036</v>
      </c>
    </row>
    <row r="257" spans="1:8" x14ac:dyDescent="0.25">
      <c r="A257">
        <f t="shared" si="21"/>
        <v>250</v>
      </c>
      <c r="B257" s="22">
        <f t="shared" si="22"/>
        <v>7550.7603764068581</v>
      </c>
      <c r="C257" s="22">
        <f t="shared" si="23"/>
        <v>5993.2798808104344</v>
      </c>
      <c r="D257" s="22">
        <f t="shared" si="24"/>
        <v>1557.4804955964232</v>
      </c>
      <c r="E257" s="22"/>
      <c r="F257" s="23">
        <f t="shared" si="25"/>
        <v>741597.35800547269</v>
      </c>
      <c r="G257" s="22">
        <f t="shared" si="26"/>
        <v>1169402.6419945273</v>
      </c>
      <c r="H257" s="22">
        <f t="shared" si="27"/>
        <v>718287.45210718678</v>
      </c>
    </row>
    <row r="258" spans="1:8" x14ac:dyDescent="0.25">
      <c r="A258">
        <f t="shared" si="21"/>
        <v>251</v>
      </c>
      <c r="B258" s="22">
        <f t="shared" si="22"/>
        <v>7550.7603764068581</v>
      </c>
      <c r="C258" s="22">
        <f t="shared" si="23"/>
        <v>6005.7658805621231</v>
      </c>
      <c r="D258" s="22">
        <f t="shared" si="24"/>
        <v>1544.9944958447347</v>
      </c>
      <c r="E258" s="22"/>
      <c r="F258" s="23">
        <f t="shared" si="25"/>
        <v>735591.59212491056</v>
      </c>
      <c r="G258" s="22">
        <f t="shared" si="26"/>
        <v>1175408.4078750894</v>
      </c>
      <c r="H258" s="22">
        <f t="shared" si="27"/>
        <v>719832.44660303148</v>
      </c>
    </row>
    <row r="259" spans="1:8" x14ac:dyDescent="0.25">
      <c r="A259">
        <f t="shared" si="21"/>
        <v>252</v>
      </c>
      <c r="B259" s="22">
        <f t="shared" si="22"/>
        <v>7550.7603764068581</v>
      </c>
      <c r="C259" s="22">
        <f t="shared" si="23"/>
        <v>6018.2778928132939</v>
      </c>
      <c r="D259" s="22">
        <f t="shared" si="24"/>
        <v>1532.4824835935638</v>
      </c>
      <c r="E259" s="22"/>
      <c r="F259" s="23">
        <f t="shared" si="25"/>
        <v>729573.31423209724</v>
      </c>
      <c r="G259" s="22">
        <f t="shared" si="26"/>
        <v>1181426.6857679028</v>
      </c>
      <c r="H259" s="22">
        <f t="shared" si="27"/>
        <v>721364.92908662499</v>
      </c>
    </row>
    <row r="260" spans="1:8" x14ac:dyDescent="0.25">
      <c r="A260">
        <f t="shared" si="21"/>
        <v>253</v>
      </c>
      <c r="B260" s="22">
        <f t="shared" si="22"/>
        <v>7550.7603764068581</v>
      </c>
      <c r="C260" s="22">
        <f t="shared" si="23"/>
        <v>6030.8159717566559</v>
      </c>
      <c r="D260" s="22">
        <f t="shared" si="24"/>
        <v>1519.9444046502026</v>
      </c>
      <c r="E260" s="22"/>
      <c r="F260" s="23">
        <f t="shared" si="25"/>
        <v>723542.49826034054</v>
      </c>
      <c r="G260" s="22">
        <f t="shared" si="26"/>
        <v>1187457.5017396593</v>
      </c>
      <c r="H260" s="22">
        <f t="shared" si="27"/>
        <v>722884.87349127524</v>
      </c>
    </row>
    <row r="261" spans="1:8" x14ac:dyDescent="0.25">
      <c r="A261">
        <f t="shared" si="21"/>
        <v>254</v>
      </c>
      <c r="B261" s="22">
        <f t="shared" si="22"/>
        <v>7550.7603764068581</v>
      </c>
      <c r="C261" s="22">
        <f t="shared" si="23"/>
        <v>6043.3801716978151</v>
      </c>
      <c r="D261" s="22">
        <f t="shared" si="24"/>
        <v>1507.3802047090428</v>
      </c>
      <c r="E261" s="22"/>
      <c r="F261" s="23">
        <f t="shared" si="25"/>
        <v>717499.11808864272</v>
      </c>
      <c r="G261" s="22">
        <f t="shared" si="26"/>
        <v>1193500.8819113572</v>
      </c>
      <c r="H261" s="22">
        <f t="shared" si="27"/>
        <v>724392.25369598425</v>
      </c>
    </row>
    <row r="262" spans="1:8" x14ac:dyDescent="0.25">
      <c r="A262">
        <f t="shared" si="21"/>
        <v>255</v>
      </c>
      <c r="B262" s="22">
        <f t="shared" si="22"/>
        <v>7550.7603764068581</v>
      </c>
      <c r="C262" s="22">
        <f t="shared" si="23"/>
        <v>6055.9705470555191</v>
      </c>
      <c r="D262" s="22">
        <f t="shared" si="24"/>
        <v>1494.789829351339</v>
      </c>
      <c r="E262" s="22"/>
      <c r="F262" s="23">
        <f t="shared" si="25"/>
        <v>711443.14754158724</v>
      </c>
      <c r="G262" s="22">
        <f t="shared" si="26"/>
        <v>1199556.8524584128</v>
      </c>
      <c r="H262" s="22">
        <f t="shared" si="27"/>
        <v>725887.04352533561</v>
      </c>
    </row>
    <row r="263" spans="1:8" x14ac:dyDescent="0.25">
      <c r="A263">
        <f t="shared" si="21"/>
        <v>256</v>
      </c>
      <c r="B263" s="22">
        <f t="shared" si="22"/>
        <v>7550.7603764068581</v>
      </c>
      <c r="C263" s="22">
        <f t="shared" si="23"/>
        <v>6068.5871523618844</v>
      </c>
      <c r="D263" s="22">
        <f t="shared" si="24"/>
        <v>1482.1732240449735</v>
      </c>
      <c r="E263" s="22"/>
      <c r="F263" s="23">
        <f t="shared" si="25"/>
        <v>705374.56038922537</v>
      </c>
      <c r="G263" s="22">
        <f t="shared" si="26"/>
        <v>1205625.4396107746</v>
      </c>
      <c r="H263" s="22">
        <f t="shared" si="27"/>
        <v>727369.21674938058</v>
      </c>
    </row>
    <row r="264" spans="1:8" x14ac:dyDescent="0.25">
      <c r="A264">
        <f t="shared" si="21"/>
        <v>257</v>
      </c>
      <c r="B264" s="22">
        <f t="shared" si="22"/>
        <v>7550.7603764068581</v>
      </c>
      <c r="C264" s="22">
        <f t="shared" si="23"/>
        <v>6081.2300422626386</v>
      </c>
      <c r="D264" s="22">
        <f t="shared" si="24"/>
        <v>1469.5303341442195</v>
      </c>
      <c r="E264" s="22"/>
      <c r="F264" s="23">
        <f t="shared" si="25"/>
        <v>699293.33034696279</v>
      </c>
      <c r="G264" s="22">
        <f t="shared" si="26"/>
        <v>1211706.6696530373</v>
      </c>
      <c r="H264" s="22">
        <f t="shared" si="27"/>
        <v>728838.74708352482</v>
      </c>
    </row>
    <row r="265" spans="1:8" x14ac:dyDescent="0.25">
      <c r="A265">
        <f t="shared" si="21"/>
        <v>258</v>
      </c>
      <c r="B265" s="22">
        <f t="shared" si="22"/>
        <v>7550.7603764068581</v>
      </c>
      <c r="C265" s="22">
        <f t="shared" si="23"/>
        <v>6093.8992715173517</v>
      </c>
      <c r="D265" s="22">
        <f t="shared" si="24"/>
        <v>1456.8611048895059</v>
      </c>
      <c r="E265" s="22"/>
      <c r="F265" s="23">
        <f t="shared" si="25"/>
        <v>693199.43107544538</v>
      </c>
      <c r="G265" s="22">
        <f t="shared" si="26"/>
        <v>1217800.5689245546</v>
      </c>
      <c r="H265" s="22">
        <f t="shared" si="27"/>
        <v>730295.60818841436</v>
      </c>
    </row>
    <row r="266" spans="1:8" x14ac:dyDescent="0.25">
      <c r="A266">
        <f t="shared" ref="A266:A329" si="28">IF(OR(F265&lt;0.01,A265=""),"",1+A265)</f>
        <v>259</v>
      </c>
      <c r="B266" s="22">
        <f t="shared" ref="B266:B329" si="29">IF(A266="","",IF(F265&lt;B265,F265+D266,B265))</f>
        <v>7550.7603764068581</v>
      </c>
      <c r="C266" s="22">
        <f t="shared" ref="C266:C329" si="30">IF(A266="","",B266-D266)</f>
        <v>6106.59489499968</v>
      </c>
      <c r="D266" s="22">
        <f t="shared" ref="D266:D329" si="31">IF(A266="","",F265*$C$3)</f>
        <v>1444.1654814071778</v>
      </c>
      <c r="E266" s="22"/>
      <c r="F266" s="23">
        <f t="shared" ref="F266:F329" si="32">IF(A266="","",F265-E266-C266)</f>
        <v>687092.83618044574</v>
      </c>
      <c r="G266" s="22">
        <f t="shared" ref="G266:G329" si="33">IF(A266="","",G265+E266+C266)</f>
        <v>1223907.1638195543</v>
      </c>
      <c r="H266" s="22">
        <f t="shared" ref="H266:H329" si="34">IF(A266="","",H265+D266)</f>
        <v>731739.77366982156</v>
      </c>
    </row>
    <row r="267" spans="1:8" x14ac:dyDescent="0.25">
      <c r="A267">
        <f t="shared" si="28"/>
        <v>260</v>
      </c>
      <c r="B267" s="22">
        <f t="shared" si="29"/>
        <v>7550.7603764068581</v>
      </c>
      <c r="C267" s="22">
        <f t="shared" si="30"/>
        <v>6119.3169676975958</v>
      </c>
      <c r="D267" s="22">
        <f t="shared" si="31"/>
        <v>1431.443408709262</v>
      </c>
      <c r="E267" s="22"/>
      <c r="F267" s="23">
        <f t="shared" si="32"/>
        <v>680973.51921274816</v>
      </c>
      <c r="G267" s="22">
        <f t="shared" si="33"/>
        <v>1230026.4807872518</v>
      </c>
      <c r="H267" s="22">
        <f t="shared" si="34"/>
        <v>733171.21707853081</v>
      </c>
    </row>
    <row r="268" spans="1:8" x14ac:dyDescent="0.25">
      <c r="A268">
        <f t="shared" si="28"/>
        <v>261</v>
      </c>
      <c r="B268" s="22">
        <f t="shared" si="29"/>
        <v>7550.7603764068581</v>
      </c>
      <c r="C268" s="22">
        <f t="shared" si="30"/>
        <v>6132.0655447136323</v>
      </c>
      <c r="D268" s="22">
        <f t="shared" si="31"/>
        <v>1418.6948316932253</v>
      </c>
      <c r="E268" s="22"/>
      <c r="F268" s="23">
        <f t="shared" si="32"/>
        <v>674841.45366803452</v>
      </c>
      <c r="G268" s="22">
        <f t="shared" si="33"/>
        <v>1236158.5463319654</v>
      </c>
      <c r="H268" s="22">
        <f t="shared" si="34"/>
        <v>734589.91191022401</v>
      </c>
    </row>
    <row r="269" spans="1:8" x14ac:dyDescent="0.25">
      <c r="A269">
        <f t="shared" si="28"/>
        <v>262</v>
      </c>
      <c r="B269" s="22">
        <f t="shared" si="29"/>
        <v>7550.7603764068581</v>
      </c>
      <c r="C269" s="22">
        <f t="shared" si="30"/>
        <v>6144.8406812651192</v>
      </c>
      <c r="D269" s="22">
        <f t="shared" si="31"/>
        <v>1405.9196951417387</v>
      </c>
      <c r="E269" s="22"/>
      <c r="F269" s="23">
        <f t="shared" si="32"/>
        <v>668696.61298676941</v>
      </c>
      <c r="G269" s="22">
        <f t="shared" si="33"/>
        <v>1242303.3870132305</v>
      </c>
      <c r="H269" s="22">
        <f t="shared" si="34"/>
        <v>735995.83160536573</v>
      </c>
    </row>
    <row r="270" spans="1:8" x14ac:dyDescent="0.25">
      <c r="A270">
        <f t="shared" si="28"/>
        <v>263</v>
      </c>
      <c r="B270" s="22">
        <f t="shared" si="29"/>
        <v>7550.7603764068581</v>
      </c>
      <c r="C270" s="22">
        <f t="shared" si="30"/>
        <v>6157.6424326844217</v>
      </c>
      <c r="D270" s="22">
        <f t="shared" si="31"/>
        <v>1393.1179437224362</v>
      </c>
      <c r="E270" s="22"/>
      <c r="F270" s="23">
        <f t="shared" si="32"/>
        <v>662538.97055408498</v>
      </c>
      <c r="G270" s="22">
        <f t="shared" si="33"/>
        <v>1248461.0294459148</v>
      </c>
      <c r="H270" s="22">
        <f t="shared" si="34"/>
        <v>737388.94954908814</v>
      </c>
    </row>
    <row r="271" spans="1:8" x14ac:dyDescent="0.25">
      <c r="A271">
        <f t="shared" si="28"/>
        <v>264</v>
      </c>
      <c r="B271" s="22">
        <f t="shared" si="29"/>
        <v>7550.7603764068581</v>
      </c>
      <c r="C271" s="22">
        <f t="shared" si="30"/>
        <v>6170.4708544191808</v>
      </c>
      <c r="D271" s="22">
        <f t="shared" si="31"/>
        <v>1380.2895219876771</v>
      </c>
      <c r="E271" s="22"/>
      <c r="F271" s="23">
        <f t="shared" si="32"/>
        <v>656368.49969966582</v>
      </c>
      <c r="G271" s="22">
        <f t="shared" si="33"/>
        <v>1254631.5003003341</v>
      </c>
      <c r="H271" s="22">
        <f t="shared" si="34"/>
        <v>738769.2390710758</v>
      </c>
    </row>
    <row r="272" spans="1:8" x14ac:dyDescent="0.25">
      <c r="A272">
        <f t="shared" si="28"/>
        <v>265</v>
      </c>
      <c r="B272" s="22">
        <f t="shared" si="29"/>
        <v>7550.7603764068581</v>
      </c>
      <c r="C272" s="22">
        <f t="shared" si="30"/>
        <v>6183.3260020325542</v>
      </c>
      <c r="D272" s="22">
        <f t="shared" si="31"/>
        <v>1367.4343743743038</v>
      </c>
      <c r="E272" s="22"/>
      <c r="F272" s="23">
        <f t="shared" si="32"/>
        <v>650185.1736976332</v>
      </c>
      <c r="G272" s="22">
        <f t="shared" si="33"/>
        <v>1260814.8263023666</v>
      </c>
      <c r="H272" s="22">
        <f t="shared" si="34"/>
        <v>740136.67344545014</v>
      </c>
    </row>
    <row r="273" spans="1:8" x14ac:dyDescent="0.25">
      <c r="A273">
        <f t="shared" si="28"/>
        <v>266</v>
      </c>
      <c r="B273" s="22">
        <f t="shared" si="29"/>
        <v>7550.7603764068581</v>
      </c>
      <c r="C273" s="22">
        <f t="shared" si="30"/>
        <v>6196.2079312034557</v>
      </c>
      <c r="D273" s="22">
        <f t="shared" si="31"/>
        <v>1354.5524452034024</v>
      </c>
      <c r="E273" s="22"/>
      <c r="F273" s="23">
        <f t="shared" si="32"/>
        <v>643988.96576642978</v>
      </c>
      <c r="G273" s="22">
        <f t="shared" si="33"/>
        <v>1267011.0342335701</v>
      </c>
      <c r="H273" s="22">
        <f t="shared" si="34"/>
        <v>741491.22589065356</v>
      </c>
    </row>
    <row r="274" spans="1:8" x14ac:dyDescent="0.25">
      <c r="A274">
        <f t="shared" si="28"/>
        <v>267</v>
      </c>
      <c r="B274" s="22">
        <f t="shared" si="29"/>
        <v>7550.7603764068581</v>
      </c>
      <c r="C274" s="22">
        <f t="shared" si="30"/>
        <v>6209.1166977267958</v>
      </c>
      <c r="D274" s="22">
        <f t="shared" si="31"/>
        <v>1341.6436786800621</v>
      </c>
      <c r="E274" s="22"/>
      <c r="F274" s="23">
        <f t="shared" si="32"/>
        <v>637779.84906870301</v>
      </c>
      <c r="G274" s="22">
        <f t="shared" si="33"/>
        <v>1273220.1509312969</v>
      </c>
      <c r="H274" s="22">
        <f t="shared" si="34"/>
        <v>742832.86956933362</v>
      </c>
    </row>
    <row r="275" spans="1:8" x14ac:dyDescent="0.25">
      <c r="A275">
        <f t="shared" si="28"/>
        <v>268</v>
      </c>
      <c r="B275" s="22">
        <f t="shared" si="29"/>
        <v>7550.7603764068581</v>
      </c>
      <c r="C275" s="22">
        <f t="shared" si="30"/>
        <v>6222.0523575137267</v>
      </c>
      <c r="D275" s="22">
        <f t="shared" si="31"/>
        <v>1328.7080188931313</v>
      </c>
      <c r="E275" s="22"/>
      <c r="F275" s="23">
        <f t="shared" si="32"/>
        <v>631557.79671118932</v>
      </c>
      <c r="G275" s="22">
        <f t="shared" si="33"/>
        <v>1279442.2032888106</v>
      </c>
      <c r="H275" s="22">
        <f t="shared" si="34"/>
        <v>744161.57758822676</v>
      </c>
    </row>
    <row r="276" spans="1:8" x14ac:dyDescent="0.25">
      <c r="A276">
        <f t="shared" si="28"/>
        <v>269</v>
      </c>
      <c r="B276" s="22">
        <f t="shared" si="29"/>
        <v>7550.7603764068581</v>
      </c>
      <c r="C276" s="22">
        <f t="shared" si="30"/>
        <v>6235.0149665918798</v>
      </c>
      <c r="D276" s="22">
        <f t="shared" si="31"/>
        <v>1315.7454098149778</v>
      </c>
      <c r="E276" s="22"/>
      <c r="F276" s="23">
        <f t="shared" si="32"/>
        <v>625322.78174459748</v>
      </c>
      <c r="G276" s="22">
        <f t="shared" si="33"/>
        <v>1285677.2182554025</v>
      </c>
      <c r="H276" s="22">
        <f t="shared" si="34"/>
        <v>745477.32299804175</v>
      </c>
    </row>
    <row r="277" spans="1:8" x14ac:dyDescent="0.25">
      <c r="A277">
        <f t="shared" si="28"/>
        <v>270</v>
      </c>
      <c r="B277" s="22">
        <f t="shared" si="29"/>
        <v>7550.7603764068581</v>
      </c>
      <c r="C277" s="22">
        <f t="shared" si="30"/>
        <v>6248.0045811056134</v>
      </c>
      <c r="D277" s="22">
        <f t="shared" si="31"/>
        <v>1302.7557953012447</v>
      </c>
      <c r="E277" s="22"/>
      <c r="F277" s="23">
        <f t="shared" si="32"/>
        <v>619074.77716349182</v>
      </c>
      <c r="G277" s="22">
        <f t="shared" si="33"/>
        <v>1291925.2228365082</v>
      </c>
      <c r="H277" s="22">
        <f t="shared" si="34"/>
        <v>746780.07879334304</v>
      </c>
    </row>
    <row r="278" spans="1:8" x14ac:dyDescent="0.25">
      <c r="A278">
        <f t="shared" si="28"/>
        <v>271</v>
      </c>
      <c r="B278" s="22">
        <f t="shared" si="29"/>
        <v>7550.7603764068581</v>
      </c>
      <c r="C278" s="22">
        <f t="shared" si="30"/>
        <v>6261.0212573162498</v>
      </c>
      <c r="D278" s="22">
        <f t="shared" si="31"/>
        <v>1289.739119090608</v>
      </c>
      <c r="E278" s="22"/>
      <c r="F278" s="23">
        <f t="shared" si="32"/>
        <v>612813.75590617559</v>
      </c>
      <c r="G278" s="22">
        <f t="shared" si="33"/>
        <v>1298186.2440938244</v>
      </c>
      <c r="H278" s="22">
        <f t="shared" si="34"/>
        <v>748069.81791243365</v>
      </c>
    </row>
    <row r="279" spans="1:8" x14ac:dyDescent="0.25">
      <c r="A279">
        <f t="shared" si="28"/>
        <v>272</v>
      </c>
      <c r="B279" s="22">
        <f t="shared" si="29"/>
        <v>7550.7603764068581</v>
      </c>
      <c r="C279" s="22">
        <f t="shared" si="30"/>
        <v>6274.0650516023252</v>
      </c>
      <c r="D279" s="22">
        <f t="shared" si="31"/>
        <v>1276.6953248045324</v>
      </c>
      <c r="E279" s="22"/>
      <c r="F279" s="23">
        <f t="shared" si="32"/>
        <v>606539.69085457327</v>
      </c>
      <c r="G279" s="22">
        <f t="shared" si="33"/>
        <v>1304460.3091454268</v>
      </c>
      <c r="H279" s="22">
        <f t="shared" si="34"/>
        <v>749346.51323723816</v>
      </c>
    </row>
    <row r="280" spans="1:8" x14ac:dyDescent="0.25">
      <c r="A280">
        <f t="shared" si="28"/>
        <v>273</v>
      </c>
      <c r="B280" s="22">
        <f t="shared" si="29"/>
        <v>7550.7603764068581</v>
      </c>
      <c r="C280" s="22">
        <f t="shared" si="30"/>
        <v>6287.1360204598304</v>
      </c>
      <c r="D280" s="22">
        <f t="shared" si="31"/>
        <v>1263.6243559470277</v>
      </c>
      <c r="E280" s="22"/>
      <c r="F280" s="23">
        <f t="shared" si="32"/>
        <v>600252.55483411346</v>
      </c>
      <c r="G280" s="22">
        <f t="shared" si="33"/>
        <v>1310747.4451658868</v>
      </c>
      <c r="H280" s="22">
        <f t="shared" si="34"/>
        <v>750610.13759318518</v>
      </c>
    </row>
    <row r="281" spans="1:8" x14ac:dyDescent="0.25">
      <c r="A281">
        <f t="shared" si="28"/>
        <v>274</v>
      </c>
      <c r="B281" s="22">
        <f t="shared" si="29"/>
        <v>7550.7603764068581</v>
      </c>
      <c r="C281" s="22">
        <f t="shared" si="30"/>
        <v>6300.2342205024552</v>
      </c>
      <c r="D281" s="22">
        <f t="shared" si="31"/>
        <v>1250.5261559044029</v>
      </c>
      <c r="E281" s="22"/>
      <c r="F281" s="23">
        <f t="shared" si="32"/>
        <v>593952.32061361102</v>
      </c>
      <c r="G281" s="22">
        <f t="shared" si="33"/>
        <v>1317047.6793863892</v>
      </c>
      <c r="H281" s="22">
        <f t="shared" si="34"/>
        <v>751860.66374908958</v>
      </c>
    </row>
    <row r="282" spans="1:8" x14ac:dyDescent="0.25">
      <c r="A282">
        <f t="shared" si="28"/>
        <v>275</v>
      </c>
      <c r="B282" s="22">
        <f t="shared" si="29"/>
        <v>7550.7603764068581</v>
      </c>
      <c r="C282" s="22">
        <f t="shared" si="30"/>
        <v>6313.359708461835</v>
      </c>
      <c r="D282" s="22">
        <f t="shared" si="31"/>
        <v>1237.4006679450229</v>
      </c>
      <c r="E282" s="22"/>
      <c r="F282" s="23">
        <f t="shared" si="32"/>
        <v>587638.96090514923</v>
      </c>
      <c r="G282" s="22">
        <f t="shared" si="33"/>
        <v>1323361.0390948511</v>
      </c>
      <c r="H282" s="22">
        <f t="shared" si="34"/>
        <v>753098.06441703462</v>
      </c>
    </row>
    <row r="283" spans="1:8" x14ac:dyDescent="0.25">
      <c r="A283">
        <f t="shared" si="28"/>
        <v>276</v>
      </c>
      <c r="B283" s="22">
        <f t="shared" si="29"/>
        <v>7550.7603764068581</v>
      </c>
      <c r="C283" s="22">
        <f t="shared" si="30"/>
        <v>6326.5125411877971</v>
      </c>
      <c r="D283" s="22">
        <f t="shared" si="31"/>
        <v>1224.2478352190608</v>
      </c>
      <c r="E283" s="22"/>
      <c r="F283" s="23">
        <f t="shared" si="32"/>
        <v>581312.44836396142</v>
      </c>
      <c r="G283" s="22">
        <f t="shared" si="33"/>
        <v>1329687.5516360388</v>
      </c>
      <c r="H283" s="22">
        <f t="shared" si="34"/>
        <v>754322.31225225364</v>
      </c>
    </row>
    <row r="284" spans="1:8" x14ac:dyDescent="0.25">
      <c r="A284">
        <f t="shared" si="28"/>
        <v>277</v>
      </c>
      <c r="B284" s="22">
        <f t="shared" si="29"/>
        <v>7550.7603764068581</v>
      </c>
      <c r="C284" s="22">
        <f t="shared" si="30"/>
        <v>6339.6927756486057</v>
      </c>
      <c r="D284" s="22">
        <f t="shared" si="31"/>
        <v>1211.0676007582529</v>
      </c>
      <c r="E284" s="22"/>
      <c r="F284" s="23">
        <f t="shared" si="32"/>
        <v>574972.75558831287</v>
      </c>
      <c r="G284" s="22">
        <f t="shared" si="33"/>
        <v>1336027.2444116874</v>
      </c>
      <c r="H284" s="22">
        <f t="shared" si="34"/>
        <v>755533.37985301192</v>
      </c>
    </row>
    <row r="285" spans="1:8" x14ac:dyDescent="0.25">
      <c r="A285">
        <f t="shared" si="28"/>
        <v>278</v>
      </c>
      <c r="B285" s="22">
        <f t="shared" si="29"/>
        <v>7550.7603764068581</v>
      </c>
      <c r="C285" s="22">
        <f t="shared" si="30"/>
        <v>6352.900468931206</v>
      </c>
      <c r="D285" s="22">
        <f t="shared" si="31"/>
        <v>1197.8599074756519</v>
      </c>
      <c r="E285" s="22"/>
      <c r="F285" s="23">
        <f t="shared" si="32"/>
        <v>568619.85511938168</v>
      </c>
      <c r="G285" s="22">
        <f t="shared" si="33"/>
        <v>1342380.1448806187</v>
      </c>
      <c r="H285" s="22">
        <f t="shared" si="34"/>
        <v>756731.23976048757</v>
      </c>
    </row>
    <row r="286" spans="1:8" x14ac:dyDescent="0.25">
      <c r="A286">
        <f t="shared" si="28"/>
        <v>279</v>
      </c>
      <c r="B286" s="22">
        <f t="shared" si="29"/>
        <v>7550.7603764068581</v>
      </c>
      <c r="C286" s="22">
        <f t="shared" si="30"/>
        <v>6366.1356782414796</v>
      </c>
      <c r="D286" s="22">
        <f t="shared" si="31"/>
        <v>1184.6246981653785</v>
      </c>
      <c r="E286" s="22"/>
      <c r="F286" s="23">
        <f t="shared" si="32"/>
        <v>562253.71944114019</v>
      </c>
      <c r="G286" s="22">
        <f t="shared" si="33"/>
        <v>1348746.2805588602</v>
      </c>
      <c r="H286" s="22">
        <f t="shared" si="34"/>
        <v>757915.86445865291</v>
      </c>
    </row>
    <row r="287" spans="1:8" x14ac:dyDescent="0.25">
      <c r="A287">
        <f t="shared" si="28"/>
        <v>280</v>
      </c>
      <c r="B287" s="22">
        <f t="shared" si="29"/>
        <v>7550.7603764068581</v>
      </c>
      <c r="C287" s="22">
        <f t="shared" si="30"/>
        <v>6379.3984609044828</v>
      </c>
      <c r="D287" s="22">
        <f t="shared" si="31"/>
        <v>1171.3619155023753</v>
      </c>
      <c r="E287" s="22"/>
      <c r="F287" s="23">
        <f t="shared" si="32"/>
        <v>555874.3209802357</v>
      </c>
      <c r="G287" s="22">
        <f t="shared" si="33"/>
        <v>1355125.6790197645</v>
      </c>
      <c r="H287" s="22">
        <f t="shared" si="34"/>
        <v>759087.22637415526</v>
      </c>
    </row>
    <row r="288" spans="1:8" x14ac:dyDescent="0.25">
      <c r="A288">
        <f t="shared" si="28"/>
        <v>281</v>
      </c>
      <c r="B288" s="22">
        <f t="shared" si="29"/>
        <v>7550.7603764068581</v>
      </c>
      <c r="C288" s="22">
        <f t="shared" si="30"/>
        <v>6392.6888743647005</v>
      </c>
      <c r="D288" s="22">
        <f t="shared" si="31"/>
        <v>1158.0715020421576</v>
      </c>
      <c r="E288" s="22"/>
      <c r="F288" s="23">
        <f t="shared" si="32"/>
        <v>549481.63210587099</v>
      </c>
      <c r="G288" s="22">
        <f t="shared" si="33"/>
        <v>1361518.3678941291</v>
      </c>
      <c r="H288" s="22">
        <f t="shared" si="34"/>
        <v>760245.29787619738</v>
      </c>
    </row>
    <row r="289" spans="1:8" x14ac:dyDescent="0.25">
      <c r="A289">
        <f t="shared" si="28"/>
        <v>282</v>
      </c>
      <c r="B289" s="22">
        <f t="shared" si="29"/>
        <v>7550.7603764068581</v>
      </c>
      <c r="C289" s="22">
        <f t="shared" si="30"/>
        <v>6406.0069761862933</v>
      </c>
      <c r="D289" s="22">
        <f t="shared" si="31"/>
        <v>1144.7534002205646</v>
      </c>
      <c r="E289" s="22"/>
      <c r="F289" s="23">
        <f t="shared" si="32"/>
        <v>543075.62512968469</v>
      </c>
      <c r="G289" s="22">
        <f t="shared" si="33"/>
        <v>1367924.3748703154</v>
      </c>
      <c r="H289" s="22">
        <f t="shared" si="34"/>
        <v>761390.05127641791</v>
      </c>
    </row>
    <row r="290" spans="1:8" x14ac:dyDescent="0.25">
      <c r="A290">
        <f t="shared" si="28"/>
        <v>283</v>
      </c>
      <c r="B290" s="22">
        <f t="shared" si="29"/>
        <v>7550.7603764068581</v>
      </c>
      <c r="C290" s="22">
        <f t="shared" si="30"/>
        <v>6419.3528240533487</v>
      </c>
      <c r="D290" s="22">
        <f t="shared" si="31"/>
        <v>1131.4075523535098</v>
      </c>
      <c r="E290" s="22"/>
      <c r="F290" s="23">
        <f t="shared" si="32"/>
        <v>536656.27230563131</v>
      </c>
      <c r="G290" s="22">
        <f t="shared" si="33"/>
        <v>1374343.7276943687</v>
      </c>
      <c r="H290" s="22">
        <f t="shared" si="34"/>
        <v>762521.45882877137</v>
      </c>
    </row>
    <row r="291" spans="1:8" x14ac:dyDescent="0.25">
      <c r="A291">
        <f t="shared" si="28"/>
        <v>284</v>
      </c>
      <c r="B291" s="22">
        <f t="shared" si="29"/>
        <v>7550.7603764068581</v>
      </c>
      <c r="C291" s="22">
        <f t="shared" si="30"/>
        <v>6432.7264757701259</v>
      </c>
      <c r="D291" s="22">
        <f t="shared" si="31"/>
        <v>1118.0339006367319</v>
      </c>
      <c r="E291" s="22"/>
      <c r="F291" s="23">
        <f t="shared" si="32"/>
        <v>530223.54582986119</v>
      </c>
      <c r="G291" s="22">
        <f t="shared" si="33"/>
        <v>1380776.4541701388</v>
      </c>
      <c r="H291" s="22">
        <f t="shared" si="34"/>
        <v>763639.49272940808</v>
      </c>
    </row>
    <row r="292" spans="1:8" x14ac:dyDescent="0.25">
      <c r="A292">
        <f t="shared" si="28"/>
        <v>285</v>
      </c>
      <c r="B292" s="22">
        <f t="shared" si="29"/>
        <v>7550.7603764068581</v>
      </c>
      <c r="C292" s="22">
        <f t="shared" si="30"/>
        <v>6446.1279892613138</v>
      </c>
      <c r="D292" s="22">
        <f t="shared" si="31"/>
        <v>1104.632387145544</v>
      </c>
      <c r="E292" s="22"/>
      <c r="F292" s="23">
        <f t="shared" si="32"/>
        <v>523777.4178405999</v>
      </c>
      <c r="G292" s="22">
        <f t="shared" si="33"/>
        <v>1387222.5821594002</v>
      </c>
      <c r="H292" s="22">
        <f t="shared" si="34"/>
        <v>764744.12511655362</v>
      </c>
    </row>
    <row r="293" spans="1:8" x14ac:dyDescent="0.25">
      <c r="A293">
        <f t="shared" si="28"/>
        <v>286</v>
      </c>
      <c r="B293" s="22">
        <f t="shared" si="29"/>
        <v>7550.7603764068581</v>
      </c>
      <c r="C293" s="22">
        <f t="shared" si="30"/>
        <v>6459.5574225722748</v>
      </c>
      <c r="D293" s="22">
        <f t="shared" si="31"/>
        <v>1091.202953834583</v>
      </c>
      <c r="E293" s="22"/>
      <c r="F293" s="23">
        <f t="shared" si="32"/>
        <v>517317.86041802762</v>
      </c>
      <c r="G293" s="22">
        <f t="shared" si="33"/>
        <v>1393682.1395819725</v>
      </c>
      <c r="H293" s="22">
        <f t="shared" si="34"/>
        <v>765835.32807038818</v>
      </c>
    </row>
    <row r="294" spans="1:8" x14ac:dyDescent="0.25">
      <c r="A294">
        <f t="shared" si="28"/>
        <v>287</v>
      </c>
      <c r="B294" s="22">
        <f t="shared" si="29"/>
        <v>7550.7603764068581</v>
      </c>
      <c r="C294" s="22">
        <f t="shared" si="30"/>
        <v>6473.0148338693007</v>
      </c>
      <c r="D294" s="22">
        <f t="shared" si="31"/>
        <v>1077.7455425375574</v>
      </c>
      <c r="E294" s="22"/>
      <c r="F294" s="23">
        <f t="shared" si="32"/>
        <v>510844.84558415832</v>
      </c>
      <c r="G294" s="22">
        <f t="shared" si="33"/>
        <v>1400155.1544158419</v>
      </c>
      <c r="H294" s="22">
        <f t="shared" si="34"/>
        <v>766913.07361292571</v>
      </c>
    </row>
    <row r="295" spans="1:8" x14ac:dyDescent="0.25">
      <c r="A295">
        <f t="shared" si="28"/>
        <v>288</v>
      </c>
      <c r="B295" s="22">
        <f t="shared" si="29"/>
        <v>7550.7603764068581</v>
      </c>
      <c r="C295" s="22">
        <f t="shared" si="30"/>
        <v>6486.5002814398613</v>
      </c>
      <c r="D295" s="22">
        <f t="shared" si="31"/>
        <v>1064.2600949669966</v>
      </c>
      <c r="E295" s="22"/>
      <c r="F295" s="23">
        <f t="shared" si="32"/>
        <v>504358.34530271846</v>
      </c>
      <c r="G295" s="22">
        <f t="shared" si="33"/>
        <v>1406641.6546972818</v>
      </c>
      <c r="H295" s="22">
        <f t="shared" si="34"/>
        <v>767977.33370789269</v>
      </c>
    </row>
    <row r="296" spans="1:8" x14ac:dyDescent="0.25">
      <c r="A296">
        <f t="shared" si="28"/>
        <v>289</v>
      </c>
      <c r="B296" s="22">
        <f t="shared" si="29"/>
        <v>7550.7603764068581</v>
      </c>
      <c r="C296" s="22">
        <f t="shared" si="30"/>
        <v>6500.0138236928615</v>
      </c>
      <c r="D296" s="22">
        <f t="shared" si="31"/>
        <v>1050.7465527139968</v>
      </c>
      <c r="E296" s="22"/>
      <c r="F296" s="23">
        <f t="shared" si="32"/>
        <v>497858.3314790256</v>
      </c>
      <c r="G296" s="22">
        <f t="shared" si="33"/>
        <v>1413141.6685209747</v>
      </c>
      <c r="H296" s="22">
        <f t="shared" si="34"/>
        <v>769028.08026060672</v>
      </c>
    </row>
    <row r="297" spans="1:8" x14ac:dyDescent="0.25">
      <c r="A297">
        <f t="shared" si="28"/>
        <v>290</v>
      </c>
      <c r="B297" s="22">
        <f t="shared" si="29"/>
        <v>7550.7603764068581</v>
      </c>
      <c r="C297" s="22">
        <f t="shared" si="30"/>
        <v>6513.5555191588883</v>
      </c>
      <c r="D297" s="22">
        <f t="shared" si="31"/>
        <v>1037.20485724797</v>
      </c>
      <c r="E297" s="22"/>
      <c r="F297" s="23">
        <f t="shared" si="32"/>
        <v>491344.7759598667</v>
      </c>
      <c r="G297" s="22">
        <f t="shared" si="33"/>
        <v>1419655.2240401336</v>
      </c>
      <c r="H297" s="22">
        <f t="shared" si="34"/>
        <v>770065.28511785471</v>
      </c>
    </row>
    <row r="298" spans="1:8" x14ac:dyDescent="0.25">
      <c r="A298">
        <f t="shared" si="28"/>
        <v>291</v>
      </c>
      <c r="B298" s="22">
        <f t="shared" si="29"/>
        <v>7550.7603764068581</v>
      </c>
      <c r="C298" s="22">
        <f t="shared" si="30"/>
        <v>6527.1254264904692</v>
      </c>
      <c r="D298" s="22">
        <f t="shared" si="31"/>
        <v>1023.6349499163889</v>
      </c>
      <c r="E298" s="22"/>
      <c r="F298" s="23">
        <f t="shared" si="32"/>
        <v>484817.65053337626</v>
      </c>
      <c r="G298" s="22">
        <f t="shared" si="33"/>
        <v>1426182.3494666242</v>
      </c>
      <c r="H298" s="22">
        <f t="shared" si="34"/>
        <v>771088.92006777111</v>
      </c>
    </row>
    <row r="299" spans="1:8" x14ac:dyDescent="0.25">
      <c r="A299">
        <f t="shared" si="28"/>
        <v>292</v>
      </c>
      <c r="B299" s="22">
        <f t="shared" si="29"/>
        <v>7550.7603764068581</v>
      </c>
      <c r="C299" s="22">
        <f t="shared" si="30"/>
        <v>6540.7236044623241</v>
      </c>
      <c r="D299" s="22">
        <f t="shared" si="31"/>
        <v>1010.0367719445338</v>
      </c>
      <c r="E299" s="22"/>
      <c r="F299" s="23">
        <f t="shared" si="32"/>
        <v>478276.92692891392</v>
      </c>
      <c r="G299" s="22">
        <f t="shared" si="33"/>
        <v>1432723.0730710865</v>
      </c>
      <c r="H299" s="22">
        <f t="shared" si="34"/>
        <v>772098.9568397156</v>
      </c>
    </row>
    <row r="300" spans="1:8" x14ac:dyDescent="0.25">
      <c r="A300">
        <f t="shared" si="28"/>
        <v>293</v>
      </c>
      <c r="B300" s="22">
        <f t="shared" si="29"/>
        <v>7550.7603764068581</v>
      </c>
      <c r="C300" s="22">
        <f t="shared" si="30"/>
        <v>6554.3501119716211</v>
      </c>
      <c r="D300" s="22">
        <f t="shared" si="31"/>
        <v>996.41026443523731</v>
      </c>
      <c r="E300" s="22"/>
      <c r="F300" s="23">
        <f t="shared" si="32"/>
        <v>471722.57681694231</v>
      </c>
      <c r="G300" s="22">
        <f t="shared" si="33"/>
        <v>1439277.4231830582</v>
      </c>
      <c r="H300" s="22">
        <f t="shared" si="34"/>
        <v>773095.36710415082</v>
      </c>
    </row>
    <row r="301" spans="1:8" x14ac:dyDescent="0.25">
      <c r="A301">
        <f t="shared" si="28"/>
        <v>294</v>
      </c>
      <c r="B301" s="22">
        <f t="shared" si="29"/>
        <v>7550.7603764068581</v>
      </c>
      <c r="C301" s="22">
        <f t="shared" si="30"/>
        <v>6568.005008038228</v>
      </c>
      <c r="D301" s="22">
        <f t="shared" si="31"/>
        <v>982.75536836862977</v>
      </c>
      <c r="E301" s="22"/>
      <c r="F301" s="23">
        <f t="shared" si="32"/>
        <v>465154.57180890406</v>
      </c>
      <c r="G301" s="22">
        <f t="shared" si="33"/>
        <v>1445845.4281910963</v>
      </c>
      <c r="H301" s="22">
        <f t="shared" si="34"/>
        <v>774078.1224725194</v>
      </c>
    </row>
    <row r="302" spans="1:8" x14ac:dyDescent="0.25">
      <c r="A302">
        <f t="shared" si="28"/>
        <v>295</v>
      </c>
      <c r="B302" s="22">
        <f t="shared" si="29"/>
        <v>7550.7603764068581</v>
      </c>
      <c r="C302" s="22">
        <f t="shared" si="30"/>
        <v>6581.6883518049744</v>
      </c>
      <c r="D302" s="22">
        <f t="shared" si="31"/>
        <v>969.07202460188341</v>
      </c>
      <c r="E302" s="22"/>
      <c r="F302" s="23">
        <f t="shared" si="32"/>
        <v>458572.88345709909</v>
      </c>
      <c r="G302" s="22">
        <f t="shared" si="33"/>
        <v>1452427.1165429014</v>
      </c>
      <c r="H302" s="22">
        <f t="shared" si="34"/>
        <v>775047.19449712127</v>
      </c>
    </row>
    <row r="303" spans="1:8" x14ac:dyDescent="0.25">
      <c r="A303">
        <f t="shared" si="28"/>
        <v>296</v>
      </c>
      <c r="B303" s="22">
        <f t="shared" si="29"/>
        <v>7550.7603764068581</v>
      </c>
      <c r="C303" s="22">
        <f t="shared" si="30"/>
        <v>6595.4002025379014</v>
      </c>
      <c r="D303" s="22">
        <f t="shared" si="31"/>
        <v>955.36017386895639</v>
      </c>
      <c r="E303" s="22"/>
      <c r="F303" s="23">
        <f t="shared" si="32"/>
        <v>451977.4832545612</v>
      </c>
      <c r="G303" s="22">
        <f t="shared" si="33"/>
        <v>1459022.5167454393</v>
      </c>
      <c r="H303" s="22">
        <f t="shared" si="34"/>
        <v>776002.55467099021</v>
      </c>
    </row>
    <row r="304" spans="1:8" x14ac:dyDescent="0.25">
      <c r="A304">
        <f t="shared" si="28"/>
        <v>297</v>
      </c>
      <c r="B304" s="22">
        <f t="shared" si="29"/>
        <v>7550.7603764068581</v>
      </c>
      <c r="C304" s="22">
        <f t="shared" si="30"/>
        <v>6609.1406196265225</v>
      </c>
      <c r="D304" s="22">
        <f t="shared" si="31"/>
        <v>941.61975678033582</v>
      </c>
      <c r="E304" s="22"/>
      <c r="F304" s="23">
        <f t="shared" si="32"/>
        <v>445368.3426349347</v>
      </c>
      <c r="G304" s="22">
        <f t="shared" si="33"/>
        <v>1465631.6573650658</v>
      </c>
      <c r="H304" s="22">
        <f t="shared" si="34"/>
        <v>776944.17442777054</v>
      </c>
    </row>
    <row r="305" spans="1:8" x14ac:dyDescent="0.25">
      <c r="A305">
        <f t="shared" si="28"/>
        <v>298</v>
      </c>
      <c r="B305" s="22">
        <f t="shared" si="29"/>
        <v>7550.7603764068581</v>
      </c>
      <c r="C305" s="22">
        <f t="shared" si="30"/>
        <v>6622.9096625840775</v>
      </c>
      <c r="D305" s="22">
        <f t="shared" si="31"/>
        <v>927.85071382278056</v>
      </c>
      <c r="E305" s="22"/>
      <c r="F305" s="23">
        <f t="shared" si="32"/>
        <v>438745.43297235062</v>
      </c>
      <c r="G305" s="22">
        <f t="shared" si="33"/>
        <v>1472254.5670276498</v>
      </c>
      <c r="H305" s="22">
        <f t="shared" si="34"/>
        <v>777872.0251415933</v>
      </c>
    </row>
    <row r="306" spans="1:8" x14ac:dyDescent="0.25">
      <c r="A306">
        <f t="shared" si="28"/>
        <v>299</v>
      </c>
      <c r="B306" s="22">
        <f t="shared" si="29"/>
        <v>7550.7603764068581</v>
      </c>
      <c r="C306" s="22">
        <f t="shared" si="30"/>
        <v>6636.7073910477939</v>
      </c>
      <c r="D306" s="22">
        <f t="shared" si="31"/>
        <v>914.05298535906377</v>
      </c>
      <c r="E306" s="22"/>
      <c r="F306" s="23">
        <f t="shared" si="32"/>
        <v>432108.72558130283</v>
      </c>
      <c r="G306" s="22">
        <f t="shared" si="33"/>
        <v>1478891.2744186977</v>
      </c>
      <c r="H306" s="22">
        <f t="shared" si="34"/>
        <v>778786.0781269524</v>
      </c>
    </row>
    <row r="307" spans="1:8" x14ac:dyDescent="0.25">
      <c r="A307">
        <f t="shared" si="28"/>
        <v>300</v>
      </c>
      <c r="B307" s="22">
        <f t="shared" si="29"/>
        <v>7550.7603764068581</v>
      </c>
      <c r="C307" s="22">
        <f t="shared" si="30"/>
        <v>6650.5338647791441</v>
      </c>
      <c r="D307" s="22">
        <f t="shared" si="31"/>
        <v>900.22651162771422</v>
      </c>
      <c r="E307" s="22"/>
      <c r="F307" s="23">
        <f t="shared" si="32"/>
        <v>425458.19171652367</v>
      </c>
      <c r="G307" s="22">
        <f t="shared" si="33"/>
        <v>1485541.8082834769</v>
      </c>
      <c r="H307" s="22">
        <f t="shared" si="34"/>
        <v>779686.30463858007</v>
      </c>
    </row>
    <row r="308" spans="1:8" x14ac:dyDescent="0.25">
      <c r="A308">
        <f t="shared" si="28"/>
        <v>301</v>
      </c>
      <c r="B308" s="22">
        <f t="shared" si="29"/>
        <v>7550.7603764068581</v>
      </c>
      <c r="C308" s="22">
        <f t="shared" si="30"/>
        <v>6664.3891436641006</v>
      </c>
      <c r="D308" s="22">
        <f t="shared" si="31"/>
        <v>886.37123274275757</v>
      </c>
      <c r="E308" s="22"/>
      <c r="F308" s="23">
        <f t="shared" si="32"/>
        <v>418793.80257285957</v>
      </c>
      <c r="G308" s="22">
        <f t="shared" si="33"/>
        <v>1492206.197427141</v>
      </c>
      <c r="H308" s="22">
        <f t="shared" si="34"/>
        <v>780572.67587132286</v>
      </c>
    </row>
    <row r="309" spans="1:8" x14ac:dyDescent="0.25">
      <c r="A309">
        <f t="shared" si="28"/>
        <v>302</v>
      </c>
      <c r="B309" s="22">
        <f t="shared" si="29"/>
        <v>7550.7603764068581</v>
      </c>
      <c r="C309" s="22">
        <f t="shared" si="30"/>
        <v>6678.2732877134004</v>
      </c>
      <c r="D309" s="22">
        <f t="shared" si="31"/>
        <v>872.48708869345739</v>
      </c>
      <c r="E309" s="22"/>
      <c r="F309" s="23">
        <f t="shared" si="32"/>
        <v>412115.52928514616</v>
      </c>
      <c r="G309" s="22">
        <f t="shared" si="33"/>
        <v>1498884.4707148543</v>
      </c>
      <c r="H309" s="22">
        <f t="shared" si="34"/>
        <v>781445.16296001629</v>
      </c>
    </row>
    <row r="310" spans="1:8" x14ac:dyDescent="0.25">
      <c r="A310">
        <f t="shared" si="28"/>
        <v>303</v>
      </c>
      <c r="B310" s="22">
        <f t="shared" si="29"/>
        <v>7550.7603764068581</v>
      </c>
      <c r="C310" s="22">
        <f t="shared" si="30"/>
        <v>6692.1863570628038</v>
      </c>
      <c r="D310" s="22">
        <f t="shared" si="31"/>
        <v>858.57401934405448</v>
      </c>
      <c r="E310" s="22"/>
      <c r="F310" s="23">
        <f t="shared" si="32"/>
        <v>405423.34292808338</v>
      </c>
      <c r="G310" s="22">
        <f t="shared" si="33"/>
        <v>1505576.6570719171</v>
      </c>
      <c r="H310" s="22">
        <f t="shared" si="34"/>
        <v>782303.73697936034</v>
      </c>
    </row>
    <row r="311" spans="1:8" x14ac:dyDescent="0.25">
      <c r="A311">
        <f t="shared" si="28"/>
        <v>304</v>
      </c>
      <c r="B311" s="22">
        <f t="shared" si="29"/>
        <v>7550.7603764068581</v>
      </c>
      <c r="C311" s="22">
        <f t="shared" si="30"/>
        <v>6706.1284119733509</v>
      </c>
      <c r="D311" s="22">
        <f t="shared" si="31"/>
        <v>844.63196443350705</v>
      </c>
      <c r="E311" s="22"/>
      <c r="F311" s="23">
        <f t="shared" si="32"/>
        <v>398717.21451611002</v>
      </c>
      <c r="G311" s="22">
        <f t="shared" si="33"/>
        <v>1512282.7854838904</v>
      </c>
      <c r="H311" s="22">
        <f t="shared" si="34"/>
        <v>783148.36894379382</v>
      </c>
    </row>
    <row r="312" spans="1:8" x14ac:dyDescent="0.25">
      <c r="A312">
        <f t="shared" si="28"/>
        <v>305</v>
      </c>
      <c r="B312" s="22">
        <f t="shared" si="29"/>
        <v>7550.7603764068581</v>
      </c>
      <c r="C312" s="22">
        <f t="shared" si="30"/>
        <v>6720.099512831629</v>
      </c>
      <c r="D312" s="22">
        <f t="shared" si="31"/>
        <v>830.6608635752292</v>
      </c>
      <c r="E312" s="22"/>
      <c r="F312" s="23">
        <f t="shared" si="32"/>
        <v>391997.11500327836</v>
      </c>
      <c r="G312" s="22">
        <f t="shared" si="33"/>
        <v>1519002.884996722</v>
      </c>
      <c r="H312" s="22">
        <f t="shared" si="34"/>
        <v>783979.02980736899</v>
      </c>
    </row>
    <row r="313" spans="1:8" x14ac:dyDescent="0.25">
      <c r="A313">
        <f t="shared" si="28"/>
        <v>306</v>
      </c>
      <c r="B313" s="22">
        <f t="shared" si="29"/>
        <v>7550.7603764068581</v>
      </c>
      <c r="C313" s="22">
        <f t="shared" si="30"/>
        <v>6734.0997201500286</v>
      </c>
      <c r="D313" s="22">
        <f t="shared" si="31"/>
        <v>816.66065625682995</v>
      </c>
      <c r="E313" s="22"/>
      <c r="F313" s="23">
        <f t="shared" si="32"/>
        <v>385263.01528312836</v>
      </c>
      <c r="G313" s="22">
        <f t="shared" si="33"/>
        <v>1525736.984716872</v>
      </c>
      <c r="H313" s="22">
        <f t="shared" si="34"/>
        <v>784795.69046362583</v>
      </c>
    </row>
    <row r="314" spans="1:8" x14ac:dyDescent="0.25">
      <c r="A314">
        <f t="shared" si="28"/>
        <v>307</v>
      </c>
      <c r="B314" s="22">
        <f t="shared" si="29"/>
        <v>7550.7603764068581</v>
      </c>
      <c r="C314" s="22">
        <f t="shared" si="30"/>
        <v>6748.1290945670071</v>
      </c>
      <c r="D314" s="22">
        <f t="shared" si="31"/>
        <v>802.63128183985077</v>
      </c>
      <c r="E314" s="22"/>
      <c r="F314" s="23">
        <f t="shared" si="32"/>
        <v>378514.88618856133</v>
      </c>
      <c r="G314" s="22">
        <f t="shared" si="33"/>
        <v>1532485.1138114389</v>
      </c>
      <c r="H314" s="22">
        <f t="shared" si="34"/>
        <v>785598.32174546563</v>
      </c>
    </row>
    <row r="315" spans="1:8" x14ac:dyDescent="0.25">
      <c r="A315">
        <f t="shared" si="28"/>
        <v>308</v>
      </c>
      <c r="B315" s="22">
        <f t="shared" si="29"/>
        <v>7550.7603764068581</v>
      </c>
      <c r="C315" s="22">
        <f t="shared" si="30"/>
        <v>6762.1876968473553</v>
      </c>
      <c r="D315" s="22">
        <f t="shared" si="31"/>
        <v>788.57267955950272</v>
      </c>
      <c r="E315" s="22"/>
      <c r="F315" s="23">
        <f t="shared" si="32"/>
        <v>371752.69849171396</v>
      </c>
      <c r="G315" s="22">
        <f t="shared" si="33"/>
        <v>1539247.3015082863</v>
      </c>
      <c r="H315" s="22">
        <f t="shared" si="34"/>
        <v>786386.89442502509</v>
      </c>
    </row>
    <row r="316" spans="1:8" x14ac:dyDescent="0.25">
      <c r="A316">
        <f t="shared" si="28"/>
        <v>309</v>
      </c>
      <c r="B316" s="22">
        <f t="shared" si="29"/>
        <v>7550.7603764068581</v>
      </c>
      <c r="C316" s="22">
        <f t="shared" si="30"/>
        <v>6776.2755878824537</v>
      </c>
      <c r="D316" s="22">
        <f t="shared" si="31"/>
        <v>774.48478852440405</v>
      </c>
      <c r="E316" s="22"/>
      <c r="F316" s="23">
        <f t="shared" si="32"/>
        <v>364976.42290383152</v>
      </c>
      <c r="G316" s="22">
        <f t="shared" si="33"/>
        <v>1546023.5770961687</v>
      </c>
      <c r="H316" s="22">
        <f t="shared" si="34"/>
        <v>787161.37921354955</v>
      </c>
    </row>
    <row r="317" spans="1:8" x14ac:dyDescent="0.25">
      <c r="A317">
        <f t="shared" si="28"/>
        <v>310</v>
      </c>
      <c r="B317" s="22">
        <f t="shared" si="29"/>
        <v>7550.7603764068581</v>
      </c>
      <c r="C317" s="22">
        <f t="shared" si="30"/>
        <v>6790.392828690542</v>
      </c>
      <c r="D317" s="22">
        <f t="shared" si="31"/>
        <v>760.3675477163157</v>
      </c>
      <c r="E317" s="22"/>
      <c r="F317" s="23">
        <f t="shared" si="32"/>
        <v>358186.030075141</v>
      </c>
      <c r="G317" s="22">
        <f t="shared" si="33"/>
        <v>1552813.9699248592</v>
      </c>
      <c r="H317" s="22">
        <f t="shared" si="34"/>
        <v>787921.74676126591</v>
      </c>
    </row>
    <row r="318" spans="1:8" x14ac:dyDescent="0.25">
      <c r="A318">
        <f t="shared" si="28"/>
        <v>311</v>
      </c>
      <c r="B318" s="22">
        <f t="shared" si="29"/>
        <v>7550.7603764068581</v>
      </c>
      <c r="C318" s="22">
        <f t="shared" si="30"/>
        <v>6804.539480416981</v>
      </c>
      <c r="D318" s="22">
        <f t="shared" si="31"/>
        <v>746.22089598987702</v>
      </c>
      <c r="E318" s="22"/>
      <c r="F318" s="23">
        <f t="shared" si="32"/>
        <v>351381.49059472402</v>
      </c>
      <c r="G318" s="22">
        <f t="shared" si="33"/>
        <v>1559618.5094052763</v>
      </c>
      <c r="H318" s="22">
        <f t="shared" si="34"/>
        <v>788667.96765725582</v>
      </c>
    </row>
    <row r="319" spans="1:8" x14ac:dyDescent="0.25">
      <c r="A319">
        <f t="shared" si="28"/>
        <v>312</v>
      </c>
      <c r="B319" s="22">
        <f t="shared" si="29"/>
        <v>7550.7603764068581</v>
      </c>
      <c r="C319" s="22">
        <f t="shared" si="30"/>
        <v>6818.7156043345167</v>
      </c>
      <c r="D319" s="22">
        <f t="shared" si="31"/>
        <v>732.04477207234174</v>
      </c>
      <c r="E319" s="22"/>
      <c r="F319" s="23">
        <f t="shared" si="32"/>
        <v>344562.77499038947</v>
      </c>
      <c r="G319" s="22">
        <f t="shared" si="33"/>
        <v>1566437.2250096109</v>
      </c>
      <c r="H319" s="22">
        <f t="shared" si="34"/>
        <v>789400.01242932817</v>
      </c>
    </row>
    <row r="320" spans="1:8" x14ac:dyDescent="0.25">
      <c r="A320">
        <f t="shared" si="28"/>
        <v>313</v>
      </c>
      <c r="B320" s="22">
        <f t="shared" si="29"/>
        <v>7550.7603764068581</v>
      </c>
      <c r="C320" s="22">
        <f t="shared" si="30"/>
        <v>6832.9212618435467</v>
      </c>
      <c r="D320" s="22">
        <f t="shared" si="31"/>
        <v>717.83911456331134</v>
      </c>
      <c r="E320" s="22"/>
      <c r="F320" s="23">
        <f t="shared" si="32"/>
        <v>337729.85372854595</v>
      </c>
      <c r="G320" s="22">
        <f t="shared" si="33"/>
        <v>1573270.1462714544</v>
      </c>
      <c r="H320" s="22">
        <f t="shared" si="34"/>
        <v>790117.85154389148</v>
      </c>
    </row>
    <row r="321" spans="1:8" x14ac:dyDescent="0.25">
      <c r="A321">
        <f t="shared" si="28"/>
        <v>314</v>
      </c>
      <c r="B321" s="22">
        <f t="shared" si="29"/>
        <v>7550.7603764068581</v>
      </c>
      <c r="C321" s="22">
        <f t="shared" si="30"/>
        <v>6847.1565144723872</v>
      </c>
      <c r="D321" s="22">
        <f t="shared" si="31"/>
        <v>703.60386193447073</v>
      </c>
      <c r="E321" s="22"/>
      <c r="F321" s="23">
        <f t="shared" si="32"/>
        <v>330882.69721407356</v>
      </c>
      <c r="G321" s="22">
        <f t="shared" si="33"/>
        <v>1580117.3027859267</v>
      </c>
      <c r="H321" s="22">
        <f t="shared" si="34"/>
        <v>790821.45540582598</v>
      </c>
    </row>
    <row r="322" spans="1:8" x14ac:dyDescent="0.25">
      <c r="A322">
        <f t="shared" si="28"/>
        <v>315</v>
      </c>
      <c r="B322" s="22">
        <f t="shared" si="29"/>
        <v>7550.7603764068581</v>
      </c>
      <c r="C322" s="22">
        <f t="shared" si="30"/>
        <v>6861.4214238775385</v>
      </c>
      <c r="D322" s="22">
        <f t="shared" si="31"/>
        <v>689.33895252931995</v>
      </c>
      <c r="E322" s="22"/>
      <c r="F322" s="23">
        <f t="shared" si="32"/>
        <v>324021.27579019603</v>
      </c>
      <c r="G322" s="22">
        <f t="shared" si="33"/>
        <v>1586978.7242098043</v>
      </c>
      <c r="H322" s="22">
        <f t="shared" si="34"/>
        <v>791510.79435835534</v>
      </c>
    </row>
    <row r="323" spans="1:8" x14ac:dyDescent="0.25">
      <c r="A323">
        <f t="shared" si="28"/>
        <v>316</v>
      </c>
      <c r="B323" s="22">
        <f t="shared" si="29"/>
        <v>7550.7603764068581</v>
      </c>
      <c r="C323" s="22">
        <f t="shared" si="30"/>
        <v>6875.7160518439496</v>
      </c>
      <c r="D323" s="22">
        <f t="shared" si="31"/>
        <v>675.0443245629084</v>
      </c>
      <c r="E323" s="22"/>
      <c r="F323" s="23">
        <f t="shared" si="32"/>
        <v>317145.55973835208</v>
      </c>
      <c r="G323" s="22">
        <f t="shared" si="33"/>
        <v>1593854.4402616483</v>
      </c>
      <c r="H323" s="22">
        <f t="shared" si="34"/>
        <v>792185.83868291823</v>
      </c>
    </row>
    <row r="324" spans="1:8" x14ac:dyDescent="0.25">
      <c r="A324">
        <f t="shared" si="28"/>
        <v>317</v>
      </c>
      <c r="B324" s="22">
        <f t="shared" si="29"/>
        <v>7550.7603764068581</v>
      </c>
      <c r="C324" s="22">
        <f t="shared" si="30"/>
        <v>6890.0404602852914</v>
      </c>
      <c r="D324" s="22">
        <f t="shared" si="31"/>
        <v>660.71991612156683</v>
      </c>
      <c r="E324" s="22"/>
      <c r="F324" s="23">
        <f t="shared" si="32"/>
        <v>310255.51927806681</v>
      </c>
      <c r="G324" s="22">
        <f t="shared" si="33"/>
        <v>1600744.4807219335</v>
      </c>
      <c r="H324" s="22">
        <f t="shared" si="34"/>
        <v>792846.5585990398</v>
      </c>
    </row>
    <row r="325" spans="1:8" x14ac:dyDescent="0.25">
      <c r="A325">
        <f t="shared" si="28"/>
        <v>318</v>
      </c>
      <c r="B325" s="22">
        <f t="shared" si="29"/>
        <v>7550.7603764068581</v>
      </c>
      <c r="C325" s="22">
        <f t="shared" si="30"/>
        <v>6904.3947112442193</v>
      </c>
      <c r="D325" s="22">
        <f t="shared" si="31"/>
        <v>646.36566516263917</v>
      </c>
      <c r="E325" s="22"/>
      <c r="F325" s="23">
        <f t="shared" si="32"/>
        <v>303351.1245668226</v>
      </c>
      <c r="G325" s="22">
        <f t="shared" si="33"/>
        <v>1607648.8754331777</v>
      </c>
      <c r="H325" s="22">
        <f t="shared" si="34"/>
        <v>793492.92426420248</v>
      </c>
    </row>
    <row r="326" spans="1:8" x14ac:dyDescent="0.25">
      <c r="A326">
        <f t="shared" si="28"/>
        <v>319</v>
      </c>
      <c r="B326" s="22">
        <f t="shared" si="29"/>
        <v>7550.7603764068581</v>
      </c>
      <c r="C326" s="22">
        <f t="shared" si="30"/>
        <v>6918.7788668926441</v>
      </c>
      <c r="D326" s="22">
        <f t="shared" si="31"/>
        <v>631.98150951421371</v>
      </c>
      <c r="E326" s="22"/>
      <c r="F326" s="23">
        <f t="shared" si="32"/>
        <v>296432.34569992998</v>
      </c>
      <c r="G326" s="22">
        <f t="shared" si="33"/>
        <v>1614567.6543000704</v>
      </c>
      <c r="H326" s="22">
        <f t="shared" si="34"/>
        <v>794124.90577371675</v>
      </c>
    </row>
    <row r="327" spans="1:8" x14ac:dyDescent="0.25">
      <c r="A327">
        <f t="shared" si="28"/>
        <v>320</v>
      </c>
      <c r="B327" s="22">
        <f t="shared" si="29"/>
        <v>7550.7603764068581</v>
      </c>
      <c r="C327" s="22">
        <f t="shared" si="30"/>
        <v>6933.1929895320036</v>
      </c>
      <c r="D327" s="22">
        <f t="shared" si="31"/>
        <v>617.56738687485415</v>
      </c>
      <c r="E327" s="22"/>
      <c r="F327" s="23">
        <f t="shared" si="32"/>
        <v>289499.15271039796</v>
      </c>
      <c r="G327" s="22">
        <f t="shared" si="33"/>
        <v>1621500.8472896023</v>
      </c>
      <c r="H327" s="22">
        <f t="shared" si="34"/>
        <v>794742.47316059156</v>
      </c>
    </row>
    <row r="328" spans="1:8" x14ac:dyDescent="0.25">
      <c r="A328">
        <f t="shared" si="28"/>
        <v>321</v>
      </c>
      <c r="B328" s="22">
        <f t="shared" si="29"/>
        <v>7550.7603764068581</v>
      </c>
      <c r="C328" s="22">
        <f t="shared" si="30"/>
        <v>6947.6371415935291</v>
      </c>
      <c r="D328" s="22">
        <f t="shared" si="31"/>
        <v>603.12323481332908</v>
      </c>
      <c r="E328" s="22"/>
      <c r="F328" s="23">
        <f t="shared" si="32"/>
        <v>282551.5155688044</v>
      </c>
      <c r="G328" s="22">
        <f t="shared" si="33"/>
        <v>1628448.4844311958</v>
      </c>
      <c r="H328" s="22">
        <f t="shared" si="34"/>
        <v>795345.59639540489</v>
      </c>
    </row>
    <row r="329" spans="1:8" x14ac:dyDescent="0.25">
      <c r="A329">
        <f t="shared" si="28"/>
        <v>322</v>
      </c>
      <c r="B329" s="22">
        <f t="shared" si="29"/>
        <v>7550.7603764068581</v>
      </c>
      <c r="C329" s="22">
        <f t="shared" si="30"/>
        <v>6962.1113856385155</v>
      </c>
      <c r="D329" s="22">
        <f t="shared" si="31"/>
        <v>588.64899076834251</v>
      </c>
      <c r="E329" s="22"/>
      <c r="F329" s="23">
        <f t="shared" si="32"/>
        <v>275589.40418316587</v>
      </c>
      <c r="G329" s="22">
        <f t="shared" si="33"/>
        <v>1635410.5958168344</v>
      </c>
      <c r="H329" s="22">
        <f t="shared" si="34"/>
        <v>795934.24538617325</v>
      </c>
    </row>
    <row r="330" spans="1:8" x14ac:dyDescent="0.25">
      <c r="A330">
        <f t="shared" ref="A330:A367" si="35">IF(OR(F329&lt;0.01,A329=""),"",1+A329)</f>
        <v>323</v>
      </c>
      <c r="B330" s="22">
        <f t="shared" ref="B330:B367" si="36">IF(A330="","",IF(F329&lt;B329,F329+D330,B329))</f>
        <v>7550.7603764068581</v>
      </c>
      <c r="C330" s="22">
        <f t="shared" ref="C330:C367" si="37">IF(A330="","",B330-D330)</f>
        <v>6976.6157843585961</v>
      </c>
      <c r="D330" s="22">
        <f t="shared" ref="D330:D367" si="38">IF(A330="","",F329*$C$3)</f>
        <v>574.14459204826221</v>
      </c>
      <c r="E330" s="22"/>
      <c r="F330" s="23">
        <f t="shared" ref="F330:F367" si="39">IF(A330="","",F329-E330-C330)</f>
        <v>268612.78839880729</v>
      </c>
      <c r="G330" s="22">
        <f t="shared" ref="G330:G367" si="40">IF(A330="","",G329+E330+C330)</f>
        <v>1642387.2116011931</v>
      </c>
      <c r="H330" s="22">
        <f t="shared" ref="H330:H367" si="41">IF(A330="","",H329+D330)</f>
        <v>796508.3899782215</v>
      </c>
    </row>
    <row r="331" spans="1:8" x14ac:dyDescent="0.25">
      <c r="A331">
        <f t="shared" si="35"/>
        <v>324</v>
      </c>
      <c r="B331" s="22">
        <f t="shared" si="36"/>
        <v>7550.7603764068581</v>
      </c>
      <c r="C331" s="22">
        <f t="shared" si="37"/>
        <v>6991.1504005760098</v>
      </c>
      <c r="D331" s="22">
        <f t="shared" si="38"/>
        <v>559.6099758308485</v>
      </c>
      <c r="E331" s="22"/>
      <c r="F331" s="23">
        <f t="shared" si="39"/>
        <v>261621.63799823128</v>
      </c>
      <c r="G331" s="22">
        <f t="shared" si="40"/>
        <v>1649378.362001769</v>
      </c>
      <c r="H331" s="22">
        <f t="shared" si="41"/>
        <v>797067.99995405239</v>
      </c>
    </row>
    <row r="332" spans="1:8" x14ac:dyDescent="0.25">
      <c r="A332">
        <f t="shared" si="35"/>
        <v>325</v>
      </c>
      <c r="B332" s="22">
        <f t="shared" si="36"/>
        <v>7550.7603764068581</v>
      </c>
      <c r="C332" s="22">
        <f t="shared" si="37"/>
        <v>7005.7152972438762</v>
      </c>
      <c r="D332" s="22">
        <f t="shared" si="38"/>
        <v>545.04507916298178</v>
      </c>
      <c r="E332" s="22"/>
      <c r="F332" s="23">
        <f t="shared" si="39"/>
        <v>254615.9227009874</v>
      </c>
      <c r="G332" s="22">
        <f t="shared" si="40"/>
        <v>1656384.0772990128</v>
      </c>
      <c r="H332" s="22">
        <f t="shared" si="41"/>
        <v>797613.04503321531</v>
      </c>
    </row>
    <row r="333" spans="1:8" x14ac:dyDescent="0.25">
      <c r="A333">
        <f t="shared" si="35"/>
        <v>326</v>
      </c>
      <c r="B333" s="22">
        <f t="shared" si="36"/>
        <v>7550.7603764068581</v>
      </c>
      <c r="C333" s="22">
        <f t="shared" si="37"/>
        <v>7020.3105374464676</v>
      </c>
      <c r="D333" s="22">
        <f t="shared" si="38"/>
        <v>530.44983896039037</v>
      </c>
      <c r="E333" s="22"/>
      <c r="F333" s="23">
        <f t="shared" si="39"/>
        <v>247595.61216354094</v>
      </c>
      <c r="G333" s="22">
        <f t="shared" si="40"/>
        <v>1663404.3878364593</v>
      </c>
      <c r="H333" s="22">
        <f t="shared" si="41"/>
        <v>798143.49487217574</v>
      </c>
    </row>
    <row r="334" spans="1:8" x14ac:dyDescent="0.25">
      <c r="A334">
        <f t="shared" si="35"/>
        <v>327</v>
      </c>
      <c r="B334" s="22">
        <f t="shared" si="36"/>
        <v>7550.7603764068581</v>
      </c>
      <c r="C334" s="22">
        <f t="shared" si="37"/>
        <v>7034.9361843994811</v>
      </c>
      <c r="D334" s="22">
        <f t="shared" si="38"/>
        <v>515.82419200737695</v>
      </c>
      <c r="E334" s="22"/>
      <c r="F334" s="23">
        <f t="shared" si="39"/>
        <v>240560.67597914147</v>
      </c>
      <c r="G334" s="22">
        <f t="shared" si="40"/>
        <v>1670439.3240208589</v>
      </c>
      <c r="H334" s="22">
        <f t="shared" si="41"/>
        <v>798659.31906418316</v>
      </c>
    </row>
    <row r="335" spans="1:8" x14ac:dyDescent="0.25">
      <c r="A335">
        <f t="shared" si="35"/>
        <v>328</v>
      </c>
      <c r="B335" s="22">
        <f t="shared" si="36"/>
        <v>7550.7603764068581</v>
      </c>
      <c r="C335" s="22">
        <f t="shared" si="37"/>
        <v>7049.5923014503132</v>
      </c>
      <c r="D335" s="22">
        <f t="shared" si="38"/>
        <v>501.16807495654473</v>
      </c>
      <c r="E335" s="22"/>
      <c r="F335" s="23">
        <f t="shared" si="39"/>
        <v>233511.08367769115</v>
      </c>
      <c r="G335" s="22">
        <f t="shared" si="40"/>
        <v>1677488.9163223091</v>
      </c>
      <c r="H335" s="22">
        <f t="shared" si="41"/>
        <v>799160.48713913967</v>
      </c>
    </row>
    <row r="336" spans="1:8" x14ac:dyDescent="0.25">
      <c r="A336">
        <f t="shared" si="35"/>
        <v>329</v>
      </c>
      <c r="B336" s="22">
        <f t="shared" si="36"/>
        <v>7550.7603764068581</v>
      </c>
      <c r="C336" s="22">
        <f t="shared" si="37"/>
        <v>7064.2789520783354</v>
      </c>
      <c r="D336" s="22">
        <f t="shared" si="38"/>
        <v>486.48142432852319</v>
      </c>
      <c r="E336" s="22"/>
      <c r="F336" s="23">
        <f t="shared" si="39"/>
        <v>226446.8047256128</v>
      </c>
      <c r="G336" s="22">
        <f t="shared" si="40"/>
        <v>1684553.1952743875</v>
      </c>
      <c r="H336" s="22">
        <f t="shared" si="41"/>
        <v>799646.9685634682</v>
      </c>
    </row>
    <row r="337" spans="1:8" x14ac:dyDescent="0.25">
      <c r="A337">
        <f t="shared" si="35"/>
        <v>330</v>
      </c>
      <c r="B337" s="22">
        <f t="shared" si="36"/>
        <v>7550.7603764068581</v>
      </c>
      <c r="C337" s="22">
        <f t="shared" si="37"/>
        <v>7078.9961998951649</v>
      </c>
      <c r="D337" s="22">
        <f t="shared" si="38"/>
        <v>471.76417651169334</v>
      </c>
      <c r="E337" s="22"/>
      <c r="F337" s="23">
        <f t="shared" si="39"/>
        <v>219367.80852571764</v>
      </c>
      <c r="G337" s="22">
        <f t="shared" si="40"/>
        <v>1691632.1914742826</v>
      </c>
      <c r="H337" s="22">
        <f t="shared" si="41"/>
        <v>800118.73273997987</v>
      </c>
    </row>
    <row r="338" spans="1:8" x14ac:dyDescent="0.25">
      <c r="A338">
        <f t="shared" si="35"/>
        <v>331</v>
      </c>
      <c r="B338" s="22">
        <f t="shared" si="36"/>
        <v>7550.7603764068581</v>
      </c>
      <c r="C338" s="22">
        <f t="shared" si="37"/>
        <v>7093.7441086449462</v>
      </c>
      <c r="D338" s="22">
        <f t="shared" si="38"/>
        <v>457.01626776191176</v>
      </c>
      <c r="E338" s="22"/>
      <c r="F338" s="23">
        <f t="shared" si="39"/>
        <v>212274.06441707269</v>
      </c>
      <c r="G338" s="22">
        <f t="shared" si="40"/>
        <v>1698725.9355829277</v>
      </c>
      <c r="H338" s="22">
        <f t="shared" si="41"/>
        <v>800575.7490077418</v>
      </c>
    </row>
    <row r="339" spans="1:8" x14ac:dyDescent="0.25">
      <c r="A339">
        <f t="shared" si="35"/>
        <v>332</v>
      </c>
      <c r="B339" s="22">
        <f t="shared" si="36"/>
        <v>7550.7603764068581</v>
      </c>
      <c r="C339" s="22">
        <f t="shared" si="37"/>
        <v>7108.5227422046237</v>
      </c>
      <c r="D339" s="22">
        <f t="shared" si="38"/>
        <v>442.23763420223474</v>
      </c>
      <c r="E339" s="22"/>
      <c r="F339" s="23">
        <f t="shared" si="39"/>
        <v>205165.54167486806</v>
      </c>
      <c r="G339" s="22">
        <f t="shared" si="40"/>
        <v>1705834.4583251323</v>
      </c>
      <c r="H339" s="22">
        <f t="shared" si="41"/>
        <v>801017.98664194404</v>
      </c>
    </row>
    <row r="340" spans="1:8" x14ac:dyDescent="0.25">
      <c r="A340">
        <f t="shared" si="35"/>
        <v>333</v>
      </c>
      <c r="B340" s="22">
        <f t="shared" si="36"/>
        <v>7550.7603764068581</v>
      </c>
      <c r="C340" s="22">
        <f t="shared" si="37"/>
        <v>7123.3321645842161</v>
      </c>
      <c r="D340" s="22">
        <f t="shared" si="38"/>
        <v>427.4282118226418</v>
      </c>
      <c r="E340" s="22"/>
      <c r="F340" s="23">
        <f t="shared" si="39"/>
        <v>198042.20951028384</v>
      </c>
      <c r="G340" s="22">
        <f t="shared" si="40"/>
        <v>1712957.7904897165</v>
      </c>
      <c r="H340" s="22">
        <f t="shared" si="41"/>
        <v>801445.41485376668</v>
      </c>
    </row>
    <row r="341" spans="1:8" x14ac:dyDescent="0.25">
      <c r="A341">
        <f t="shared" si="35"/>
        <v>334</v>
      </c>
      <c r="B341" s="22">
        <f t="shared" si="36"/>
        <v>7550.7603764068581</v>
      </c>
      <c r="C341" s="22">
        <f t="shared" si="37"/>
        <v>7138.1724399270997</v>
      </c>
      <c r="D341" s="22">
        <f t="shared" si="38"/>
        <v>412.58793647975796</v>
      </c>
      <c r="E341" s="22"/>
      <c r="F341" s="23">
        <f t="shared" si="39"/>
        <v>190904.03707035675</v>
      </c>
      <c r="G341" s="22">
        <f t="shared" si="40"/>
        <v>1720095.9629296435</v>
      </c>
      <c r="H341" s="22">
        <f t="shared" si="41"/>
        <v>801858.00279024639</v>
      </c>
    </row>
    <row r="342" spans="1:8" x14ac:dyDescent="0.25">
      <c r="A342">
        <f t="shared" si="35"/>
        <v>335</v>
      </c>
      <c r="B342" s="22">
        <f t="shared" si="36"/>
        <v>7550.7603764068581</v>
      </c>
      <c r="C342" s="22">
        <f t="shared" si="37"/>
        <v>7153.0436325102819</v>
      </c>
      <c r="D342" s="22">
        <f t="shared" si="38"/>
        <v>397.71674389657653</v>
      </c>
      <c r="E342" s="22"/>
      <c r="F342" s="23">
        <f t="shared" si="39"/>
        <v>183750.99343784645</v>
      </c>
      <c r="G342" s="22">
        <f t="shared" si="40"/>
        <v>1727249.0065621538</v>
      </c>
      <c r="H342" s="22">
        <f t="shared" si="41"/>
        <v>802255.71953414299</v>
      </c>
    </row>
    <row r="343" spans="1:8" x14ac:dyDescent="0.25">
      <c r="A343">
        <f t="shared" si="35"/>
        <v>336</v>
      </c>
      <c r="B343" s="22">
        <f t="shared" si="36"/>
        <v>7550.7603764068581</v>
      </c>
      <c r="C343" s="22">
        <f t="shared" si="37"/>
        <v>7167.9458067446776</v>
      </c>
      <c r="D343" s="22">
        <f t="shared" si="38"/>
        <v>382.81456966218013</v>
      </c>
      <c r="E343" s="22"/>
      <c r="F343" s="23">
        <f t="shared" si="39"/>
        <v>176583.04763110177</v>
      </c>
      <c r="G343" s="22">
        <f t="shared" si="40"/>
        <v>1734416.9523688986</v>
      </c>
      <c r="H343" s="22">
        <f t="shared" si="41"/>
        <v>802638.5341038052</v>
      </c>
    </row>
    <row r="344" spans="1:8" x14ac:dyDescent="0.25">
      <c r="A344">
        <f t="shared" si="35"/>
        <v>337</v>
      </c>
      <c r="B344" s="22">
        <f t="shared" si="36"/>
        <v>7550.7603764068581</v>
      </c>
      <c r="C344" s="22">
        <f t="shared" si="37"/>
        <v>7182.879027175396</v>
      </c>
      <c r="D344" s="22">
        <f t="shared" si="38"/>
        <v>367.88134923146202</v>
      </c>
      <c r="E344" s="22"/>
      <c r="F344" s="23">
        <f t="shared" si="39"/>
        <v>169400.16860392637</v>
      </c>
      <c r="G344" s="22">
        <f t="shared" si="40"/>
        <v>1741599.831396074</v>
      </c>
      <c r="H344" s="22">
        <f t="shared" si="41"/>
        <v>803006.41545303666</v>
      </c>
    </row>
    <row r="345" spans="1:8" x14ac:dyDescent="0.25">
      <c r="A345">
        <f t="shared" si="35"/>
        <v>338</v>
      </c>
      <c r="B345" s="22">
        <f t="shared" si="36"/>
        <v>7550.7603764068581</v>
      </c>
      <c r="C345" s="22">
        <f t="shared" si="37"/>
        <v>7197.8433584820114</v>
      </c>
      <c r="D345" s="22">
        <f t="shared" si="38"/>
        <v>352.91701792484662</v>
      </c>
      <c r="E345" s="22"/>
      <c r="F345" s="23">
        <f t="shared" si="39"/>
        <v>162202.32524544437</v>
      </c>
      <c r="G345" s="22">
        <f t="shared" si="40"/>
        <v>1748797.674754556</v>
      </c>
      <c r="H345" s="22">
        <f t="shared" si="41"/>
        <v>803359.3324709615</v>
      </c>
    </row>
    <row r="346" spans="1:8" x14ac:dyDescent="0.25">
      <c r="A346">
        <f t="shared" si="35"/>
        <v>339</v>
      </c>
      <c r="B346" s="22">
        <f t="shared" si="36"/>
        <v>7550.7603764068581</v>
      </c>
      <c r="C346" s="22">
        <f t="shared" si="37"/>
        <v>7212.8388654788487</v>
      </c>
      <c r="D346" s="22">
        <f t="shared" si="38"/>
        <v>337.92151092800913</v>
      </c>
      <c r="E346" s="22"/>
      <c r="F346" s="23">
        <f t="shared" si="39"/>
        <v>154989.48637996553</v>
      </c>
      <c r="G346" s="22">
        <f t="shared" si="40"/>
        <v>1756010.5136200348</v>
      </c>
      <c r="H346" s="22">
        <f t="shared" si="41"/>
        <v>803697.25398188946</v>
      </c>
    </row>
    <row r="347" spans="1:8" x14ac:dyDescent="0.25">
      <c r="A347">
        <f t="shared" si="35"/>
        <v>340</v>
      </c>
      <c r="B347" s="22">
        <f t="shared" si="36"/>
        <v>7550.7603764068581</v>
      </c>
      <c r="C347" s="22">
        <f t="shared" si="37"/>
        <v>7227.8656131152629</v>
      </c>
      <c r="D347" s="22">
        <f t="shared" si="38"/>
        <v>322.89476329159487</v>
      </c>
      <c r="E347" s="22"/>
      <c r="F347" s="23">
        <f t="shared" si="39"/>
        <v>147761.62076685028</v>
      </c>
      <c r="G347" s="22">
        <f t="shared" si="40"/>
        <v>1763238.37923315</v>
      </c>
      <c r="H347" s="22">
        <f t="shared" si="41"/>
        <v>804020.14874518104</v>
      </c>
    </row>
    <row r="348" spans="1:8" x14ac:dyDescent="0.25">
      <c r="A348">
        <f t="shared" si="35"/>
        <v>341</v>
      </c>
      <c r="B348" s="22">
        <f t="shared" si="36"/>
        <v>7550.7603764068581</v>
      </c>
      <c r="C348" s="22">
        <f t="shared" si="37"/>
        <v>7242.9236664759201</v>
      </c>
      <c r="D348" s="22">
        <f t="shared" si="38"/>
        <v>307.83670993093807</v>
      </c>
      <c r="E348" s="22"/>
      <c r="F348" s="23">
        <f t="shared" si="39"/>
        <v>140518.69710037435</v>
      </c>
      <c r="G348" s="22">
        <f t="shared" si="40"/>
        <v>1770481.3028996259</v>
      </c>
      <c r="H348" s="22">
        <f t="shared" si="41"/>
        <v>804327.98545511195</v>
      </c>
    </row>
    <row r="349" spans="1:8" x14ac:dyDescent="0.25">
      <c r="A349">
        <f t="shared" si="35"/>
        <v>342</v>
      </c>
      <c r="B349" s="22">
        <f t="shared" si="36"/>
        <v>7550.7603764068581</v>
      </c>
      <c r="C349" s="22">
        <f t="shared" si="37"/>
        <v>7258.0130907810781</v>
      </c>
      <c r="D349" s="22">
        <f t="shared" si="38"/>
        <v>292.74728562577991</v>
      </c>
      <c r="E349" s="22"/>
      <c r="F349" s="23">
        <f t="shared" si="39"/>
        <v>133260.68400959327</v>
      </c>
      <c r="G349" s="22">
        <f t="shared" si="40"/>
        <v>1777739.315990407</v>
      </c>
      <c r="H349" s="22">
        <f t="shared" si="41"/>
        <v>804620.73274073773</v>
      </c>
    </row>
    <row r="350" spans="1:8" x14ac:dyDescent="0.25">
      <c r="A350">
        <f t="shared" si="35"/>
        <v>343</v>
      </c>
      <c r="B350" s="22">
        <f t="shared" si="36"/>
        <v>7550.7603764068581</v>
      </c>
      <c r="C350" s="22">
        <f t="shared" si="37"/>
        <v>7273.1339513868725</v>
      </c>
      <c r="D350" s="22">
        <f t="shared" si="38"/>
        <v>277.62642501998596</v>
      </c>
      <c r="E350" s="22"/>
      <c r="F350" s="23">
        <f t="shared" si="39"/>
        <v>125987.5500582064</v>
      </c>
      <c r="G350" s="22">
        <f t="shared" si="40"/>
        <v>1785012.4499417939</v>
      </c>
      <c r="H350" s="22">
        <f t="shared" si="41"/>
        <v>804898.35916575766</v>
      </c>
    </row>
    <row r="351" spans="1:8" x14ac:dyDescent="0.25">
      <c r="A351">
        <f t="shared" si="35"/>
        <v>344</v>
      </c>
      <c r="B351" s="22">
        <f t="shared" si="36"/>
        <v>7550.7603764068581</v>
      </c>
      <c r="C351" s="22">
        <f t="shared" si="37"/>
        <v>7288.2863137855948</v>
      </c>
      <c r="D351" s="22">
        <f t="shared" si="38"/>
        <v>262.47406262126333</v>
      </c>
      <c r="E351" s="22"/>
      <c r="F351" s="23">
        <f t="shared" si="39"/>
        <v>118699.26374442081</v>
      </c>
      <c r="G351" s="22">
        <f t="shared" si="40"/>
        <v>1792300.7362555796</v>
      </c>
      <c r="H351" s="22">
        <f t="shared" si="41"/>
        <v>805160.83322837891</v>
      </c>
    </row>
    <row r="352" spans="1:8" x14ac:dyDescent="0.25">
      <c r="A352">
        <f t="shared" si="35"/>
        <v>345</v>
      </c>
      <c r="B352" s="22">
        <f t="shared" si="36"/>
        <v>7550.7603764068581</v>
      </c>
      <c r="C352" s="22">
        <f t="shared" si="37"/>
        <v>7303.4702436059815</v>
      </c>
      <c r="D352" s="22">
        <f t="shared" si="38"/>
        <v>247.29013280087668</v>
      </c>
      <c r="E352" s="22"/>
      <c r="F352" s="23">
        <f t="shared" si="39"/>
        <v>111395.79350081482</v>
      </c>
      <c r="G352" s="22">
        <f t="shared" si="40"/>
        <v>1799604.2064991856</v>
      </c>
      <c r="H352" s="22">
        <f t="shared" si="41"/>
        <v>805408.12336117984</v>
      </c>
    </row>
    <row r="353" spans="1:8" x14ac:dyDescent="0.25">
      <c r="A353">
        <f t="shared" si="35"/>
        <v>346</v>
      </c>
      <c r="B353" s="22">
        <f t="shared" si="36"/>
        <v>7550.7603764068581</v>
      </c>
      <c r="C353" s="22">
        <f t="shared" si="37"/>
        <v>7318.6858066134937</v>
      </c>
      <c r="D353" s="22">
        <f t="shared" si="38"/>
        <v>232.07456979336419</v>
      </c>
      <c r="E353" s="22"/>
      <c r="F353" s="23">
        <f t="shared" si="39"/>
        <v>104077.10769420133</v>
      </c>
      <c r="G353" s="22">
        <f t="shared" si="40"/>
        <v>1806922.8923057991</v>
      </c>
      <c r="H353" s="22">
        <f t="shared" si="41"/>
        <v>805640.19793097326</v>
      </c>
    </row>
    <row r="354" spans="1:8" x14ac:dyDescent="0.25">
      <c r="A354">
        <f t="shared" si="35"/>
        <v>347</v>
      </c>
      <c r="B354" s="22">
        <f t="shared" si="36"/>
        <v>7550.7603764068581</v>
      </c>
      <c r="C354" s="22">
        <f t="shared" si="37"/>
        <v>7333.9330687106049</v>
      </c>
      <c r="D354" s="22">
        <f t="shared" si="38"/>
        <v>216.82730769625277</v>
      </c>
      <c r="E354" s="22"/>
      <c r="F354" s="23">
        <f t="shared" si="39"/>
        <v>96743.174625490734</v>
      </c>
      <c r="G354" s="22">
        <f t="shared" si="40"/>
        <v>1814256.8253745097</v>
      </c>
      <c r="H354" s="22">
        <f t="shared" si="41"/>
        <v>805857.02523866948</v>
      </c>
    </row>
    <row r="355" spans="1:8" x14ac:dyDescent="0.25">
      <c r="A355">
        <f t="shared" si="35"/>
        <v>348</v>
      </c>
      <c r="B355" s="22">
        <f t="shared" si="36"/>
        <v>7550.7603764068581</v>
      </c>
      <c r="C355" s="22">
        <f t="shared" si="37"/>
        <v>7349.2120959370859</v>
      </c>
      <c r="D355" s="22">
        <f t="shared" si="38"/>
        <v>201.54828046977235</v>
      </c>
      <c r="E355" s="22"/>
      <c r="F355" s="23">
        <f t="shared" si="39"/>
        <v>89393.962529553653</v>
      </c>
      <c r="G355" s="22">
        <f t="shared" si="40"/>
        <v>1821606.0374704467</v>
      </c>
      <c r="H355" s="22">
        <f t="shared" si="41"/>
        <v>806058.5735191392</v>
      </c>
    </row>
    <row r="356" spans="1:8" x14ac:dyDescent="0.25">
      <c r="A356">
        <f t="shared" si="35"/>
        <v>349</v>
      </c>
      <c r="B356" s="22">
        <f t="shared" si="36"/>
        <v>7550.7603764068581</v>
      </c>
      <c r="C356" s="22">
        <f t="shared" si="37"/>
        <v>7364.5229544702879</v>
      </c>
      <c r="D356" s="22">
        <f t="shared" si="38"/>
        <v>186.23742193657012</v>
      </c>
      <c r="E356" s="22"/>
      <c r="F356" s="23">
        <f t="shared" si="39"/>
        <v>82029.439575083365</v>
      </c>
      <c r="G356" s="22">
        <f t="shared" si="40"/>
        <v>1828970.5604249169</v>
      </c>
      <c r="H356" s="22">
        <f t="shared" si="41"/>
        <v>806244.81094107579</v>
      </c>
    </row>
    <row r="357" spans="1:8" x14ac:dyDescent="0.25">
      <c r="A357">
        <f t="shared" si="35"/>
        <v>350</v>
      </c>
      <c r="B357" s="22">
        <f t="shared" si="36"/>
        <v>7550.7603764068581</v>
      </c>
      <c r="C357" s="22">
        <f t="shared" si="37"/>
        <v>7379.8657106254341</v>
      </c>
      <c r="D357" s="22">
        <f t="shared" si="38"/>
        <v>170.89466578142367</v>
      </c>
      <c r="E357" s="22"/>
      <c r="F357" s="23">
        <f t="shared" si="39"/>
        <v>74649.573864457925</v>
      </c>
      <c r="G357" s="22">
        <f t="shared" si="40"/>
        <v>1836350.4261355423</v>
      </c>
      <c r="H357" s="22">
        <f t="shared" si="41"/>
        <v>806415.7056068572</v>
      </c>
    </row>
    <row r="358" spans="1:8" x14ac:dyDescent="0.25">
      <c r="A358">
        <f t="shared" si="35"/>
        <v>351</v>
      </c>
      <c r="B358" s="22">
        <f t="shared" si="36"/>
        <v>7550.7603764068581</v>
      </c>
      <c r="C358" s="22">
        <f t="shared" si="37"/>
        <v>7395.2404308559044</v>
      </c>
      <c r="D358" s="22">
        <f t="shared" si="38"/>
        <v>155.51994555095402</v>
      </c>
      <c r="E358" s="22"/>
      <c r="F358" s="23">
        <f t="shared" si="39"/>
        <v>67254.33343360202</v>
      </c>
      <c r="G358" s="22">
        <f t="shared" si="40"/>
        <v>1843745.6665663982</v>
      </c>
      <c r="H358" s="22">
        <f t="shared" si="41"/>
        <v>806571.22555240814</v>
      </c>
    </row>
    <row r="359" spans="1:8" x14ac:dyDescent="0.25">
      <c r="A359">
        <f t="shared" si="35"/>
        <v>352</v>
      </c>
      <c r="B359" s="22">
        <f t="shared" si="36"/>
        <v>7550.7603764068581</v>
      </c>
      <c r="C359" s="22">
        <f t="shared" si="37"/>
        <v>7410.6471817535203</v>
      </c>
      <c r="D359" s="22">
        <f t="shared" si="38"/>
        <v>140.11319465333753</v>
      </c>
      <c r="E359" s="22"/>
      <c r="F359" s="23">
        <f t="shared" si="39"/>
        <v>59843.6862518485</v>
      </c>
      <c r="G359" s="22">
        <f t="shared" si="40"/>
        <v>1851156.3137481518</v>
      </c>
      <c r="H359" s="22">
        <f t="shared" si="41"/>
        <v>806711.33874706144</v>
      </c>
    </row>
    <row r="360" spans="1:8" x14ac:dyDescent="0.25">
      <c r="A360">
        <f t="shared" si="35"/>
        <v>353</v>
      </c>
      <c r="B360" s="22">
        <f t="shared" si="36"/>
        <v>7550.7603764068581</v>
      </c>
      <c r="C360" s="22">
        <f t="shared" si="37"/>
        <v>7426.0860300488403</v>
      </c>
      <c r="D360" s="22">
        <f t="shared" si="38"/>
        <v>124.6743463580177</v>
      </c>
      <c r="E360" s="22"/>
      <c r="F360" s="23">
        <f t="shared" si="39"/>
        <v>52417.600221799657</v>
      </c>
      <c r="G360" s="22">
        <f t="shared" si="40"/>
        <v>1858582.3997782005</v>
      </c>
      <c r="H360" s="22">
        <f t="shared" si="41"/>
        <v>806836.01309341949</v>
      </c>
    </row>
    <row r="361" spans="1:8" x14ac:dyDescent="0.25">
      <c r="A361">
        <f t="shared" si="35"/>
        <v>354</v>
      </c>
      <c r="B361" s="22">
        <f t="shared" si="36"/>
        <v>7550.7603764068581</v>
      </c>
      <c r="C361" s="22">
        <f t="shared" si="37"/>
        <v>7441.5570426114418</v>
      </c>
      <c r="D361" s="22">
        <f t="shared" si="38"/>
        <v>109.20333379541596</v>
      </c>
      <c r="E361" s="22"/>
      <c r="F361" s="23">
        <f t="shared" si="39"/>
        <v>44976.043179188215</v>
      </c>
      <c r="G361" s="22">
        <f t="shared" si="40"/>
        <v>1866023.9568208121</v>
      </c>
      <c r="H361" s="22">
        <f t="shared" si="41"/>
        <v>806945.21642721491</v>
      </c>
    </row>
    <row r="362" spans="1:8" x14ac:dyDescent="0.25">
      <c r="A362">
        <f t="shared" si="35"/>
        <v>355</v>
      </c>
      <c r="B362" s="22">
        <f t="shared" si="36"/>
        <v>7550.7603764068581</v>
      </c>
      <c r="C362" s="22">
        <f t="shared" si="37"/>
        <v>7457.0602864502162</v>
      </c>
      <c r="D362" s="22">
        <f t="shared" si="38"/>
        <v>93.700089956642117</v>
      </c>
      <c r="E362" s="22"/>
      <c r="F362" s="23">
        <f t="shared" si="39"/>
        <v>37518.982892738</v>
      </c>
      <c r="G362" s="22">
        <f t="shared" si="40"/>
        <v>1873481.0171072623</v>
      </c>
      <c r="H362" s="22">
        <f t="shared" si="41"/>
        <v>807038.91651717154</v>
      </c>
    </row>
    <row r="363" spans="1:8" x14ac:dyDescent="0.25">
      <c r="A363">
        <f t="shared" si="35"/>
        <v>356</v>
      </c>
      <c r="B363" s="22">
        <f t="shared" si="36"/>
        <v>7550.7603764068581</v>
      </c>
      <c r="C363" s="22">
        <f t="shared" si="37"/>
        <v>7472.5958287136536</v>
      </c>
      <c r="D363" s="22">
        <f t="shared" si="38"/>
        <v>78.16454769320417</v>
      </c>
      <c r="E363" s="22"/>
      <c r="F363" s="23">
        <f t="shared" si="39"/>
        <v>30046.387064024348</v>
      </c>
      <c r="G363" s="22">
        <f t="shared" si="40"/>
        <v>1880953.6129359759</v>
      </c>
      <c r="H363" s="22">
        <f t="shared" si="41"/>
        <v>807117.08106486476</v>
      </c>
    </row>
    <row r="364" spans="1:8" x14ac:dyDescent="0.25">
      <c r="A364">
        <f t="shared" si="35"/>
        <v>357</v>
      </c>
      <c r="B364" s="22">
        <f t="shared" si="36"/>
        <v>7550.7603764068581</v>
      </c>
      <c r="C364" s="22">
        <f t="shared" si="37"/>
        <v>7488.1637366901405</v>
      </c>
      <c r="D364" s="22">
        <f t="shared" si="38"/>
        <v>62.596639716717391</v>
      </c>
      <c r="E364" s="22"/>
      <c r="F364" s="23">
        <f t="shared" si="39"/>
        <v>22558.223327334206</v>
      </c>
      <c r="G364" s="22">
        <f t="shared" si="40"/>
        <v>1888441.776672666</v>
      </c>
      <c r="H364" s="22">
        <f t="shared" si="41"/>
        <v>807179.67770458153</v>
      </c>
    </row>
    <row r="365" spans="1:8" x14ac:dyDescent="0.25">
      <c r="A365">
        <f t="shared" si="35"/>
        <v>358</v>
      </c>
      <c r="B365" s="22">
        <f t="shared" si="36"/>
        <v>7550.7603764068581</v>
      </c>
      <c r="C365" s="22">
        <f t="shared" si="37"/>
        <v>7503.764077808245</v>
      </c>
      <c r="D365" s="22">
        <f t="shared" si="38"/>
        <v>46.996298598612931</v>
      </c>
      <c r="E365" s="22"/>
      <c r="F365" s="23">
        <f t="shared" si="39"/>
        <v>15054.45924952596</v>
      </c>
      <c r="G365" s="22">
        <f t="shared" si="40"/>
        <v>1895945.5407504742</v>
      </c>
      <c r="H365" s="22">
        <f t="shared" si="41"/>
        <v>807226.67400318012</v>
      </c>
    </row>
    <row r="366" spans="1:8" x14ac:dyDescent="0.25">
      <c r="A366">
        <f t="shared" si="35"/>
        <v>359</v>
      </c>
      <c r="B366" s="22">
        <f t="shared" si="36"/>
        <v>7550.7603764068581</v>
      </c>
      <c r="C366" s="22">
        <f t="shared" si="37"/>
        <v>7519.3969196370126</v>
      </c>
      <c r="D366" s="22">
        <f t="shared" si="38"/>
        <v>31.363456769845751</v>
      </c>
      <c r="E366" s="22"/>
      <c r="F366" s="23">
        <f t="shared" si="39"/>
        <v>7535.0623298889477</v>
      </c>
      <c r="G366" s="22">
        <f t="shared" si="40"/>
        <v>1903464.9376701112</v>
      </c>
      <c r="H366" s="22">
        <f t="shared" si="41"/>
        <v>807258.03745994996</v>
      </c>
    </row>
    <row r="367" spans="1:8" x14ac:dyDescent="0.25">
      <c r="A367">
        <f t="shared" si="35"/>
        <v>360</v>
      </c>
      <c r="B367" s="22">
        <f t="shared" si="36"/>
        <v>7550.7603764095493</v>
      </c>
      <c r="C367" s="22">
        <f t="shared" si="37"/>
        <v>7535.0623298889477</v>
      </c>
      <c r="D367" s="22">
        <f t="shared" si="38"/>
        <v>15.698046520601974</v>
      </c>
      <c r="E367" s="22"/>
      <c r="F367" s="23">
        <f t="shared" si="39"/>
        <v>0</v>
      </c>
      <c r="G367" s="22">
        <f t="shared" si="40"/>
        <v>1911000.0000000002</v>
      </c>
      <c r="H367" s="22">
        <f t="shared" si="41"/>
        <v>807273.73550647055</v>
      </c>
    </row>
    <row r="368" spans="1:8" x14ac:dyDescent="0.25">
      <c r="B368" s="22"/>
      <c r="C368" s="22"/>
      <c r="D368" s="22"/>
      <c r="E368" s="22"/>
      <c r="F368" s="2"/>
      <c r="G368" s="22"/>
      <c r="H368" s="2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1"/>
  <sheetViews>
    <sheetView topLeftCell="A160" zoomScale="70" zoomScaleNormal="70" workbookViewId="0">
      <selection activeCell="F176" sqref="F176"/>
    </sheetView>
  </sheetViews>
  <sheetFormatPr defaultRowHeight="15" x14ac:dyDescent="0.25"/>
  <cols>
    <col min="1" max="1" width="6.85546875" style="31" customWidth="1"/>
    <col min="2" max="2" width="25.28515625" style="31" customWidth="1"/>
    <col min="3" max="3" width="17.42578125" style="31" bestFit="1" customWidth="1"/>
    <col min="4" max="4" width="16.42578125" style="31" bestFit="1" customWidth="1"/>
    <col min="5" max="6" width="16.85546875" style="31" bestFit="1" customWidth="1"/>
    <col min="7" max="7" width="18.7109375" style="31" customWidth="1"/>
    <col min="8" max="8" width="17.28515625" style="31" customWidth="1"/>
    <col min="9" max="9" width="19.42578125" style="31" customWidth="1"/>
    <col min="10" max="10" width="18.140625" style="31" customWidth="1"/>
    <col min="11" max="11" width="17.5703125" style="31" customWidth="1"/>
    <col min="12" max="12" width="18.42578125" style="31" customWidth="1"/>
    <col min="13" max="13" width="17.5703125" style="31" customWidth="1"/>
    <col min="14" max="14" width="16.28515625" style="31" customWidth="1"/>
    <col min="15" max="15" width="17.7109375" style="31" customWidth="1"/>
    <col min="16" max="16" width="17.85546875" style="31" customWidth="1"/>
    <col min="17" max="17" width="16.5703125" style="31" customWidth="1"/>
    <col min="18" max="18" width="15.7109375" style="31" bestFit="1" customWidth="1"/>
    <col min="19" max="20" width="9.140625" style="31"/>
    <col min="21" max="21" width="13.85546875" style="31" customWidth="1"/>
    <col min="22" max="22" width="11" style="31" bestFit="1" customWidth="1"/>
    <col min="23" max="16384" width="9.140625" style="31"/>
  </cols>
  <sheetData>
    <row r="1" spans="1:16" x14ac:dyDescent="0.25">
      <c r="A1" s="35" t="s">
        <v>0</v>
      </c>
    </row>
    <row r="2" spans="1:16" x14ac:dyDescent="0.25">
      <c r="N2" s="35" t="s">
        <v>4</v>
      </c>
      <c r="O2" s="35"/>
      <c r="P2" s="35"/>
    </row>
    <row r="3" spans="1:16" ht="18.75" x14ac:dyDescent="0.3">
      <c r="A3" s="5" t="s">
        <v>1</v>
      </c>
      <c r="B3" s="32"/>
      <c r="C3" s="32"/>
      <c r="D3" s="5">
        <v>2013</v>
      </c>
      <c r="E3" s="5">
        <v>2014</v>
      </c>
      <c r="F3" s="5">
        <v>2015</v>
      </c>
      <c r="G3" s="5">
        <v>2016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33"/>
      <c r="O3" s="35"/>
      <c r="P3" s="35"/>
    </row>
    <row r="4" spans="1:16" ht="18.75" x14ac:dyDescent="0.3">
      <c r="A4" s="5" t="s">
        <v>10</v>
      </c>
      <c r="B4" s="32"/>
      <c r="C4" s="32"/>
      <c r="D4" s="5"/>
      <c r="E4" s="5"/>
      <c r="F4" s="5"/>
      <c r="G4" s="5"/>
      <c r="H4" s="5"/>
      <c r="I4" s="5"/>
      <c r="J4" s="5"/>
      <c r="K4" s="5"/>
      <c r="L4" s="5"/>
      <c r="M4" s="5"/>
      <c r="N4" s="33"/>
      <c r="O4" s="35"/>
      <c r="P4" s="35"/>
    </row>
    <row r="5" spans="1:16" x14ac:dyDescent="0.25">
      <c r="A5" s="31" t="s">
        <v>3</v>
      </c>
      <c r="D5" s="31">
        <v>7</v>
      </c>
      <c r="E5" s="13">
        <f>D5*(1+$N$5)</f>
        <v>7.42</v>
      </c>
      <c r="F5" s="13">
        <f t="shared" ref="F5:M5" si="0">E5*(1+$N$5)</f>
        <v>7.8652000000000006</v>
      </c>
      <c r="G5" s="13">
        <f t="shared" si="0"/>
        <v>8.3371120000000012</v>
      </c>
      <c r="H5" s="13">
        <f t="shared" si="0"/>
        <v>8.8373387200000018</v>
      </c>
      <c r="I5" s="13">
        <f t="shared" si="0"/>
        <v>9.3675790432000028</v>
      </c>
      <c r="J5" s="13">
        <f>I5*(1+$N$5)</f>
        <v>9.929633785792003</v>
      </c>
      <c r="K5" s="13">
        <f>J5*(1+$N$5)</f>
        <v>10.525411812939524</v>
      </c>
      <c r="L5" s="13">
        <f t="shared" si="0"/>
        <v>11.156936521715895</v>
      </c>
      <c r="M5" s="13">
        <f t="shared" si="0"/>
        <v>11.826352713018849</v>
      </c>
      <c r="N5" s="45">
        <v>0.06</v>
      </c>
      <c r="O5" s="35"/>
      <c r="P5" s="35"/>
    </row>
    <row r="6" spans="1:16" x14ac:dyDescent="0.25">
      <c r="A6" s="31" t="s">
        <v>2</v>
      </c>
      <c r="D6" s="31">
        <v>10</v>
      </c>
      <c r="E6" s="36">
        <f>D6*(1+$N$6)</f>
        <v>10.600000000000001</v>
      </c>
      <c r="F6" s="36">
        <f t="shared" ref="F6:M6" si="1">E6*(1+$N$6)</f>
        <v>11.236000000000002</v>
      </c>
      <c r="G6" s="36">
        <f t="shared" si="1"/>
        <v>11.910160000000003</v>
      </c>
      <c r="H6" s="36">
        <f t="shared" si="1"/>
        <v>12.624769600000004</v>
      </c>
      <c r="I6" s="36">
        <f t="shared" si="1"/>
        <v>13.382255776000004</v>
      </c>
      <c r="J6" s="36">
        <f t="shared" si="1"/>
        <v>14.185191122560006</v>
      </c>
      <c r="K6" s="36">
        <f t="shared" si="1"/>
        <v>15.036302589913607</v>
      </c>
      <c r="L6" s="36">
        <f t="shared" si="1"/>
        <v>15.938480745308425</v>
      </c>
      <c r="M6" s="36">
        <f t="shared" si="1"/>
        <v>16.894789590026932</v>
      </c>
      <c r="N6" s="46">
        <v>0.06</v>
      </c>
      <c r="O6" s="35"/>
      <c r="P6" s="35"/>
    </row>
    <row r="7" spans="1:16" x14ac:dyDescent="0.25">
      <c r="A7" s="31" t="s">
        <v>5</v>
      </c>
      <c r="D7" s="31">
        <v>2</v>
      </c>
      <c r="E7" s="36">
        <f>D7*(1+$N$7)</f>
        <v>2.2800000000000002</v>
      </c>
      <c r="F7" s="36">
        <f t="shared" ref="F7:M7" si="2">E7*(1+$N$7)</f>
        <v>2.5992000000000006</v>
      </c>
      <c r="G7" s="36">
        <f t="shared" si="2"/>
        <v>2.9630880000000008</v>
      </c>
      <c r="H7" s="36">
        <f t="shared" si="2"/>
        <v>3.3779203200000012</v>
      </c>
      <c r="I7" s="36">
        <f t="shared" si="2"/>
        <v>3.8508291648000017</v>
      </c>
      <c r="J7" s="36">
        <f t="shared" si="2"/>
        <v>4.389945247872002</v>
      </c>
      <c r="K7" s="36">
        <f t="shared" si="2"/>
        <v>5.0045375825740832</v>
      </c>
      <c r="L7" s="36">
        <f t="shared" si="2"/>
        <v>5.7051728441344558</v>
      </c>
      <c r="M7" s="36">
        <f t="shared" si="2"/>
        <v>6.5038970423132803</v>
      </c>
      <c r="N7" s="46">
        <v>0.14000000000000001</v>
      </c>
      <c r="O7" s="35"/>
      <c r="P7" s="35"/>
    </row>
    <row r="8" spans="1:16" x14ac:dyDescent="0.25">
      <c r="A8" s="31" t="s">
        <v>6</v>
      </c>
      <c r="D8" s="31">
        <f>10</f>
        <v>10</v>
      </c>
      <c r="E8" s="31">
        <f>10</f>
        <v>10</v>
      </c>
      <c r="F8" s="31">
        <f>10</f>
        <v>10</v>
      </c>
      <c r="G8" s="31">
        <f>10</f>
        <v>10</v>
      </c>
      <c r="H8" s="31">
        <v>10</v>
      </c>
      <c r="I8" s="31">
        <f>10</f>
        <v>10</v>
      </c>
      <c r="J8" s="31">
        <v>10</v>
      </c>
      <c r="K8" s="31">
        <v>10</v>
      </c>
      <c r="L8" s="31">
        <v>10</v>
      </c>
      <c r="M8" s="31">
        <v>10</v>
      </c>
      <c r="N8" s="35">
        <v>0</v>
      </c>
      <c r="O8" s="35"/>
      <c r="P8" s="35"/>
    </row>
    <row r="9" spans="1:16" x14ac:dyDescent="0.25">
      <c r="A9" s="31" t="s">
        <v>7</v>
      </c>
      <c r="D9" s="31">
        <v>8</v>
      </c>
      <c r="E9" s="36">
        <f>D9*(1+$N$9)</f>
        <v>8.16</v>
      </c>
      <c r="F9" s="36">
        <f t="shared" ref="F9:M9" si="3">E9*(1+$N$9)</f>
        <v>8.3231999999999999</v>
      </c>
      <c r="G9" s="36">
        <f t="shared" si="3"/>
        <v>8.4896639999999994</v>
      </c>
      <c r="H9" s="36">
        <f t="shared" si="3"/>
        <v>8.6594572799999998</v>
      </c>
      <c r="I9" s="36">
        <f t="shared" si="3"/>
        <v>8.8326464256000001</v>
      </c>
      <c r="J9" s="36">
        <f t="shared" si="3"/>
        <v>9.0092993541120006</v>
      </c>
      <c r="K9" s="36">
        <f t="shared" si="3"/>
        <v>9.1894853411942403</v>
      </c>
      <c r="L9" s="36">
        <f t="shared" si="3"/>
        <v>9.3732750480181259</v>
      </c>
      <c r="M9" s="36">
        <f t="shared" si="3"/>
        <v>9.5607405489784885</v>
      </c>
      <c r="N9" s="47">
        <v>0.02</v>
      </c>
      <c r="O9" s="35"/>
      <c r="P9" s="35"/>
    </row>
    <row r="10" spans="1:16" x14ac:dyDescent="0.25">
      <c r="A10" s="31" t="s">
        <v>8</v>
      </c>
      <c r="D10" s="10">
        <v>130</v>
      </c>
      <c r="E10" s="10">
        <v>130</v>
      </c>
      <c r="F10" s="10">
        <v>130</v>
      </c>
      <c r="G10" s="10">
        <f>F10+N10</f>
        <v>140</v>
      </c>
      <c r="H10" s="10">
        <f>G10</f>
        <v>140</v>
      </c>
      <c r="I10" s="10">
        <f t="shared" ref="I10:M11" si="4">H10</f>
        <v>140</v>
      </c>
      <c r="J10" s="10">
        <f t="shared" si="4"/>
        <v>140</v>
      </c>
      <c r="K10" s="10">
        <f t="shared" si="4"/>
        <v>140</v>
      </c>
      <c r="L10" s="10">
        <f t="shared" si="4"/>
        <v>140</v>
      </c>
      <c r="M10" s="10">
        <f>L10</f>
        <v>140</v>
      </c>
      <c r="N10" s="35">
        <f>10</f>
        <v>10</v>
      </c>
      <c r="O10" s="35"/>
      <c r="P10" s="35"/>
    </row>
    <row r="11" spans="1:16" x14ac:dyDescent="0.25">
      <c r="A11" s="31" t="s">
        <v>9</v>
      </c>
      <c r="D11" s="10">
        <v>160</v>
      </c>
      <c r="E11" s="10">
        <v>160</v>
      </c>
      <c r="F11" s="10">
        <v>160</v>
      </c>
      <c r="G11" s="10">
        <f>F11+N11</f>
        <v>170</v>
      </c>
      <c r="H11" s="10">
        <f>G11</f>
        <v>170</v>
      </c>
      <c r="I11" s="10">
        <f t="shared" si="4"/>
        <v>170</v>
      </c>
      <c r="J11" s="10">
        <f t="shared" si="4"/>
        <v>170</v>
      </c>
      <c r="K11" s="10">
        <f t="shared" si="4"/>
        <v>170</v>
      </c>
      <c r="L11" s="10">
        <f t="shared" si="4"/>
        <v>170</v>
      </c>
      <c r="M11" s="10">
        <f t="shared" si="4"/>
        <v>170</v>
      </c>
      <c r="N11" s="35">
        <v>10</v>
      </c>
      <c r="O11" s="35"/>
      <c r="P11" s="35"/>
    </row>
    <row r="12" spans="1:16" x14ac:dyDescent="0.25">
      <c r="A12" s="6" t="s">
        <v>20</v>
      </c>
      <c r="B12" s="38"/>
      <c r="C12" s="38"/>
      <c r="D12" s="38">
        <f>+D13*350</f>
        <v>17500</v>
      </c>
      <c r="E12" s="38">
        <f t="shared" ref="E12:M12" si="5">+E13*350</f>
        <v>18725</v>
      </c>
      <c r="F12" s="38">
        <f t="shared" si="5"/>
        <v>20035.75</v>
      </c>
      <c r="G12" s="38">
        <f t="shared" si="5"/>
        <v>21438.252500000002</v>
      </c>
      <c r="H12" s="38">
        <f t="shared" si="5"/>
        <v>22938.930175000005</v>
      </c>
      <c r="I12" s="38">
        <f t="shared" si="5"/>
        <v>24544.655287250007</v>
      </c>
      <c r="J12" s="38">
        <f t="shared" si="5"/>
        <v>26262.781157357509</v>
      </c>
      <c r="K12" s="38">
        <f t="shared" si="5"/>
        <v>28101.175838372536</v>
      </c>
      <c r="L12" s="38">
        <f t="shared" si="5"/>
        <v>30068.258147058612</v>
      </c>
      <c r="M12" s="38">
        <f t="shared" si="5"/>
        <v>32173.036217352717</v>
      </c>
      <c r="N12" s="25"/>
      <c r="O12" s="35"/>
      <c r="P12" s="35"/>
    </row>
    <row r="13" spans="1:16" x14ac:dyDescent="0.25">
      <c r="A13" s="6" t="s">
        <v>21</v>
      </c>
      <c r="B13" s="38"/>
      <c r="C13" s="38"/>
      <c r="D13" s="8">
        <v>50</v>
      </c>
      <c r="E13" s="8">
        <f>D13*(1+$N$13)</f>
        <v>53.5</v>
      </c>
      <c r="F13" s="8">
        <f t="shared" ref="F13:M13" si="6">E13*(1+$N$13)</f>
        <v>57.245000000000005</v>
      </c>
      <c r="G13" s="8">
        <f t="shared" si="6"/>
        <v>61.252150000000007</v>
      </c>
      <c r="H13" s="8">
        <f t="shared" si="6"/>
        <v>65.539800500000013</v>
      </c>
      <c r="I13" s="8">
        <f t="shared" si="6"/>
        <v>70.12758653500002</v>
      </c>
      <c r="J13" s="8">
        <f t="shared" si="6"/>
        <v>75.036517592450025</v>
      </c>
      <c r="K13" s="8">
        <f t="shared" si="6"/>
        <v>80.289073823921527</v>
      </c>
      <c r="L13" s="8">
        <f t="shared" si="6"/>
        <v>85.909308991596035</v>
      </c>
      <c r="M13" s="8">
        <f t="shared" si="6"/>
        <v>91.922960621007761</v>
      </c>
      <c r="N13" s="69">
        <v>7.0000000000000007E-2</v>
      </c>
      <c r="O13" s="35"/>
      <c r="P13" s="35"/>
    </row>
    <row r="14" spans="1:16" x14ac:dyDescent="0.25">
      <c r="A14" s="7" t="s">
        <v>11</v>
      </c>
      <c r="D14" s="36">
        <f>D12*$O$14</f>
        <v>14875</v>
      </c>
      <c r="E14" s="36">
        <f>E12*$O$14</f>
        <v>15916.25</v>
      </c>
      <c r="F14" s="36">
        <f>F12*$O$14</f>
        <v>17030.387500000001</v>
      </c>
      <c r="G14" s="36">
        <f>G12*$O$14</f>
        <v>18222.514625</v>
      </c>
      <c r="H14" s="36">
        <f>H12*$O$14</f>
        <v>19498.090648750003</v>
      </c>
      <c r="I14" s="36">
        <f t="shared" ref="I14:M14" si="7">I12*$O$14</f>
        <v>20862.956994162505</v>
      </c>
      <c r="J14" s="36">
        <f t="shared" si="7"/>
        <v>22323.363983753883</v>
      </c>
      <c r="K14" s="36">
        <f t="shared" si="7"/>
        <v>23885.999462616655</v>
      </c>
      <c r="L14" s="36">
        <f t="shared" si="7"/>
        <v>25558.01942499982</v>
      </c>
      <c r="M14" s="36">
        <f t="shared" si="7"/>
        <v>27347.080784749811</v>
      </c>
      <c r="N14" s="35">
        <f>N12*$O$14</f>
        <v>0</v>
      </c>
      <c r="O14" s="45">
        <v>0.85</v>
      </c>
      <c r="P14" s="35"/>
    </row>
    <row r="15" spans="1:16" x14ac:dyDescent="0.25">
      <c r="A15" s="7" t="s">
        <v>12</v>
      </c>
      <c r="D15" s="31">
        <v>12</v>
      </c>
      <c r="E15" s="36">
        <f>D15*(1+$N$15)</f>
        <v>12.120000000000001</v>
      </c>
      <c r="F15" s="36">
        <f t="shared" ref="F15:M15" si="8">E15*(1+$N$15)</f>
        <v>12.241200000000001</v>
      </c>
      <c r="G15" s="36">
        <f t="shared" si="8"/>
        <v>12.363612000000002</v>
      </c>
      <c r="H15" s="36">
        <f t="shared" si="8"/>
        <v>12.487248120000002</v>
      </c>
      <c r="I15" s="36">
        <f t="shared" si="8"/>
        <v>12.612120601200003</v>
      </c>
      <c r="J15" s="36">
        <f t="shared" si="8"/>
        <v>12.738241807212002</v>
      </c>
      <c r="K15" s="36">
        <f t="shared" si="8"/>
        <v>12.865624225284122</v>
      </c>
      <c r="L15" s="36">
        <f t="shared" si="8"/>
        <v>12.994280467536964</v>
      </c>
      <c r="M15" s="36">
        <f t="shared" si="8"/>
        <v>13.124223272212333</v>
      </c>
      <c r="N15" s="45">
        <f>1%</f>
        <v>0.01</v>
      </c>
      <c r="O15" s="35"/>
      <c r="P15" s="35"/>
    </row>
    <row r="16" spans="1:16" x14ac:dyDescent="0.25">
      <c r="A16" s="7" t="s">
        <v>13</v>
      </c>
      <c r="D16" s="36">
        <f>D12*$O$16</f>
        <v>2625</v>
      </c>
      <c r="E16" s="36">
        <f>E12*$O$16</f>
        <v>2808.75</v>
      </c>
      <c r="F16" s="36">
        <f>F12*$O$16</f>
        <v>3005.3624999999997</v>
      </c>
      <c r="G16" s="36">
        <f>G12*$O$16</f>
        <v>3215.7378750000003</v>
      </c>
      <c r="H16" s="36">
        <f>H12*$O$16</f>
        <v>3440.8395262500007</v>
      </c>
      <c r="I16" s="36">
        <f t="shared" ref="I16:M16" si="9">I12*$O$16</f>
        <v>3681.698293087501</v>
      </c>
      <c r="J16" s="36">
        <f t="shared" si="9"/>
        <v>3939.417173603626</v>
      </c>
      <c r="K16" s="36">
        <f t="shared" si="9"/>
        <v>4215.1763757558801</v>
      </c>
      <c r="L16" s="36">
        <f t="shared" si="9"/>
        <v>4510.2387220587916</v>
      </c>
      <c r="M16" s="36">
        <f t="shared" si="9"/>
        <v>4825.9554326029074</v>
      </c>
      <c r="N16" s="35">
        <f>N12*$O$16</f>
        <v>0</v>
      </c>
      <c r="O16" s="45">
        <v>0.15</v>
      </c>
      <c r="P16" s="35"/>
    </row>
    <row r="17" spans="1:18" x14ac:dyDescent="0.25">
      <c r="A17" s="31" t="s">
        <v>42</v>
      </c>
      <c r="N17" s="35"/>
      <c r="O17" s="35"/>
      <c r="P17" s="35"/>
    </row>
    <row r="18" spans="1:18" x14ac:dyDescent="0.25">
      <c r="A18" s="7" t="s">
        <v>39</v>
      </c>
      <c r="D18" s="10">
        <v>1300</v>
      </c>
      <c r="E18" s="10">
        <v>1300</v>
      </c>
      <c r="F18" s="10">
        <v>1300</v>
      </c>
      <c r="G18" s="10">
        <v>1350</v>
      </c>
      <c r="H18" s="10">
        <v>1350</v>
      </c>
      <c r="I18" s="10">
        <v>1350</v>
      </c>
      <c r="J18" s="10">
        <v>1350</v>
      </c>
      <c r="K18" s="10">
        <v>1350</v>
      </c>
      <c r="L18" s="10">
        <v>1350</v>
      </c>
      <c r="M18" s="10">
        <v>1350</v>
      </c>
      <c r="N18" s="48">
        <v>50</v>
      </c>
      <c r="O18" s="45"/>
      <c r="P18" s="35"/>
    </row>
    <row r="19" spans="1:18" x14ac:dyDescent="0.25">
      <c r="A19" s="7" t="s">
        <v>40</v>
      </c>
      <c r="D19" s="10">
        <v>1150</v>
      </c>
      <c r="E19" s="10">
        <v>1150</v>
      </c>
      <c r="F19" s="10">
        <v>1150</v>
      </c>
      <c r="G19" s="10">
        <v>1200</v>
      </c>
      <c r="H19" s="10">
        <v>1200</v>
      </c>
      <c r="I19" s="10">
        <v>1200</v>
      </c>
      <c r="J19" s="10">
        <v>1200</v>
      </c>
      <c r="K19" s="10">
        <v>1200</v>
      </c>
      <c r="L19" s="10">
        <v>1200</v>
      </c>
      <c r="M19" s="10">
        <v>1200</v>
      </c>
      <c r="N19" s="35">
        <v>50</v>
      </c>
      <c r="O19" s="45"/>
      <c r="P19" s="35"/>
    </row>
    <row r="20" spans="1:18" x14ac:dyDescent="0.25">
      <c r="A20" s="7" t="s">
        <v>41</v>
      </c>
      <c r="D20" s="10">
        <v>1000</v>
      </c>
      <c r="E20" s="10">
        <v>1000</v>
      </c>
      <c r="F20" s="10">
        <v>1000</v>
      </c>
      <c r="G20" s="10">
        <v>1050</v>
      </c>
      <c r="H20" s="10">
        <v>1050</v>
      </c>
      <c r="I20" s="10">
        <v>1050</v>
      </c>
      <c r="J20" s="10">
        <v>1050</v>
      </c>
      <c r="K20" s="10">
        <v>1050</v>
      </c>
      <c r="L20" s="10">
        <v>1050</v>
      </c>
      <c r="M20" s="10">
        <v>1050</v>
      </c>
      <c r="N20" s="35"/>
      <c r="O20" s="35"/>
      <c r="P20" s="35"/>
      <c r="R20" s="9"/>
    </row>
    <row r="21" spans="1:18" x14ac:dyDescent="0.25">
      <c r="A21" s="31" t="s">
        <v>38</v>
      </c>
      <c r="N21" s="35"/>
      <c r="O21" s="35"/>
      <c r="P21" s="35"/>
    </row>
    <row r="22" spans="1:18" x14ac:dyDescent="0.25">
      <c r="A22" s="7" t="s">
        <v>32</v>
      </c>
      <c r="D22" s="31">
        <v>6</v>
      </c>
      <c r="E22" s="31">
        <f t="shared" ref="E22:F24" si="10">+D22</f>
        <v>6</v>
      </c>
      <c r="F22" s="31">
        <f t="shared" si="10"/>
        <v>6</v>
      </c>
      <c r="G22" s="31">
        <v>7</v>
      </c>
      <c r="H22" s="31">
        <v>7</v>
      </c>
      <c r="I22" s="31">
        <v>7</v>
      </c>
      <c r="J22" s="31">
        <v>7</v>
      </c>
      <c r="K22" s="31">
        <v>7</v>
      </c>
      <c r="L22" s="31">
        <v>7</v>
      </c>
      <c r="M22" s="31">
        <v>7</v>
      </c>
      <c r="N22" s="35"/>
      <c r="O22" s="35"/>
      <c r="P22" s="35"/>
    </row>
    <row r="23" spans="1:18" x14ac:dyDescent="0.25">
      <c r="A23" s="7" t="s">
        <v>33</v>
      </c>
      <c r="D23" s="31">
        <v>6</v>
      </c>
      <c r="E23" s="31">
        <f t="shared" si="10"/>
        <v>6</v>
      </c>
      <c r="F23" s="31">
        <f t="shared" si="10"/>
        <v>6</v>
      </c>
      <c r="G23" s="31">
        <v>7</v>
      </c>
      <c r="H23" s="31">
        <v>7</v>
      </c>
      <c r="I23" s="31">
        <v>7</v>
      </c>
      <c r="J23" s="31">
        <v>7</v>
      </c>
      <c r="K23" s="31">
        <v>7</v>
      </c>
      <c r="L23" s="31">
        <v>7</v>
      </c>
      <c r="M23" s="31">
        <v>7</v>
      </c>
      <c r="N23" s="35"/>
      <c r="O23" s="35"/>
      <c r="P23" s="35"/>
    </row>
    <row r="24" spans="1:18" x14ac:dyDescent="0.25">
      <c r="A24" s="7" t="s">
        <v>34</v>
      </c>
      <c r="D24" s="31">
        <v>6</v>
      </c>
      <c r="E24" s="31">
        <f t="shared" si="10"/>
        <v>6</v>
      </c>
      <c r="F24" s="31">
        <f t="shared" si="10"/>
        <v>6</v>
      </c>
      <c r="G24" s="31">
        <v>7</v>
      </c>
      <c r="H24" s="31">
        <v>7</v>
      </c>
      <c r="I24" s="31">
        <v>7</v>
      </c>
      <c r="J24" s="31">
        <v>7</v>
      </c>
      <c r="K24" s="31">
        <v>7</v>
      </c>
      <c r="L24" s="31">
        <v>7</v>
      </c>
      <c r="M24" s="31">
        <v>7</v>
      </c>
      <c r="N24" s="35"/>
      <c r="O24" s="35"/>
      <c r="P24" s="35"/>
    </row>
    <row r="25" spans="1:18" x14ac:dyDescent="0.25">
      <c r="A25" s="7" t="s">
        <v>14</v>
      </c>
      <c r="D25" s="36">
        <v>25</v>
      </c>
      <c r="E25" s="36">
        <v>25</v>
      </c>
      <c r="F25" s="36">
        <v>25</v>
      </c>
      <c r="G25" s="36">
        <v>25</v>
      </c>
      <c r="H25" s="36">
        <v>25</v>
      </c>
      <c r="I25" s="36">
        <v>25</v>
      </c>
      <c r="J25" s="36">
        <v>25</v>
      </c>
      <c r="K25" s="36">
        <v>25</v>
      </c>
      <c r="L25" s="36">
        <v>25</v>
      </c>
      <c r="M25" s="36">
        <v>25</v>
      </c>
      <c r="N25" s="35"/>
      <c r="O25" s="35"/>
      <c r="P25" s="35"/>
    </row>
    <row r="26" spans="1:18" x14ac:dyDescent="0.25">
      <c r="A26" s="7" t="s">
        <v>15</v>
      </c>
      <c r="D26" s="31">
        <v>20</v>
      </c>
      <c r="E26" s="31">
        <v>20</v>
      </c>
      <c r="F26" s="31">
        <v>20</v>
      </c>
      <c r="G26" s="31">
        <v>20</v>
      </c>
      <c r="H26" s="31">
        <v>20</v>
      </c>
      <c r="I26" s="31">
        <v>20</v>
      </c>
      <c r="J26" s="31">
        <v>20</v>
      </c>
      <c r="K26" s="31">
        <v>20</v>
      </c>
      <c r="L26" s="31">
        <v>20</v>
      </c>
      <c r="M26" s="31">
        <v>20</v>
      </c>
      <c r="N26" s="35"/>
      <c r="O26" s="35"/>
      <c r="P26" s="35"/>
    </row>
    <row r="27" spans="1:18" x14ac:dyDescent="0.25">
      <c r="A27" s="7" t="s">
        <v>45</v>
      </c>
      <c r="D27" s="10">
        <f>+(0.8*D12)*7</f>
        <v>98000</v>
      </c>
      <c r="E27" s="10">
        <f t="shared" ref="E27:M27" si="11">+(0.8*E12)*7</f>
        <v>104860</v>
      </c>
      <c r="F27" s="10">
        <f t="shared" si="11"/>
        <v>112200.2</v>
      </c>
      <c r="G27" s="10">
        <f t="shared" si="11"/>
        <v>120054.21400000002</v>
      </c>
      <c r="H27" s="10">
        <f t="shared" si="11"/>
        <v>128458.00898000003</v>
      </c>
      <c r="I27" s="10">
        <f t="shared" si="11"/>
        <v>137450.06960860005</v>
      </c>
      <c r="J27" s="10">
        <f t="shared" si="11"/>
        <v>147071.57448120206</v>
      </c>
      <c r="K27" s="10">
        <f t="shared" si="11"/>
        <v>157366.5846948862</v>
      </c>
      <c r="L27" s="10">
        <f t="shared" si="11"/>
        <v>168382.24562352823</v>
      </c>
      <c r="M27" s="10">
        <f t="shared" si="11"/>
        <v>180169.00281717523</v>
      </c>
      <c r="N27" s="35"/>
      <c r="O27" s="35"/>
      <c r="P27" s="35"/>
    </row>
    <row r="28" spans="1:18" x14ac:dyDescent="0.25">
      <c r="A28" s="7" t="s">
        <v>46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5"/>
      <c r="O28" s="35"/>
      <c r="P28" s="35"/>
    </row>
    <row r="29" spans="1:18" x14ac:dyDescent="0.25">
      <c r="A29" s="7" t="s">
        <v>47</v>
      </c>
      <c r="D29" s="10">
        <f>7.25*$N$29</f>
        <v>29</v>
      </c>
      <c r="E29" s="10">
        <f>7.25*$N$29</f>
        <v>29</v>
      </c>
      <c r="F29" s="10">
        <f>7.25*$N$29</f>
        <v>29</v>
      </c>
      <c r="G29" s="10">
        <f>7.25*$N$29</f>
        <v>29</v>
      </c>
      <c r="H29" s="10">
        <f>7.25*$N$29</f>
        <v>29</v>
      </c>
      <c r="I29" s="10">
        <f t="shared" ref="I29:M29" si="12">7.25*$N$29</f>
        <v>29</v>
      </c>
      <c r="J29" s="10">
        <f t="shared" si="12"/>
        <v>29</v>
      </c>
      <c r="K29" s="10">
        <f t="shared" si="12"/>
        <v>29</v>
      </c>
      <c r="L29" s="10">
        <f>7.25*$N$29</f>
        <v>29</v>
      </c>
      <c r="M29" s="10">
        <f t="shared" si="12"/>
        <v>29</v>
      </c>
      <c r="N29" s="35">
        <v>4</v>
      </c>
      <c r="O29" s="35"/>
      <c r="P29" s="35"/>
    </row>
    <row r="30" spans="1:18" x14ac:dyDescent="0.25">
      <c r="A30" s="7" t="s">
        <v>48</v>
      </c>
      <c r="D30" s="10">
        <f>10*$N$30</f>
        <v>10</v>
      </c>
      <c r="E30" s="10">
        <f>10*$N$30</f>
        <v>10</v>
      </c>
      <c r="F30" s="10">
        <f>10*$N$30</f>
        <v>10</v>
      </c>
      <c r="G30" s="10">
        <f>10*$N$30</f>
        <v>10</v>
      </c>
      <c r="H30" s="10">
        <f>10*$N$30</f>
        <v>10</v>
      </c>
      <c r="I30" s="10">
        <f t="shared" ref="I30:M30" si="13">10*$N$30</f>
        <v>10</v>
      </c>
      <c r="J30" s="10">
        <f t="shared" si="13"/>
        <v>10</v>
      </c>
      <c r="K30" s="10">
        <f t="shared" si="13"/>
        <v>10</v>
      </c>
      <c r="L30" s="10">
        <f t="shared" si="13"/>
        <v>10</v>
      </c>
      <c r="M30" s="10">
        <f t="shared" si="13"/>
        <v>10</v>
      </c>
      <c r="N30" s="35">
        <v>1</v>
      </c>
      <c r="O30" s="35"/>
      <c r="P30" s="35"/>
    </row>
    <row r="31" spans="1:18" x14ac:dyDescent="0.25">
      <c r="A31" s="7" t="s">
        <v>51</v>
      </c>
      <c r="D31" s="39">
        <v>1750000</v>
      </c>
      <c r="E31" s="39">
        <v>1750000</v>
      </c>
      <c r="F31" s="39">
        <v>1750000</v>
      </c>
      <c r="G31" s="39">
        <v>1750000</v>
      </c>
      <c r="H31" s="39">
        <v>1750000</v>
      </c>
      <c r="I31" s="39">
        <v>1750000</v>
      </c>
      <c r="J31" s="39">
        <v>1750000</v>
      </c>
      <c r="K31" s="39">
        <v>1750000</v>
      </c>
      <c r="L31" s="39">
        <v>1750000</v>
      </c>
      <c r="M31" s="39">
        <v>1750000</v>
      </c>
      <c r="N31" s="35"/>
      <c r="O31" s="35"/>
      <c r="P31" s="35"/>
    </row>
    <row r="32" spans="1:18" x14ac:dyDescent="0.25">
      <c r="A32" s="7" t="s">
        <v>72</v>
      </c>
      <c r="D32" s="17">
        <v>90000</v>
      </c>
      <c r="E32" s="17">
        <v>90000</v>
      </c>
      <c r="F32" s="17">
        <v>90000</v>
      </c>
      <c r="G32" s="17">
        <v>90000</v>
      </c>
      <c r="H32" s="17">
        <v>90000</v>
      </c>
      <c r="I32" s="17">
        <v>90000</v>
      </c>
      <c r="J32" s="17">
        <v>90000</v>
      </c>
      <c r="K32" s="17">
        <v>90000</v>
      </c>
      <c r="L32" s="17">
        <v>90000</v>
      </c>
      <c r="M32" s="17">
        <v>90000</v>
      </c>
      <c r="N32" s="35"/>
      <c r="O32" s="35"/>
      <c r="P32" s="35"/>
    </row>
    <row r="33" spans="1:17" x14ac:dyDescent="0.25">
      <c r="A33" s="7" t="s">
        <v>95</v>
      </c>
      <c r="D33" s="2">
        <f>0.5*7*(D13*0.25)</f>
        <v>43.75</v>
      </c>
      <c r="E33" s="2">
        <f>D33*(1+$N$33)</f>
        <v>45.9375</v>
      </c>
      <c r="F33" s="2">
        <f t="shared" ref="F33:M33" si="14">E33*(1+$N$33)</f>
        <v>48.234375</v>
      </c>
      <c r="G33" s="2">
        <f t="shared" si="14"/>
        <v>50.646093750000006</v>
      </c>
      <c r="H33" s="2">
        <f t="shared" si="14"/>
        <v>53.178398437500007</v>
      </c>
      <c r="I33" s="2">
        <f t="shared" si="14"/>
        <v>55.837318359375011</v>
      </c>
      <c r="J33" s="2">
        <f t="shared" si="14"/>
        <v>58.629184277343761</v>
      </c>
      <c r="K33" s="2">
        <f t="shared" si="14"/>
        <v>61.560643491210953</v>
      </c>
      <c r="L33" s="2">
        <f t="shared" si="14"/>
        <v>64.638675665771501</v>
      </c>
      <c r="M33" s="2">
        <f t="shared" si="14"/>
        <v>67.870609449060083</v>
      </c>
      <c r="N33" s="49">
        <v>0.05</v>
      </c>
      <c r="O33" s="35"/>
      <c r="P33" s="35"/>
    </row>
    <row r="34" spans="1:17" x14ac:dyDescent="0.25">
      <c r="A34" s="7" t="s">
        <v>98</v>
      </c>
      <c r="D34" s="39">
        <f>6000*12</f>
        <v>72000</v>
      </c>
      <c r="E34" s="39">
        <f>D34*(1+$N$34)</f>
        <v>75600</v>
      </c>
      <c r="F34" s="39">
        <f t="shared" ref="F34:M34" si="15">E34*(1+$N$34)</f>
        <v>79380</v>
      </c>
      <c r="G34" s="39">
        <f t="shared" si="15"/>
        <v>83349</v>
      </c>
      <c r="H34" s="39">
        <f t="shared" si="15"/>
        <v>87516.45</v>
      </c>
      <c r="I34" s="39">
        <f>H34*(1+$N$34)</f>
        <v>91892.272500000006</v>
      </c>
      <c r="J34" s="39">
        <f t="shared" si="15"/>
        <v>96486.886125000005</v>
      </c>
      <c r="K34" s="39">
        <f t="shared" si="15"/>
        <v>101311.23043125001</v>
      </c>
      <c r="L34" s="39">
        <f>K34*(1+$N$34)</f>
        <v>106376.79195281251</v>
      </c>
      <c r="M34" s="39">
        <f t="shared" si="15"/>
        <v>111695.63155045314</v>
      </c>
      <c r="N34" s="35">
        <v>0.05</v>
      </c>
      <c r="O34" s="35" t="s">
        <v>97</v>
      </c>
      <c r="P34" s="35"/>
    </row>
    <row r="35" spans="1:17" x14ac:dyDescent="0.25">
      <c r="A35" s="7" t="s">
        <v>127</v>
      </c>
      <c r="D35" s="17">
        <v>600</v>
      </c>
      <c r="E35" s="17">
        <v>600</v>
      </c>
      <c r="F35" s="17">
        <v>600</v>
      </c>
      <c r="G35" s="17">
        <v>600</v>
      </c>
      <c r="H35" s="17">
        <v>600</v>
      </c>
      <c r="I35" s="17">
        <v>601</v>
      </c>
      <c r="J35" s="17">
        <v>602</v>
      </c>
      <c r="K35" s="17">
        <v>603</v>
      </c>
      <c r="L35" s="17">
        <v>604</v>
      </c>
      <c r="M35" s="17">
        <v>605</v>
      </c>
      <c r="N35" s="35"/>
      <c r="O35" s="35"/>
      <c r="P35" s="35"/>
    </row>
    <row r="36" spans="1:17" x14ac:dyDescent="0.25">
      <c r="A36" s="7"/>
      <c r="D36" s="17"/>
      <c r="E36" s="17"/>
      <c r="F36" s="17"/>
      <c r="G36" s="17"/>
      <c r="H36" s="17"/>
      <c r="N36" s="35"/>
      <c r="O36" s="35"/>
      <c r="P36" s="35"/>
    </row>
    <row r="37" spans="1:17" x14ac:dyDescent="0.25">
      <c r="A37" s="26" t="s">
        <v>43</v>
      </c>
      <c r="D37" s="17"/>
      <c r="E37" s="17"/>
      <c r="F37" s="17"/>
      <c r="G37" s="17"/>
      <c r="H37" s="17"/>
      <c r="N37" s="34"/>
      <c r="O37" s="34"/>
      <c r="P37" s="34"/>
      <c r="Q37" s="34"/>
    </row>
    <row r="38" spans="1:17" x14ac:dyDescent="0.25">
      <c r="A38" s="26" t="s">
        <v>119</v>
      </c>
      <c r="D38" s="17"/>
      <c r="E38" s="17"/>
      <c r="F38" s="17"/>
      <c r="G38" s="17"/>
      <c r="H38" s="17"/>
      <c r="N38" s="34"/>
      <c r="O38" s="34"/>
      <c r="P38" s="34"/>
      <c r="Q38" s="34"/>
    </row>
    <row r="39" spans="1:17" x14ac:dyDescent="0.25">
      <c r="B39" s="7" t="s">
        <v>101</v>
      </c>
      <c r="D39" s="17">
        <f>D13*0.9</f>
        <v>45</v>
      </c>
      <c r="E39" s="17">
        <f t="shared" ref="E39:M39" si="16">E13*0.9</f>
        <v>48.15</v>
      </c>
      <c r="F39" s="37">
        <f t="shared" si="16"/>
        <v>51.520500000000006</v>
      </c>
      <c r="G39" s="37">
        <f t="shared" si="16"/>
        <v>55.12693500000001</v>
      </c>
      <c r="H39" s="37">
        <f t="shared" si="16"/>
        <v>58.985820450000013</v>
      </c>
      <c r="I39" s="37">
        <f t="shared" si="16"/>
        <v>63.11482788150002</v>
      </c>
      <c r="J39" s="37">
        <f t="shared" si="16"/>
        <v>67.532865833205022</v>
      </c>
      <c r="K39" s="37">
        <f t="shared" si="16"/>
        <v>72.260166441529378</v>
      </c>
      <c r="L39" s="37">
        <f t="shared" si="16"/>
        <v>77.318378092436433</v>
      </c>
      <c r="M39" s="37">
        <f t="shared" si="16"/>
        <v>82.73066455890698</v>
      </c>
      <c r="N39" s="34"/>
      <c r="O39" s="34"/>
      <c r="P39" s="34"/>
      <c r="Q39" s="34"/>
    </row>
    <row r="40" spans="1:17" x14ac:dyDescent="0.25">
      <c r="B40" s="31" t="s">
        <v>123</v>
      </c>
      <c r="D40" s="17">
        <f>50</f>
        <v>50</v>
      </c>
      <c r="E40" s="17">
        <f>50</f>
        <v>50</v>
      </c>
      <c r="F40" s="17">
        <f>50</f>
        <v>50</v>
      </c>
      <c r="G40" s="17">
        <f>50</f>
        <v>50</v>
      </c>
      <c r="H40" s="17">
        <f>50</f>
        <v>50</v>
      </c>
      <c r="I40" s="17">
        <f>50</f>
        <v>50</v>
      </c>
      <c r="J40" s="17">
        <f>50</f>
        <v>50</v>
      </c>
      <c r="K40" s="17">
        <f>50</f>
        <v>50</v>
      </c>
      <c r="L40" s="17">
        <f>50</f>
        <v>50</v>
      </c>
      <c r="M40" s="17">
        <f>50</f>
        <v>50</v>
      </c>
      <c r="N40" s="34"/>
      <c r="O40" s="34"/>
      <c r="P40" s="34"/>
      <c r="Q40" s="34"/>
    </row>
    <row r="41" spans="1:17" x14ac:dyDescent="0.25">
      <c r="A41" s="40" t="s">
        <v>128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4"/>
      <c r="O41" s="34"/>
      <c r="P41" s="34"/>
      <c r="Q41" s="34"/>
    </row>
    <row r="42" spans="1:17" x14ac:dyDescent="0.25">
      <c r="B42" s="7" t="s">
        <v>102</v>
      </c>
      <c r="D42" s="17">
        <f>D35/10</f>
        <v>60</v>
      </c>
      <c r="E42" s="17">
        <f>E35/10</f>
        <v>60</v>
      </c>
      <c r="F42" s="17">
        <f>F35/10</f>
        <v>60</v>
      </c>
      <c r="G42" s="17">
        <f>G35/10</f>
        <v>60</v>
      </c>
      <c r="H42" s="17">
        <f>H35/10</f>
        <v>60</v>
      </c>
      <c r="I42" s="17">
        <f t="shared" ref="I42:M42" si="17">I35/10</f>
        <v>60.1</v>
      </c>
      <c r="J42" s="17">
        <f t="shared" si="17"/>
        <v>60.2</v>
      </c>
      <c r="K42" s="17">
        <f t="shared" si="17"/>
        <v>60.3</v>
      </c>
      <c r="L42" s="17">
        <f t="shared" si="17"/>
        <v>60.4</v>
      </c>
      <c r="M42" s="17">
        <f t="shared" si="17"/>
        <v>60.5</v>
      </c>
      <c r="N42" s="34"/>
      <c r="O42" s="34"/>
      <c r="P42" s="34"/>
      <c r="Q42" s="34"/>
    </row>
    <row r="43" spans="1:17" x14ac:dyDescent="0.25">
      <c r="B43" s="7" t="s">
        <v>103</v>
      </c>
      <c r="D43" s="17">
        <f>D35</f>
        <v>600</v>
      </c>
      <c r="E43" s="17">
        <f>E35</f>
        <v>600</v>
      </c>
      <c r="F43" s="17">
        <f>F35</f>
        <v>600</v>
      </c>
      <c r="G43" s="17">
        <f>G35</f>
        <v>600</v>
      </c>
      <c r="H43" s="17">
        <f>H35</f>
        <v>600</v>
      </c>
      <c r="I43" s="17">
        <f t="shared" ref="I43:M43" si="18">I35</f>
        <v>601</v>
      </c>
      <c r="J43" s="17">
        <f t="shared" si="18"/>
        <v>602</v>
      </c>
      <c r="K43" s="17">
        <f t="shared" si="18"/>
        <v>603</v>
      </c>
      <c r="L43" s="17">
        <f t="shared" si="18"/>
        <v>604</v>
      </c>
      <c r="M43" s="17">
        <f t="shared" si="18"/>
        <v>605</v>
      </c>
      <c r="N43" s="34"/>
      <c r="O43" s="34"/>
      <c r="P43" s="34"/>
      <c r="Q43" s="34"/>
    </row>
    <row r="44" spans="1:17" x14ac:dyDescent="0.25">
      <c r="A44" s="26" t="s">
        <v>117</v>
      </c>
      <c r="B44" s="40"/>
      <c r="N44" s="34"/>
      <c r="O44" s="34"/>
      <c r="P44" s="34"/>
      <c r="Q44" s="34"/>
    </row>
    <row r="45" spans="1:17" x14ac:dyDescent="0.25">
      <c r="B45" s="31" t="s">
        <v>120</v>
      </c>
      <c r="D45" s="31">
        <f>600</f>
        <v>600</v>
      </c>
      <c r="E45" s="31">
        <f>600</f>
        <v>600</v>
      </c>
      <c r="F45" s="31">
        <f>600</f>
        <v>600</v>
      </c>
      <c r="G45" s="31">
        <f>600</f>
        <v>600</v>
      </c>
      <c r="H45" s="31">
        <f>600</f>
        <v>600</v>
      </c>
      <c r="I45" s="31">
        <f>600</f>
        <v>600</v>
      </c>
      <c r="J45" s="31">
        <f>600</f>
        <v>600</v>
      </c>
      <c r="K45" s="31">
        <f>600</f>
        <v>600</v>
      </c>
      <c r="L45" s="31">
        <f>600</f>
        <v>600</v>
      </c>
      <c r="M45" s="31">
        <f>600</f>
        <v>600</v>
      </c>
      <c r="N45" s="34"/>
      <c r="O45" s="34"/>
      <c r="P45" s="34"/>
      <c r="Q45" s="34"/>
    </row>
    <row r="46" spans="1:17" x14ac:dyDescent="0.25">
      <c r="B46" s="31" t="s">
        <v>121</v>
      </c>
      <c r="D46" s="31">
        <v>200</v>
      </c>
      <c r="E46" s="31">
        <v>200</v>
      </c>
      <c r="F46" s="31">
        <v>200</v>
      </c>
      <c r="G46" s="31">
        <v>200</v>
      </c>
      <c r="H46" s="31">
        <v>200</v>
      </c>
      <c r="I46" s="31">
        <v>200</v>
      </c>
      <c r="J46" s="31">
        <v>200</v>
      </c>
      <c r="K46" s="31">
        <v>200</v>
      </c>
      <c r="L46" s="31">
        <v>200</v>
      </c>
      <c r="M46" s="31">
        <v>200</v>
      </c>
      <c r="N46" s="34"/>
      <c r="O46" s="34"/>
      <c r="P46" s="34"/>
      <c r="Q46" s="34"/>
    </row>
    <row r="47" spans="1:17" x14ac:dyDescent="0.25">
      <c r="A47" s="7"/>
      <c r="B47" s="31" t="s">
        <v>122</v>
      </c>
      <c r="D47" s="17">
        <v>250</v>
      </c>
      <c r="E47" s="17">
        <v>250</v>
      </c>
      <c r="F47" s="17">
        <v>250</v>
      </c>
      <c r="G47" s="17">
        <v>250</v>
      </c>
      <c r="H47" s="17">
        <v>250</v>
      </c>
      <c r="I47" s="17">
        <v>250</v>
      </c>
      <c r="J47" s="17">
        <v>250</v>
      </c>
      <c r="K47" s="17">
        <v>250</v>
      </c>
      <c r="L47" s="17">
        <v>250</v>
      </c>
      <c r="M47" s="17">
        <v>250</v>
      </c>
      <c r="N47" s="34"/>
      <c r="O47" s="34"/>
      <c r="P47" s="34"/>
      <c r="Q47" s="34"/>
    </row>
    <row r="48" spans="1:17" x14ac:dyDescent="0.25">
      <c r="A48" s="7"/>
      <c r="B48" s="31" t="s">
        <v>123</v>
      </c>
      <c r="D48" s="17">
        <v>100</v>
      </c>
      <c r="E48" s="17">
        <v>100</v>
      </c>
      <c r="F48" s="17">
        <v>100</v>
      </c>
      <c r="G48" s="17">
        <v>100</v>
      </c>
      <c r="H48" s="17">
        <v>100</v>
      </c>
      <c r="I48" s="17">
        <v>100</v>
      </c>
      <c r="J48" s="17">
        <v>100</v>
      </c>
      <c r="K48" s="17">
        <v>100</v>
      </c>
      <c r="L48" s="17">
        <v>100</v>
      </c>
      <c r="M48" s="17">
        <v>100</v>
      </c>
      <c r="N48" s="34"/>
      <c r="O48" s="34"/>
      <c r="P48" s="34"/>
      <c r="Q48" s="34"/>
    </row>
    <row r="49" spans="1:17" x14ac:dyDescent="0.25">
      <c r="A49" s="26" t="s">
        <v>118</v>
      </c>
      <c r="B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4"/>
      <c r="O49" s="34"/>
      <c r="P49" s="34"/>
      <c r="Q49" s="34"/>
    </row>
    <row r="50" spans="1:17" x14ac:dyDescent="0.25">
      <c r="A50" s="7"/>
      <c r="B50" s="31" t="s">
        <v>124</v>
      </c>
      <c r="D50" s="17">
        <v>150</v>
      </c>
      <c r="E50" s="17">
        <v>150</v>
      </c>
      <c r="F50" s="17">
        <v>150</v>
      </c>
      <c r="G50" s="17">
        <v>150</v>
      </c>
      <c r="H50" s="17">
        <v>150</v>
      </c>
      <c r="I50" s="17">
        <v>150</v>
      </c>
      <c r="J50" s="17">
        <v>150</v>
      </c>
      <c r="K50" s="17">
        <v>150</v>
      </c>
      <c r="L50" s="17">
        <v>150</v>
      </c>
      <c r="M50" s="17">
        <v>150</v>
      </c>
      <c r="N50" s="34"/>
      <c r="O50" s="34"/>
      <c r="P50" s="34"/>
      <c r="Q50" s="34"/>
    </row>
    <row r="51" spans="1:17" x14ac:dyDescent="0.25">
      <c r="A51" s="7"/>
      <c r="B51" s="31" t="s">
        <v>126</v>
      </c>
      <c r="D51" s="17">
        <v>2000</v>
      </c>
      <c r="E51" s="17">
        <v>2000</v>
      </c>
      <c r="F51" s="17">
        <v>2000</v>
      </c>
      <c r="G51" s="17">
        <v>2000</v>
      </c>
      <c r="H51" s="17">
        <v>2000</v>
      </c>
      <c r="I51" s="17">
        <v>2000</v>
      </c>
      <c r="J51" s="17">
        <v>2000</v>
      </c>
      <c r="K51" s="17">
        <v>2000</v>
      </c>
      <c r="L51" s="17">
        <v>2000</v>
      </c>
      <c r="M51" s="17">
        <v>2000</v>
      </c>
      <c r="N51" s="34"/>
      <c r="O51" s="34"/>
      <c r="P51" s="34"/>
      <c r="Q51" s="34"/>
    </row>
    <row r="52" spans="1:17" x14ac:dyDescent="0.25">
      <c r="A52" s="7"/>
      <c r="B52" s="31" t="s">
        <v>125</v>
      </c>
      <c r="D52" s="17">
        <v>6000</v>
      </c>
      <c r="E52" s="17">
        <v>6000</v>
      </c>
      <c r="F52" s="17">
        <v>6000</v>
      </c>
      <c r="G52" s="17">
        <v>6000</v>
      </c>
      <c r="H52" s="17">
        <v>6000</v>
      </c>
      <c r="I52" s="17">
        <v>6000</v>
      </c>
      <c r="J52" s="17">
        <v>6000</v>
      </c>
      <c r="K52" s="17">
        <v>6000</v>
      </c>
      <c r="L52" s="17">
        <v>6000</v>
      </c>
      <c r="M52" s="17">
        <v>6000</v>
      </c>
      <c r="N52" s="34"/>
      <c r="O52" s="34"/>
      <c r="P52" s="34"/>
      <c r="Q52" s="34"/>
    </row>
    <row r="53" spans="1:17" x14ac:dyDescent="0.25">
      <c r="B53" s="31" t="s">
        <v>123</v>
      </c>
      <c r="D53" s="17">
        <v>500</v>
      </c>
      <c r="E53" s="17">
        <v>500</v>
      </c>
      <c r="F53" s="17">
        <v>500</v>
      </c>
      <c r="G53" s="17">
        <v>500</v>
      </c>
      <c r="H53" s="17">
        <v>500</v>
      </c>
      <c r="I53" s="17">
        <v>500</v>
      </c>
      <c r="J53" s="17">
        <v>500</v>
      </c>
      <c r="K53" s="17">
        <v>500</v>
      </c>
      <c r="L53" s="17">
        <v>500</v>
      </c>
      <c r="M53" s="17">
        <v>500</v>
      </c>
      <c r="N53" s="34"/>
      <c r="O53" s="34"/>
      <c r="P53" s="34"/>
      <c r="Q53" s="34"/>
    </row>
    <row r="54" spans="1:17" x14ac:dyDescent="0.25">
      <c r="A54" s="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4"/>
      <c r="O54" s="34"/>
      <c r="P54" s="34"/>
      <c r="Q54" s="34"/>
    </row>
    <row r="55" spans="1:17" ht="15.75" x14ac:dyDescent="0.25">
      <c r="A55" s="24" t="s">
        <v>133</v>
      </c>
      <c r="D55" s="36">
        <f>SUM(D39:D53)/7</f>
        <v>1507.8571428571429</v>
      </c>
      <c r="E55" s="36">
        <f t="shared" ref="E55:H55" si="19">SUM(E39:E53)/7</f>
        <v>1508.3071428571427</v>
      </c>
      <c r="F55" s="36">
        <f t="shared" si="19"/>
        <v>1508.788642857143</v>
      </c>
      <c r="G55" s="36">
        <f t="shared" si="19"/>
        <v>1509.303847857143</v>
      </c>
      <c r="H55" s="36">
        <f t="shared" si="19"/>
        <v>1509.8551172071427</v>
      </c>
      <c r="I55" s="36">
        <f t="shared" ref="I55:M55" si="20">SUM(I39:I53)/7</f>
        <v>1510.6021182687857</v>
      </c>
      <c r="J55" s="36">
        <f t="shared" si="20"/>
        <v>1511.3904094047434</v>
      </c>
      <c r="K55" s="36">
        <f t="shared" si="20"/>
        <v>1512.2228809202186</v>
      </c>
      <c r="L55" s="36">
        <f t="shared" si="20"/>
        <v>1513.1026254417768</v>
      </c>
      <c r="M55" s="36">
        <f t="shared" si="20"/>
        <v>1514.0329520798439</v>
      </c>
      <c r="N55" s="34"/>
      <c r="O55" s="34"/>
      <c r="P55" s="34"/>
      <c r="Q55" s="34"/>
    </row>
    <row r="56" spans="1:17" x14ac:dyDescent="0.25">
      <c r="A56" s="7"/>
      <c r="D56" s="17"/>
      <c r="E56" s="17"/>
      <c r="F56" s="17"/>
      <c r="G56" s="17"/>
      <c r="H56" s="17"/>
      <c r="N56" s="34"/>
      <c r="O56" s="34"/>
      <c r="P56" s="34"/>
      <c r="Q56" s="34"/>
    </row>
    <row r="57" spans="1:17" x14ac:dyDescent="0.25">
      <c r="A57" s="7"/>
      <c r="D57" s="17"/>
      <c r="E57" s="17"/>
      <c r="F57" s="17"/>
      <c r="G57" s="17"/>
      <c r="H57" s="17"/>
      <c r="N57" s="34"/>
      <c r="O57" s="34"/>
      <c r="P57" s="34"/>
      <c r="Q57" s="34"/>
    </row>
    <row r="58" spans="1:17" x14ac:dyDescent="0.25">
      <c r="A58" s="7"/>
      <c r="D58" s="17"/>
      <c r="E58" s="17"/>
      <c r="F58" s="17"/>
      <c r="G58" s="17"/>
      <c r="H58" s="17"/>
      <c r="N58" s="34"/>
      <c r="O58" s="34"/>
      <c r="P58" s="34"/>
      <c r="Q58" s="34"/>
    </row>
    <row r="59" spans="1:17" x14ac:dyDescent="0.25">
      <c r="N59" s="34"/>
      <c r="O59" s="34"/>
      <c r="P59" s="34"/>
      <c r="Q59" s="34"/>
    </row>
    <row r="60" spans="1:17" ht="18.75" x14ac:dyDescent="0.3">
      <c r="A60" s="5" t="s">
        <v>16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4"/>
      <c r="O60" s="34"/>
      <c r="P60" s="34"/>
      <c r="Q60" s="34"/>
    </row>
    <row r="61" spans="1:17" x14ac:dyDescent="0.25">
      <c r="A61" s="31" t="s">
        <v>23</v>
      </c>
      <c r="D61" s="10">
        <f t="shared" ref="D61:M61" si="21">D6*D13</f>
        <v>500</v>
      </c>
      <c r="E61" s="10">
        <f t="shared" si="21"/>
        <v>567.1</v>
      </c>
      <c r="F61" s="10">
        <f t="shared" si="21"/>
        <v>643.20482000000015</v>
      </c>
      <c r="G61" s="10">
        <f t="shared" si="21"/>
        <v>729.52290684400032</v>
      </c>
      <c r="H61" s="10">
        <f t="shared" si="21"/>
        <v>827.42488094246528</v>
      </c>
      <c r="I61" s="10">
        <f t="shared" si="21"/>
        <v>938.46529996494417</v>
      </c>
      <c r="J61" s="10">
        <f t="shared" si="21"/>
        <v>1064.4073432202399</v>
      </c>
      <c r="K61" s="10">
        <f t="shared" si="21"/>
        <v>1207.2508086803959</v>
      </c>
      <c r="L61" s="10">
        <f t="shared" si="21"/>
        <v>1369.2638672053054</v>
      </c>
      <c r="M61" s="10">
        <f t="shared" si="21"/>
        <v>1553.0190781842575</v>
      </c>
      <c r="N61" s="34"/>
      <c r="O61" s="34"/>
      <c r="P61" s="34"/>
      <c r="Q61" s="34"/>
    </row>
    <row r="62" spans="1:17" x14ac:dyDescent="0.25">
      <c r="A62" s="31" t="s">
        <v>22</v>
      </c>
      <c r="D62" s="10">
        <f>(D5*D12)</f>
        <v>122500</v>
      </c>
      <c r="E62" s="10">
        <f>(E5*E12)</f>
        <v>138939.5</v>
      </c>
      <c r="F62" s="10">
        <f>(F5*F12)</f>
        <v>157585.18090000001</v>
      </c>
      <c r="G62" s="10">
        <f>(G5*G12)</f>
        <v>178733.11217678004</v>
      </c>
      <c r="H62" s="10">
        <f>(H5*H12)</f>
        <v>202719.09583090397</v>
      </c>
      <c r="I62" s="10">
        <f t="shared" ref="I62:M62" si="22">(I5*I12)</f>
        <v>229923.9984914113</v>
      </c>
      <c r="J62" s="10">
        <f t="shared" si="22"/>
        <v>260779.79908895874</v>
      </c>
      <c r="K62" s="10">
        <f t="shared" si="22"/>
        <v>295776.44812669704</v>
      </c>
      <c r="L62" s="10">
        <f t="shared" si="22"/>
        <v>335469.64746529976</v>
      </c>
      <c r="M62" s="10">
        <f t="shared" si="22"/>
        <v>380489.67415514303</v>
      </c>
      <c r="N62" s="34"/>
      <c r="O62" s="34"/>
      <c r="P62" s="34"/>
      <c r="Q62" s="34"/>
    </row>
    <row r="63" spans="1:17" x14ac:dyDescent="0.25">
      <c r="A63" s="31" t="s">
        <v>17</v>
      </c>
      <c r="D63" s="10">
        <f>(D7*D14)</f>
        <v>29750</v>
      </c>
      <c r="E63" s="10">
        <f>(E7*E14)</f>
        <v>36289.050000000003</v>
      </c>
      <c r="F63" s="10">
        <f>(F7*F14)</f>
        <v>44265.383190000015</v>
      </c>
      <c r="G63" s="10">
        <f>(G7*G14)</f>
        <v>53994.914415162013</v>
      </c>
      <c r="H63" s="10">
        <f>(H7*H14)</f>
        <v>65862.996603614636</v>
      </c>
      <c r="I63" s="10">
        <f t="shared" ref="I63:M63" si="23">(I7*I14)</f>
        <v>80339.683257089157</v>
      </c>
      <c r="J63" s="10">
        <f t="shared" si="23"/>
        <v>97998.345636997357</v>
      </c>
      <c r="K63" s="10">
        <f t="shared" si="23"/>
        <v>119538.3820080094</v>
      </c>
      <c r="L63" s="10">
        <f t="shared" si="23"/>
        <v>145812.9183733699</v>
      </c>
      <c r="M63" s="10">
        <f t="shared" si="23"/>
        <v>177862.59783183664</v>
      </c>
      <c r="N63" s="34"/>
      <c r="O63" s="34"/>
      <c r="P63" s="34"/>
      <c r="Q63" s="34"/>
    </row>
    <row r="64" spans="1:17" x14ac:dyDescent="0.25">
      <c r="A64" s="31" t="s">
        <v>18</v>
      </c>
      <c r="D64" s="10">
        <f>D9*D16</f>
        <v>21000</v>
      </c>
      <c r="E64" s="10">
        <f>E9*E16</f>
        <v>22919.4</v>
      </c>
      <c r="F64" s="10">
        <f>F9*F16</f>
        <v>25014.233159999996</v>
      </c>
      <c r="G64" s="10">
        <f>G9*G16</f>
        <v>27300.534070824</v>
      </c>
      <c r="H64" s="10">
        <f>H9*H16</f>
        <v>29795.802884897319</v>
      </c>
      <c r="I64" s="10">
        <f t="shared" ref="I64:M64" si="24">I9*I16</f>
        <v>32519.139268576939</v>
      </c>
      <c r="J64" s="10">
        <f t="shared" si="24"/>
        <v>35491.388597724872</v>
      </c>
      <c r="K64" s="10">
        <f t="shared" si="24"/>
        <v>38735.301515556923</v>
      </c>
      <c r="L64" s="10">
        <f t="shared" si="24"/>
        <v>42275.70807407883</v>
      </c>
      <c r="M64" s="10">
        <f t="shared" si="24"/>
        <v>46139.707792049638</v>
      </c>
      <c r="N64" s="34"/>
      <c r="O64" s="34"/>
      <c r="P64" s="34"/>
      <c r="Q64" s="34"/>
    </row>
    <row r="65" spans="1:17" x14ac:dyDescent="0.25">
      <c r="A65" s="31" t="s">
        <v>19</v>
      </c>
      <c r="D65" s="10">
        <f>D8*D15*(D12*0.02)</f>
        <v>42000</v>
      </c>
      <c r="E65" s="10">
        <f>E8*E15*(E12*0.02)</f>
        <v>45389.400000000009</v>
      </c>
      <c r="F65" s="10">
        <f>F8*F15*(F12*0.02)</f>
        <v>49052.324580000008</v>
      </c>
      <c r="G65" s="10">
        <f>G8*G15*(G12*0.02)</f>
        <v>53010.847173606009</v>
      </c>
      <c r="H65" s="10">
        <f>H8*H15*(H12*0.02)</f>
        <v>57288.822540516026</v>
      </c>
      <c r="I65" s="10">
        <f t="shared" ref="I65:M65" si="25">I8*I15*(I12*0.02)</f>
        <v>61912.030519535678</v>
      </c>
      <c r="J65" s="10">
        <f t="shared" si="25"/>
        <v>66908.331382462216</v>
      </c>
      <c r="K65" s="10">
        <f t="shared" si="25"/>
        <v>72307.833725026911</v>
      </c>
      <c r="L65" s="10">
        <f t="shared" si="25"/>
        <v>78143.075906636586</v>
      </c>
      <c r="M65" s="10">
        <f t="shared" si="25"/>
        <v>84449.222132302151</v>
      </c>
      <c r="N65" s="34"/>
      <c r="O65" s="34"/>
      <c r="P65" s="34"/>
      <c r="Q65" s="34"/>
    </row>
    <row r="66" spans="1:17" x14ac:dyDescent="0.25">
      <c r="A66" s="31" t="s">
        <v>35</v>
      </c>
      <c r="D66" s="10">
        <f t="shared" ref="D66:M68" si="26">+D18*D22</f>
        <v>7800</v>
      </c>
      <c r="E66" s="10">
        <f t="shared" si="26"/>
        <v>7800</v>
      </c>
      <c r="F66" s="10">
        <f t="shared" si="26"/>
        <v>7800</v>
      </c>
      <c r="G66" s="10">
        <f t="shared" si="26"/>
        <v>9450</v>
      </c>
      <c r="H66" s="10">
        <f t="shared" si="26"/>
        <v>9450</v>
      </c>
      <c r="I66" s="10">
        <f t="shared" si="26"/>
        <v>9450</v>
      </c>
      <c r="J66" s="10">
        <f t="shared" si="26"/>
        <v>9450</v>
      </c>
      <c r="K66" s="10">
        <f t="shared" si="26"/>
        <v>9450</v>
      </c>
      <c r="L66" s="10">
        <f t="shared" si="26"/>
        <v>9450</v>
      </c>
      <c r="M66" s="10">
        <f t="shared" si="26"/>
        <v>9450</v>
      </c>
      <c r="N66" s="34"/>
      <c r="O66" s="34"/>
      <c r="P66" s="34"/>
      <c r="Q66" s="34"/>
    </row>
    <row r="67" spans="1:17" x14ac:dyDescent="0.25">
      <c r="A67" s="31" t="s">
        <v>36</v>
      </c>
      <c r="D67" s="10">
        <f t="shared" si="26"/>
        <v>6900</v>
      </c>
      <c r="E67" s="10">
        <f t="shared" si="26"/>
        <v>6900</v>
      </c>
      <c r="F67" s="10">
        <f t="shared" si="26"/>
        <v>6900</v>
      </c>
      <c r="G67" s="10">
        <f t="shared" si="26"/>
        <v>8400</v>
      </c>
      <c r="H67" s="10">
        <f t="shared" si="26"/>
        <v>8400</v>
      </c>
      <c r="I67" s="10">
        <f t="shared" si="26"/>
        <v>8400</v>
      </c>
      <c r="J67" s="10">
        <f t="shared" si="26"/>
        <v>8400</v>
      </c>
      <c r="K67" s="10">
        <f t="shared" si="26"/>
        <v>8400</v>
      </c>
      <c r="L67" s="10">
        <f t="shared" si="26"/>
        <v>8400</v>
      </c>
      <c r="M67" s="10">
        <f t="shared" si="26"/>
        <v>8400</v>
      </c>
      <c r="N67" s="34"/>
      <c r="O67" s="34"/>
      <c r="P67" s="34"/>
      <c r="Q67" s="34"/>
    </row>
    <row r="68" spans="1:17" x14ac:dyDescent="0.25">
      <c r="A68" s="31" t="s">
        <v>37</v>
      </c>
      <c r="D68" s="10">
        <f t="shared" si="26"/>
        <v>6000</v>
      </c>
      <c r="E68" s="10">
        <f t="shared" si="26"/>
        <v>6000</v>
      </c>
      <c r="F68" s="10">
        <f t="shared" si="26"/>
        <v>6000</v>
      </c>
      <c r="G68" s="10">
        <f t="shared" si="26"/>
        <v>7350</v>
      </c>
      <c r="H68" s="10">
        <f t="shared" si="26"/>
        <v>7350</v>
      </c>
      <c r="I68" s="10">
        <f t="shared" si="26"/>
        <v>7350</v>
      </c>
      <c r="J68" s="10">
        <f t="shared" si="26"/>
        <v>7350</v>
      </c>
      <c r="K68" s="10">
        <f t="shared" si="26"/>
        <v>7350</v>
      </c>
      <c r="L68" s="10">
        <f t="shared" si="26"/>
        <v>7350</v>
      </c>
      <c r="M68" s="10">
        <f t="shared" si="26"/>
        <v>7350</v>
      </c>
      <c r="N68" s="34"/>
      <c r="O68" s="34"/>
      <c r="P68" s="34"/>
      <c r="Q68" s="34"/>
    </row>
    <row r="69" spans="1:17" x14ac:dyDescent="0.25">
      <c r="A69" s="31" t="s">
        <v>25</v>
      </c>
      <c r="D69" s="10">
        <f t="shared" ref="D69:M70" si="27">D10*D25</f>
        <v>3250</v>
      </c>
      <c r="E69" s="10">
        <f t="shared" si="27"/>
        <v>3250</v>
      </c>
      <c r="F69" s="10">
        <f t="shared" si="27"/>
        <v>3250</v>
      </c>
      <c r="G69" s="10">
        <f t="shared" si="27"/>
        <v>3500</v>
      </c>
      <c r="H69" s="10">
        <f t="shared" si="27"/>
        <v>3500</v>
      </c>
      <c r="I69" s="10">
        <f t="shared" si="27"/>
        <v>3500</v>
      </c>
      <c r="J69" s="10">
        <f t="shared" si="27"/>
        <v>3500</v>
      </c>
      <c r="K69" s="10">
        <f t="shared" si="27"/>
        <v>3500</v>
      </c>
      <c r="L69" s="10">
        <f t="shared" si="27"/>
        <v>3500</v>
      </c>
      <c r="M69" s="10">
        <f t="shared" si="27"/>
        <v>3500</v>
      </c>
      <c r="N69" s="34"/>
      <c r="O69" s="34"/>
      <c r="P69" s="34"/>
      <c r="Q69" s="34"/>
    </row>
    <row r="70" spans="1:17" x14ac:dyDescent="0.25">
      <c r="A70" s="31" t="s">
        <v>24</v>
      </c>
      <c r="D70" s="10">
        <f t="shared" si="27"/>
        <v>3200</v>
      </c>
      <c r="E70" s="10">
        <f t="shared" si="27"/>
        <v>3200</v>
      </c>
      <c r="F70" s="10">
        <f t="shared" si="27"/>
        <v>3200</v>
      </c>
      <c r="G70" s="10">
        <f t="shared" si="27"/>
        <v>3400</v>
      </c>
      <c r="H70" s="10">
        <f t="shared" si="27"/>
        <v>3400</v>
      </c>
      <c r="I70" s="10">
        <f t="shared" si="27"/>
        <v>3400</v>
      </c>
      <c r="J70" s="10">
        <f t="shared" si="27"/>
        <v>3400</v>
      </c>
      <c r="K70" s="10">
        <f t="shared" si="27"/>
        <v>3400</v>
      </c>
      <c r="L70" s="10">
        <f t="shared" si="27"/>
        <v>3400</v>
      </c>
      <c r="M70" s="10">
        <f t="shared" si="27"/>
        <v>3400</v>
      </c>
      <c r="N70" s="34"/>
      <c r="O70" s="34"/>
      <c r="P70" s="34"/>
      <c r="Q70" s="34"/>
    </row>
    <row r="71" spans="1:17" x14ac:dyDescent="0.25">
      <c r="A71" s="31" t="s">
        <v>45</v>
      </c>
      <c r="D71" s="10">
        <f>+D27</f>
        <v>98000</v>
      </c>
      <c r="E71" s="10">
        <f>+E27</f>
        <v>104860</v>
      </c>
      <c r="F71" s="10">
        <f>+F27</f>
        <v>112200.2</v>
      </c>
      <c r="G71" s="10">
        <f>+G27</f>
        <v>120054.21400000002</v>
      </c>
      <c r="H71" s="10">
        <f>+H27</f>
        <v>128458.00898000003</v>
      </c>
      <c r="I71" s="10">
        <f t="shared" ref="I71:M71" si="28">+I27</f>
        <v>137450.06960860005</v>
      </c>
      <c r="J71" s="10">
        <f t="shared" si="28"/>
        <v>147071.57448120206</v>
      </c>
      <c r="K71" s="10">
        <f t="shared" si="28"/>
        <v>157366.5846948862</v>
      </c>
      <c r="L71" s="10">
        <f t="shared" si="28"/>
        <v>168382.24562352823</v>
      </c>
      <c r="M71" s="10">
        <f t="shared" si="28"/>
        <v>180169.00281717523</v>
      </c>
      <c r="N71" s="34"/>
      <c r="O71" s="34"/>
      <c r="P71" s="34"/>
      <c r="Q71" s="34"/>
    </row>
    <row r="72" spans="1:17" x14ac:dyDescent="0.25">
      <c r="A72" s="31" t="s">
        <v>96</v>
      </c>
      <c r="D72" s="10">
        <f>D33*365</f>
        <v>15968.75</v>
      </c>
      <c r="E72" s="10">
        <f>E33*365</f>
        <v>16767.1875</v>
      </c>
      <c r="F72" s="10">
        <f>F33*365</f>
        <v>17605.546875</v>
      </c>
      <c r="G72" s="10">
        <f>G33*365</f>
        <v>18485.824218750004</v>
      </c>
      <c r="H72" s="10">
        <f>H33*365</f>
        <v>19410.115429687503</v>
      </c>
      <c r="I72" s="10">
        <f t="shared" ref="I72:M72" si="29">I33*365</f>
        <v>20380.621201171878</v>
      </c>
      <c r="J72" s="10">
        <f t="shared" si="29"/>
        <v>21399.652261230473</v>
      </c>
      <c r="K72" s="10">
        <f t="shared" si="29"/>
        <v>22469.634874291998</v>
      </c>
      <c r="L72" s="10">
        <f t="shared" si="29"/>
        <v>23593.116618006599</v>
      </c>
      <c r="M72" s="10">
        <f t="shared" si="29"/>
        <v>24772.77244890693</v>
      </c>
      <c r="N72" s="34"/>
      <c r="O72" s="34"/>
      <c r="P72" s="34"/>
      <c r="Q72" s="34"/>
    </row>
    <row r="73" spans="1:17" x14ac:dyDescent="0.25">
      <c r="A73" s="31" t="s">
        <v>99</v>
      </c>
      <c r="D73" s="10">
        <f>D34</f>
        <v>72000</v>
      </c>
      <c r="E73" s="10">
        <f>E34</f>
        <v>75600</v>
      </c>
      <c r="F73" s="10">
        <f>F34</f>
        <v>79380</v>
      </c>
      <c r="G73" s="10">
        <f>G34</f>
        <v>83349</v>
      </c>
      <c r="H73" s="10">
        <f>H34</f>
        <v>87516.45</v>
      </c>
      <c r="I73" s="10">
        <f t="shared" ref="I73:M73" si="30">I34</f>
        <v>91892.272500000006</v>
      </c>
      <c r="J73" s="10">
        <f t="shared" si="30"/>
        <v>96486.886125000005</v>
      </c>
      <c r="K73" s="10">
        <f t="shared" si="30"/>
        <v>101311.23043125001</v>
      </c>
      <c r="L73" s="10">
        <f t="shared" si="30"/>
        <v>106376.79195281251</v>
      </c>
      <c r="M73" s="10">
        <f t="shared" si="30"/>
        <v>111695.63155045314</v>
      </c>
      <c r="N73" s="34"/>
      <c r="O73" s="34"/>
      <c r="P73" s="34"/>
      <c r="Q73" s="34"/>
    </row>
    <row r="74" spans="1:17" x14ac:dyDescent="0.25">
      <c r="N74" s="34"/>
      <c r="O74" s="34"/>
      <c r="P74" s="34"/>
      <c r="Q74" s="34"/>
    </row>
    <row r="75" spans="1:17" x14ac:dyDescent="0.25">
      <c r="A75" s="31" t="s">
        <v>145</v>
      </c>
      <c r="D75" s="13">
        <f>SUM(D61:D73)</f>
        <v>428868.75</v>
      </c>
      <c r="E75" s="13">
        <f t="shared" ref="E75:M75" si="31">SUM(E61:E73)</f>
        <v>468481.63750000001</v>
      </c>
      <c r="F75" s="13">
        <f t="shared" si="31"/>
        <v>512896.07352500007</v>
      </c>
      <c r="G75" s="13">
        <f t="shared" si="31"/>
        <v>567757.96896196611</v>
      </c>
      <c r="H75" s="13">
        <f t="shared" si="31"/>
        <v>623978.71715056198</v>
      </c>
      <c r="I75" s="13">
        <f t="shared" si="31"/>
        <v>687456.2801463498</v>
      </c>
      <c r="J75" s="13">
        <f t="shared" si="31"/>
        <v>759300.384916796</v>
      </c>
      <c r="K75" s="13">
        <f t="shared" si="31"/>
        <v>840812.66618439881</v>
      </c>
      <c r="L75" s="13">
        <f t="shared" si="31"/>
        <v>933522.76788093767</v>
      </c>
      <c r="M75" s="13">
        <f t="shared" si="31"/>
        <v>1039231.6278060509</v>
      </c>
      <c r="N75" s="34"/>
      <c r="O75" s="34"/>
      <c r="P75" s="34"/>
      <c r="Q75" s="34"/>
    </row>
    <row r="76" spans="1:17" x14ac:dyDescent="0.25">
      <c r="N76" s="34"/>
      <c r="O76" s="34"/>
      <c r="P76" s="34"/>
      <c r="Q76" s="34"/>
    </row>
    <row r="77" spans="1:17" x14ac:dyDescent="0.25">
      <c r="A77" s="31" t="s">
        <v>31</v>
      </c>
      <c r="D77" s="10">
        <f>+D71*0.5</f>
        <v>49000</v>
      </c>
      <c r="E77" s="10">
        <f t="shared" ref="E77:M77" si="32">+E71*0.5</f>
        <v>52430</v>
      </c>
      <c r="F77" s="10">
        <f t="shared" si="32"/>
        <v>56100.1</v>
      </c>
      <c r="G77" s="10">
        <f t="shared" si="32"/>
        <v>60027.107000000011</v>
      </c>
      <c r="H77" s="10">
        <f t="shared" si="32"/>
        <v>64229.004490000014</v>
      </c>
      <c r="I77" s="10">
        <f t="shared" si="32"/>
        <v>68725.034804300027</v>
      </c>
      <c r="J77" s="10">
        <f t="shared" si="32"/>
        <v>73535.787240601028</v>
      </c>
      <c r="K77" s="10">
        <f>+K71*0.5</f>
        <v>78683.292347443101</v>
      </c>
      <c r="L77" s="10">
        <f t="shared" si="32"/>
        <v>84191.122811764115</v>
      </c>
      <c r="M77" s="10">
        <f t="shared" si="32"/>
        <v>90084.501408587617</v>
      </c>
      <c r="N77" s="34"/>
      <c r="O77" s="34"/>
      <c r="P77" s="34"/>
      <c r="Q77" s="34"/>
    </row>
    <row r="78" spans="1:17" x14ac:dyDescent="0.25">
      <c r="D78" s="10"/>
      <c r="E78" s="10"/>
      <c r="F78" s="10"/>
      <c r="G78" s="10"/>
      <c r="H78" s="10"/>
      <c r="N78" s="34"/>
      <c r="O78" s="34"/>
      <c r="P78" s="34"/>
      <c r="Q78" s="34"/>
    </row>
    <row r="79" spans="1:17" x14ac:dyDescent="0.25">
      <c r="A79" s="31" t="s">
        <v>146</v>
      </c>
      <c r="D79" s="10">
        <f>D75-D77</f>
        <v>379868.75</v>
      </c>
      <c r="E79" s="10">
        <f t="shared" ref="E79:M79" si="33">E75-E77</f>
        <v>416051.63750000001</v>
      </c>
      <c r="F79" s="10">
        <f t="shared" si="33"/>
        <v>456795.9735250001</v>
      </c>
      <c r="G79" s="10">
        <f t="shared" si="33"/>
        <v>507730.86196196609</v>
      </c>
      <c r="H79" s="10">
        <f t="shared" si="33"/>
        <v>559749.71266056201</v>
      </c>
      <c r="I79" s="10">
        <f t="shared" si="33"/>
        <v>618731.24534204975</v>
      </c>
      <c r="J79" s="10">
        <f t="shared" si="33"/>
        <v>685764.59767619497</v>
      </c>
      <c r="K79" s="10">
        <f t="shared" si="33"/>
        <v>762129.37383695575</v>
      </c>
      <c r="L79" s="10">
        <f t="shared" si="33"/>
        <v>849331.64506917354</v>
      </c>
      <c r="M79" s="10">
        <f t="shared" si="33"/>
        <v>949147.12639746326</v>
      </c>
      <c r="N79" s="34"/>
      <c r="O79" s="34"/>
      <c r="P79" s="34"/>
      <c r="Q79" s="34"/>
    </row>
    <row r="80" spans="1:17" ht="18.75" x14ac:dyDescent="0.3">
      <c r="A80" s="5" t="s">
        <v>26</v>
      </c>
      <c r="B80" s="32"/>
      <c r="C80" s="32"/>
      <c r="N80" s="35"/>
      <c r="O80" s="35"/>
      <c r="P80" s="35"/>
      <c r="Q80" s="34"/>
    </row>
    <row r="81" spans="1:17" x14ac:dyDescent="0.25">
      <c r="A81" s="31" t="s">
        <v>27</v>
      </c>
      <c r="D81" s="10">
        <f>+D31*$N$81</f>
        <v>105000</v>
      </c>
      <c r="E81" s="10">
        <f>+E31*$N$81</f>
        <v>105000</v>
      </c>
      <c r="F81" s="10">
        <f>+F31*$N$81</f>
        <v>105000</v>
      </c>
      <c r="G81" s="10">
        <f>+G31*$N$81</f>
        <v>105000</v>
      </c>
      <c r="H81" s="10">
        <f>+H31*$N$81</f>
        <v>105000</v>
      </c>
      <c r="I81" s="10">
        <f t="shared" ref="I81:M81" si="34">+I31*$N$81</f>
        <v>105000</v>
      </c>
      <c r="J81" s="10">
        <f t="shared" si="34"/>
        <v>105000</v>
      </c>
      <c r="K81" s="10">
        <f t="shared" si="34"/>
        <v>105000</v>
      </c>
      <c r="L81" s="10">
        <f t="shared" si="34"/>
        <v>105000</v>
      </c>
      <c r="M81" s="10">
        <f t="shared" si="34"/>
        <v>105000</v>
      </c>
      <c r="N81" s="35">
        <v>0.06</v>
      </c>
      <c r="O81" s="35" t="s">
        <v>50</v>
      </c>
      <c r="P81" s="35"/>
      <c r="Q81" s="34"/>
    </row>
    <row r="82" spans="1:17" x14ac:dyDescent="0.25">
      <c r="A82" s="31" t="s">
        <v>28</v>
      </c>
      <c r="D82" s="10">
        <f>+(D29+D30)*$N$82</f>
        <v>117000</v>
      </c>
      <c r="E82" s="10">
        <f>+(E29+E30)*$N$82</f>
        <v>117000</v>
      </c>
      <c r="F82" s="10">
        <f>+(F29+F30)*$N$82</f>
        <v>117000</v>
      </c>
      <c r="G82" s="10">
        <f>+(G29+G30)*$N$82</f>
        <v>117000</v>
      </c>
      <c r="H82" s="10">
        <f>+(H29+H30)*$N$82</f>
        <v>117000</v>
      </c>
      <c r="I82" s="10">
        <f t="shared" ref="I82:M82" si="35">+(I29+I30)*$N$82</f>
        <v>117000</v>
      </c>
      <c r="J82" s="10">
        <f t="shared" si="35"/>
        <v>117000</v>
      </c>
      <c r="K82" s="10">
        <f t="shared" si="35"/>
        <v>117000</v>
      </c>
      <c r="L82" s="10">
        <f t="shared" si="35"/>
        <v>117000</v>
      </c>
      <c r="M82" s="10">
        <f t="shared" si="35"/>
        <v>117000</v>
      </c>
      <c r="N82" s="35">
        <f>((8*5)+12+8)/7*350</f>
        <v>3000</v>
      </c>
      <c r="O82" s="35" t="s">
        <v>49</v>
      </c>
      <c r="P82" s="35"/>
      <c r="Q82" s="34"/>
    </row>
    <row r="83" spans="1:17" x14ac:dyDescent="0.25">
      <c r="A83" s="31" t="s">
        <v>65</v>
      </c>
      <c r="D83" s="50">
        <v>5000</v>
      </c>
      <c r="E83" s="50">
        <f>E75*$N$83</f>
        <v>5461.8299596321713</v>
      </c>
      <c r="F83" s="50">
        <f t="shared" ref="F83:M83" si="36">F75*$N$83</f>
        <v>5979.6391497981613</v>
      </c>
      <c r="G83" s="50">
        <f t="shared" si="36"/>
        <v>6619.250865934695</v>
      </c>
      <c r="H83" s="50">
        <f t="shared" si="36"/>
        <v>7274.7048735838407</v>
      </c>
      <c r="I83" s="50">
        <f t="shared" si="36"/>
        <v>8014.7630265244288</v>
      </c>
      <c r="J83" s="50">
        <f t="shared" si="36"/>
        <v>8852.3631637511007</v>
      </c>
      <c r="K83" s="50">
        <f t="shared" si="36"/>
        <v>9802.6804958906287</v>
      </c>
      <c r="L83" s="50">
        <f t="shared" si="36"/>
        <v>10883.548496841255</v>
      </c>
      <c r="M83" s="50">
        <f t="shared" si="36"/>
        <v>12115.963541363772</v>
      </c>
      <c r="N83" s="47">
        <f>D83/D75</f>
        <v>1.1658578527812996E-2</v>
      </c>
      <c r="O83" s="35"/>
      <c r="P83" s="35"/>
      <c r="Q83" s="34"/>
    </row>
    <row r="84" spans="1:17" x14ac:dyDescent="0.25">
      <c r="A84" s="31" t="s">
        <v>29</v>
      </c>
      <c r="D84" s="10">
        <v>5000</v>
      </c>
      <c r="E84" s="50">
        <f>E75*$N$84</f>
        <v>5461.8299596321713</v>
      </c>
      <c r="F84" s="50">
        <f t="shared" ref="F84:H84" si="37">F75*$N$84</f>
        <v>5979.6391497981613</v>
      </c>
      <c r="G84" s="50">
        <f t="shared" si="37"/>
        <v>6619.250865934695</v>
      </c>
      <c r="H84" s="50">
        <f t="shared" si="37"/>
        <v>7274.7048735838407</v>
      </c>
      <c r="I84" s="10">
        <f t="shared" ref="I84:M84" si="38">+H84*(1+$N$84)</f>
        <v>7359.5175916191811</v>
      </c>
      <c r="J84" s="10">
        <f t="shared" si="38"/>
        <v>7445.3191053878936</v>
      </c>
      <c r="K84" s="10">
        <f t="shared" si="38"/>
        <v>7532.1209428426846</v>
      </c>
      <c r="L84" s="10">
        <f t="shared" si="38"/>
        <v>7619.9347663358003</v>
      </c>
      <c r="M84" s="10">
        <f t="shared" si="38"/>
        <v>7708.7723741859381</v>
      </c>
      <c r="N84" s="45">
        <f>D84/D75</f>
        <v>1.1658578527812996E-2</v>
      </c>
      <c r="O84" s="35"/>
      <c r="P84" s="35"/>
      <c r="Q84" s="34"/>
    </row>
    <row r="85" spans="1:17" x14ac:dyDescent="0.25">
      <c r="A85" s="31" t="s">
        <v>30</v>
      </c>
      <c r="D85" s="10">
        <f>IF(+(500000-SUM(D61:D73))*0.2&lt;0,0,+(500000-SUM(D61:D73))*0.2)</f>
        <v>14226.25</v>
      </c>
      <c r="E85" s="10">
        <f t="shared" ref="E85:M85" si="39">IF(+(500000-SUM(E61:E73))*0.2&lt;0,0,+(500000-SUM(E61:E73))*0.2)</f>
        <v>6303.6724999999979</v>
      </c>
      <c r="F85" s="10">
        <f t="shared" si="39"/>
        <v>0</v>
      </c>
      <c r="G85" s="10">
        <f t="shared" si="39"/>
        <v>0</v>
      </c>
      <c r="H85" s="10">
        <f t="shared" si="39"/>
        <v>0</v>
      </c>
      <c r="I85" s="10">
        <f t="shared" si="39"/>
        <v>0</v>
      </c>
      <c r="J85" s="10">
        <f t="shared" si="39"/>
        <v>0</v>
      </c>
      <c r="K85" s="10">
        <f t="shared" si="39"/>
        <v>0</v>
      </c>
      <c r="L85" s="10">
        <f t="shared" si="39"/>
        <v>0</v>
      </c>
      <c r="M85" s="10">
        <f t="shared" si="39"/>
        <v>0</v>
      </c>
      <c r="N85" s="35"/>
      <c r="O85" s="35"/>
      <c r="P85" s="35"/>
      <c r="Q85" s="34"/>
    </row>
    <row r="86" spans="1:17" x14ac:dyDescent="0.25">
      <c r="I86" s="10"/>
      <c r="J86" s="10"/>
      <c r="K86" s="10"/>
      <c r="L86" s="10"/>
      <c r="M86" s="10"/>
      <c r="N86" s="35"/>
      <c r="O86" s="35"/>
      <c r="P86" s="35"/>
      <c r="Q86" s="34"/>
    </row>
    <row r="87" spans="1:17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35"/>
      <c r="O87" s="35"/>
      <c r="P87" s="35"/>
      <c r="Q87" s="34"/>
    </row>
    <row r="88" spans="1:17" x14ac:dyDescent="0.25">
      <c r="A88" s="31" t="s">
        <v>144</v>
      </c>
      <c r="D88" s="50">
        <f>D79-SUM(D81:D85)</f>
        <v>133642.5</v>
      </c>
      <c r="E88" s="50">
        <f t="shared" ref="E88:M88" si="40">E79-SUM(E81:E85)</f>
        <v>176824.30508073571</v>
      </c>
      <c r="F88" s="50">
        <f>F79-SUM(F81:F85)</f>
        <v>222836.69522540376</v>
      </c>
      <c r="G88" s="50">
        <f t="shared" si="40"/>
        <v>272492.36023009667</v>
      </c>
      <c r="H88" s="50">
        <f t="shared" si="40"/>
        <v>323200.30291339435</v>
      </c>
      <c r="I88" s="50">
        <f>I79-SUM(I81:I85)</f>
        <v>381356.96472390613</v>
      </c>
      <c r="J88" s="50">
        <f t="shared" si="40"/>
        <v>447466.91540705599</v>
      </c>
      <c r="K88" s="50">
        <f t="shared" si="40"/>
        <v>522794.57239822246</v>
      </c>
      <c r="L88" s="50">
        <f t="shared" si="40"/>
        <v>608828.16180599644</v>
      </c>
      <c r="M88" s="50">
        <f t="shared" si="40"/>
        <v>707322.39048191358</v>
      </c>
      <c r="N88" s="35"/>
      <c r="O88" s="35"/>
      <c r="P88" s="35"/>
      <c r="Q88" s="34"/>
    </row>
    <row r="89" spans="1:17" x14ac:dyDescent="0.25"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35"/>
      <c r="O89" s="35"/>
      <c r="P89" s="35"/>
      <c r="Q89" s="34"/>
    </row>
    <row r="90" spans="1:17" x14ac:dyDescent="0.25">
      <c r="A90" s="31" t="s">
        <v>87</v>
      </c>
      <c r="D90" s="16">
        <f>D113*0.1</f>
        <v>2000</v>
      </c>
      <c r="E90" s="16">
        <f>E113*0.1</f>
        <v>2000</v>
      </c>
      <c r="F90" s="16">
        <f>F113*0.1</f>
        <v>2000</v>
      </c>
      <c r="G90" s="16">
        <f>G113*0.1</f>
        <v>2000</v>
      </c>
      <c r="H90" s="16">
        <f>H113*0.1</f>
        <v>2000</v>
      </c>
      <c r="I90" s="16">
        <f t="shared" ref="I90:M90" si="41">I113*0.1</f>
        <v>2000.1000000000001</v>
      </c>
      <c r="J90" s="16">
        <f t="shared" si="41"/>
        <v>2000.2</v>
      </c>
      <c r="K90" s="16">
        <f t="shared" si="41"/>
        <v>2000.3000000000002</v>
      </c>
      <c r="L90" s="16">
        <f t="shared" si="41"/>
        <v>2000.4</v>
      </c>
      <c r="M90" s="16">
        <f t="shared" si="41"/>
        <v>2000.5</v>
      </c>
      <c r="N90" s="35"/>
      <c r="O90" s="35"/>
      <c r="P90" s="35"/>
      <c r="Q90" s="34"/>
    </row>
    <row r="91" spans="1:17" x14ac:dyDescent="0.25">
      <c r="A91" s="31" t="s">
        <v>86</v>
      </c>
      <c r="D91" s="16">
        <f>D109*(1/30)</f>
        <v>69000</v>
      </c>
      <c r="E91" s="16">
        <f>E109*(1/30)</f>
        <v>69000</v>
      </c>
      <c r="F91" s="16">
        <f>F109*(1/30)</f>
        <v>69000</v>
      </c>
      <c r="G91" s="16">
        <f>G109*(1/30)</f>
        <v>69000</v>
      </c>
      <c r="H91" s="16">
        <f>H109*(1/30)</f>
        <v>69000</v>
      </c>
      <c r="I91" s="16">
        <f t="shared" ref="I91:M91" si="42">I109*(1/30)</f>
        <v>69000</v>
      </c>
      <c r="J91" s="16">
        <f t="shared" si="42"/>
        <v>69000</v>
      </c>
      <c r="K91" s="16">
        <f t="shared" si="42"/>
        <v>69000</v>
      </c>
      <c r="L91" s="16">
        <f t="shared" si="42"/>
        <v>69000</v>
      </c>
      <c r="M91" s="16">
        <f t="shared" si="42"/>
        <v>69000</v>
      </c>
      <c r="N91" s="35"/>
      <c r="O91" s="35"/>
      <c r="P91" s="35"/>
      <c r="Q91" s="34"/>
    </row>
    <row r="92" spans="1:17" x14ac:dyDescent="0.25">
      <c r="A92" s="31" t="s">
        <v>168</v>
      </c>
      <c r="D92" s="16"/>
      <c r="E92" s="16"/>
      <c r="F92" s="16"/>
      <c r="G92" s="16"/>
      <c r="H92" s="16"/>
      <c r="I92" s="16"/>
      <c r="J92" s="16">
        <f>J111/10</f>
        <v>50000</v>
      </c>
      <c r="K92" s="16">
        <f t="shared" ref="K92:M92" si="43">K111/10</f>
        <v>50000</v>
      </c>
      <c r="L92" s="16">
        <f t="shared" si="43"/>
        <v>50000</v>
      </c>
      <c r="M92" s="16">
        <f t="shared" si="43"/>
        <v>50000</v>
      </c>
      <c r="N92" s="35"/>
      <c r="O92" s="35"/>
      <c r="P92" s="35"/>
      <c r="Q92" s="34"/>
    </row>
    <row r="93" spans="1:17" x14ac:dyDescent="0.25">
      <c r="A93" s="31" t="s">
        <v>62</v>
      </c>
      <c r="D93" s="41">
        <f>Amort!I19</f>
        <v>47280.767906401808</v>
      </c>
      <c r="E93" s="41">
        <f>Amort!I31</f>
        <v>46185.060624101076</v>
      </c>
      <c r="F93" s="41">
        <f>Amort!I43</f>
        <v>45061.644595325619</v>
      </c>
      <c r="G93" s="41">
        <f>Amort!I55</f>
        <v>43909.819108632131</v>
      </c>
      <c r="H93" s="41">
        <f>Amort!I67</f>
        <v>42728.86573266612</v>
      </c>
      <c r="I93" s="41">
        <f>Amort!I79</f>
        <v>41518.047868052745</v>
      </c>
      <c r="J93" s="41">
        <f>Amort!I91</f>
        <v>40276.610287955489</v>
      </c>
      <c r="K93" s="41">
        <f>Amort!I103</f>
        <v>39003.778667016501</v>
      </c>
      <c r="L93" s="41">
        <f>Amort!I115</f>
        <v>37698.759098384427</v>
      </c>
      <c r="M93" s="41">
        <f>Amort!I127</f>
        <v>36360.737598528664</v>
      </c>
      <c r="N93" s="35"/>
      <c r="O93" s="35"/>
      <c r="P93" s="35"/>
      <c r="Q93" s="34"/>
    </row>
    <row r="94" spans="1:17" x14ac:dyDescent="0.25">
      <c r="A94" s="31" t="s">
        <v>63</v>
      </c>
      <c r="D94" s="10">
        <f>D128*$N$128</f>
        <v>52997.965109460354</v>
      </c>
      <c r="E94" s="10">
        <f t="shared" ref="E94:M94" si="44">E128*$N$128</f>
        <v>50373.136062885867</v>
      </c>
      <c r="F94" s="10">
        <f t="shared" si="44"/>
        <v>44260.991466094238</v>
      </c>
      <c r="G94" s="10">
        <f t="shared" si="44"/>
        <v>34952.378697372806</v>
      </c>
      <c r="H94" s="10">
        <f t="shared" si="44"/>
        <v>22256.678303384539</v>
      </c>
      <c r="I94" s="10">
        <f t="shared" si="44"/>
        <v>5442.4576486700116</v>
      </c>
      <c r="J94" s="10">
        <f t="shared" si="44"/>
        <v>21453.490049012256</v>
      </c>
      <c r="K94" s="10">
        <f t="shared" si="44"/>
        <v>0</v>
      </c>
      <c r="L94" s="10">
        <f t="shared" si="44"/>
        <v>0</v>
      </c>
      <c r="M94" s="10">
        <f t="shared" si="44"/>
        <v>0</v>
      </c>
      <c r="N94" s="35"/>
      <c r="O94" s="35"/>
      <c r="P94" s="35"/>
      <c r="Q94" s="34"/>
    </row>
    <row r="95" spans="1:17" x14ac:dyDescent="0.25"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35"/>
      <c r="O95" s="35"/>
      <c r="P95" s="35"/>
      <c r="Q95" s="34"/>
    </row>
    <row r="96" spans="1:17" x14ac:dyDescent="0.25">
      <c r="A96" s="31" t="s">
        <v>57</v>
      </c>
      <c r="D96" s="13">
        <f t="shared" ref="D96:M96" si="45">D88-SUM(D90:D94)</f>
        <v>-37636.233015862148</v>
      </c>
      <c r="E96" s="13">
        <f t="shared" si="45"/>
        <v>9266.1083937487565</v>
      </c>
      <c r="F96" s="13">
        <f t="shared" si="45"/>
        <v>62514.059163983911</v>
      </c>
      <c r="G96" s="13">
        <f t="shared" si="45"/>
        <v>122630.16242409174</v>
      </c>
      <c r="H96" s="13">
        <f t="shared" si="45"/>
        <v>187214.7588773437</v>
      </c>
      <c r="I96" s="13">
        <f t="shared" si="45"/>
        <v>263396.35920718336</v>
      </c>
      <c r="J96" s="13">
        <f t="shared" si="45"/>
        <v>264736.61507008824</v>
      </c>
      <c r="K96" s="13">
        <f t="shared" si="45"/>
        <v>362790.49373120593</v>
      </c>
      <c r="L96" s="13">
        <f t="shared" si="45"/>
        <v>450129.002707612</v>
      </c>
      <c r="M96" s="13">
        <f t="shared" si="45"/>
        <v>549961.15288338484</v>
      </c>
      <c r="N96" s="35"/>
      <c r="O96" s="35"/>
      <c r="P96" s="35"/>
      <c r="Q96" s="34"/>
    </row>
    <row r="97" spans="1:17" x14ac:dyDescent="0.25">
      <c r="A97" s="31" t="s">
        <v>58</v>
      </c>
      <c r="D97" s="13">
        <f>IF(D96&lt;0,0,D96*$N$97)</f>
        <v>0</v>
      </c>
      <c r="E97" s="13">
        <f>IF(E96&lt;0,0,E96*$N$97)</f>
        <v>2316.5270984371891</v>
      </c>
      <c r="F97" s="13">
        <f>IF(F96&lt;0,0,F96*$N$97)</f>
        <v>15628.514790995978</v>
      </c>
      <c r="G97" s="13">
        <f>IF(G96&lt;0,0,G96*$N$97)</f>
        <v>30657.540606022936</v>
      </c>
      <c r="H97" s="13">
        <f>IF(H96&lt;0,0,H96*$N$97)</f>
        <v>46803.689719335925</v>
      </c>
      <c r="I97" s="13">
        <f t="shared" ref="I97:M97" si="46">IF(I96&lt;0,0,I96*$N$97)</f>
        <v>65849.089801795839</v>
      </c>
      <c r="J97" s="13">
        <f t="shared" si="46"/>
        <v>66184.153767522061</v>
      </c>
      <c r="K97" s="13">
        <f t="shared" si="46"/>
        <v>90697.623432801483</v>
      </c>
      <c r="L97" s="13">
        <f t="shared" si="46"/>
        <v>112532.250676903</v>
      </c>
      <c r="M97" s="13">
        <f t="shared" si="46"/>
        <v>137490.28822084621</v>
      </c>
      <c r="N97" s="45">
        <v>0.25</v>
      </c>
      <c r="O97" s="35" t="s">
        <v>60</v>
      </c>
      <c r="P97" s="35"/>
      <c r="Q97" s="34"/>
    </row>
    <row r="98" spans="1:17" x14ac:dyDescent="0.25">
      <c r="A98" s="31" t="s">
        <v>59</v>
      </c>
      <c r="D98" s="13">
        <f>+D96-D97</f>
        <v>-37636.233015862148</v>
      </c>
      <c r="E98" s="13">
        <f t="shared" ref="E98:G98" si="47">+E96-E97</f>
        <v>6949.5812953115674</v>
      </c>
      <c r="F98" s="13">
        <f t="shared" si="47"/>
        <v>46885.544372987933</v>
      </c>
      <c r="G98" s="13">
        <f t="shared" si="47"/>
        <v>91972.621818068816</v>
      </c>
      <c r="H98" s="13">
        <f>+H96-H97</f>
        <v>140411.06915800777</v>
      </c>
      <c r="I98" s="13">
        <f>+I96-I97</f>
        <v>197547.26940538752</v>
      </c>
      <c r="J98" s="13">
        <f t="shared" ref="J98:M98" si="48">+J96-J97</f>
        <v>198552.46130256617</v>
      </c>
      <c r="K98" s="13">
        <f t="shared" si="48"/>
        <v>272092.87029840448</v>
      </c>
      <c r="L98" s="13">
        <f t="shared" si="48"/>
        <v>337596.752030709</v>
      </c>
      <c r="M98" s="13">
        <f t="shared" si="48"/>
        <v>412470.86466253863</v>
      </c>
      <c r="N98" s="35"/>
      <c r="O98" s="35"/>
      <c r="P98" s="35"/>
      <c r="Q98" s="34"/>
    </row>
    <row r="99" spans="1:17" x14ac:dyDescent="0.25">
      <c r="D99" s="13"/>
      <c r="E99" s="13"/>
      <c r="F99" s="13"/>
      <c r="G99" s="13"/>
      <c r="H99" s="13"/>
      <c r="N99" s="35"/>
      <c r="O99" s="35"/>
      <c r="P99" s="35"/>
      <c r="Q99" s="34"/>
    </row>
    <row r="100" spans="1:17" x14ac:dyDescent="0.25">
      <c r="D100" s="13"/>
      <c r="E100" s="13"/>
      <c r="F100" s="13"/>
      <c r="G100" s="13"/>
      <c r="H100" s="13"/>
      <c r="N100" s="35"/>
      <c r="O100" s="35"/>
      <c r="P100" s="35"/>
      <c r="Q100" s="34"/>
    </row>
    <row r="101" spans="1:17" ht="18.75" x14ac:dyDescent="0.3">
      <c r="A101" s="5" t="s">
        <v>61</v>
      </c>
      <c r="B101" s="5"/>
      <c r="C101" s="5"/>
      <c r="N101" s="35"/>
      <c r="O101" s="35"/>
      <c r="P101" s="35"/>
      <c r="Q101" s="34"/>
    </row>
    <row r="102" spans="1:17" ht="18.75" x14ac:dyDescent="0.3">
      <c r="A102" s="5" t="s">
        <v>43</v>
      </c>
      <c r="B102" s="32"/>
      <c r="C102" s="32"/>
      <c r="N102" s="35"/>
      <c r="O102" s="35"/>
      <c r="P102" s="35"/>
      <c r="Q102" s="34"/>
    </row>
    <row r="103" spans="1:17" x14ac:dyDescent="0.25">
      <c r="A103" s="31" t="s">
        <v>52</v>
      </c>
      <c r="D103" s="31">
        <v>5000</v>
      </c>
      <c r="E103" s="31">
        <v>5000</v>
      </c>
      <c r="F103" s="31">
        <v>5000</v>
      </c>
      <c r="G103" s="31">
        <v>5000</v>
      </c>
      <c r="H103" s="31">
        <v>5000</v>
      </c>
      <c r="I103" s="31">
        <v>5000</v>
      </c>
      <c r="J103" s="31">
        <v>5000</v>
      </c>
      <c r="K103" s="31">
        <v>5000</v>
      </c>
      <c r="L103" s="31">
        <v>5000</v>
      </c>
      <c r="M103" s="31">
        <v>5000</v>
      </c>
      <c r="N103" s="35"/>
      <c r="O103" s="35"/>
      <c r="P103" s="35"/>
      <c r="Q103" s="34"/>
    </row>
    <row r="104" spans="1:17" x14ac:dyDescent="0.25">
      <c r="A104" s="31" t="s">
        <v>53</v>
      </c>
      <c r="K104" s="31">
        <v>61254</v>
      </c>
      <c r="L104" s="31">
        <v>490523</v>
      </c>
      <c r="M104" s="31">
        <v>996469</v>
      </c>
      <c r="N104" s="35"/>
      <c r="O104" s="35"/>
      <c r="P104" s="35"/>
      <c r="Q104" s="34"/>
    </row>
    <row r="105" spans="1:17" x14ac:dyDescent="0.25">
      <c r="A105" s="31" t="s">
        <v>54</v>
      </c>
      <c r="D105" s="15">
        <f t="shared" ref="D105:M105" si="49">(D77/365)*$N$105</f>
        <v>1879.4520547945203</v>
      </c>
      <c r="E105" s="15">
        <f t="shared" si="49"/>
        <v>2011.0136986301372</v>
      </c>
      <c r="F105" s="15">
        <f t="shared" si="49"/>
        <v>2151.7846575342464</v>
      </c>
      <c r="G105" s="15">
        <f t="shared" si="49"/>
        <v>2302.4095835616445</v>
      </c>
      <c r="H105" s="15">
        <f t="shared" si="49"/>
        <v>2463.5782544109593</v>
      </c>
      <c r="I105" s="15">
        <f t="shared" si="49"/>
        <v>2636.0287322197273</v>
      </c>
      <c r="J105" s="15">
        <f t="shared" si="49"/>
        <v>2820.550743475108</v>
      </c>
      <c r="K105" s="15">
        <f t="shared" si="49"/>
        <v>3017.9892955183655</v>
      </c>
      <c r="L105" s="15">
        <f t="shared" si="49"/>
        <v>3229.2485462046511</v>
      </c>
      <c r="M105" s="15">
        <f t="shared" si="49"/>
        <v>3455.2959444389771</v>
      </c>
      <c r="N105" s="35">
        <v>14</v>
      </c>
      <c r="O105" s="35" t="s">
        <v>147</v>
      </c>
      <c r="P105" s="35"/>
      <c r="Q105" s="34"/>
    </row>
    <row r="106" spans="1:17" x14ac:dyDescent="0.25">
      <c r="N106" s="35"/>
      <c r="O106" s="35"/>
      <c r="P106" s="35"/>
      <c r="Q106" s="34"/>
    </row>
    <row r="107" spans="1:17" ht="18.75" x14ac:dyDescent="0.3">
      <c r="A107" s="3" t="s">
        <v>55</v>
      </c>
      <c r="N107" s="35"/>
      <c r="O107" s="35"/>
      <c r="P107" s="35"/>
      <c r="Q107" s="34"/>
    </row>
    <row r="108" spans="1:17" ht="15.75" x14ac:dyDescent="0.25">
      <c r="A108" s="24" t="s">
        <v>64</v>
      </c>
      <c r="D108" s="31">
        <f>20000*$O$108</f>
        <v>660000</v>
      </c>
      <c r="E108" s="31">
        <f>20000*$O$108</f>
        <v>660000</v>
      </c>
      <c r="F108" s="31">
        <f>20000*$O$108</f>
        <v>660000</v>
      </c>
      <c r="G108" s="31">
        <f>20000*$O$108</f>
        <v>660000</v>
      </c>
      <c r="H108" s="31">
        <f>20000*$O$108</f>
        <v>660000</v>
      </c>
      <c r="I108" s="31">
        <f t="shared" ref="I108:M108" si="50">20000*$O$108</f>
        <v>660000</v>
      </c>
      <c r="J108" s="31">
        <f t="shared" si="50"/>
        <v>660000</v>
      </c>
      <c r="K108" s="31">
        <f t="shared" si="50"/>
        <v>660000</v>
      </c>
      <c r="L108" s="31">
        <f t="shared" si="50"/>
        <v>660000</v>
      </c>
      <c r="M108" s="31">
        <f t="shared" si="50"/>
        <v>660000</v>
      </c>
      <c r="N108" s="35"/>
      <c r="O108" s="35">
        <v>33</v>
      </c>
      <c r="P108" s="35" t="s">
        <v>66</v>
      </c>
      <c r="Q108" s="34"/>
    </row>
    <row r="109" spans="1:17" x14ac:dyDescent="0.25">
      <c r="A109" s="31" t="s">
        <v>56</v>
      </c>
      <c r="D109" s="31">
        <f t="shared" ref="D109:M109" si="51">$O$109*D32</f>
        <v>2070000</v>
      </c>
      <c r="E109" s="31">
        <f t="shared" si="51"/>
        <v>2070000</v>
      </c>
      <c r="F109" s="31">
        <f t="shared" si="51"/>
        <v>2070000</v>
      </c>
      <c r="G109" s="31">
        <f t="shared" si="51"/>
        <v>2070000</v>
      </c>
      <c r="H109" s="31">
        <f t="shared" si="51"/>
        <v>2070000</v>
      </c>
      <c r="I109" s="31">
        <f t="shared" si="51"/>
        <v>2070000</v>
      </c>
      <c r="J109" s="31">
        <f t="shared" si="51"/>
        <v>2070000</v>
      </c>
      <c r="K109" s="31">
        <f t="shared" si="51"/>
        <v>2070000</v>
      </c>
      <c r="L109" s="31">
        <f t="shared" si="51"/>
        <v>2070000</v>
      </c>
      <c r="M109" s="31">
        <f t="shared" si="51"/>
        <v>2070000</v>
      </c>
      <c r="N109" s="35"/>
      <c r="O109" s="35">
        <v>23</v>
      </c>
      <c r="P109" s="35" t="s">
        <v>71</v>
      </c>
      <c r="Q109" s="34"/>
    </row>
    <row r="110" spans="1:17" x14ac:dyDescent="0.25">
      <c r="A110" s="31" t="s">
        <v>70</v>
      </c>
      <c r="D110" s="16">
        <f>C110+D91</f>
        <v>69000</v>
      </c>
      <c r="E110" s="16">
        <f>D110+E91</f>
        <v>138000</v>
      </c>
      <c r="F110" s="16">
        <f>E110+F91</f>
        <v>207000</v>
      </c>
      <c r="G110" s="16">
        <f>F110+G91</f>
        <v>276000</v>
      </c>
      <c r="H110" s="16">
        <f>G110+H91</f>
        <v>345000</v>
      </c>
      <c r="I110" s="16">
        <f t="shared" ref="I110:M110" si="52">H110+I91</f>
        <v>414000</v>
      </c>
      <c r="J110" s="16">
        <f t="shared" si="52"/>
        <v>483000</v>
      </c>
      <c r="K110" s="16">
        <f>J110+K91</f>
        <v>552000</v>
      </c>
      <c r="L110" s="16">
        <f t="shared" si="52"/>
        <v>621000</v>
      </c>
      <c r="M110" s="16">
        <f t="shared" si="52"/>
        <v>690000</v>
      </c>
      <c r="N110" s="35"/>
      <c r="O110" s="35">
        <v>30</v>
      </c>
      <c r="P110" s="35" t="s">
        <v>73</v>
      </c>
      <c r="Q110" s="34"/>
    </row>
    <row r="111" spans="1:17" x14ac:dyDescent="0.25">
      <c r="A111" s="31" t="s">
        <v>166</v>
      </c>
      <c r="D111" s="16"/>
      <c r="E111" s="16"/>
      <c r="F111" s="16"/>
      <c r="G111" s="16"/>
      <c r="I111" s="16"/>
      <c r="J111" s="16">
        <v>500000</v>
      </c>
      <c r="K111" s="16">
        <v>500000</v>
      </c>
      <c r="L111" s="16">
        <v>500000</v>
      </c>
      <c r="M111" s="16">
        <v>500000</v>
      </c>
      <c r="N111" s="35"/>
      <c r="O111" s="35"/>
      <c r="P111" s="35"/>
      <c r="Q111" s="34"/>
    </row>
    <row r="112" spans="1:17" x14ac:dyDescent="0.25">
      <c r="D112" s="16"/>
      <c r="E112" s="16"/>
      <c r="F112" s="16"/>
      <c r="G112" s="16"/>
      <c r="H112" s="16"/>
      <c r="I112" s="16"/>
      <c r="J112" s="16">
        <f>I112+J92</f>
        <v>50000</v>
      </c>
      <c r="K112" s="16">
        <f t="shared" ref="K112:M112" si="53">J112+K92</f>
        <v>100000</v>
      </c>
      <c r="L112" s="16">
        <f t="shared" si="53"/>
        <v>150000</v>
      </c>
      <c r="M112" s="16">
        <f t="shared" si="53"/>
        <v>200000</v>
      </c>
      <c r="N112" s="35">
        <v>10</v>
      </c>
      <c r="O112" s="35" t="s">
        <v>167</v>
      </c>
      <c r="P112" s="35"/>
      <c r="Q112" s="34"/>
    </row>
    <row r="113" spans="1:17" x14ac:dyDescent="0.25">
      <c r="A113" s="31" t="s">
        <v>44</v>
      </c>
      <c r="D113" s="10">
        <v>20000</v>
      </c>
      <c r="E113" s="10">
        <v>20000</v>
      </c>
      <c r="F113" s="10">
        <v>20000</v>
      </c>
      <c r="G113" s="10">
        <v>20000</v>
      </c>
      <c r="H113" s="10">
        <v>20000</v>
      </c>
      <c r="I113" s="10">
        <v>20001</v>
      </c>
      <c r="J113" s="10">
        <v>20002</v>
      </c>
      <c r="K113" s="10">
        <v>20003</v>
      </c>
      <c r="L113" s="10">
        <v>20004</v>
      </c>
      <c r="M113" s="10">
        <v>20005</v>
      </c>
      <c r="N113" s="35"/>
      <c r="O113" s="35"/>
      <c r="P113" s="35"/>
      <c r="Q113" s="34"/>
    </row>
    <row r="114" spans="1:17" x14ac:dyDescent="0.25">
      <c r="A114" s="31" t="s">
        <v>67</v>
      </c>
      <c r="D114" s="16">
        <f>C114+D90</f>
        <v>2000</v>
      </c>
      <c r="E114" s="16">
        <f>D114+E90</f>
        <v>4000</v>
      </c>
      <c r="F114" s="16">
        <f>E114+F90</f>
        <v>6000</v>
      </c>
      <c r="G114" s="16">
        <f>F114+G90</f>
        <v>8000</v>
      </c>
      <c r="H114" s="16">
        <f>G114+H90</f>
        <v>10000</v>
      </c>
      <c r="I114" s="16">
        <f t="shared" ref="I114:M114" si="54">H114+I90</f>
        <v>12000.1</v>
      </c>
      <c r="J114" s="16">
        <f t="shared" si="54"/>
        <v>14000.300000000001</v>
      </c>
      <c r="K114" s="16">
        <f t="shared" si="54"/>
        <v>16000.600000000002</v>
      </c>
      <c r="L114" s="16">
        <f t="shared" si="54"/>
        <v>18001.000000000004</v>
      </c>
      <c r="M114" s="16">
        <f t="shared" si="54"/>
        <v>20001.500000000004</v>
      </c>
      <c r="N114" s="35"/>
      <c r="O114" s="35">
        <v>10</v>
      </c>
      <c r="P114" s="35" t="s">
        <v>68</v>
      </c>
      <c r="Q114" s="34"/>
    </row>
    <row r="115" spans="1:17" ht="15.75" x14ac:dyDescent="0.25">
      <c r="A115" s="24" t="s">
        <v>129</v>
      </c>
      <c r="D115" s="31">
        <f t="shared" ref="D115:M115" si="55">SUM(D39:D40)</f>
        <v>95</v>
      </c>
      <c r="E115" s="31">
        <f t="shared" si="55"/>
        <v>98.15</v>
      </c>
      <c r="F115" s="31">
        <f t="shared" si="55"/>
        <v>101.5205</v>
      </c>
      <c r="G115" s="31">
        <f t="shared" si="55"/>
        <v>105.126935</v>
      </c>
      <c r="H115" s="31">
        <f t="shared" si="55"/>
        <v>108.98582045000001</v>
      </c>
      <c r="I115" s="31">
        <f t="shared" si="55"/>
        <v>113.11482788150002</v>
      </c>
      <c r="J115" s="31">
        <f t="shared" si="55"/>
        <v>117.53286583320502</v>
      </c>
      <c r="K115" s="31">
        <f t="shared" si="55"/>
        <v>122.26016644152938</v>
      </c>
      <c r="L115" s="31">
        <f t="shared" si="55"/>
        <v>127.31837809243643</v>
      </c>
      <c r="M115" s="31">
        <f t="shared" si="55"/>
        <v>132.73066455890699</v>
      </c>
      <c r="N115" s="35"/>
      <c r="O115" s="35"/>
      <c r="P115" s="35"/>
      <c r="Q115" s="34"/>
    </row>
    <row r="116" spans="1:17" ht="15.75" x14ac:dyDescent="0.25">
      <c r="A116" s="24" t="s">
        <v>130</v>
      </c>
      <c r="D116" s="31">
        <f t="shared" ref="D116:M116" si="56">SUM(D42:D43)</f>
        <v>660</v>
      </c>
      <c r="E116" s="31">
        <f t="shared" si="56"/>
        <v>660</v>
      </c>
      <c r="F116" s="31">
        <f t="shared" si="56"/>
        <v>660</v>
      </c>
      <c r="G116" s="31">
        <f t="shared" si="56"/>
        <v>660</v>
      </c>
      <c r="H116" s="31">
        <f t="shared" si="56"/>
        <v>660</v>
      </c>
      <c r="I116" s="31">
        <f t="shared" si="56"/>
        <v>661.1</v>
      </c>
      <c r="J116" s="31">
        <f t="shared" si="56"/>
        <v>662.2</v>
      </c>
      <c r="K116" s="31">
        <f t="shared" si="56"/>
        <v>663.3</v>
      </c>
      <c r="L116" s="31">
        <f t="shared" si="56"/>
        <v>664.4</v>
      </c>
      <c r="M116" s="31">
        <f t="shared" si="56"/>
        <v>665.5</v>
      </c>
      <c r="N116" s="35"/>
      <c r="O116" s="35"/>
      <c r="P116" s="35"/>
      <c r="Q116" s="34"/>
    </row>
    <row r="117" spans="1:17" ht="15.75" x14ac:dyDescent="0.25">
      <c r="A117" s="24" t="s">
        <v>131</v>
      </c>
      <c r="D117" s="31">
        <f t="shared" ref="D117:M117" si="57">SUM(D45:D48)</f>
        <v>1150</v>
      </c>
      <c r="E117" s="31">
        <f t="shared" si="57"/>
        <v>1150</v>
      </c>
      <c r="F117" s="31">
        <f t="shared" si="57"/>
        <v>1150</v>
      </c>
      <c r="G117" s="31">
        <f t="shared" si="57"/>
        <v>1150</v>
      </c>
      <c r="H117" s="31">
        <f t="shared" si="57"/>
        <v>1150</v>
      </c>
      <c r="I117" s="31">
        <f t="shared" si="57"/>
        <v>1150</v>
      </c>
      <c r="J117" s="31">
        <f t="shared" si="57"/>
        <v>1150</v>
      </c>
      <c r="K117" s="31">
        <f t="shared" si="57"/>
        <v>1150</v>
      </c>
      <c r="L117" s="31">
        <f t="shared" si="57"/>
        <v>1150</v>
      </c>
      <c r="M117" s="31">
        <f t="shared" si="57"/>
        <v>1150</v>
      </c>
      <c r="N117" s="35"/>
      <c r="O117" s="35"/>
      <c r="P117" s="35"/>
      <c r="Q117" s="34"/>
    </row>
    <row r="118" spans="1:17" ht="15.75" x14ac:dyDescent="0.25">
      <c r="A118" s="24" t="s">
        <v>132</v>
      </c>
      <c r="D118" s="31">
        <f t="shared" ref="D118:M118" si="58">SUM(D50:D53)</f>
        <v>8650</v>
      </c>
      <c r="E118" s="31">
        <f t="shared" si="58"/>
        <v>8650</v>
      </c>
      <c r="F118" s="31">
        <f t="shared" si="58"/>
        <v>8650</v>
      </c>
      <c r="G118" s="31">
        <f t="shared" si="58"/>
        <v>8650</v>
      </c>
      <c r="H118" s="31">
        <f t="shared" si="58"/>
        <v>8650</v>
      </c>
      <c r="I118" s="31">
        <f t="shared" si="58"/>
        <v>8650</v>
      </c>
      <c r="J118" s="31">
        <f t="shared" si="58"/>
        <v>8650</v>
      </c>
      <c r="K118" s="31">
        <f t="shared" si="58"/>
        <v>8650</v>
      </c>
      <c r="L118" s="31">
        <f t="shared" si="58"/>
        <v>8650</v>
      </c>
      <c r="M118" s="31">
        <f t="shared" si="58"/>
        <v>8650</v>
      </c>
      <c r="N118" s="35"/>
      <c r="O118" s="35"/>
      <c r="P118" s="35"/>
      <c r="Q118" s="34"/>
    </row>
    <row r="119" spans="1:17" ht="15.75" x14ac:dyDescent="0.25">
      <c r="A119" s="24" t="s">
        <v>135</v>
      </c>
      <c r="D119" s="36">
        <f>D55</f>
        <v>1507.8571428571429</v>
      </c>
      <c r="E119" s="36">
        <f t="shared" ref="E119:M119" si="59">D119+E55</f>
        <v>3016.1642857142856</v>
      </c>
      <c r="F119" s="36">
        <f t="shared" si="59"/>
        <v>4524.9529285714289</v>
      </c>
      <c r="G119" s="36">
        <f t="shared" si="59"/>
        <v>6034.2567764285723</v>
      </c>
      <c r="H119" s="36">
        <f t="shared" si="59"/>
        <v>7544.1118936357152</v>
      </c>
      <c r="I119" s="36">
        <f t="shared" si="59"/>
        <v>9054.7140119045016</v>
      </c>
      <c r="J119" s="36">
        <f t="shared" si="59"/>
        <v>10566.104421309245</v>
      </c>
      <c r="K119" s="36">
        <f t="shared" si="59"/>
        <v>12078.327302229463</v>
      </c>
      <c r="L119" s="36">
        <f t="shared" si="59"/>
        <v>13591.429927671241</v>
      </c>
      <c r="M119" s="36">
        <f t="shared" si="59"/>
        <v>15105.462879751085</v>
      </c>
      <c r="N119" s="35"/>
      <c r="O119" s="35"/>
      <c r="P119" s="35" t="s">
        <v>134</v>
      </c>
      <c r="Q119" s="34"/>
    </row>
    <row r="120" spans="1:17" x14ac:dyDescent="0.25">
      <c r="N120" s="35"/>
      <c r="O120" s="35"/>
      <c r="P120" s="35"/>
      <c r="Q120" s="34"/>
    </row>
    <row r="121" spans="1:17" x14ac:dyDescent="0.25">
      <c r="A121" s="31" t="s">
        <v>94</v>
      </c>
      <c r="D121" s="15">
        <f>SUM(D103:D105)+D108+D109+-D110+D113-D114+D115+D116+D117+D118-D119+D111-D112</f>
        <v>2694926.5949119371</v>
      </c>
      <c r="E121" s="15">
        <f t="shared" ref="E121:L121" si="60">SUM(E103:E105)+E108+E109+-E110+E113-E114+E115+E116+E117+E118-E119+E111-E112</f>
        <v>2622552.9994129157</v>
      </c>
      <c r="F121" s="15">
        <f t="shared" si="60"/>
        <v>2550188.3522289628</v>
      </c>
      <c r="G121" s="15">
        <f t="shared" si="60"/>
        <v>2477833.2797421329</v>
      </c>
      <c r="H121" s="15">
        <f t="shared" si="60"/>
        <v>2405488.4521812252</v>
      </c>
      <c r="I121" s="15">
        <f t="shared" si="60"/>
        <v>2333156.429548197</v>
      </c>
      <c r="J121" s="15">
        <f t="shared" si="60"/>
        <v>2710835.8791879993</v>
      </c>
      <c r="K121" s="15">
        <f t="shared" si="60"/>
        <v>2649781.6221597302</v>
      </c>
      <c r="L121" s="15">
        <f t="shared" si="60"/>
        <v>2956755.5369966254</v>
      </c>
      <c r="M121" s="15">
        <f>SUM(M103:M105)+M108+M109+-M110+M113-M114+M115+M116+M117+M118-M119+M111-M112</f>
        <v>3340420.5637292471</v>
      </c>
      <c r="N121" s="35"/>
      <c r="O121" s="35"/>
      <c r="P121" s="35"/>
      <c r="Q121" s="34"/>
    </row>
    <row r="122" spans="1:17" x14ac:dyDescent="0.25">
      <c r="N122" s="35"/>
      <c r="O122" s="35"/>
      <c r="P122" s="35"/>
      <c r="Q122" s="34"/>
    </row>
    <row r="123" spans="1:17" ht="18.75" x14ac:dyDescent="0.3">
      <c r="A123" s="3" t="s">
        <v>69</v>
      </c>
      <c r="N123" s="35"/>
      <c r="O123" s="35"/>
      <c r="P123" s="35"/>
      <c r="Q123" s="34"/>
    </row>
    <row r="124" spans="1:17" x14ac:dyDescent="0.25">
      <c r="A124" s="31" t="s">
        <v>89</v>
      </c>
      <c r="D124" s="15">
        <f t="shared" ref="D124:M124" si="61">D77/365*30</f>
        <v>4027.3972602739723</v>
      </c>
      <c r="E124" s="15">
        <f t="shared" si="61"/>
        <v>4309.3150684931506</v>
      </c>
      <c r="F124" s="15">
        <f t="shared" si="61"/>
        <v>4610.9671232876708</v>
      </c>
      <c r="G124" s="15">
        <f t="shared" si="61"/>
        <v>4933.7348219178093</v>
      </c>
      <c r="H124" s="15">
        <f t="shared" si="61"/>
        <v>5279.0962594520552</v>
      </c>
      <c r="I124" s="15">
        <f t="shared" si="61"/>
        <v>5648.6329976137013</v>
      </c>
      <c r="J124" s="15">
        <f t="shared" si="61"/>
        <v>6044.0373074466597</v>
      </c>
      <c r="K124" s="15">
        <f t="shared" si="61"/>
        <v>6467.1199189679264</v>
      </c>
      <c r="L124" s="15">
        <f t="shared" si="61"/>
        <v>6919.818313295681</v>
      </c>
      <c r="M124" s="15">
        <f t="shared" si="61"/>
        <v>7404.205595226379</v>
      </c>
      <c r="N124" s="35"/>
      <c r="O124" s="35"/>
      <c r="P124" s="35"/>
      <c r="Q124" s="34"/>
    </row>
    <row r="125" spans="1:17" x14ac:dyDescent="0.25">
      <c r="A125" s="31" t="s">
        <v>163</v>
      </c>
      <c r="D125" s="15">
        <f>D97</f>
        <v>0</v>
      </c>
      <c r="E125" s="15">
        <f t="shared" ref="E125:M125" si="62">E97</f>
        <v>2316.5270984371891</v>
      </c>
      <c r="F125" s="15">
        <f t="shared" si="62"/>
        <v>15628.514790995978</v>
      </c>
      <c r="G125" s="15">
        <f t="shared" si="62"/>
        <v>30657.540606022936</v>
      </c>
      <c r="H125" s="15">
        <f t="shared" si="62"/>
        <v>46803.689719335925</v>
      </c>
      <c r="I125" s="15">
        <f t="shared" si="62"/>
        <v>65849.089801795839</v>
      </c>
      <c r="J125" s="15">
        <f t="shared" si="62"/>
        <v>66184.153767522061</v>
      </c>
      <c r="K125" s="15">
        <f t="shared" si="62"/>
        <v>90697.623432801483</v>
      </c>
      <c r="L125" s="15">
        <f t="shared" si="62"/>
        <v>112532.250676903</v>
      </c>
      <c r="M125" s="15">
        <f t="shared" si="62"/>
        <v>137490.28822084621</v>
      </c>
      <c r="N125" s="35"/>
      <c r="O125" s="35"/>
      <c r="P125" s="35"/>
      <c r="Q125" s="34"/>
    </row>
    <row r="126" spans="1:17" x14ac:dyDescent="0.25">
      <c r="A126" s="31" t="s">
        <v>90</v>
      </c>
      <c r="D126" s="41">
        <f>Amort!F19</f>
        <v>1867671.6433895195</v>
      </c>
      <c r="E126" s="41">
        <f>Amort!F31</f>
        <v>1823247.5794967387</v>
      </c>
      <c r="F126" s="41">
        <f>Amort!F43</f>
        <v>1777700.0995751822</v>
      </c>
      <c r="G126" s="41">
        <f>Amort!F55</f>
        <v>1731000.7941669319</v>
      </c>
      <c r="H126" s="41">
        <f>Amort!F67</f>
        <v>1683120.5353827158</v>
      </c>
      <c r="I126" s="41">
        <f>Amort!F79</f>
        <v>1634029.458733886</v>
      </c>
      <c r="J126" s="41">
        <f>Amort!F91</f>
        <v>1583696.9445049593</v>
      </c>
      <c r="K126" s="41">
        <f>Amort!F103</f>
        <v>1532091.5986550932</v>
      </c>
      <c r="L126" s="41">
        <f>Amort!F115</f>
        <v>1479181.2332365955</v>
      </c>
      <c r="M126" s="41">
        <f>Amort!F127</f>
        <v>1424932.8463182419</v>
      </c>
      <c r="N126" s="47">
        <v>0.05</v>
      </c>
      <c r="O126" s="35"/>
      <c r="P126" s="47">
        <v>0.7</v>
      </c>
      <c r="Q126" s="34"/>
    </row>
    <row r="127" spans="1:17" x14ac:dyDescent="0.25">
      <c r="A127" s="31" t="s">
        <v>91</v>
      </c>
      <c r="D127" s="15">
        <f>D81/12*$N$127</f>
        <v>8750</v>
      </c>
      <c r="E127" s="15">
        <f>E81/12*$N$127</f>
        <v>8750</v>
      </c>
      <c r="F127" s="15">
        <f>F81/12*$N$127</f>
        <v>8750</v>
      </c>
      <c r="G127" s="15">
        <f>G81/12*$N$127</f>
        <v>8750</v>
      </c>
      <c r="H127" s="15">
        <f>H81/12*$N$127</f>
        <v>8750</v>
      </c>
      <c r="I127" s="15">
        <f>I81/12</f>
        <v>8750</v>
      </c>
      <c r="J127" s="15">
        <f>J81/12</f>
        <v>8750</v>
      </c>
      <c r="K127" s="15">
        <f>K81/12</f>
        <v>8750</v>
      </c>
      <c r="L127" s="15">
        <f>L81/12</f>
        <v>8750</v>
      </c>
      <c r="M127" s="15">
        <f>M81/12</f>
        <v>8750</v>
      </c>
      <c r="N127" s="35">
        <v>1</v>
      </c>
      <c r="O127" s="35" t="s">
        <v>148</v>
      </c>
      <c r="P127" s="35"/>
      <c r="Q127" s="34"/>
    </row>
    <row r="128" spans="1:17" x14ac:dyDescent="0.25">
      <c r="A128" s="31" t="s">
        <v>136</v>
      </c>
      <c r="D128" s="10">
        <v>757113.78727800504</v>
      </c>
      <c r="E128" s="10">
        <v>719616.22946979804</v>
      </c>
      <c r="F128" s="10">
        <v>632299.87808706053</v>
      </c>
      <c r="G128" s="10">
        <v>499319.69567675435</v>
      </c>
      <c r="H128" s="10">
        <v>317952.54719120765</v>
      </c>
      <c r="I128" s="10">
        <v>77749.394981000165</v>
      </c>
      <c r="J128" s="10">
        <v>306478.42927160364</v>
      </c>
      <c r="K128" s="10"/>
      <c r="L128" s="10"/>
      <c r="M128" s="10"/>
      <c r="N128" s="47">
        <v>7.0000000000000007E-2</v>
      </c>
      <c r="O128" s="35"/>
      <c r="P128" s="35">
        <f>(D109+D108)*P126</f>
        <v>1910999.9999999998</v>
      </c>
      <c r="Q128" s="34"/>
    </row>
    <row r="129" spans="1:23" x14ac:dyDescent="0.25">
      <c r="N129" s="35"/>
      <c r="O129" s="35"/>
      <c r="P129" s="35"/>
      <c r="Q129" s="34"/>
    </row>
    <row r="130" spans="1:23" x14ac:dyDescent="0.25">
      <c r="A130" s="31" t="s">
        <v>88</v>
      </c>
      <c r="D130" s="31">
        <v>95000</v>
      </c>
      <c r="E130" s="31">
        <v>95000</v>
      </c>
      <c r="F130" s="31">
        <v>95000</v>
      </c>
      <c r="G130" s="31">
        <v>95000</v>
      </c>
      <c r="H130" s="31">
        <v>95000</v>
      </c>
      <c r="I130" s="31">
        <v>95000</v>
      </c>
      <c r="J130" s="31">
        <v>95000</v>
      </c>
      <c r="K130" s="31">
        <v>95000</v>
      </c>
      <c r="L130" s="31">
        <v>95000</v>
      </c>
      <c r="M130" s="31">
        <v>95000</v>
      </c>
      <c r="N130" s="35"/>
      <c r="O130" s="35"/>
      <c r="P130" s="35"/>
      <c r="Q130" s="34"/>
    </row>
    <row r="131" spans="1:23" x14ac:dyDescent="0.25">
      <c r="A131" s="31" t="s">
        <v>92</v>
      </c>
      <c r="D131" s="13">
        <f>C131+D98</f>
        <v>-37636.233015862148</v>
      </c>
      <c r="E131" s="13">
        <f>D131+E98</f>
        <v>-30686.651720550581</v>
      </c>
      <c r="F131" s="13">
        <f>E131+F98</f>
        <v>16198.892652437353</v>
      </c>
      <c r="G131" s="13">
        <f>F131+G98</f>
        <v>108171.51447050617</v>
      </c>
      <c r="H131" s="13">
        <f>G131+H98</f>
        <v>248582.58362851394</v>
      </c>
      <c r="I131" s="13">
        <f>IF(I98&lt;0,0,H131+I98)</f>
        <v>446129.85303390143</v>
      </c>
      <c r="J131" s="13">
        <f>IF(J98&lt;0,0,I131+J98)</f>
        <v>644682.31433646753</v>
      </c>
      <c r="K131" s="13">
        <f>IF(K98&lt;0,0,J131+K98)</f>
        <v>916775.18463487201</v>
      </c>
      <c r="L131" s="13">
        <f>IF(L98&lt;0,0,K131+L98)</f>
        <v>1254371.9366655811</v>
      </c>
      <c r="M131" s="13">
        <f>IF(M98&lt;0,0,L131+M98)</f>
        <v>1666842.8013281198</v>
      </c>
      <c r="N131" s="35"/>
      <c r="O131" s="68"/>
      <c r="P131" s="35"/>
      <c r="Q131" s="34"/>
    </row>
    <row r="132" spans="1:23" x14ac:dyDescent="0.25"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35"/>
      <c r="O132" s="35"/>
      <c r="P132" s="35"/>
      <c r="Q132" s="34"/>
    </row>
    <row r="133" spans="1:23" x14ac:dyDescent="0.25">
      <c r="N133" s="35"/>
      <c r="O133" s="35"/>
      <c r="P133" s="35"/>
      <c r="Q133" s="34"/>
    </row>
    <row r="134" spans="1:23" x14ac:dyDescent="0.25">
      <c r="A134" s="31" t="s">
        <v>93</v>
      </c>
      <c r="D134" s="2">
        <f t="shared" ref="D134:M134" si="63">SUM(D124:D131)</f>
        <v>2694926.5949119362</v>
      </c>
      <c r="E134" s="2">
        <f t="shared" si="63"/>
        <v>2622552.9994129171</v>
      </c>
      <c r="F134" s="2">
        <f t="shared" si="63"/>
        <v>2550188.3522289642</v>
      </c>
      <c r="G134" s="2">
        <f t="shared" si="63"/>
        <v>2477833.2797421329</v>
      </c>
      <c r="H134" s="2">
        <f t="shared" si="63"/>
        <v>2405488.4521812252</v>
      </c>
      <c r="I134" s="2">
        <f t="shared" si="63"/>
        <v>2333156.4295481974</v>
      </c>
      <c r="J134" s="2">
        <f t="shared" si="63"/>
        <v>2710835.8791879993</v>
      </c>
      <c r="K134" s="2">
        <f t="shared" si="63"/>
        <v>2649781.5266417349</v>
      </c>
      <c r="L134" s="2">
        <f t="shared" si="63"/>
        <v>2956755.2388923755</v>
      </c>
      <c r="M134" s="2">
        <f t="shared" si="63"/>
        <v>3340420.1414624341</v>
      </c>
      <c r="N134" s="64"/>
      <c r="O134" s="35"/>
      <c r="P134" s="35"/>
      <c r="Q134" s="34"/>
    </row>
    <row r="135" spans="1:23" x14ac:dyDescent="0.25">
      <c r="N135" s="35"/>
      <c r="O135" s="35"/>
      <c r="P135" s="35"/>
      <c r="Q135" s="34"/>
    </row>
    <row r="136" spans="1:23" x14ac:dyDescent="0.25">
      <c r="A136" s="31" t="s">
        <v>100</v>
      </c>
      <c r="D136" s="13">
        <f>D121-D134</f>
        <v>0</v>
      </c>
      <c r="E136" s="13">
        <f t="shared" ref="E136:M136" si="64">E121-E134</f>
        <v>0</v>
      </c>
      <c r="F136" s="13">
        <f t="shared" si="64"/>
        <v>0</v>
      </c>
      <c r="G136" s="13">
        <f t="shared" si="64"/>
        <v>0</v>
      </c>
      <c r="H136" s="13">
        <f t="shared" si="64"/>
        <v>0</v>
      </c>
      <c r="I136" s="13">
        <f t="shared" si="64"/>
        <v>0</v>
      </c>
      <c r="J136" s="13">
        <f t="shared" si="64"/>
        <v>0</v>
      </c>
      <c r="K136" s="13">
        <f t="shared" si="64"/>
        <v>9.5517995301634073E-2</v>
      </c>
      <c r="L136" s="13">
        <f t="shared" si="64"/>
        <v>0.29810424987226725</v>
      </c>
      <c r="M136" s="13">
        <f t="shared" si="64"/>
        <v>0.42226681299507618</v>
      </c>
      <c r="N136" s="35"/>
      <c r="O136" s="35"/>
      <c r="P136" s="35"/>
      <c r="Q136" s="34"/>
    </row>
    <row r="138" spans="1:23" x14ac:dyDescent="0.25">
      <c r="A138" s="31" t="s">
        <v>137</v>
      </c>
      <c r="C138" s="32">
        <v>0</v>
      </c>
      <c r="D138" s="32">
        <v>1</v>
      </c>
      <c r="E138" s="32">
        <v>2</v>
      </c>
      <c r="F138" s="32">
        <v>3</v>
      </c>
      <c r="G138" s="32">
        <v>4</v>
      </c>
      <c r="H138" s="32">
        <v>5</v>
      </c>
      <c r="I138" s="32">
        <v>6</v>
      </c>
      <c r="J138" s="32">
        <v>7</v>
      </c>
      <c r="K138" s="32">
        <v>8</v>
      </c>
      <c r="L138" s="32">
        <v>9</v>
      </c>
      <c r="M138" s="32">
        <v>10</v>
      </c>
      <c r="O138" s="35" t="s">
        <v>107</v>
      </c>
      <c r="P138" s="35"/>
      <c r="Q138" s="35"/>
      <c r="R138" s="35"/>
      <c r="S138" s="34"/>
    </row>
    <row r="139" spans="1:23" ht="15.75" x14ac:dyDescent="0.25">
      <c r="A139" s="52" t="s">
        <v>138</v>
      </c>
      <c r="C139" s="30"/>
      <c r="D139" s="27">
        <f t="shared" ref="D139:M139" si="65">D88</f>
        <v>133642.5</v>
      </c>
      <c r="E139" s="27">
        <f t="shared" si="65"/>
        <v>176824.30508073571</v>
      </c>
      <c r="F139" s="27">
        <f t="shared" si="65"/>
        <v>222836.69522540376</v>
      </c>
      <c r="G139" s="27">
        <f t="shared" si="65"/>
        <v>272492.36023009667</v>
      </c>
      <c r="H139" s="27">
        <f t="shared" si="65"/>
        <v>323200.30291339435</v>
      </c>
      <c r="I139" s="27">
        <f t="shared" si="65"/>
        <v>381356.96472390613</v>
      </c>
      <c r="J139" s="27">
        <f t="shared" si="65"/>
        <v>447466.91540705599</v>
      </c>
      <c r="K139" s="27">
        <f t="shared" si="65"/>
        <v>522794.57239822246</v>
      </c>
      <c r="L139" s="27">
        <f t="shared" si="65"/>
        <v>608828.16180599644</v>
      </c>
      <c r="M139" s="27">
        <f t="shared" si="65"/>
        <v>707322.39048191358</v>
      </c>
      <c r="O139" s="51">
        <f>R150+Q148</f>
        <v>0.119614</v>
      </c>
      <c r="V139" s="35"/>
      <c r="W139" s="35"/>
    </row>
    <row r="140" spans="1:23" ht="15.75" x14ac:dyDescent="0.25">
      <c r="A140" s="52" t="s">
        <v>139</v>
      </c>
      <c r="C140" s="30"/>
      <c r="D140" s="54">
        <f t="shared" ref="D140:I140" si="66">SUM(D90:D91)</f>
        <v>71000</v>
      </c>
      <c r="E140" s="54">
        <f t="shared" si="66"/>
        <v>71000</v>
      </c>
      <c r="F140" s="54">
        <f t="shared" si="66"/>
        <v>71000</v>
      </c>
      <c r="G140" s="54">
        <f t="shared" si="66"/>
        <v>71000</v>
      </c>
      <c r="H140" s="54">
        <f t="shared" si="66"/>
        <v>71000</v>
      </c>
      <c r="I140" s="54">
        <f t="shared" si="66"/>
        <v>71000.100000000006</v>
      </c>
      <c r="J140" s="54">
        <f>SUM(J90:J92,)</f>
        <v>121000.2</v>
      </c>
      <c r="K140" s="54">
        <f t="shared" ref="K140:M140" si="67">SUM(K90:K92,)</f>
        <v>121000.3</v>
      </c>
      <c r="L140" s="54">
        <f t="shared" si="67"/>
        <v>121000.4</v>
      </c>
      <c r="M140" s="54">
        <f t="shared" si="67"/>
        <v>121000.5</v>
      </c>
      <c r="V140" s="35"/>
      <c r="W140" s="35"/>
    </row>
    <row r="141" spans="1:23" ht="15.75" x14ac:dyDescent="0.25">
      <c r="A141" s="52" t="s">
        <v>140</v>
      </c>
      <c r="C141" s="30"/>
      <c r="D141" s="44">
        <f>D139-D140</f>
        <v>62642.5</v>
      </c>
      <c r="E141" s="44">
        <f t="shared" ref="E141:M141" si="68">E139-E140</f>
        <v>105824.30508073571</v>
      </c>
      <c r="F141" s="44">
        <f t="shared" si="68"/>
        <v>151836.69522540376</v>
      </c>
      <c r="G141" s="44">
        <f t="shared" si="68"/>
        <v>201492.36023009667</v>
      </c>
      <c r="H141" s="44">
        <f t="shared" si="68"/>
        <v>252200.30291339435</v>
      </c>
      <c r="I141" s="44">
        <f t="shared" si="68"/>
        <v>310356.86472390615</v>
      </c>
      <c r="J141" s="44">
        <f t="shared" si="68"/>
        <v>326466.71540705598</v>
      </c>
      <c r="K141" s="44">
        <f t="shared" si="68"/>
        <v>401794.27239822247</v>
      </c>
      <c r="L141" s="44">
        <f t="shared" si="68"/>
        <v>487827.76180599642</v>
      </c>
      <c r="M141" s="44">
        <f t="shared" si="68"/>
        <v>586321.89048191358</v>
      </c>
      <c r="O141" s="56" t="s">
        <v>111</v>
      </c>
      <c r="V141" s="35"/>
      <c r="W141" s="35"/>
    </row>
    <row r="142" spans="1:23" ht="15.75" x14ac:dyDescent="0.25">
      <c r="A142" s="52" t="s">
        <v>141</v>
      </c>
      <c r="C142" s="30"/>
      <c r="D142" s="44">
        <f>-D141*$N$97</f>
        <v>-15660.625</v>
      </c>
      <c r="E142" s="44">
        <f t="shared" ref="E142:M142" si="69">-E141*$N$97</f>
        <v>-26456.076270183927</v>
      </c>
      <c r="F142" s="44">
        <f t="shared" si="69"/>
        <v>-37959.17380635094</v>
      </c>
      <c r="G142" s="44">
        <f t="shared" si="69"/>
        <v>-50373.090057524169</v>
      </c>
      <c r="H142" s="44">
        <f t="shared" si="69"/>
        <v>-63050.075728348587</v>
      </c>
      <c r="I142" s="44">
        <f t="shared" si="69"/>
        <v>-77589.216180976538</v>
      </c>
      <c r="J142" s="44">
        <f t="shared" si="69"/>
        <v>-81616.678851763994</v>
      </c>
      <c r="K142" s="44">
        <f t="shared" si="69"/>
        <v>-100448.56809955562</v>
      </c>
      <c r="L142" s="44">
        <f t="shared" si="69"/>
        <v>-121956.9404514991</v>
      </c>
      <c r="M142" s="44">
        <f t="shared" si="69"/>
        <v>-146580.47262047839</v>
      </c>
      <c r="O142" s="61">
        <f>(U153*R145)+(S157*O139)</f>
        <v>8.2897598006344358E-2</v>
      </c>
      <c r="V142" s="35"/>
      <c r="W142" s="35"/>
    </row>
    <row r="143" spans="1:23" ht="15.75" x14ac:dyDescent="0.25">
      <c r="A143" s="52" t="s">
        <v>142</v>
      </c>
      <c r="C143" s="30"/>
      <c r="D143" s="54">
        <f>D140</f>
        <v>71000</v>
      </c>
      <c r="E143" s="54">
        <f t="shared" ref="E143:M143" si="70">E140</f>
        <v>71000</v>
      </c>
      <c r="F143" s="54">
        <f t="shared" si="70"/>
        <v>71000</v>
      </c>
      <c r="G143" s="54">
        <f t="shared" si="70"/>
        <v>71000</v>
      </c>
      <c r="H143" s="54">
        <f t="shared" si="70"/>
        <v>71000</v>
      </c>
      <c r="I143" s="54">
        <f t="shared" si="70"/>
        <v>71000.100000000006</v>
      </c>
      <c r="J143" s="54">
        <f t="shared" si="70"/>
        <v>121000.2</v>
      </c>
      <c r="K143" s="54">
        <f t="shared" si="70"/>
        <v>121000.3</v>
      </c>
      <c r="L143" s="54">
        <f t="shared" si="70"/>
        <v>121000.4</v>
      </c>
      <c r="M143" s="54">
        <f t="shared" si="70"/>
        <v>121000.5</v>
      </c>
      <c r="W143" s="35"/>
    </row>
    <row r="144" spans="1:23" ht="15.75" x14ac:dyDescent="0.25">
      <c r="A144" s="53" t="s">
        <v>143</v>
      </c>
      <c r="C144" s="30"/>
      <c r="D144" s="44">
        <f>SUM(D141:D143)</f>
        <v>117981.875</v>
      </c>
      <c r="E144" s="44">
        <f t="shared" ref="E144:M144" si="71">SUM(E141:E143)</f>
        <v>150368.22881055178</v>
      </c>
      <c r="F144" s="44">
        <f t="shared" si="71"/>
        <v>184877.52141905282</v>
      </c>
      <c r="G144" s="44">
        <f t="shared" si="71"/>
        <v>222119.27017257252</v>
      </c>
      <c r="H144" s="44">
        <f t="shared" si="71"/>
        <v>260150.22718504578</v>
      </c>
      <c r="I144" s="44">
        <f t="shared" si="71"/>
        <v>303767.74854292965</v>
      </c>
      <c r="J144" s="44">
        <f t="shared" si="71"/>
        <v>365850.23655529198</v>
      </c>
      <c r="K144" s="44">
        <f t="shared" si="71"/>
        <v>422346.00429866684</v>
      </c>
      <c r="L144" s="44">
        <f t="shared" si="71"/>
        <v>486871.22135449736</v>
      </c>
      <c r="M144" s="44">
        <f t="shared" si="71"/>
        <v>560741.91786143521</v>
      </c>
      <c r="Q144" s="27"/>
      <c r="R144" s="27" t="s">
        <v>116</v>
      </c>
      <c r="S144" s="27"/>
      <c r="T144" s="27"/>
      <c r="U144" s="27"/>
      <c r="W144" s="35"/>
    </row>
    <row r="145" spans="1:23" x14ac:dyDescent="0.25">
      <c r="B145" s="30"/>
      <c r="C145" s="30"/>
      <c r="D145" s="30"/>
      <c r="P145" s="30" t="s">
        <v>104</v>
      </c>
      <c r="Q145" s="29">
        <f>T154</f>
        <v>0.05</v>
      </c>
      <c r="R145" s="28">
        <f>Q145*R146</f>
        <v>3.7500000000000006E-2</v>
      </c>
      <c r="S145" s="27"/>
      <c r="T145" s="27"/>
      <c r="U145" s="27"/>
      <c r="W145" s="35"/>
    </row>
    <row r="146" spans="1:23" x14ac:dyDescent="0.25">
      <c r="A146" s="59" t="s">
        <v>149</v>
      </c>
      <c r="B146" s="60"/>
      <c r="C146" s="30"/>
      <c r="D146" s="30"/>
      <c r="H146" s="16"/>
      <c r="P146" s="31" t="s">
        <v>164</v>
      </c>
      <c r="Q146" s="42">
        <f>N97</f>
        <v>0.25</v>
      </c>
      <c r="R146" s="42">
        <f>1-Q146</f>
        <v>0.75</v>
      </c>
      <c r="S146" s="30"/>
      <c r="T146" s="27"/>
      <c r="U146" s="27"/>
      <c r="W146" s="35"/>
    </row>
    <row r="147" spans="1:23" x14ac:dyDescent="0.25">
      <c r="A147" s="60"/>
      <c r="B147" s="60" t="s">
        <v>150</v>
      </c>
      <c r="C147" s="62">
        <f>-D109</f>
        <v>-2070000</v>
      </c>
      <c r="D147" s="30"/>
      <c r="J147" s="16">
        <f>-J111</f>
        <v>-500000</v>
      </c>
      <c r="M147" s="16">
        <f>1.47*(M109-M110)</f>
        <v>2028600</v>
      </c>
      <c r="N147" s="16">
        <f>M147-(M109-M110)</f>
        <v>648600</v>
      </c>
      <c r="P147" s="30" t="s">
        <v>105</v>
      </c>
      <c r="Q147" s="29"/>
      <c r="R147" s="30"/>
      <c r="S147" s="30"/>
      <c r="T147" s="30"/>
      <c r="U147" s="27"/>
    </row>
    <row r="148" spans="1:23" x14ac:dyDescent="0.25">
      <c r="A148" s="60"/>
      <c r="B148" s="60" t="s">
        <v>151</v>
      </c>
      <c r="C148" s="30"/>
      <c r="D148" s="30"/>
      <c r="M148" s="31">
        <f>-(N147*N97)</f>
        <v>-162150</v>
      </c>
      <c r="P148" s="31" t="s">
        <v>165</v>
      </c>
      <c r="Q148" s="29">
        <v>1.5E-3</v>
      </c>
      <c r="R148" s="30" t="s">
        <v>106</v>
      </c>
      <c r="S148" s="30"/>
      <c r="T148" s="30"/>
      <c r="U148" s="27"/>
    </row>
    <row r="149" spans="1:23" x14ac:dyDescent="0.25">
      <c r="A149" s="60"/>
      <c r="B149" s="60" t="s">
        <v>152</v>
      </c>
      <c r="C149" s="30"/>
      <c r="D149" s="30"/>
      <c r="P149" s="30" t="s">
        <v>108</v>
      </c>
      <c r="Q149" s="29">
        <v>8.2400000000000001E-2</v>
      </c>
      <c r="R149" s="29">
        <f>Q149-Q148</f>
        <v>8.09E-2</v>
      </c>
      <c r="S149" s="30"/>
      <c r="T149" s="29"/>
      <c r="W149" s="35"/>
    </row>
    <row r="150" spans="1:23" x14ac:dyDescent="0.25">
      <c r="A150" s="60"/>
      <c r="B150" s="60"/>
      <c r="C150" s="30"/>
      <c r="D150" s="30"/>
      <c r="P150" s="30" t="s">
        <v>109</v>
      </c>
      <c r="Q150" s="30">
        <v>1.46</v>
      </c>
      <c r="R150" s="28">
        <f>R149*Q150</f>
        <v>0.118114</v>
      </c>
      <c r="S150" s="30"/>
      <c r="T150" s="30"/>
      <c r="W150" s="35"/>
    </row>
    <row r="151" spans="1:23" x14ac:dyDescent="0.25">
      <c r="A151" s="59" t="s">
        <v>153</v>
      </c>
      <c r="B151" s="60"/>
      <c r="C151" s="30"/>
      <c r="D151" s="30"/>
      <c r="T151" s="30"/>
      <c r="W151" s="35"/>
    </row>
    <row r="152" spans="1:23" x14ac:dyDescent="0.25">
      <c r="A152" s="60" t="s">
        <v>154</v>
      </c>
      <c r="B152" s="60" t="s">
        <v>155</v>
      </c>
      <c r="C152" s="30"/>
      <c r="D152" s="30"/>
      <c r="R152" s="31" t="s">
        <v>169</v>
      </c>
      <c r="T152" s="30"/>
      <c r="W152" s="35"/>
    </row>
    <row r="153" spans="1:23" x14ac:dyDescent="0.25">
      <c r="A153" s="60" t="s">
        <v>154</v>
      </c>
      <c r="B153" s="60" t="s">
        <v>54</v>
      </c>
      <c r="C153" s="30"/>
      <c r="D153" s="57">
        <f>-(D105-C105)</f>
        <v>-1879.4520547945203</v>
      </c>
      <c r="E153" s="57">
        <f>-(E105-D105)</f>
        <v>-131.56164383561691</v>
      </c>
      <c r="F153" s="57">
        <f>-(F105-E105)</f>
        <v>-140.77095890410919</v>
      </c>
      <c r="G153" s="57">
        <f>-(G105-F105)</f>
        <v>-150.62492602739803</v>
      </c>
      <c r="H153" s="57">
        <f>-(H105-G105)</f>
        <v>-161.16867084931482</v>
      </c>
      <c r="I153" s="57">
        <f t="shared" ref="I153:M153" si="72">-(I105-H105)</f>
        <v>-172.45047780876803</v>
      </c>
      <c r="J153" s="57">
        <f t="shared" si="72"/>
        <v>-184.52201125538068</v>
      </c>
      <c r="K153" s="57">
        <f t="shared" si="72"/>
        <v>-197.43855204325746</v>
      </c>
      <c r="L153" s="57">
        <f t="shared" si="72"/>
        <v>-211.25925068628567</v>
      </c>
      <c r="M153" s="57">
        <f t="shared" si="72"/>
        <v>-226.04739823432601</v>
      </c>
      <c r="P153" s="30" t="s">
        <v>110</v>
      </c>
      <c r="Q153" s="55">
        <f>M126</f>
        <v>1424932.8463182419</v>
      </c>
      <c r="R153" s="30">
        <f>Q153/SUM(Q153:Q154)</f>
        <v>1</v>
      </c>
      <c r="S153" s="31">
        <v>0.05</v>
      </c>
      <c r="T153" s="30"/>
      <c r="U153" s="65">
        <f>(Q153+Q154)/(Q159)</f>
        <v>0.44713936714391744</v>
      </c>
      <c r="W153" s="35"/>
    </row>
    <row r="154" spans="1:23" x14ac:dyDescent="0.25">
      <c r="A154" s="60" t="s">
        <v>156</v>
      </c>
      <c r="B154" s="60" t="s">
        <v>89</v>
      </c>
      <c r="C154" s="30"/>
      <c r="D154" s="57">
        <f>D124-C124</f>
        <v>4027.3972602739723</v>
      </c>
      <c r="E154" s="57">
        <f t="shared" ref="E154:M154" si="73">E124-D124</f>
        <v>281.91780821917837</v>
      </c>
      <c r="F154" s="57">
        <f t="shared" si="73"/>
        <v>301.65205479452015</v>
      </c>
      <c r="G154" s="57">
        <f t="shared" si="73"/>
        <v>322.76769863013851</v>
      </c>
      <c r="H154" s="57">
        <f t="shared" si="73"/>
        <v>345.36143753424585</v>
      </c>
      <c r="I154" s="57">
        <f t="shared" si="73"/>
        <v>369.5367381616461</v>
      </c>
      <c r="J154" s="57">
        <f t="shared" si="73"/>
        <v>395.40430983295846</v>
      </c>
      <c r="K154" s="57">
        <f t="shared" si="73"/>
        <v>423.0826115212667</v>
      </c>
      <c r="L154" s="57">
        <f t="shared" si="73"/>
        <v>452.69839432775461</v>
      </c>
      <c r="M154" s="57">
        <f t="shared" si="73"/>
        <v>484.38728193069801</v>
      </c>
      <c r="P154" s="30" t="s">
        <v>112</v>
      </c>
      <c r="Q154" s="27">
        <f>M128</f>
        <v>0</v>
      </c>
      <c r="R154" s="30">
        <f>Q154/SUM(Q153:Q154)</f>
        <v>0</v>
      </c>
      <c r="S154" s="43">
        <v>7.0000000000000007E-2</v>
      </c>
      <c r="T154" s="30">
        <f>R153*S153+R154*S154</f>
        <v>0.05</v>
      </c>
      <c r="U154" s="30"/>
    </row>
    <row r="155" spans="1:23" x14ac:dyDescent="0.25">
      <c r="A155" s="60" t="s">
        <v>156</v>
      </c>
      <c r="B155" s="60" t="s">
        <v>157</v>
      </c>
      <c r="C155" s="30"/>
      <c r="D155" s="44">
        <f>-(D142-C142)</f>
        <v>15660.625</v>
      </c>
      <c r="E155" s="44">
        <f t="shared" ref="E155:M155" si="74">-(E142-D142)</f>
        <v>10795.451270183927</v>
      </c>
      <c r="F155" s="44">
        <f t="shared" si="74"/>
        <v>11503.097536167013</v>
      </c>
      <c r="G155" s="44">
        <f t="shared" si="74"/>
        <v>12413.916251173228</v>
      </c>
      <c r="H155" s="44">
        <f t="shared" si="74"/>
        <v>12676.985670824419</v>
      </c>
      <c r="I155" s="44">
        <f t="shared" si="74"/>
        <v>14539.140452627951</v>
      </c>
      <c r="J155" s="44">
        <f t="shared" si="74"/>
        <v>4027.4626707874559</v>
      </c>
      <c r="K155" s="44">
        <f t="shared" si="74"/>
        <v>18831.889247791623</v>
      </c>
      <c r="L155" s="44">
        <f t="shared" si="74"/>
        <v>21508.372351943486</v>
      </c>
      <c r="M155" s="44">
        <f t="shared" si="74"/>
        <v>24623.532168979291</v>
      </c>
      <c r="N155" s="35"/>
      <c r="O155" s="35"/>
      <c r="P155" s="30"/>
      <c r="Q155" s="27"/>
      <c r="R155" s="66">
        <f>SUM(Q153:Q154)/Q159</f>
        <v>0.44713936714391744</v>
      </c>
      <c r="S155" s="30"/>
      <c r="T155" s="30"/>
      <c r="U155" s="30"/>
    </row>
    <row r="156" spans="1:23" x14ac:dyDescent="0.25">
      <c r="A156" s="60"/>
      <c r="B156" s="60"/>
      <c r="C156" s="30"/>
      <c r="D156" s="30"/>
      <c r="E156" s="30"/>
      <c r="F156" s="30"/>
      <c r="G156" s="30"/>
      <c r="H156" s="30"/>
      <c r="I156" s="30"/>
      <c r="J156" s="30"/>
      <c r="N156" s="34"/>
      <c r="O156" s="34"/>
      <c r="P156" s="30" t="s">
        <v>105</v>
      </c>
      <c r="R156" s="55"/>
      <c r="S156" s="30"/>
      <c r="T156" s="30"/>
      <c r="U156" s="30"/>
    </row>
    <row r="157" spans="1:23" x14ac:dyDescent="0.25">
      <c r="A157" s="59" t="s">
        <v>158</v>
      </c>
      <c r="B157" s="60"/>
      <c r="C157" s="30"/>
      <c r="D157" s="30"/>
      <c r="E157" s="30"/>
      <c r="F157" s="30"/>
      <c r="G157" s="30"/>
      <c r="H157" s="30"/>
      <c r="I157" s="30"/>
      <c r="J157" s="30"/>
      <c r="N157" s="34"/>
      <c r="O157" s="34"/>
      <c r="P157" s="30" t="s">
        <v>113</v>
      </c>
      <c r="Q157" s="30">
        <f>M130</f>
        <v>95000</v>
      </c>
      <c r="R157" s="44">
        <f>SUM(Q157:Q158)/Q159</f>
        <v>0.55286063285608245</v>
      </c>
      <c r="S157" s="65">
        <f>SUM(Q157:Q158)/Q159</f>
        <v>0.55286063285608245</v>
      </c>
      <c r="T157" s="30"/>
      <c r="U157" s="30"/>
    </row>
    <row r="158" spans="1:23" x14ac:dyDescent="0.25">
      <c r="A158" s="60" t="s">
        <v>156</v>
      </c>
      <c r="B158" s="60" t="s">
        <v>155</v>
      </c>
      <c r="C158" s="30"/>
      <c r="D158" s="30"/>
      <c r="E158" s="30"/>
      <c r="F158" s="30"/>
      <c r="G158" s="30"/>
      <c r="H158" s="30"/>
      <c r="I158" s="30"/>
      <c r="J158" s="30"/>
      <c r="N158" s="34"/>
      <c r="O158" s="34"/>
      <c r="P158" s="30" t="s">
        <v>114</v>
      </c>
      <c r="Q158" s="27">
        <f>M131</f>
        <v>1666842.8013281198</v>
      </c>
      <c r="R158" s="30"/>
      <c r="S158" s="43"/>
      <c r="T158" s="30"/>
      <c r="U158" s="30"/>
    </row>
    <row r="159" spans="1:23" x14ac:dyDescent="0.25">
      <c r="A159" s="60" t="s">
        <v>156</v>
      </c>
      <c r="B159" s="60" t="s">
        <v>54</v>
      </c>
      <c r="C159" s="30"/>
      <c r="D159" s="30"/>
      <c r="E159" s="27"/>
      <c r="F159" s="27"/>
      <c r="G159" s="27"/>
      <c r="H159" s="27"/>
      <c r="I159" s="30"/>
      <c r="J159" s="30"/>
      <c r="M159" s="15">
        <f>M105</f>
        <v>3455.2959444389771</v>
      </c>
      <c r="N159" s="34"/>
      <c r="O159" s="34"/>
      <c r="P159" s="30" t="s">
        <v>115</v>
      </c>
      <c r="Q159" s="27">
        <f>SUM(Q153:Q158)</f>
        <v>3186775.647646362</v>
      </c>
      <c r="R159" s="30"/>
      <c r="S159" s="30"/>
      <c r="T159" s="34"/>
    </row>
    <row r="160" spans="1:23" x14ac:dyDescent="0.25">
      <c r="A160" s="60" t="s">
        <v>154</v>
      </c>
      <c r="B160" s="60" t="s">
        <v>89</v>
      </c>
      <c r="C160" s="30"/>
      <c r="D160" s="30"/>
      <c r="E160" s="27"/>
      <c r="F160" s="27"/>
      <c r="G160" s="27"/>
      <c r="H160" s="27"/>
      <c r="I160" s="30"/>
      <c r="J160" s="30"/>
      <c r="M160" s="15">
        <f>-M124</f>
        <v>-7404.205595226379</v>
      </c>
      <c r="N160" s="34"/>
      <c r="O160" s="34"/>
      <c r="Q160" s="27"/>
      <c r="R160" s="30"/>
      <c r="S160" s="30"/>
    </row>
    <row r="161" spans="1:19" x14ac:dyDescent="0.25">
      <c r="A161" s="60" t="s">
        <v>154</v>
      </c>
      <c r="B161" s="60" t="s">
        <v>157</v>
      </c>
      <c r="C161" s="30"/>
      <c r="D161" s="30"/>
      <c r="E161" s="30"/>
      <c r="F161" s="30"/>
      <c r="G161" s="30"/>
      <c r="H161" s="44"/>
      <c r="I161" s="30"/>
      <c r="J161" s="30"/>
      <c r="M161" s="63">
        <f>M142</f>
        <v>-146580.47262047839</v>
      </c>
      <c r="N161" s="34"/>
      <c r="O161" s="34"/>
      <c r="Q161" s="35"/>
      <c r="R161" s="35"/>
      <c r="S161" s="35"/>
    </row>
    <row r="162" spans="1:19" x14ac:dyDescent="0.25">
      <c r="A162" s="60"/>
      <c r="B162" s="60"/>
      <c r="C162" s="30"/>
      <c r="D162" s="30"/>
      <c r="E162" s="27"/>
      <c r="F162" s="27"/>
      <c r="G162" s="27"/>
      <c r="H162" s="27"/>
      <c r="I162" s="30"/>
      <c r="J162" s="30"/>
      <c r="N162" s="34"/>
      <c r="O162" s="34"/>
      <c r="P162" s="30" t="s">
        <v>170</v>
      </c>
      <c r="Q162" s="67">
        <f>Q150/(1+(1-Q146)*(R155/R157))</f>
        <v>0.90876238319655711</v>
      </c>
    </row>
    <row r="163" spans="1:19" x14ac:dyDescent="0.25">
      <c r="A163" s="59" t="s">
        <v>159</v>
      </c>
      <c r="B163" s="60"/>
      <c r="C163" s="58">
        <f>SUM(C144:C162)</f>
        <v>-2070000</v>
      </c>
      <c r="D163" s="58">
        <f t="shared" ref="D163:L163" si="75">SUM(D144:D162)</f>
        <v>135790.44520547945</v>
      </c>
      <c r="E163" s="58">
        <f t="shared" si="75"/>
        <v>161314.03624511926</v>
      </c>
      <c r="F163" s="58">
        <f t="shared" si="75"/>
        <v>196541.50005111023</v>
      </c>
      <c r="G163" s="58">
        <f t="shared" si="75"/>
        <v>234705.3291963485</v>
      </c>
      <c r="H163" s="58">
        <f t="shared" si="75"/>
        <v>273011.40562255512</v>
      </c>
      <c r="I163" s="58">
        <f t="shared" si="75"/>
        <v>318503.97525591048</v>
      </c>
      <c r="J163" s="58">
        <f>SUM(J144:J162)</f>
        <v>-129911.41847534299</v>
      </c>
      <c r="K163" s="58">
        <f t="shared" si="75"/>
        <v>441403.53760593641</v>
      </c>
      <c r="L163" s="58">
        <f t="shared" si="75"/>
        <v>508621.03285008238</v>
      </c>
      <c r="M163" s="58">
        <f>SUM(M144:M162)</f>
        <v>2301544.4076428446</v>
      </c>
      <c r="N163" s="34"/>
      <c r="O163" s="34"/>
      <c r="P163" s="34"/>
      <c r="Q163" s="34"/>
    </row>
    <row r="164" spans="1:19" x14ac:dyDescent="0.25">
      <c r="A164" s="60" t="s">
        <v>160</v>
      </c>
      <c r="B164" s="29">
        <f>IRR(C163:M163)</f>
        <v>0.10633944980218679</v>
      </c>
      <c r="C164" s="30"/>
      <c r="D164" s="30"/>
      <c r="E164" s="27"/>
      <c r="F164" s="27"/>
      <c r="G164" s="27"/>
      <c r="H164" s="27"/>
      <c r="I164" s="30"/>
      <c r="J164" s="30"/>
      <c r="N164" s="34"/>
      <c r="O164" s="34"/>
      <c r="P164" s="34" t="s">
        <v>171</v>
      </c>
      <c r="Q164" s="34">
        <f>Q162*(1+(1-Q146)*(0.5/0.5))</f>
        <v>1.5903341705939749</v>
      </c>
    </row>
    <row r="165" spans="1:19" x14ac:dyDescent="0.25">
      <c r="B165" s="30"/>
      <c r="C165" s="30"/>
      <c r="D165" s="30"/>
      <c r="E165" s="30"/>
      <c r="F165" s="30"/>
      <c r="G165" s="30"/>
      <c r="H165" s="30"/>
      <c r="I165" s="30"/>
      <c r="J165" s="30"/>
      <c r="N165" s="34"/>
      <c r="O165" s="34"/>
      <c r="P165" s="34"/>
      <c r="Q165" s="34"/>
    </row>
    <row r="166" spans="1:19" x14ac:dyDescent="0.25">
      <c r="A166" s="60" t="s">
        <v>161</v>
      </c>
      <c r="B166" s="30"/>
      <c r="C166" s="55">
        <f t="shared" ref="C166:M166" si="76">-PV($O$142,C138,,C163)</f>
        <v>-2070000</v>
      </c>
      <c r="D166" s="55">
        <f t="shared" si="76"/>
        <v>125395.46255848643</v>
      </c>
      <c r="E166" s="55">
        <f t="shared" si="76"/>
        <v>137561.65020779357</v>
      </c>
      <c r="F166" s="55">
        <f t="shared" si="76"/>
        <v>154771.89326067618</v>
      </c>
      <c r="G166" s="55">
        <f t="shared" si="76"/>
        <v>170676.36669623887</v>
      </c>
      <c r="H166" s="55">
        <f t="shared" si="76"/>
        <v>183334.34825171914</v>
      </c>
      <c r="I166" s="55">
        <f t="shared" si="76"/>
        <v>197510.64841026595</v>
      </c>
      <c r="J166" s="55">
        <f t="shared" si="76"/>
        <v>-74393.602861133739</v>
      </c>
      <c r="K166" s="55">
        <f t="shared" si="76"/>
        <v>233419.25913040238</v>
      </c>
      <c r="L166" s="55">
        <f t="shared" si="76"/>
        <v>248374.9552495766</v>
      </c>
      <c r="M166" s="55">
        <f t="shared" si="76"/>
        <v>1037875.9654319957</v>
      </c>
      <c r="N166" s="35"/>
      <c r="O166" s="35"/>
      <c r="P166" s="35"/>
    </row>
    <row r="167" spans="1:19" x14ac:dyDescent="0.25">
      <c r="B167" s="30"/>
      <c r="C167" s="30"/>
      <c r="D167" s="30"/>
      <c r="E167" s="42"/>
      <c r="F167" s="42"/>
      <c r="G167" s="42"/>
      <c r="H167" s="42"/>
      <c r="I167" s="30"/>
      <c r="J167" s="30"/>
      <c r="N167" s="35"/>
      <c r="O167" s="35"/>
      <c r="P167" s="35"/>
    </row>
    <row r="168" spans="1:19" x14ac:dyDescent="0.25">
      <c r="A168" s="31" t="s">
        <v>162</v>
      </c>
      <c r="B168" s="30"/>
      <c r="C168" s="70">
        <f>SUM(C166:M166)</f>
        <v>344526.9463360213</v>
      </c>
      <c r="D168" s="71"/>
      <c r="E168" s="72"/>
      <c r="F168" s="73"/>
      <c r="G168" s="44"/>
      <c r="H168" s="44"/>
      <c r="I168" s="30"/>
      <c r="J168" s="30"/>
      <c r="N168" s="35"/>
      <c r="O168" s="35"/>
      <c r="P168" s="35"/>
    </row>
    <row r="169" spans="1:19" x14ac:dyDescent="0.25">
      <c r="B169" s="30"/>
      <c r="C169" s="74"/>
      <c r="D169" s="75"/>
      <c r="E169" s="75" t="s">
        <v>174</v>
      </c>
      <c r="F169" s="76"/>
      <c r="G169" s="30"/>
      <c r="H169" s="30"/>
      <c r="I169" s="30"/>
      <c r="J169" s="30"/>
      <c r="N169" s="35"/>
      <c r="O169" s="35"/>
      <c r="P169" s="35"/>
    </row>
    <row r="170" spans="1:19" x14ac:dyDescent="0.25">
      <c r="B170" s="30"/>
      <c r="C170" s="77" t="s">
        <v>172</v>
      </c>
      <c r="D170" s="78">
        <f>C168</f>
        <v>344526.9463360213</v>
      </c>
      <c r="E170" s="79">
        <v>0.6</v>
      </c>
      <c r="F170" s="80">
        <f>D170*E170</f>
        <v>206716.16780161278</v>
      </c>
      <c r="G170" s="27"/>
      <c r="H170" s="27"/>
      <c r="I170" s="30"/>
      <c r="J170" s="30"/>
      <c r="N170" s="35"/>
      <c r="O170" s="35"/>
      <c r="P170" s="35"/>
    </row>
    <row r="171" spans="1:19" x14ac:dyDescent="0.25">
      <c r="B171" s="30"/>
      <c r="C171" s="77" t="s">
        <v>173</v>
      </c>
      <c r="D171" s="78">
        <f>'Bad 2'!C168</f>
        <v>-150701.39183729514</v>
      </c>
      <c r="E171" s="81">
        <v>0.4</v>
      </c>
      <c r="F171" s="80">
        <f t="shared" ref="F171:F172" si="77">D171*E171</f>
        <v>-60280.556734918064</v>
      </c>
      <c r="G171" s="44"/>
      <c r="H171" s="44"/>
      <c r="I171" s="30"/>
      <c r="J171" s="30"/>
      <c r="N171" s="35"/>
      <c r="O171" s="35"/>
      <c r="P171" s="35"/>
    </row>
    <row r="172" spans="1:19" x14ac:dyDescent="0.25">
      <c r="B172" s="30"/>
      <c r="C172" s="77"/>
      <c r="D172" s="78"/>
      <c r="E172" s="79"/>
      <c r="F172" s="80">
        <f t="shared" si="77"/>
        <v>0</v>
      </c>
      <c r="G172" s="27"/>
      <c r="H172" s="27"/>
      <c r="I172" s="30"/>
      <c r="J172" s="30"/>
      <c r="N172" s="35"/>
      <c r="O172" s="35"/>
      <c r="P172" s="35"/>
    </row>
    <row r="173" spans="1:19" x14ac:dyDescent="0.25">
      <c r="B173" s="30"/>
      <c r="C173" s="77"/>
      <c r="D173" s="75"/>
      <c r="E173" s="82"/>
      <c r="F173" s="80"/>
      <c r="G173" s="27"/>
      <c r="H173" s="27"/>
      <c r="I173" s="30"/>
      <c r="J173" s="30"/>
      <c r="N173" s="35"/>
      <c r="O173" s="35"/>
      <c r="P173" s="35"/>
    </row>
    <row r="174" spans="1:19" x14ac:dyDescent="0.25">
      <c r="B174" s="30"/>
      <c r="C174" s="77"/>
      <c r="D174" s="75"/>
      <c r="E174" s="82"/>
      <c r="F174" s="80"/>
      <c r="G174" s="27"/>
      <c r="H174" s="27"/>
      <c r="I174" s="30"/>
      <c r="J174" s="30"/>
      <c r="N174" s="35"/>
      <c r="O174" s="35"/>
      <c r="P174" s="35"/>
    </row>
    <row r="175" spans="1:19" x14ac:dyDescent="0.25">
      <c r="C175" s="83"/>
      <c r="D175" s="84"/>
      <c r="E175" s="84" t="s">
        <v>175</v>
      </c>
      <c r="F175" s="85">
        <f>SUM(F170:F171)</f>
        <v>146435.61106669472</v>
      </c>
      <c r="G175" s="30"/>
      <c r="H175" s="30"/>
      <c r="I175" s="30"/>
      <c r="J175" s="30"/>
      <c r="N175" s="35"/>
      <c r="O175" s="35"/>
      <c r="P175" s="35"/>
    </row>
    <row r="176" spans="1:19" x14ac:dyDescent="0.25">
      <c r="N176" s="35"/>
      <c r="O176" s="35"/>
      <c r="P176" s="35"/>
    </row>
    <row r="177" spans="1:13" x14ac:dyDescent="0.25">
      <c r="E177" s="31" t="s">
        <v>176</v>
      </c>
    </row>
    <row r="178" spans="1:13" x14ac:dyDescent="0.25">
      <c r="B178" s="31" t="s">
        <v>182</v>
      </c>
      <c r="C178" s="31">
        <v>2013</v>
      </c>
      <c r="D178" s="31">
        <v>2014</v>
      </c>
      <c r="E178" s="31">
        <v>2015</v>
      </c>
      <c r="F178" s="31">
        <v>2016</v>
      </c>
      <c r="G178" s="31">
        <v>2017</v>
      </c>
      <c r="H178" s="31">
        <v>2018</v>
      </c>
      <c r="I178" s="31">
        <v>2019</v>
      </c>
      <c r="J178" s="31">
        <v>2020</v>
      </c>
      <c r="K178" s="31">
        <v>2021</v>
      </c>
      <c r="L178" s="31">
        <v>2022</v>
      </c>
    </row>
    <row r="179" spans="1:13" x14ac:dyDescent="0.25">
      <c r="A179" s="31" t="s">
        <v>178</v>
      </c>
      <c r="D179" s="63">
        <f t="shared" ref="D179:L179" si="78">D144</f>
        <v>117981.875</v>
      </c>
      <c r="E179" s="63">
        <f t="shared" si="78"/>
        <v>150368.22881055178</v>
      </c>
      <c r="F179" s="63">
        <f t="shared" si="78"/>
        <v>184877.52141905282</v>
      </c>
      <c r="G179" s="63">
        <f t="shared" si="78"/>
        <v>222119.27017257252</v>
      </c>
      <c r="H179" s="63">
        <f t="shared" si="78"/>
        <v>260150.22718504578</v>
      </c>
      <c r="I179" s="63">
        <f t="shared" si="78"/>
        <v>303767.74854292965</v>
      </c>
      <c r="J179" s="63">
        <f t="shared" si="78"/>
        <v>365850.23655529198</v>
      </c>
      <c r="K179" s="63">
        <f t="shared" si="78"/>
        <v>422346.00429866684</v>
      </c>
      <c r="L179" s="63">
        <f t="shared" si="78"/>
        <v>486871.22135449736</v>
      </c>
      <c r="M179" s="63"/>
    </row>
    <row r="180" spans="1:13" x14ac:dyDescent="0.25">
      <c r="A180" s="31" t="s">
        <v>177</v>
      </c>
      <c r="C180" s="86">
        <f>SUM(C147)</f>
        <v>-2070000</v>
      </c>
      <c r="J180" s="16">
        <f>J147</f>
        <v>-500000</v>
      </c>
    </row>
    <row r="181" spans="1:13" x14ac:dyDescent="0.25">
      <c r="A181" s="31" t="s">
        <v>179</v>
      </c>
      <c r="D181" s="15">
        <f t="shared" ref="D181:L181" si="79">SUM(D153:D155)</f>
        <v>17808.570205479453</v>
      </c>
      <c r="E181" s="15">
        <f t="shared" si="79"/>
        <v>10945.807434567489</v>
      </c>
      <c r="F181" s="15">
        <f t="shared" si="79"/>
        <v>11663.978632057424</v>
      </c>
      <c r="G181" s="15">
        <f t="shared" si="79"/>
        <v>12586.059023775968</v>
      </c>
      <c r="H181" s="15">
        <f t="shared" si="79"/>
        <v>12861.17843750935</v>
      </c>
      <c r="I181" s="15">
        <f t="shared" si="79"/>
        <v>14736.22671298083</v>
      </c>
      <c r="J181" s="15">
        <f t="shared" si="79"/>
        <v>4238.3449693650336</v>
      </c>
      <c r="K181" s="15">
        <f t="shared" si="79"/>
        <v>19057.533307269634</v>
      </c>
      <c r="L181" s="15">
        <f t="shared" si="79"/>
        <v>21749.811495584956</v>
      </c>
      <c r="M181" s="15"/>
    </row>
    <row r="182" spans="1:13" x14ac:dyDescent="0.25">
      <c r="A182" s="31" t="s">
        <v>180</v>
      </c>
      <c r="L182" s="63">
        <f>SUM(M159:M161)</f>
        <v>-150529.38227126579</v>
      </c>
    </row>
    <row r="183" spans="1:13" x14ac:dyDescent="0.25">
      <c r="A183" s="31" t="s">
        <v>181</v>
      </c>
      <c r="C183" s="63">
        <f>SUM(C179:C182)</f>
        <v>-2070000</v>
      </c>
      <c r="D183" s="63">
        <f t="shared" ref="D183:L183" si="80">SUM(D179:D182)</f>
        <v>135790.44520547945</v>
      </c>
      <c r="E183" s="63">
        <f t="shared" si="80"/>
        <v>161314.03624511926</v>
      </c>
      <c r="F183" s="63">
        <f t="shared" si="80"/>
        <v>196541.50005111026</v>
      </c>
      <c r="G183" s="63">
        <f t="shared" si="80"/>
        <v>234705.3291963485</v>
      </c>
      <c r="H183" s="63">
        <f t="shared" si="80"/>
        <v>273011.40562255512</v>
      </c>
      <c r="I183" s="63">
        <f t="shared" si="80"/>
        <v>318503.97525591048</v>
      </c>
      <c r="J183" s="63">
        <f t="shared" si="80"/>
        <v>-129911.41847534299</v>
      </c>
      <c r="K183" s="63">
        <f t="shared" si="80"/>
        <v>441403.53760593646</v>
      </c>
      <c r="L183" s="63">
        <f t="shared" si="80"/>
        <v>358091.65057881654</v>
      </c>
    </row>
    <row r="185" spans="1:13" x14ac:dyDescent="0.25">
      <c r="B185" s="31" t="s">
        <v>183</v>
      </c>
      <c r="C185" s="31">
        <v>2013</v>
      </c>
      <c r="D185" s="31">
        <v>2014</v>
      </c>
      <c r="E185" s="31">
        <v>2015</v>
      </c>
      <c r="F185" s="31">
        <v>2016</v>
      </c>
      <c r="G185" s="31">
        <v>2017</v>
      </c>
      <c r="H185" s="31">
        <v>2018</v>
      </c>
      <c r="I185" s="31">
        <v>2019</v>
      </c>
      <c r="J185" s="31">
        <v>2020</v>
      </c>
      <c r="K185" s="31">
        <v>2021</v>
      </c>
      <c r="L185" s="31">
        <v>2022</v>
      </c>
    </row>
    <row r="186" spans="1:13" x14ac:dyDescent="0.25">
      <c r="A186" s="31" t="s">
        <v>178</v>
      </c>
      <c r="D186" s="31">
        <v>101706.875</v>
      </c>
      <c r="E186" s="31">
        <v>109133.01379944247</v>
      </c>
      <c r="F186" s="31">
        <v>116872.38735657392</v>
      </c>
      <c r="G186" s="31">
        <v>129313.62516454907</v>
      </c>
      <c r="H186" s="31">
        <v>137743.89116401679</v>
      </c>
      <c r="I186" s="31">
        <v>132107.9162125267</v>
      </c>
      <c r="J186" s="31">
        <v>153605.98708002019</v>
      </c>
      <c r="K186" s="31">
        <v>163035.41499825724</v>
      </c>
      <c r="L186" s="31">
        <v>172927.15173843442</v>
      </c>
    </row>
    <row r="187" spans="1:13" x14ac:dyDescent="0.25">
      <c r="A187" s="31" t="s">
        <v>177</v>
      </c>
      <c r="C187" s="31">
        <v>-2070000</v>
      </c>
      <c r="J187" s="31">
        <v>-500000</v>
      </c>
    </row>
    <row r="188" spans="1:13" x14ac:dyDescent="0.25">
      <c r="A188" s="31" t="s">
        <v>179</v>
      </c>
      <c r="D188" s="31">
        <v>12383.570205479453</v>
      </c>
      <c r="E188" s="31">
        <v>2496.8590518689525</v>
      </c>
      <c r="F188" s="31">
        <v>2601.4854322858268</v>
      </c>
      <c r="G188" s="31">
        <v>4168.9904583661437</v>
      </c>
      <c r="H188" s="31">
        <v>2832.218967420753</v>
      </c>
      <c r="I188" s="31">
        <v>-1856.3400465558796</v>
      </c>
      <c r="J188" s="31">
        <v>-9478.1012575219411</v>
      </c>
      <c r="K188" s="31">
        <v>3165.9101772590548</v>
      </c>
      <c r="L188" s="31">
        <v>3320.2411266175577</v>
      </c>
    </row>
    <row r="189" spans="1:13" x14ac:dyDescent="0.25">
      <c r="A189" s="31" t="s">
        <v>180</v>
      </c>
      <c r="L189" s="31">
        <v>-23120.590939503916</v>
      </c>
    </row>
    <row r="190" spans="1:13" x14ac:dyDescent="0.25">
      <c r="A190" s="31" t="s">
        <v>184</v>
      </c>
      <c r="C190" s="31">
        <v>-2070000</v>
      </c>
      <c r="D190" s="31">
        <v>114090.44520547945</v>
      </c>
      <c r="E190" s="31">
        <v>111629.87285131143</v>
      </c>
      <c r="F190" s="31">
        <v>119473.87278885975</v>
      </c>
      <c r="G190" s="31">
        <v>133482.61562291521</v>
      </c>
      <c r="H190" s="31">
        <v>140576.11013143754</v>
      </c>
      <c r="I190" s="31">
        <v>130251.57616597082</v>
      </c>
      <c r="J190" s="31">
        <v>-355872.11417750176</v>
      </c>
      <c r="K190" s="31">
        <v>166201.32517551631</v>
      </c>
      <c r="L190" s="31">
        <v>153126.80192554806</v>
      </c>
    </row>
    <row r="199" spans="2:2" x14ac:dyDescent="0.25">
      <c r="B199" s="63"/>
    </row>
    <row r="200" spans="2:2" x14ac:dyDescent="0.25">
      <c r="B200" s="63"/>
    </row>
    <row r="201" spans="2:2" x14ac:dyDescent="0.25">
      <c r="B201" s="6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7"/>
  <sheetViews>
    <sheetView topLeftCell="A146" zoomScale="70" zoomScaleNormal="70" workbookViewId="0">
      <selection activeCell="E180" sqref="E180"/>
    </sheetView>
  </sheetViews>
  <sheetFormatPr defaultRowHeight="15" x14ac:dyDescent="0.25"/>
  <cols>
    <col min="1" max="1" width="6.85546875" style="31" customWidth="1"/>
    <col min="2" max="2" width="25.28515625" style="31" customWidth="1"/>
    <col min="3" max="3" width="17.42578125" style="31" bestFit="1" customWidth="1"/>
    <col min="4" max="4" width="16.42578125" style="31" bestFit="1" customWidth="1"/>
    <col min="5" max="6" width="16.85546875" style="31" bestFit="1" customWidth="1"/>
    <col min="7" max="7" width="18.7109375" style="31" customWidth="1"/>
    <col min="8" max="8" width="17.28515625" style="31" customWidth="1"/>
    <col min="9" max="9" width="19.42578125" style="31" customWidth="1"/>
    <col min="10" max="10" width="18.140625" style="31" customWidth="1"/>
    <col min="11" max="11" width="17.5703125" style="31" customWidth="1"/>
    <col min="12" max="12" width="18.42578125" style="31" customWidth="1"/>
    <col min="13" max="13" width="17.5703125" style="31" customWidth="1"/>
    <col min="14" max="14" width="16.28515625" style="31" customWidth="1"/>
    <col min="15" max="15" width="17.7109375" style="31" customWidth="1"/>
    <col min="16" max="16" width="17.85546875" style="31" customWidth="1"/>
    <col min="17" max="17" width="16.5703125" style="31" customWidth="1"/>
    <col min="18" max="18" width="15.7109375" style="31" bestFit="1" customWidth="1"/>
    <col min="19" max="20" width="9.140625" style="31"/>
    <col min="21" max="21" width="13.85546875" style="31" customWidth="1"/>
    <col min="22" max="22" width="11" style="31" bestFit="1" customWidth="1"/>
    <col min="23" max="16384" width="9.140625" style="31"/>
  </cols>
  <sheetData>
    <row r="1" spans="1:16" x14ac:dyDescent="0.25">
      <c r="A1" s="35" t="s">
        <v>0</v>
      </c>
    </row>
    <row r="2" spans="1:16" x14ac:dyDescent="0.25">
      <c r="N2" s="35" t="s">
        <v>4</v>
      </c>
      <c r="O2" s="35"/>
      <c r="P2" s="35"/>
    </row>
    <row r="3" spans="1:16" ht="18.75" x14ac:dyDescent="0.3">
      <c r="A3" s="5" t="s">
        <v>1</v>
      </c>
      <c r="B3" s="32"/>
      <c r="C3" s="32"/>
      <c r="D3" s="5">
        <v>2013</v>
      </c>
      <c r="E3" s="5">
        <v>2014</v>
      </c>
      <c r="F3" s="5">
        <v>2015</v>
      </c>
      <c r="G3" s="5">
        <v>2016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33"/>
      <c r="O3" s="35"/>
      <c r="P3" s="35"/>
    </row>
    <row r="4" spans="1:16" ht="18.75" x14ac:dyDescent="0.3">
      <c r="A4" s="5" t="s">
        <v>10</v>
      </c>
      <c r="B4" s="32"/>
      <c r="C4" s="32"/>
      <c r="D4" s="5"/>
      <c r="E4" s="5"/>
      <c r="F4" s="5"/>
      <c r="G4" s="5"/>
      <c r="H4" s="5"/>
      <c r="I4" s="5"/>
      <c r="J4" s="5"/>
      <c r="K4" s="5"/>
      <c r="L4" s="5"/>
      <c r="M4" s="5"/>
      <c r="N4" s="33"/>
      <c r="O4" s="35"/>
      <c r="P4" s="35"/>
    </row>
    <row r="5" spans="1:16" x14ac:dyDescent="0.25">
      <c r="A5" s="31" t="s">
        <v>3</v>
      </c>
      <c r="D5" s="31">
        <v>7</v>
      </c>
      <c r="E5" s="13">
        <f>D5*(1+$N$5)</f>
        <v>7.1400000000000006</v>
      </c>
      <c r="F5" s="13">
        <f t="shared" ref="F5:M5" si="0">E5*(1+$N$5)</f>
        <v>7.2828000000000008</v>
      </c>
      <c r="G5" s="13">
        <f t="shared" si="0"/>
        <v>7.4284560000000006</v>
      </c>
      <c r="H5" s="13">
        <f t="shared" si="0"/>
        <v>7.5770251200000009</v>
      </c>
      <c r="I5" s="13">
        <f t="shared" si="0"/>
        <v>7.7285656224000014</v>
      </c>
      <c r="J5" s="13">
        <f>I5*(1+$N$5)</f>
        <v>7.883136934848002</v>
      </c>
      <c r="K5" s="13">
        <f>J5*(1+$N$5)</f>
        <v>8.0407996735449618</v>
      </c>
      <c r="L5" s="13">
        <f t="shared" si="0"/>
        <v>8.2016156670158615</v>
      </c>
      <c r="M5" s="13">
        <f t="shared" si="0"/>
        <v>8.3656479803561794</v>
      </c>
      <c r="N5" s="45">
        <v>0.02</v>
      </c>
      <c r="O5" s="35"/>
      <c r="P5" s="35"/>
    </row>
    <row r="6" spans="1:16" x14ac:dyDescent="0.25">
      <c r="A6" s="31" t="s">
        <v>2</v>
      </c>
      <c r="D6" s="31">
        <v>10</v>
      </c>
      <c r="E6" s="36">
        <f>D6*(1+$N$6)</f>
        <v>10.199999999999999</v>
      </c>
      <c r="F6" s="36">
        <f t="shared" ref="F6:M6" si="1">E6*(1+$N$6)</f>
        <v>10.404</v>
      </c>
      <c r="G6" s="36">
        <f t="shared" si="1"/>
        <v>10.612080000000001</v>
      </c>
      <c r="H6" s="36">
        <f t="shared" si="1"/>
        <v>10.824321600000001</v>
      </c>
      <c r="I6" s="36">
        <f t="shared" si="1"/>
        <v>11.040808032000001</v>
      </c>
      <c r="J6" s="36">
        <f t="shared" si="1"/>
        <v>11.261624192640001</v>
      </c>
      <c r="K6" s="36">
        <f t="shared" si="1"/>
        <v>11.486856676492801</v>
      </c>
      <c r="L6" s="36">
        <f t="shared" si="1"/>
        <v>11.716593810022657</v>
      </c>
      <c r="M6" s="36">
        <f t="shared" si="1"/>
        <v>11.95092568622311</v>
      </c>
      <c r="N6" s="46">
        <v>0.02</v>
      </c>
      <c r="O6" s="35"/>
      <c r="P6" s="35"/>
    </row>
    <row r="7" spans="1:16" x14ac:dyDescent="0.25">
      <c r="A7" s="31" t="s">
        <v>5</v>
      </c>
      <c r="D7" s="31">
        <v>2</v>
      </c>
      <c r="E7" s="36">
        <f>D7*(1+$N$7)</f>
        <v>2.2000000000000002</v>
      </c>
      <c r="F7" s="36">
        <f t="shared" ref="F7:M7" si="2">E7*(1+$N$7)</f>
        <v>2.4200000000000004</v>
      </c>
      <c r="G7" s="36">
        <f t="shared" si="2"/>
        <v>2.6620000000000008</v>
      </c>
      <c r="H7" s="36">
        <f t="shared" si="2"/>
        <v>2.9282000000000012</v>
      </c>
      <c r="I7" s="36">
        <f t="shared" si="2"/>
        <v>3.2210200000000015</v>
      </c>
      <c r="J7" s="36">
        <f t="shared" si="2"/>
        <v>3.5431220000000021</v>
      </c>
      <c r="K7" s="36">
        <f t="shared" si="2"/>
        <v>3.8974342000000028</v>
      </c>
      <c r="L7" s="36">
        <f t="shared" si="2"/>
        <v>4.2871776200000031</v>
      </c>
      <c r="M7" s="36">
        <f t="shared" si="2"/>
        <v>4.7158953820000038</v>
      </c>
      <c r="N7" s="46">
        <v>0.1</v>
      </c>
      <c r="O7" s="35"/>
      <c r="P7" s="35"/>
    </row>
    <row r="8" spans="1:16" x14ac:dyDescent="0.25">
      <c r="A8" s="31" t="s">
        <v>6</v>
      </c>
      <c r="D8" s="31">
        <f>10</f>
        <v>10</v>
      </c>
      <c r="E8" s="31">
        <f>10</f>
        <v>10</v>
      </c>
      <c r="F8" s="31">
        <f>10</f>
        <v>10</v>
      </c>
      <c r="G8" s="31">
        <f>10</f>
        <v>10</v>
      </c>
      <c r="H8" s="31">
        <v>10</v>
      </c>
      <c r="I8" s="31">
        <f>10</f>
        <v>10</v>
      </c>
      <c r="J8" s="31">
        <v>10</v>
      </c>
      <c r="K8" s="31">
        <v>10</v>
      </c>
      <c r="L8" s="31">
        <v>10</v>
      </c>
      <c r="M8" s="31">
        <v>10</v>
      </c>
      <c r="N8" s="35">
        <v>0</v>
      </c>
      <c r="O8" s="35"/>
      <c r="P8" s="35"/>
    </row>
    <row r="9" spans="1:16" x14ac:dyDescent="0.25">
      <c r="A9" s="31" t="s">
        <v>7</v>
      </c>
      <c r="D9" s="31">
        <v>8</v>
      </c>
      <c r="E9" s="36">
        <f>D9*(1+$N$9)</f>
        <v>8.16</v>
      </c>
      <c r="F9" s="36">
        <f t="shared" ref="F9:M9" si="3">E9*(1+$N$9)</f>
        <v>8.3231999999999999</v>
      </c>
      <c r="G9" s="36">
        <f t="shared" si="3"/>
        <v>8.4896639999999994</v>
      </c>
      <c r="H9" s="36">
        <f t="shared" si="3"/>
        <v>8.6594572799999998</v>
      </c>
      <c r="I9" s="36">
        <f t="shared" si="3"/>
        <v>8.8326464256000001</v>
      </c>
      <c r="J9" s="36">
        <f t="shared" si="3"/>
        <v>9.0092993541120006</v>
      </c>
      <c r="K9" s="36">
        <f t="shared" si="3"/>
        <v>9.1894853411942403</v>
      </c>
      <c r="L9" s="36">
        <f t="shared" si="3"/>
        <v>9.3732750480181259</v>
      </c>
      <c r="M9" s="36">
        <f t="shared" si="3"/>
        <v>9.5607405489784885</v>
      </c>
      <c r="N9" s="47">
        <v>0.02</v>
      </c>
      <c r="O9" s="35"/>
      <c r="P9" s="35"/>
    </row>
    <row r="10" spans="1:16" x14ac:dyDescent="0.25">
      <c r="A10" s="31" t="s">
        <v>8</v>
      </c>
      <c r="D10" s="10">
        <v>130</v>
      </c>
      <c r="E10" s="10">
        <v>130</v>
      </c>
      <c r="F10" s="10">
        <v>130</v>
      </c>
      <c r="G10" s="10">
        <f>F10+N10</f>
        <v>140</v>
      </c>
      <c r="H10" s="10">
        <f>G10</f>
        <v>140</v>
      </c>
      <c r="I10" s="10">
        <f t="shared" ref="I10:M11" si="4">H10</f>
        <v>140</v>
      </c>
      <c r="J10" s="10">
        <f t="shared" si="4"/>
        <v>140</v>
      </c>
      <c r="K10" s="10">
        <f t="shared" si="4"/>
        <v>140</v>
      </c>
      <c r="L10" s="10">
        <f t="shared" si="4"/>
        <v>140</v>
      </c>
      <c r="M10" s="10">
        <f>L10</f>
        <v>140</v>
      </c>
      <c r="N10" s="35">
        <f>10</f>
        <v>10</v>
      </c>
      <c r="O10" s="35"/>
      <c r="P10" s="35"/>
    </row>
    <row r="11" spans="1:16" x14ac:dyDescent="0.25">
      <c r="A11" s="31" t="s">
        <v>9</v>
      </c>
      <c r="D11" s="10">
        <v>160</v>
      </c>
      <c r="E11" s="10">
        <v>160</v>
      </c>
      <c r="F11" s="10">
        <v>160</v>
      </c>
      <c r="G11" s="10">
        <f>F11+N11</f>
        <v>170</v>
      </c>
      <c r="H11" s="10">
        <f>G11</f>
        <v>170</v>
      </c>
      <c r="I11" s="10">
        <f t="shared" si="4"/>
        <v>170</v>
      </c>
      <c r="J11" s="10">
        <f t="shared" si="4"/>
        <v>170</v>
      </c>
      <c r="K11" s="10">
        <f t="shared" si="4"/>
        <v>170</v>
      </c>
      <c r="L11" s="10">
        <f t="shared" si="4"/>
        <v>170</v>
      </c>
      <c r="M11" s="10">
        <f t="shared" si="4"/>
        <v>170</v>
      </c>
      <c r="N11" s="35">
        <v>10</v>
      </c>
      <c r="O11" s="35"/>
      <c r="P11" s="35"/>
    </row>
    <row r="12" spans="1:16" x14ac:dyDescent="0.25">
      <c r="A12" s="6" t="s">
        <v>20</v>
      </c>
      <c r="B12" s="38"/>
      <c r="C12" s="38"/>
      <c r="D12" s="38">
        <f>+D13*350</f>
        <v>15750</v>
      </c>
      <c r="E12" s="38">
        <f t="shared" ref="E12:M12" si="5">+E13*350</f>
        <v>15750</v>
      </c>
      <c r="F12" s="38">
        <f t="shared" si="5"/>
        <v>15750</v>
      </c>
      <c r="G12" s="38">
        <f t="shared" si="5"/>
        <v>15750</v>
      </c>
      <c r="H12" s="38">
        <f t="shared" si="5"/>
        <v>15750</v>
      </c>
      <c r="I12" s="38">
        <f t="shared" si="5"/>
        <v>15750</v>
      </c>
      <c r="J12" s="38">
        <f t="shared" si="5"/>
        <v>16100</v>
      </c>
      <c r="K12" s="38">
        <f t="shared" si="5"/>
        <v>16100</v>
      </c>
      <c r="L12" s="38">
        <f t="shared" si="5"/>
        <v>16100</v>
      </c>
      <c r="M12" s="38">
        <f t="shared" si="5"/>
        <v>16100</v>
      </c>
      <c r="N12" s="25"/>
      <c r="O12" s="35"/>
      <c r="P12" s="35"/>
    </row>
    <row r="13" spans="1:16" x14ac:dyDescent="0.25">
      <c r="A13" s="6" t="s">
        <v>21</v>
      </c>
      <c r="B13" s="38"/>
      <c r="C13" s="38"/>
      <c r="D13" s="8">
        <v>45</v>
      </c>
      <c r="E13" s="8">
        <v>45</v>
      </c>
      <c r="F13" s="8">
        <v>45</v>
      </c>
      <c r="G13" s="8">
        <v>45</v>
      </c>
      <c r="H13" s="8">
        <v>45</v>
      </c>
      <c r="I13" s="8">
        <v>45</v>
      </c>
      <c r="J13" s="8">
        <v>46</v>
      </c>
      <c r="K13" s="8">
        <v>46</v>
      </c>
      <c r="L13" s="8">
        <v>46</v>
      </c>
      <c r="M13" s="8">
        <v>46</v>
      </c>
      <c r="N13" s="25"/>
      <c r="O13" s="35"/>
      <c r="P13" s="35"/>
    </row>
    <row r="14" spans="1:16" x14ac:dyDescent="0.25">
      <c r="A14" s="7" t="s">
        <v>11</v>
      </c>
      <c r="D14" s="36">
        <f>D12*$O$14</f>
        <v>11812.5</v>
      </c>
      <c r="E14" s="36">
        <f>E12*$O$14</f>
        <v>11812.5</v>
      </c>
      <c r="F14" s="36">
        <f>F12*$O$14</f>
        <v>11812.5</v>
      </c>
      <c r="G14" s="36">
        <f>G12*$O$14</f>
        <v>11812.5</v>
      </c>
      <c r="H14" s="36">
        <f>H12*$O$14</f>
        <v>11812.5</v>
      </c>
      <c r="I14" s="36">
        <f t="shared" ref="I14:M14" si="6">I12*$O$14</f>
        <v>11812.5</v>
      </c>
      <c r="J14" s="36">
        <f t="shared" si="6"/>
        <v>12075</v>
      </c>
      <c r="K14" s="36">
        <f t="shared" si="6"/>
        <v>12075</v>
      </c>
      <c r="L14" s="36">
        <f t="shared" si="6"/>
        <v>12075</v>
      </c>
      <c r="M14" s="36">
        <f t="shared" si="6"/>
        <v>12075</v>
      </c>
      <c r="N14" s="35">
        <f>N12*$O$14</f>
        <v>0</v>
      </c>
      <c r="O14" s="45">
        <v>0.75</v>
      </c>
      <c r="P14" s="35"/>
    </row>
    <row r="15" spans="1:16" x14ac:dyDescent="0.25">
      <c r="A15" s="7" t="s">
        <v>12</v>
      </c>
      <c r="D15" s="31">
        <v>11</v>
      </c>
      <c r="E15" s="36">
        <v>11</v>
      </c>
      <c r="F15" s="36">
        <f t="shared" ref="F15:M15" si="7">E15*(1+$N$15)</f>
        <v>11.11</v>
      </c>
      <c r="G15" s="36">
        <f t="shared" si="7"/>
        <v>11.2211</v>
      </c>
      <c r="H15" s="36">
        <f t="shared" si="7"/>
        <v>11.333311</v>
      </c>
      <c r="I15" s="36">
        <f t="shared" si="7"/>
        <v>11.446644109999999</v>
      </c>
      <c r="J15" s="36">
        <f t="shared" si="7"/>
        <v>11.561110551099999</v>
      </c>
      <c r="K15" s="36">
        <f t="shared" si="7"/>
        <v>11.676721656610999</v>
      </c>
      <c r="L15" s="36">
        <f t="shared" si="7"/>
        <v>11.793488873177109</v>
      </c>
      <c r="M15" s="36">
        <f t="shared" si="7"/>
        <v>11.91142376190888</v>
      </c>
      <c r="N15" s="45">
        <f>1%</f>
        <v>0.01</v>
      </c>
      <c r="O15" s="35"/>
      <c r="P15" s="35"/>
    </row>
    <row r="16" spans="1:16" x14ac:dyDescent="0.25">
      <c r="A16" s="7" t="s">
        <v>13</v>
      </c>
      <c r="D16" s="36">
        <f>D12*$O$16</f>
        <v>2362.5</v>
      </c>
      <c r="E16" s="36">
        <f>E12*$O$16</f>
        <v>2362.5</v>
      </c>
      <c r="F16" s="36">
        <f>F12*$O$16</f>
        <v>2362.5</v>
      </c>
      <c r="G16" s="36">
        <f>G12*$O$16</f>
        <v>2362.5</v>
      </c>
      <c r="H16" s="36">
        <f>H12*$O$16</f>
        <v>2362.5</v>
      </c>
      <c r="I16" s="36">
        <f t="shared" ref="I16:M16" si="8">I12*$O$16</f>
        <v>2362.5</v>
      </c>
      <c r="J16" s="36">
        <f t="shared" si="8"/>
        <v>2415</v>
      </c>
      <c r="K16" s="36">
        <f t="shared" si="8"/>
        <v>2415</v>
      </c>
      <c r="L16" s="36">
        <f t="shared" si="8"/>
        <v>2415</v>
      </c>
      <c r="M16" s="36">
        <f t="shared" si="8"/>
        <v>2415</v>
      </c>
      <c r="N16" s="35">
        <f>N12*$O$16</f>
        <v>0</v>
      </c>
      <c r="O16" s="45">
        <v>0.15</v>
      </c>
      <c r="P16" s="35"/>
    </row>
    <row r="17" spans="1:18" x14ac:dyDescent="0.25">
      <c r="A17" s="31" t="s">
        <v>42</v>
      </c>
      <c r="N17" s="35"/>
      <c r="O17" s="35"/>
      <c r="P17" s="35"/>
    </row>
    <row r="18" spans="1:18" x14ac:dyDescent="0.25">
      <c r="A18" s="7" t="s">
        <v>39</v>
      </c>
      <c r="D18" s="10">
        <v>1300</v>
      </c>
      <c r="E18" s="10">
        <v>1300</v>
      </c>
      <c r="F18" s="10">
        <v>1300</v>
      </c>
      <c r="G18" s="10">
        <v>1350</v>
      </c>
      <c r="H18" s="10">
        <v>1350</v>
      </c>
      <c r="I18" s="10">
        <v>1350</v>
      </c>
      <c r="J18" s="10">
        <v>1350</v>
      </c>
      <c r="K18" s="10">
        <v>1350</v>
      </c>
      <c r="L18" s="10">
        <v>1350</v>
      </c>
      <c r="M18" s="10">
        <v>1350</v>
      </c>
      <c r="N18" s="48">
        <v>50</v>
      </c>
      <c r="O18" s="45"/>
      <c r="P18" s="35"/>
    </row>
    <row r="19" spans="1:18" x14ac:dyDescent="0.25">
      <c r="A19" s="7" t="s">
        <v>40</v>
      </c>
      <c r="D19" s="10">
        <v>1150</v>
      </c>
      <c r="E19" s="10">
        <v>1150</v>
      </c>
      <c r="F19" s="10">
        <v>1150</v>
      </c>
      <c r="G19" s="10">
        <v>1200</v>
      </c>
      <c r="H19" s="10">
        <v>1200</v>
      </c>
      <c r="I19" s="10">
        <v>1200</v>
      </c>
      <c r="J19" s="10">
        <v>1200</v>
      </c>
      <c r="K19" s="10">
        <v>1200</v>
      </c>
      <c r="L19" s="10">
        <v>1200</v>
      </c>
      <c r="M19" s="10">
        <v>1200</v>
      </c>
      <c r="N19" s="35">
        <v>50</v>
      </c>
      <c r="O19" s="45"/>
      <c r="P19" s="35"/>
    </row>
    <row r="20" spans="1:18" x14ac:dyDescent="0.25">
      <c r="A20" s="7" t="s">
        <v>41</v>
      </c>
      <c r="D20" s="10">
        <v>1000</v>
      </c>
      <c r="E20" s="10">
        <v>1000</v>
      </c>
      <c r="F20" s="10">
        <v>1000</v>
      </c>
      <c r="G20" s="10">
        <v>1050</v>
      </c>
      <c r="H20" s="10">
        <v>1050</v>
      </c>
      <c r="I20" s="10">
        <v>1050</v>
      </c>
      <c r="J20" s="10">
        <v>1050</v>
      </c>
      <c r="K20" s="10">
        <v>1050</v>
      </c>
      <c r="L20" s="10">
        <v>1050</v>
      </c>
      <c r="M20" s="10">
        <v>1050</v>
      </c>
      <c r="N20" s="35"/>
      <c r="O20" s="35"/>
      <c r="P20" s="35"/>
      <c r="R20" s="9"/>
    </row>
    <row r="21" spans="1:18" x14ac:dyDescent="0.25">
      <c r="A21" s="31" t="s">
        <v>38</v>
      </c>
      <c r="N21" s="35"/>
      <c r="O21" s="35"/>
      <c r="P21" s="35"/>
    </row>
    <row r="22" spans="1:18" x14ac:dyDescent="0.25">
      <c r="A22" s="7" t="s">
        <v>32</v>
      </c>
      <c r="D22" s="31">
        <v>6</v>
      </c>
      <c r="E22" s="31">
        <f t="shared" ref="E22:F24" si="9">+D22</f>
        <v>6</v>
      </c>
      <c r="F22" s="31">
        <f t="shared" si="9"/>
        <v>6</v>
      </c>
      <c r="G22" s="31">
        <v>7</v>
      </c>
      <c r="H22" s="31">
        <v>7</v>
      </c>
      <c r="I22" s="31">
        <v>7</v>
      </c>
      <c r="J22" s="31">
        <v>7</v>
      </c>
      <c r="K22" s="31">
        <v>7</v>
      </c>
      <c r="L22" s="31">
        <v>7</v>
      </c>
      <c r="M22" s="31">
        <v>7</v>
      </c>
      <c r="N22" s="35"/>
      <c r="O22" s="35"/>
      <c r="P22" s="35"/>
    </row>
    <row r="23" spans="1:18" x14ac:dyDescent="0.25">
      <c r="A23" s="7" t="s">
        <v>33</v>
      </c>
      <c r="D23" s="31">
        <v>6</v>
      </c>
      <c r="E23" s="31">
        <f t="shared" si="9"/>
        <v>6</v>
      </c>
      <c r="F23" s="31">
        <f t="shared" si="9"/>
        <v>6</v>
      </c>
      <c r="G23" s="31">
        <v>7</v>
      </c>
      <c r="H23" s="31">
        <v>7</v>
      </c>
      <c r="I23" s="31">
        <v>7</v>
      </c>
      <c r="J23" s="31">
        <v>7</v>
      </c>
      <c r="K23" s="31">
        <v>7</v>
      </c>
      <c r="L23" s="31">
        <v>7</v>
      </c>
      <c r="M23" s="31">
        <v>7</v>
      </c>
      <c r="N23" s="35"/>
      <c r="O23" s="35"/>
      <c r="P23" s="35"/>
    </row>
    <row r="24" spans="1:18" x14ac:dyDescent="0.25">
      <c r="A24" s="7" t="s">
        <v>34</v>
      </c>
      <c r="D24" s="31">
        <v>6</v>
      </c>
      <c r="E24" s="31">
        <f t="shared" si="9"/>
        <v>6</v>
      </c>
      <c r="F24" s="31">
        <f t="shared" si="9"/>
        <v>6</v>
      </c>
      <c r="G24" s="31">
        <v>7</v>
      </c>
      <c r="H24" s="31">
        <v>7</v>
      </c>
      <c r="I24" s="31">
        <v>7</v>
      </c>
      <c r="J24" s="31">
        <v>7</v>
      </c>
      <c r="K24" s="31">
        <v>7</v>
      </c>
      <c r="L24" s="31">
        <v>7</v>
      </c>
      <c r="M24" s="31">
        <v>7</v>
      </c>
      <c r="N24" s="35"/>
      <c r="O24" s="35"/>
      <c r="P24" s="35"/>
    </row>
    <row r="25" spans="1:18" x14ac:dyDescent="0.25">
      <c r="A25" s="7" t="s">
        <v>14</v>
      </c>
      <c r="D25" s="36">
        <v>25</v>
      </c>
      <c r="E25" s="36">
        <v>25</v>
      </c>
      <c r="F25" s="36">
        <v>25</v>
      </c>
      <c r="G25" s="36">
        <v>25</v>
      </c>
      <c r="H25" s="36">
        <v>25</v>
      </c>
      <c r="I25" s="36">
        <v>25</v>
      </c>
      <c r="J25" s="36">
        <v>25</v>
      </c>
      <c r="K25" s="36">
        <v>25</v>
      </c>
      <c r="L25" s="36">
        <v>25</v>
      </c>
      <c r="M25" s="36">
        <v>25</v>
      </c>
      <c r="N25" s="35"/>
      <c r="O25" s="35"/>
      <c r="P25" s="35"/>
    </row>
    <row r="26" spans="1:18" x14ac:dyDescent="0.25">
      <c r="A26" s="7" t="s">
        <v>15</v>
      </c>
      <c r="D26" s="31">
        <v>20</v>
      </c>
      <c r="E26" s="31">
        <v>20</v>
      </c>
      <c r="F26" s="31">
        <v>20</v>
      </c>
      <c r="G26" s="31">
        <v>20</v>
      </c>
      <c r="H26" s="31">
        <v>20</v>
      </c>
      <c r="I26" s="31">
        <v>20</v>
      </c>
      <c r="J26" s="31">
        <v>20</v>
      </c>
      <c r="K26" s="31">
        <v>20</v>
      </c>
      <c r="L26" s="31">
        <v>20</v>
      </c>
      <c r="M26" s="31">
        <v>20</v>
      </c>
      <c r="N26" s="35"/>
      <c r="O26" s="35"/>
      <c r="P26" s="35"/>
    </row>
    <row r="27" spans="1:18" x14ac:dyDescent="0.25">
      <c r="A27" s="7" t="s">
        <v>45</v>
      </c>
      <c r="D27" s="10">
        <f>+(0.8*D12)*7</f>
        <v>88200</v>
      </c>
      <c r="E27" s="10">
        <f t="shared" ref="E27:M27" si="10">+(0.8*E12)*7</f>
        <v>88200</v>
      </c>
      <c r="F27" s="10">
        <f t="shared" si="10"/>
        <v>88200</v>
      </c>
      <c r="G27" s="10">
        <f t="shared" si="10"/>
        <v>88200</v>
      </c>
      <c r="H27" s="10">
        <f t="shared" si="10"/>
        <v>88200</v>
      </c>
      <c r="I27" s="10">
        <f t="shared" si="10"/>
        <v>88200</v>
      </c>
      <c r="J27" s="10">
        <f t="shared" si="10"/>
        <v>90160</v>
      </c>
      <c r="K27" s="10">
        <f t="shared" si="10"/>
        <v>90160</v>
      </c>
      <c r="L27" s="10">
        <f t="shared" si="10"/>
        <v>90160</v>
      </c>
      <c r="M27" s="10">
        <f t="shared" si="10"/>
        <v>90160</v>
      </c>
      <c r="N27" s="35"/>
      <c r="O27" s="35"/>
      <c r="P27" s="35"/>
    </row>
    <row r="28" spans="1:18" x14ac:dyDescent="0.25">
      <c r="A28" s="7" t="s">
        <v>46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5"/>
      <c r="O28" s="35"/>
      <c r="P28" s="35"/>
    </row>
    <row r="29" spans="1:18" x14ac:dyDescent="0.25">
      <c r="A29" s="7" t="s">
        <v>47</v>
      </c>
      <c r="D29" s="10">
        <f>7.25*$N$29</f>
        <v>29</v>
      </c>
      <c r="E29" s="10">
        <f>7.25*$N$29</f>
        <v>29</v>
      </c>
      <c r="F29" s="10">
        <f>7.25*$N$29</f>
        <v>29</v>
      </c>
      <c r="G29" s="10">
        <f>7.25*$N$29</f>
        <v>29</v>
      </c>
      <c r="H29" s="10">
        <f>7.25*$N$29</f>
        <v>29</v>
      </c>
      <c r="I29" s="10">
        <f t="shared" ref="I29:M29" si="11">7.25*$N$29</f>
        <v>29</v>
      </c>
      <c r="J29" s="10">
        <f t="shared" si="11"/>
        <v>29</v>
      </c>
      <c r="K29" s="10">
        <f t="shared" si="11"/>
        <v>29</v>
      </c>
      <c r="L29" s="10">
        <f>7.25*$N$29</f>
        <v>29</v>
      </c>
      <c r="M29" s="10">
        <f t="shared" si="11"/>
        <v>29</v>
      </c>
      <c r="N29" s="35">
        <v>4</v>
      </c>
      <c r="O29" s="35"/>
      <c r="P29" s="35"/>
    </row>
    <row r="30" spans="1:18" x14ac:dyDescent="0.25">
      <c r="A30" s="7" t="s">
        <v>48</v>
      </c>
      <c r="D30" s="10">
        <f>10*$N$30</f>
        <v>10</v>
      </c>
      <c r="E30" s="10">
        <f>10*$N$30</f>
        <v>10</v>
      </c>
      <c r="F30" s="10">
        <f>10*$N$30</f>
        <v>10</v>
      </c>
      <c r="G30" s="10">
        <f>10*$N$30</f>
        <v>10</v>
      </c>
      <c r="H30" s="10">
        <f>10*$N$30</f>
        <v>10</v>
      </c>
      <c r="I30" s="10">
        <f t="shared" ref="I30:M30" si="12">10*$N$30</f>
        <v>10</v>
      </c>
      <c r="J30" s="10">
        <f t="shared" si="12"/>
        <v>10</v>
      </c>
      <c r="K30" s="10">
        <f t="shared" si="12"/>
        <v>10</v>
      </c>
      <c r="L30" s="10">
        <f t="shared" si="12"/>
        <v>10</v>
      </c>
      <c r="M30" s="10">
        <f t="shared" si="12"/>
        <v>10</v>
      </c>
      <c r="N30" s="35">
        <v>1</v>
      </c>
      <c r="O30" s="35"/>
      <c r="P30" s="35"/>
    </row>
    <row r="31" spans="1:18" x14ac:dyDescent="0.25">
      <c r="A31" s="7" t="s">
        <v>51</v>
      </c>
      <c r="D31" s="39">
        <v>1750000</v>
      </c>
      <c r="E31" s="39">
        <v>1750000</v>
      </c>
      <c r="F31" s="39">
        <v>1750000</v>
      </c>
      <c r="G31" s="39">
        <v>1750000</v>
      </c>
      <c r="H31" s="39">
        <v>1750000</v>
      </c>
      <c r="I31" s="39">
        <v>1750000</v>
      </c>
      <c r="J31" s="39">
        <v>1750000</v>
      </c>
      <c r="K31" s="39">
        <v>1750000</v>
      </c>
      <c r="L31" s="39">
        <v>1750000</v>
      </c>
      <c r="M31" s="39">
        <v>1750000</v>
      </c>
      <c r="N31" s="35"/>
      <c r="O31" s="35"/>
      <c r="P31" s="35"/>
    </row>
    <row r="32" spans="1:18" x14ac:dyDescent="0.25">
      <c r="A32" s="7" t="s">
        <v>72</v>
      </c>
      <c r="D32" s="17">
        <v>90000</v>
      </c>
      <c r="E32" s="17">
        <v>90000</v>
      </c>
      <c r="F32" s="17">
        <v>90000</v>
      </c>
      <c r="G32" s="17">
        <v>90000</v>
      </c>
      <c r="H32" s="17">
        <v>90000</v>
      </c>
      <c r="I32" s="17">
        <v>90000</v>
      </c>
      <c r="J32" s="17">
        <v>90000</v>
      </c>
      <c r="K32" s="17">
        <v>90000</v>
      </c>
      <c r="L32" s="17">
        <v>90000</v>
      </c>
      <c r="M32" s="17">
        <v>90000</v>
      </c>
      <c r="N32" s="35"/>
      <c r="O32" s="35"/>
      <c r="P32" s="35"/>
    </row>
    <row r="33" spans="1:17" x14ac:dyDescent="0.25">
      <c r="A33" s="7" t="s">
        <v>95</v>
      </c>
      <c r="D33" s="2">
        <f>0.5*7*(D13*0.25)</f>
        <v>39.375</v>
      </c>
      <c r="E33" s="2">
        <f>D33*(1+$N$33)</f>
        <v>44.1</v>
      </c>
      <c r="F33" s="2">
        <f t="shared" ref="F33:L33" si="13">E33*(1+$N$33)</f>
        <v>49.392000000000003</v>
      </c>
      <c r="G33" s="2">
        <f t="shared" si="13"/>
        <v>55.319040000000008</v>
      </c>
      <c r="H33" s="2">
        <f t="shared" si="13"/>
        <v>61.957324800000016</v>
      </c>
      <c r="I33" s="2">
        <f t="shared" si="13"/>
        <v>69.392203776000031</v>
      </c>
      <c r="J33" s="2">
        <f t="shared" si="13"/>
        <v>77.719268229120047</v>
      </c>
      <c r="K33" s="2">
        <f t="shared" si="13"/>
        <v>87.045580416614456</v>
      </c>
      <c r="L33" s="2">
        <f t="shared" si="13"/>
        <v>97.491050066608196</v>
      </c>
      <c r="M33" s="2">
        <f>L33*(1+$N$33)</f>
        <v>109.18997607460119</v>
      </c>
      <c r="N33" s="49">
        <v>0.12</v>
      </c>
      <c r="O33" s="35"/>
      <c r="P33" s="35"/>
    </row>
    <row r="34" spans="1:17" x14ac:dyDescent="0.25">
      <c r="A34" s="7" t="s">
        <v>98</v>
      </c>
      <c r="D34" s="39">
        <f>6000*12</f>
        <v>72000</v>
      </c>
      <c r="E34" s="39">
        <f>D34*(1+$N$34)</f>
        <v>72720</v>
      </c>
      <c r="F34" s="39">
        <f t="shared" ref="F34:M34" si="14">E34*(1+$N$34)</f>
        <v>73447.199999999997</v>
      </c>
      <c r="G34" s="39">
        <f t="shared" si="14"/>
        <v>74181.671999999991</v>
      </c>
      <c r="H34" s="39">
        <f t="shared" si="14"/>
        <v>74923.488719999994</v>
      </c>
      <c r="I34" s="39">
        <f>H34*(1+$N$34)</f>
        <v>75672.723607199994</v>
      </c>
      <c r="J34" s="39">
        <f t="shared" si="14"/>
        <v>76429.450843271989</v>
      </c>
      <c r="K34" s="39">
        <f t="shared" si="14"/>
        <v>77193.745351704711</v>
      </c>
      <c r="L34" s="39">
        <f>K34*(1+$N$34)</f>
        <v>77965.682805221761</v>
      </c>
      <c r="M34" s="39">
        <f t="shared" si="14"/>
        <v>78745.339633273979</v>
      </c>
      <c r="N34" s="35">
        <v>0.01</v>
      </c>
      <c r="O34" s="35" t="s">
        <v>97</v>
      </c>
      <c r="P34" s="35"/>
    </row>
    <row r="35" spans="1:17" x14ac:dyDescent="0.25">
      <c r="A35" s="7" t="s">
        <v>127</v>
      </c>
      <c r="D35" s="17">
        <v>600</v>
      </c>
      <c r="E35" s="17">
        <v>600</v>
      </c>
      <c r="F35" s="17">
        <v>600</v>
      </c>
      <c r="G35" s="17">
        <v>600</v>
      </c>
      <c r="H35" s="17">
        <v>600</v>
      </c>
      <c r="I35" s="17">
        <v>601</v>
      </c>
      <c r="J35" s="17">
        <v>602</v>
      </c>
      <c r="K35" s="17">
        <v>603</v>
      </c>
      <c r="L35" s="17">
        <v>604</v>
      </c>
      <c r="M35" s="17">
        <v>605</v>
      </c>
      <c r="N35" s="35"/>
      <c r="O35" s="35"/>
      <c r="P35" s="35"/>
    </row>
    <row r="36" spans="1:17" x14ac:dyDescent="0.25">
      <c r="A36" s="7"/>
      <c r="D36" s="17"/>
      <c r="E36" s="17"/>
      <c r="F36" s="17"/>
      <c r="G36" s="17"/>
      <c r="H36" s="17"/>
      <c r="N36" s="35"/>
      <c r="O36" s="35"/>
      <c r="P36" s="35"/>
    </row>
    <row r="37" spans="1:17" x14ac:dyDescent="0.25">
      <c r="A37" s="26" t="s">
        <v>43</v>
      </c>
      <c r="D37" s="17"/>
      <c r="E37" s="17"/>
      <c r="F37" s="17"/>
      <c r="G37" s="17"/>
      <c r="H37" s="17"/>
      <c r="N37" s="34"/>
      <c r="O37" s="34"/>
      <c r="P37" s="34"/>
      <c r="Q37" s="34"/>
    </row>
    <row r="38" spans="1:17" x14ac:dyDescent="0.25">
      <c r="A38" s="26" t="s">
        <v>119</v>
      </c>
      <c r="D38" s="17"/>
      <c r="E38" s="17"/>
      <c r="F38" s="17"/>
      <c r="G38" s="17"/>
      <c r="H38" s="17"/>
      <c r="N38" s="34"/>
      <c r="O38" s="34"/>
      <c r="P38" s="34"/>
      <c r="Q38" s="34"/>
    </row>
    <row r="39" spans="1:17" x14ac:dyDescent="0.25">
      <c r="B39" s="7" t="s">
        <v>101</v>
      </c>
      <c r="D39" s="17">
        <f>D13*0.9</f>
        <v>40.5</v>
      </c>
      <c r="E39" s="17">
        <f t="shared" ref="E39:M39" si="15">E13*0.9</f>
        <v>40.5</v>
      </c>
      <c r="F39" s="37">
        <f t="shared" si="15"/>
        <v>40.5</v>
      </c>
      <c r="G39" s="37">
        <f t="shared" si="15"/>
        <v>40.5</v>
      </c>
      <c r="H39" s="37">
        <f t="shared" si="15"/>
        <v>40.5</v>
      </c>
      <c r="I39" s="37">
        <f t="shared" si="15"/>
        <v>40.5</v>
      </c>
      <c r="J39" s="37">
        <f t="shared" si="15"/>
        <v>41.4</v>
      </c>
      <c r="K39" s="37">
        <f t="shared" si="15"/>
        <v>41.4</v>
      </c>
      <c r="L39" s="37">
        <f t="shared" si="15"/>
        <v>41.4</v>
      </c>
      <c r="M39" s="37">
        <f t="shared" si="15"/>
        <v>41.4</v>
      </c>
      <c r="N39" s="34"/>
      <c r="O39" s="34"/>
      <c r="P39" s="34"/>
      <c r="Q39" s="34"/>
    </row>
    <row r="40" spans="1:17" x14ac:dyDescent="0.25">
      <c r="B40" s="31" t="s">
        <v>123</v>
      </c>
      <c r="D40" s="17">
        <f>50</f>
        <v>50</v>
      </c>
      <c r="E40" s="17">
        <f>50</f>
        <v>50</v>
      </c>
      <c r="F40" s="17">
        <f>50</f>
        <v>50</v>
      </c>
      <c r="G40" s="17">
        <f>50</f>
        <v>50</v>
      </c>
      <c r="H40" s="17">
        <f>50</f>
        <v>50</v>
      </c>
      <c r="I40" s="17">
        <f>50</f>
        <v>50</v>
      </c>
      <c r="J40" s="17">
        <f>50</f>
        <v>50</v>
      </c>
      <c r="K40" s="17">
        <f>50</f>
        <v>50</v>
      </c>
      <c r="L40" s="17">
        <f>50</f>
        <v>50</v>
      </c>
      <c r="M40" s="17">
        <f>50</f>
        <v>50</v>
      </c>
      <c r="N40" s="34"/>
      <c r="O40" s="34"/>
      <c r="P40" s="34"/>
      <c r="Q40" s="34"/>
    </row>
    <row r="41" spans="1:17" x14ac:dyDescent="0.25">
      <c r="A41" s="40" t="s">
        <v>128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4"/>
      <c r="O41" s="34"/>
      <c r="P41" s="34"/>
      <c r="Q41" s="34"/>
    </row>
    <row r="42" spans="1:17" x14ac:dyDescent="0.25">
      <c r="B42" s="7" t="s">
        <v>102</v>
      </c>
      <c r="D42" s="17">
        <f>D35/10</f>
        <v>60</v>
      </c>
      <c r="E42" s="17">
        <f>E35/10</f>
        <v>60</v>
      </c>
      <c r="F42" s="17">
        <f>F35/10</f>
        <v>60</v>
      </c>
      <c r="G42" s="17">
        <f>G35/10</f>
        <v>60</v>
      </c>
      <c r="H42" s="17">
        <f>H35/10</f>
        <v>60</v>
      </c>
      <c r="I42" s="17">
        <f t="shared" ref="I42:M42" si="16">I35/10</f>
        <v>60.1</v>
      </c>
      <c r="J42" s="17">
        <f t="shared" si="16"/>
        <v>60.2</v>
      </c>
      <c r="K42" s="17">
        <f t="shared" si="16"/>
        <v>60.3</v>
      </c>
      <c r="L42" s="17">
        <f t="shared" si="16"/>
        <v>60.4</v>
      </c>
      <c r="M42" s="17">
        <f t="shared" si="16"/>
        <v>60.5</v>
      </c>
      <c r="N42" s="34"/>
      <c r="O42" s="34"/>
      <c r="P42" s="34"/>
      <c r="Q42" s="34"/>
    </row>
    <row r="43" spans="1:17" x14ac:dyDescent="0.25">
      <c r="B43" s="7" t="s">
        <v>103</v>
      </c>
      <c r="D43" s="17">
        <f>D35</f>
        <v>600</v>
      </c>
      <c r="E43" s="17">
        <f>E35</f>
        <v>600</v>
      </c>
      <c r="F43" s="17">
        <f>F35</f>
        <v>600</v>
      </c>
      <c r="G43" s="17">
        <f>G35</f>
        <v>600</v>
      </c>
      <c r="H43" s="17">
        <f>H35</f>
        <v>600</v>
      </c>
      <c r="I43" s="17">
        <f t="shared" ref="I43:M43" si="17">I35</f>
        <v>601</v>
      </c>
      <c r="J43" s="17">
        <f t="shared" si="17"/>
        <v>602</v>
      </c>
      <c r="K43" s="17">
        <f t="shared" si="17"/>
        <v>603</v>
      </c>
      <c r="L43" s="17">
        <f t="shared" si="17"/>
        <v>604</v>
      </c>
      <c r="M43" s="17">
        <f t="shared" si="17"/>
        <v>605</v>
      </c>
      <c r="N43" s="34"/>
      <c r="O43" s="34"/>
      <c r="P43" s="34"/>
      <c r="Q43" s="34"/>
    </row>
    <row r="44" spans="1:17" x14ac:dyDescent="0.25">
      <c r="A44" s="26" t="s">
        <v>117</v>
      </c>
      <c r="B44" s="40"/>
      <c r="N44" s="34"/>
      <c r="O44" s="34"/>
      <c r="P44" s="34"/>
      <c r="Q44" s="34"/>
    </row>
    <row r="45" spans="1:17" x14ac:dyDescent="0.25">
      <c r="B45" s="31" t="s">
        <v>120</v>
      </c>
      <c r="D45" s="31">
        <f>600</f>
        <v>600</v>
      </c>
      <c r="E45" s="31">
        <f>600</f>
        <v>600</v>
      </c>
      <c r="F45" s="31">
        <f>600</f>
        <v>600</v>
      </c>
      <c r="G45" s="31">
        <f>600</f>
        <v>600</v>
      </c>
      <c r="H45" s="31">
        <f>600</f>
        <v>600</v>
      </c>
      <c r="I45" s="31">
        <f>600</f>
        <v>600</v>
      </c>
      <c r="J45" s="31">
        <f>600</f>
        <v>600</v>
      </c>
      <c r="K45" s="31">
        <f>600</f>
        <v>600</v>
      </c>
      <c r="L45" s="31">
        <f>600</f>
        <v>600</v>
      </c>
      <c r="M45" s="31">
        <f>600</f>
        <v>600</v>
      </c>
      <c r="N45" s="34"/>
      <c r="O45" s="34"/>
      <c r="P45" s="34"/>
      <c r="Q45" s="34"/>
    </row>
    <row r="46" spans="1:17" x14ac:dyDescent="0.25">
      <c r="B46" s="31" t="s">
        <v>121</v>
      </c>
      <c r="D46" s="31">
        <v>200</v>
      </c>
      <c r="E46" s="31">
        <v>200</v>
      </c>
      <c r="F46" s="31">
        <v>200</v>
      </c>
      <c r="G46" s="31">
        <v>200</v>
      </c>
      <c r="H46" s="31">
        <v>200</v>
      </c>
      <c r="I46" s="31">
        <v>200</v>
      </c>
      <c r="J46" s="31">
        <v>200</v>
      </c>
      <c r="K46" s="31">
        <v>200</v>
      </c>
      <c r="L46" s="31">
        <v>200</v>
      </c>
      <c r="M46" s="31">
        <v>200</v>
      </c>
      <c r="N46" s="34"/>
      <c r="O46" s="34"/>
      <c r="P46" s="34"/>
      <c r="Q46" s="34"/>
    </row>
    <row r="47" spans="1:17" x14ac:dyDescent="0.25">
      <c r="A47" s="7"/>
      <c r="B47" s="31" t="s">
        <v>122</v>
      </c>
      <c r="D47" s="17">
        <v>250</v>
      </c>
      <c r="E47" s="17">
        <v>250</v>
      </c>
      <c r="F47" s="17">
        <v>250</v>
      </c>
      <c r="G47" s="17">
        <v>250</v>
      </c>
      <c r="H47" s="17">
        <v>250</v>
      </c>
      <c r="I47" s="17">
        <v>250</v>
      </c>
      <c r="J47" s="17">
        <v>250</v>
      </c>
      <c r="K47" s="17">
        <v>250</v>
      </c>
      <c r="L47" s="17">
        <v>250</v>
      </c>
      <c r="M47" s="17">
        <v>250</v>
      </c>
      <c r="N47" s="34"/>
      <c r="O47" s="34"/>
      <c r="P47" s="34"/>
      <c r="Q47" s="34"/>
    </row>
    <row r="48" spans="1:17" x14ac:dyDescent="0.25">
      <c r="A48" s="7"/>
      <c r="B48" s="31" t="s">
        <v>123</v>
      </c>
      <c r="D48" s="17">
        <v>100</v>
      </c>
      <c r="E48" s="17">
        <v>100</v>
      </c>
      <c r="F48" s="17">
        <v>100</v>
      </c>
      <c r="G48" s="17">
        <v>100</v>
      </c>
      <c r="H48" s="17">
        <v>100</v>
      </c>
      <c r="I48" s="17">
        <v>100</v>
      </c>
      <c r="J48" s="17">
        <v>100</v>
      </c>
      <c r="K48" s="17">
        <v>100</v>
      </c>
      <c r="L48" s="17">
        <v>100</v>
      </c>
      <c r="M48" s="17">
        <v>100</v>
      </c>
      <c r="N48" s="34"/>
      <c r="O48" s="34"/>
      <c r="P48" s="34"/>
      <c r="Q48" s="34"/>
    </row>
    <row r="49" spans="1:17" x14ac:dyDescent="0.25">
      <c r="A49" s="26" t="s">
        <v>118</v>
      </c>
      <c r="B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4"/>
      <c r="O49" s="34"/>
      <c r="P49" s="34"/>
      <c r="Q49" s="34"/>
    </row>
    <row r="50" spans="1:17" x14ac:dyDescent="0.25">
      <c r="A50" s="7"/>
      <c r="B50" s="31" t="s">
        <v>124</v>
      </c>
      <c r="D50" s="17">
        <v>150</v>
      </c>
      <c r="E50" s="17">
        <v>150</v>
      </c>
      <c r="F50" s="17">
        <v>150</v>
      </c>
      <c r="G50" s="17">
        <v>150</v>
      </c>
      <c r="H50" s="17">
        <v>150</v>
      </c>
      <c r="I50" s="17">
        <v>150</v>
      </c>
      <c r="J50" s="17">
        <v>150</v>
      </c>
      <c r="K50" s="17">
        <v>150</v>
      </c>
      <c r="L50" s="17">
        <v>150</v>
      </c>
      <c r="M50" s="17">
        <v>150</v>
      </c>
      <c r="N50" s="34"/>
      <c r="O50" s="34"/>
      <c r="P50" s="34"/>
      <c r="Q50" s="34"/>
    </row>
    <row r="51" spans="1:17" x14ac:dyDescent="0.25">
      <c r="A51" s="7"/>
      <c r="B51" s="31" t="s">
        <v>126</v>
      </c>
      <c r="D51" s="17">
        <v>2000</v>
      </c>
      <c r="E51" s="17">
        <v>2000</v>
      </c>
      <c r="F51" s="17">
        <v>2000</v>
      </c>
      <c r="G51" s="17">
        <v>2000</v>
      </c>
      <c r="H51" s="17">
        <v>2000</v>
      </c>
      <c r="I51" s="17">
        <v>2000</v>
      </c>
      <c r="J51" s="17">
        <v>2000</v>
      </c>
      <c r="K51" s="17">
        <v>2000</v>
      </c>
      <c r="L51" s="17">
        <v>2000</v>
      </c>
      <c r="M51" s="17">
        <v>2000</v>
      </c>
      <c r="N51" s="34"/>
      <c r="O51" s="34"/>
      <c r="P51" s="34"/>
      <c r="Q51" s="34"/>
    </row>
    <row r="52" spans="1:17" x14ac:dyDescent="0.25">
      <c r="A52" s="7"/>
      <c r="B52" s="31" t="s">
        <v>125</v>
      </c>
      <c r="D52" s="17">
        <v>6000</v>
      </c>
      <c r="E52" s="17">
        <v>6000</v>
      </c>
      <c r="F52" s="17">
        <v>6000</v>
      </c>
      <c r="G52" s="17">
        <v>6000</v>
      </c>
      <c r="H52" s="17">
        <v>6000</v>
      </c>
      <c r="I52" s="17">
        <v>6000</v>
      </c>
      <c r="J52" s="17">
        <v>6000</v>
      </c>
      <c r="K52" s="17">
        <v>6000</v>
      </c>
      <c r="L52" s="17">
        <v>6000</v>
      </c>
      <c r="M52" s="17">
        <v>6000</v>
      </c>
      <c r="N52" s="34"/>
      <c r="O52" s="34"/>
      <c r="P52" s="34"/>
      <c r="Q52" s="34"/>
    </row>
    <row r="53" spans="1:17" x14ac:dyDescent="0.25">
      <c r="B53" s="31" t="s">
        <v>123</v>
      </c>
      <c r="D53" s="17">
        <v>500</v>
      </c>
      <c r="E53" s="17">
        <v>500</v>
      </c>
      <c r="F53" s="17">
        <v>500</v>
      </c>
      <c r="G53" s="17">
        <v>500</v>
      </c>
      <c r="H53" s="17">
        <v>500</v>
      </c>
      <c r="I53" s="17">
        <v>500</v>
      </c>
      <c r="J53" s="17">
        <v>500</v>
      </c>
      <c r="K53" s="17">
        <v>500</v>
      </c>
      <c r="L53" s="17">
        <v>500</v>
      </c>
      <c r="M53" s="17">
        <v>500</v>
      </c>
      <c r="N53" s="34"/>
      <c r="O53" s="34"/>
      <c r="P53" s="34"/>
      <c r="Q53" s="34"/>
    </row>
    <row r="54" spans="1:17" x14ac:dyDescent="0.25">
      <c r="A54" s="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4"/>
      <c r="O54" s="34"/>
      <c r="P54" s="34"/>
      <c r="Q54" s="34"/>
    </row>
    <row r="55" spans="1:17" ht="15.75" x14ac:dyDescent="0.25">
      <c r="A55" s="24" t="s">
        <v>133</v>
      </c>
      <c r="D55" s="36">
        <f>SUM(D39:D53)/7</f>
        <v>1507.2142857142858</v>
      </c>
      <c r="E55" s="36">
        <f t="shared" ref="E55:H55" si="18">SUM(E39:E53)/7</f>
        <v>1507.2142857142858</v>
      </c>
      <c r="F55" s="36">
        <f t="shared" si="18"/>
        <v>1507.2142857142858</v>
      </c>
      <c r="G55" s="36">
        <f t="shared" si="18"/>
        <v>1507.2142857142858</v>
      </c>
      <c r="H55" s="36">
        <f t="shared" si="18"/>
        <v>1507.2142857142858</v>
      </c>
      <c r="I55" s="36">
        <f t="shared" ref="I55:M55" si="19">SUM(I39:I53)/7</f>
        <v>1507.3714285714286</v>
      </c>
      <c r="J55" s="36">
        <f t="shared" si="19"/>
        <v>1507.6571428571428</v>
      </c>
      <c r="K55" s="36">
        <f t="shared" si="19"/>
        <v>1507.8142857142859</v>
      </c>
      <c r="L55" s="36">
        <f t="shared" si="19"/>
        <v>1507.9714285714285</v>
      </c>
      <c r="M55" s="36">
        <f t="shared" si="19"/>
        <v>1508.1285714285714</v>
      </c>
      <c r="N55" s="34"/>
      <c r="O55" s="34"/>
      <c r="P55" s="34"/>
      <c r="Q55" s="34"/>
    </row>
    <row r="56" spans="1:17" x14ac:dyDescent="0.25">
      <c r="A56" s="7"/>
      <c r="D56" s="17"/>
      <c r="E56" s="17"/>
      <c r="F56" s="17"/>
      <c r="G56" s="17"/>
      <c r="H56" s="17"/>
      <c r="N56" s="34"/>
      <c r="O56" s="34"/>
      <c r="P56" s="34"/>
      <c r="Q56" s="34"/>
    </row>
    <row r="57" spans="1:17" x14ac:dyDescent="0.25">
      <c r="A57" s="7"/>
      <c r="D57" s="17"/>
      <c r="E57" s="17"/>
      <c r="F57" s="17"/>
      <c r="G57" s="17"/>
      <c r="H57" s="17"/>
      <c r="N57" s="34"/>
      <c r="O57" s="34"/>
      <c r="P57" s="34"/>
      <c r="Q57" s="34"/>
    </row>
    <row r="58" spans="1:17" x14ac:dyDescent="0.25">
      <c r="A58" s="7"/>
      <c r="D58" s="17"/>
      <c r="E58" s="17"/>
      <c r="F58" s="17"/>
      <c r="G58" s="17"/>
      <c r="H58" s="17"/>
      <c r="N58" s="34"/>
      <c r="O58" s="34"/>
      <c r="P58" s="34"/>
      <c r="Q58" s="34"/>
    </row>
    <row r="59" spans="1:17" x14ac:dyDescent="0.25">
      <c r="N59" s="34"/>
      <c r="O59" s="34"/>
      <c r="P59" s="34"/>
      <c r="Q59" s="34"/>
    </row>
    <row r="60" spans="1:17" ht="18.75" x14ac:dyDescent="0.3">
      <c r="A60" s="5" t="s">
        <v>16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4"/>
      <c r="O60" s="34"/>
      <c r="P60" s="34"/>
      <c r="Q60" s="34"/>
    </row>
    <row r="61" spans="1:17" x14ac:dyDescent="0.25">
      <c r="A61" s="31" t="s">
        <v>23</v>
      </c>
      <c r="D61" s="10">
        <f t="shared" ref="D61:M61" si="20">D6*D13</f>
        <v>450</v>
      </c>
      <c r="E61" s="10">
        <f t="shared" si="20"/>
        <v>458.99999999999994</v>
      </c>
      <c r="F61" s="10">
        <f t="shared" si="20"/>
        <v>468.18</v>
      </c>
      <c r="G61" s="10">
        <f t="shared" si="20"/>
        <v>477.54360000000003</v>
      </c>
      <c r="H61" s="10">
        <f t="shared" si="20"/>
        <v>487.09447200000005</v>
      </c>
      <c r="I61" s="10">
        <f t="shared" si="20"/>
        <v>496.83636144000002</v>
      </c>
      <c r="J61" s="10">
        <f t="shared" si="20"/>
        <v>518.03471286144008</v>
      </c>
      <c r="K61" s="10">
        <f t="shared" si="20"/>
        <v>528.3954071186688</v>
      </c>
      <c r="L61" s="10">
        <f t="shared" si="20"/>
        <v>538.96331526104223</v>
      </c>
      <c r="M61" s="10">
        <f t="shared" si="20"/>
        <v>549.74258156626308</v>
      </c>
      <c r="N61" s="34"/>
      <c r="O61" s="34"/>
      <c r="P61" s="34"/>
      <c r="Q61" s="34"/>
    </row>
    <row r="62" spans="1:17" x14ac:dyDescent="0.25">
      <c r="A62" s="31" t="s">
        <v>22</v>
      </c>
      <c r="D62" s="10">
        <f>(D5*D12)</f>
        <v>110250</v>
      </c>
      <c r="E62" s="10">
        <f>(E5*E12)</f>
        <v>112455.00000000001</v>
      </c>
      <c r="F62" s="10">
        <f>(F5*F12)</f>
        <v>114704.1</v>
      </c>
      <c r="G62" s="10">
        <f>(G5*G12)</f>
        <v>116998.18200000002</v>
      </c>
      <c r="H62" s="10">
        <f>(H5*H12)</f>
        <v>119338.14564000002</v>
      </c>
      <c r="I62" s="10">
        <f t="shared" ref="I62:M62" si="21">(I5*I12)</f>
        <v>121724.90855280003</v>
      </c>
      <c r="J62" s="10">
        <f t="shared" si="21"/>
        <v>126918.50465105283</v>
      </c>
      <c r="K62" s="10">
        <f t="shared" si="21"/>
        <v>129456.87474407388</v>
      </c>
      <c r="L62" s="10">
        <f t="shared" si="21"/>
        <v>132046.01223895536</v>
      </c>
      <c r="M62" s="10">
        <f t="shared" si="21"/>
        <v>134686.93248373448</v>
      </c>
      <c r="N62" s="34"/>
      <c r="O62" s="34"/>
      <c r="P62" s="34"/>
      <c r="Q62" s="34"/>
    </row>
    <row r="63" spans="1:17" x14ac:dyDescent="0.25">
      <c r="A63" s="31" t="s">
        <v>17</v>
      </c>
      <c r="D63" s="10">
        <f>(D7*D14)</f>
        <v>23625</v>
      </c>
      <c r="E63" s="10">
        <f>(E7*E14)</f>
        <v>25987.500000000004</v>
      </c>
      <c r="F63" s="10">
        <f>(F7*F14)</f>
        <v>28586.250000000004</v>
      </c>
      <c r="G63" s="10">
        <f>(G7*G14)</f>
        <v>31444.875000000011</v>
      </c>
      <c r="H63" s="10">
        <f>(H7*H14)</f>
        <v>34589.362500000017</v>
      </c>
      <c r="I63" s="10">
        <f t="shared" ref="I63:M63" si="22">(I7*I14)</f>
        <v>38048.298750000016</v>
      </c>
      <c r="J63" s="10">
        <f t="shared" si="22"/>
        <v>42783.198150000026</v>
      </c>
      <c r="K63" s="10">
        <f t="shared" si="22"/>
        <v>47061.517965000035</v>
      </c>
      <c r="L63" s="10">
        <f t="shared" si="22"/>
        <v>51767.669761500038</v>
      </c>
      <c r="M63" s="10">
        <f t="shared" si="22"/>
        <v>56944.436737650045</v>
      </c>
      <c r="N63" s="34"/>
      <c r="O63" s="34"/>
      <c r="P63" s="34"/>
      <c r="Q63" s="34"/>
    </row>
    <row r="64" spans="1:17" x14ac:dyDescent="0.25">
      <c r="A64" s="31" t="s">
        <v>18</v>
      </c>
      <c r="D64" s="10">
        <f>D9*D16</f>
        <v>18900</v>
      </c>
      <c r="E64" s="10">
        <f>E9*E16</f>
        <v>19278</v>
      </c>
      <c r="F64" s="10">
        <f>F9*F16</f>
        <v>19663.560000000001</v>
      </c>
      <c r="G64" s="10">
        <f>G9*G16</f>
        <v>20056.831199999997</v>
      </c>
      <c r="H64" s="10">
        <f>H9*H16</f>
        <v>20457.967823999999</v>
      </c>
      <c r="I64" s="10">
        <f t="shared" ref="I64:M64" si="23">I9*I16</f>
        <v>20867.127180480002</v>
      </c>
      <c r="J64" s="10">
        <f t="shared" si="23"/>
        <v>21757.45794018048</v>
      </c>
      <c r="K64" s="10">
        <f t="shared" si="23"/>
        <v>22192.607098984092</v>
      </c>
      <c r="L64" s="10">
        <f t="shared" si="23"/>
        <v>22636.459240963773</v>
      </c>
      <c r="M64" s="10">
        <f t="shared" si="23"/>
        <v>23089.18842578305</v>
      </c>
      <c r="N64" s="34"/>
      <c r="O64" s="34"/>
      <c r="P64" s="34"/>
      <c r="Q64" s="34"/>
    </row>
    <row r="65" spans="1:17" x14ac:dyDescent="0.25">
      <c r="A65" s="31" t="s">
        <v>19</v>
      </c>
      <c r="D65" s="10">
        <f>D8*D15*(D12*0.02)</f>
        <v>34650</v>
      </c>
      <c r="E65" s="10">
        <f>E8*E15*(E12*0.02)</f>
        <v>34650</v>
      </c>
      <c r="F65" s="10">
        <f>F8*F15*(F12*0.02)</f>
        <v>34996.5</v>
      </c>
      <c r="G65" s="10">
        <f>G8*G15*(G12*0.02)</f>
        <v>35346.464999999997</v>
      </c>
      <c r="H65" s="10">
        <f>H8*H15*(H12*0.02)</f>
        <v>35699.929649999998</v>
      </c>
      <c r="I65" s="10">
        <f t="shared" ref="I65:M65" si="24">I8*I15*(I12*0.02)</f>
        <v>36056.928946499997</v>
      </c>
      <c r="J65" s="10">
        <f t="shared" si="24"/>
        <v>37226.775974541997</v>
      </c>
      <c r="K65" s="10">
        <f t="shared" si="24"/>
        <v>37599.043734287421</v>
      </c>
      <c r="L65" s="10">
        <f t="shared" si="24"/>
        <v>37975.034171630294</v>
      </c>
      <c r="M65" s="10">
        <f t="shared" si="24"/>
        <v>38354.784513346596</v>
      </c>
      <c r="N65" s="34"/>
      <c r="O65" s="34"/>
      <c r="P65" s="34"/>
      <c r="Q65" s="34"/>
    </row>
    <row r="66" spans="1:17" x14ac:dyDescent="0.25">
      <c r="A66" s="31" t="s">
        <v>35</v>
      </c>
      <c r="D66" s="10">
        <f t="shared" ref="D66:M68" si="25">+D18*D22</f>
        <v>7800</v>
      </c>
      <c r="E66" s="10">
        <f t="shared" si="25"/>
        <v>7800</v>
      </c>
      <c r="F66" s="10">
        <f t="shared" si="25"/>
        <v>7800</v>
      </c>
      <c r="G66" s="10">
        <f t="shared" si="25"/>
        <v>9450</v>
      </c>
      <c r="H66" s="10">
        <f t="shared" si="25"/>
        <v>9450</v>
      </c>
      <c r="I66" s="10">
        <f t="shared" si="25"/>
        <v>9450</v>
      </c>
      <c r="J66" s="10">
        <f t="shared" si="25"/>
        <v>9450</v>
      </c>
      <c r="K66" s="10">
        <f t="shared" si="25"/>
        <v>9450</v>
      </c>
      <c r="L66" s="10">
        <f t="shared" si="25"/>
        <v>9450</v>
      </c>
      <c r="M66" s="10">
        <f t="shared" si="25"/>
        <v>9450</v>
      </c>
      <c r="N66" s="34"/>
      <c r="O66" s="34"/>
      <c r="P66" s="34"/>
      <c r="Q66" s="34"/>
    </row>
    <row r="67" spans="1:17" x14ac:dyDescent="0.25">
      <c r="A67" s="31" t="s">
        <v>36</v>
      </c>
      <c r="D67" s="10">
        <f t="shared" si="25"/>
        <v>6900</v>
      </c>
      <c r="E67" s="10">
        <f t="shared" si="25"/>
        <v>6900</v>
      </c>
      <c r="F67" s="10">
        <f t="shared" si="25"/>
        <v>6900</v>
      </c>
      <c r="G67" s="10">
        <f t="shared" si="25"/>
        <v>8400</v>
      </c>
      <c r="H67" s="10">
        <f t="shared" si="25"/>
        <v>8400</v>
      </c>
      <c r="I67" s="10">
        <f t="shared" si="25"/>
        <v>8400</v>
      </c>
      <c r="J67" s="10">
        <f t="shared" si="25"/>
        <v>8400</v>
      </c>
      <c r="K67" s="10">
        <f t="shared" si="25"/>
        <v>8400</v>
      </c>
      <c r="L67" s="10">
        <f t="shared" si="25"/>
        <v>8400</v>
      </c>
      <c r="M67" s="10">
        <f t="shared" si="25"/>
        <v>8400</v>
      </c>
      <c r="N67" s="34"/>
      <c r="O67" s="34"/>
      <c r="P67" s="34"/>
      <c r="Q67" s="34"/>
    </row>
    <row r="68" spans="1:17" x14ac:dyDescent="0.25">
      <c r="A68" s="31" t="s">
        <v>37</v>
      </c>
      <c r="D68" s="10">
        <f t="shared" si="25"/>
        <v>6000</v>
      </c>
      <c r="E68" s="10">
        <f t="shared" si="25"/>
        <v>6000</v>
      </c>
      <c r="F68" s="10">
        <f t="shared" si="25"/>
        <v>6000</v>
      </c>
      <c r="G68" s="10">
        <f t="shared" si="25"/>
        <v>7350</v>
      </c>
      <c r="H68" s="10">
        <f t="shared" si="25"/>
        <v>7350</v>
      </c>
      <c r="I68" s="10">
        <f t="shared" si="25"/>
        <v>7350</v>
      </c>
      <c r="J68" s="10">
        <f t="shared" si="25"/>
        <v>7350</v>
      </c>
      <c r="K68" s="10">
        <f t="shared" si="25"/>
        <v>7350</v>
      </c>
      <c r="L68" s="10">
        <f t="shared" si="25"/>
        <v>7350</v>
      </c>
      <c r="M68" s="10">
        <f t="shared" si="25"/>
        <v>7350</v>
      </c>
      <c r="N68" s="34"/>
      <c r="O68" s="34"/>
      <c r="P68" s="34"/>
      <c r="Q68" s="34"/>
    </row>
    <row r="69" spans="1:17" x14ac:dyDescent="0.25">
      <c r="A69" s="31" t="s">
        <v>25</v>
      </c>
      <c r="D69" s="10">
        <f t="shared" ref="D69:M70" si="26">D10*D25</f>
        <v>3250</v>
      </c>
      <c r="E69" s="10">
        <f t="shared" si="26"/>
        <v>3250</v>
      </c>
      <c r="F69" s="10">
        <f t="shared" si="26"/>
        <v>3250</v>
      </c>
      <c r="G69" s="10">
        <f t="shared" si="26"/>
        <v>3500</v>
      </c>
      <c r="H69" s="10">
        <f t="shared" si="26"/>
        <v>3500</v>
      </c>
      <c r="I69" s="10">
        <f t="shared" si="26"/>
        <v>3500</v>
      </c>
      <c r="J69" s="10">
        <f t="shared" si="26"/>
        <v>3500</v>
      </c>
      <c r="K69" s="10">
        <f t="shared" si="26"/>
        <v>3500</v>
      </c>
      <c r="L69" s="10">
        <f t="shared" si="26"/>
        <v>3500</v>
      </c>
      <c r="M69" s="10">
        <f t="shared" si="26"/>
        <v>3500</v>
      </c>
      <c r="N69" s="34"/>
      <c r="O69" s="34"/>
      <c r="P69" s="34"/>
      <c r="Q69" s="34"/>
    </row>
    <row r="70" spans="1:17" x14ac:dyDescent="0.25">
      <c r="A70" s="31" t="s">
        <v>24</v>
      </c>
      <c r="D70" s="10">
        <f t="shared" si="26"/>
        <v>3200</v>
      </c>
      <c r="E70" s="10">
        <f t="shared" si="26"/>
        <v>3200</v>
      </c>
      <c r="F70" s="10">
        <f t="shared" si="26"/>
        <v>3200</v>
      </c>
      <c r="G70" s="10">
        <f t="shared" si="26"/>
        <v>3400</v>
      </c>
      <c r="H70" s="10">
        <f t="shared" si="26"/>
        <v>3400</v>
      </c>
      <c r="I70" s="10">
        <f t="shared" si="26"/>
        <v>3400</v>
      </c>
      <c r="J70" s="10">
        <f t="shared" si="26"/>
        <v>3400</v>
      </c>
      <c r="K70" s="10">
        <f t="shared" si="26"/>
        <v>3400</v>
      </c>
      <c r="L70" s="10">
        <f t="shared" si="26"/>
        <v>3400</v>
      </c>
      <c r="M70" s="10">
        <f t="shared" si="26"/>
        <v>3400</v>
      </c>
      <c r="N70" s="34"/>
      <c r="O70" s="34"/>
      <c r="P70" s="34"/>
      <c r="Q70" s="34"/>
    </row>
    <row r="71" spans="1:17" x14ac:dyDescent="0.25">
      <c r="A71" s="31" t="s">
        <v>45</v>
      </c>
      <c r="D71" s="10">
        <f>+D27</f>
        <v>88200</v>
      </c>
      <c r="E71" s="10">
        <f>+E27</f>
        <v>88200</v>
      </c>
      <c r="F71" s="10">
        <f>+F27</f>
        <v>88200</v>
      </c>
      <c r="G71" s="10">
        <f>+G27</f>
        <v>88200</v>
      </c>
      <c r="H71" s="10">
        <f>+H27</f>
        <v>88200</v>
      </c>
      <c r="I71" s="10">
        <f t="shared" ref="I71:M71" si="27">+I27</f>
        <v>88200</v>
      </c>
      <c r="J71" s="10">
        <f t="shared" si="27"/>
        <v>90160</v>
      </c>
      <c r="K71" s="10">
        <f t="shared" si="27"/>
        <v>90160</v>
      </c>
      <c r="L71" s="10">
        <f t="shared" si="27"/>
        <v>90160</v>
      </c>
      <c r="M71" s="10">
        <f t="shared" si="27"/>
        <v>90160</v>
      </c>
      <c r="N71" s="34"/>
      <c r="O71" s="34"/>
      <c r="P71" s="34"/>
      <c r="Q71" s="34"/>
    </row>
    <row r="72" spans="1:17" x14ac:dyDescent="0.25">
      <c r="A72" s="31" t="s">
        <v>96</v>
      </c>
      <c r="D72" s="10">
        <f>D33*365</f>
        <v>14371.875</v>
      </c>
      <c r="E72" s="10">
        <f>E33*365</f>
        <v>16096.5</v>
      </c>
      <c r="F72" s="10">
        <f>F33*365</f>
        <v>18028.080000000002</v>
      </c>
      <c r="G72" s="10">
        <f>G33*365</f>
        <v>20191.449600000004</v>
      </c>
      <c r="H72" s="10">
        <f>H33*365</f>
        <v>22614.423552000007</v>
      </c>
      <c r="I72" s="10">
        <f t="shared" ref="I72:M72" si="28">I33*365</f>
        <v>25328.154378240011</v>
      </c>
      <c r="J72" s="10">
        <f t="shared" si="28"/>
        <v>28367.532903628817</v>
      </c>
      <c r="K72" s="10">
        <f t="shared" si="28"/>
        <v>31771.636852064275</v>
      </c>
      <c r="L72" s="10">
        <f t="shared" si="28"/>
        <v>35584.233274311991</v>
      </c>
      <c r="M72" s="10">
        <f t="shared" si="28"/>
        <v>39854.341267229436</v>
      </c>
      <c r="N72" s="34"/>
      <c r="O72" s="34"/>
      <c r="P72" s="34"/>
      <c r="Q72" s="34"/>
    </row>
    <row r="73" spans="1:17" x14ac:dyDescent="0.25">
      <c r="A73" s="31" t="s">
        <v>99</v>
      </c>
      <c r="D73" s="10">
        <f>D34</f>
        <v>72000</v>
      </c>
      <c r="E73" s="10">
        <f>E34</f>
        <v>72720</v>
      </c>
      <c r="F73" s="10">
        <f>F34</f>
        <v>73447.199999999997</v>
      </c>
      <c r="G73" s="10">
        <f>G34</f>
        <v>74181.671999999991</v>
      </c>
      <c r="H73" s="10">
        <f>H34</f>
        <v>74923.488719999994</v>
      </c>
      <c r="I73" s="10">
        <f t="shared" ref="I73:M73" si="29">I34</f>
        <v>75672.723607199994</v>
      </c>
      <c r="J73" s="10">
        <f t="shared" si="29"/>
        <v>76429.450843271989</v>
      </c>
      <c r="K73" s="10">
        <f t="shared" si="29"/>
        <v>77193.745351704711</v>
      </c>
      <c r="L73" s="10">
        <f t="shared" si="29"/>
        <v>77965.682805221761</v>
      </c>
      <c r="M73" s="10">
        <f t="shared" si="29"/>
        <v>78745.339633273979</v>
      </c>
      <c r="N73" s="34"/>
      <c r="O73" s="34"/>
      <c r="P73" s="34"/>
      <c r="Q73" s="34"/>
    </row>
    <row r="74" spans="1:17" x14ac:dyDescent="0.25">
      <c r="N74" s="34"/>
      <c r="O74" s="34"/>
      <c r="P74" s="34"/>
      <c r="Q74" s="34"/>
    </row>
    <row r="75" spans="1:17" x14ac:dyDescent="0.25">
      <c r="A75" s="31" t="s">
        <v>145</v>
      </c>
      <c r="D75" s="13">
        <f>SUM(D61:D73)</f>
        <v>389596.875</v>
      </c>
      <c r="E75" s="13">
        <f t="shared" ref="E75:M75" si="30">SUM(E61:E73)</f>
        <v>396996</v>
      </c>
      <c r="F75" s="13">
        <f t="shared" si="30"/>
        <v>405243.87</v>
      </c>
      <c r="G75" s="13">
        <f t="shared" si="30"/>
        <v>418997.01839999994</v>
      </c>
      <c r="H75" s="13">
        <f t="shared" si="30"/>
        <v>428410.41235800006</v>
      </c>
      <c r="I75" s="13">
        <f t="shared" si="30"/>
        <v>438494.97777666</v>
      </c>
      <c r="J75" s="13">
        <f t="shared" si="30"/>
        <v>456260.95517553762</v>
      </c>
      <c r="K75" s="13">
        <f t="shared" si="30"/>
        <v>468063.82115323312</v>
      </c>
      <c r="L75" s="13">
        <f t="shared" si="30"/>
        <v>480774.05480784422</v>
      </c>
      <c r="M75" s="13">
        <f t="shared" si="30"/>
        <v>494484.76564258384</v>
      </c>
      <c r="N75" s="34"/>
      <c r="O75" s="34"/>
      <c r="P75" s="34"/>
      <c r="Q75" s="34"/>
    </row>
    <row r="76" spans="1:17" x14ac:dyDescent="0.25">
      <c r="N76" s="34"/>
      <c r="O76" s="34"/>
      <c r="P76" s="34"/>
      <c r="Q76" s="34"/>
    </row>
    <row r="77" spans="1:17" x14ac:dyDescent="0.25">
      <c r="A77" s="31" t="s">
        <v>31</v>
      </c>
      <c r="D77" s="10">
        <f>+D71*0.5</f>
        <v>44100</v>
      </c>
      <c r="E77" s="10">
        <f t="shared" ref="E77:M77" si="31">+E71*0.5</f>
        <v>44100</v>
      </c>
      <c r="F77" s="10">
        <f t="shared" si="31"/>
        <v>44100</v>
      </c>
      <c r="G77" s="10">
        <f t="shared" si="31"/>
        <v>44100</v>
      </c>
      <c r="H77" s="10">
        <f t="shared" si="31"/>
        <v>44100</v>
      </c>
      <c r="I77" s="10">
        <f t="shared" si="31"/>
        <v>44100</v>
      </c>
      <c r="J77" s="10">
        <f t="shared" si="31"/>
        <v>45080</v>
      </c>
      <c r="K77" s="10">
        <f>+K71*0.5</f>
        <v>45080</v>
      </c>
      <c r="L77" s="10">
        <f t="shared" si="31"/>
        <v>45080</v>
      </c>
      <c r="M77" s="10">
        <f t="shared" si="31"/>
        <v>45080</v>
      </c>
      <c r="N77" s="34"/>
      <c r="O77" s="34"/>
      <c r="P77" s="34"/>
      <c r="Q77" s="34"/>
    </row>
    <row r="78" spans="1:17" x14ac:dyDescent="0.25">
      <c r="D78" s="10"/>
      <c r="E78" s="10"/>
      <c r="F78" s="10"/>
      <c r="G78" s="10"/>
      <c r="H78" s="10"/>
      <c r="N78" s="34"/>
      <c r="O78" s="34"/>
      <c r="P78" s="34"/>
      <c r="Q78" s="34"/>
    </row>
    <row r="79" spans="1:17" x14ac:dyDescent="0.25">
      <c r="A79" s="31" t="s">
        <v>146</v>
      </c>
      <c r="D79" s="10">
        <f>D75-D77</f>
        <v>345496.875</v>
      </c>
      <c r="E79" s="10">
        <f t="shared" ref="E79:M79" si="32">E75-E77</f>
        <v>352896</v>
      </c>
      <c r="F79" s="10">
        <f t="shared" si="32"/>
        <v>361143.87</v>
      </c>
      <c r="G79" s="10">
        <f t="shared" si="32"/>
        <v>374897.01839999994</v>
      </c>
      <c r="H79" s="10">
        <f t="shared" si="32"/>
        <v>384310.41235800006</v>
      </c>
      <c r="I79" s="10">
        <f t="shared" si="32"/>
        <v>394394.97777666</v>
      </c>
      <c r="J79" s="10">
        <f t="shared" si="32"/>
        <v>411180.95517553762</v>
      </c>
      <c r="K79" s="10">
        <f t="shared" si="32"/>
        <v>422983.82115323312</v>
      </c>
      <c r="L79" s="10">
        <f t="shared" si="32"/>
        <v>435694.05480784422</v>
      </c>
      <c r="M79" s="10">
        <f t="shared" si="32"/>
        <v>449404.76564258384</v>
      </c>
      <c r="N79" s="34"/>
      <c r="O79" s="34"/>
      <c r="P79" s="34"/>
      <c r="Q79" s="34"/>
    </row>
    <row r="80" spans="1:17" ht="18.75" x14ac:dyDescent="0.3">
      <c r="A80" s="5" t="s">
        <v>26</v>
      </c>
      <c r="B80" s="32"/>
      <c r="C80" s="32"/>
      <c r="N80" s="35"/>
      <c r="O80" s="35"/>
      <c r="P80" s="35"/>
      <c r="Q80" s="34"/>
    </row>
    <row r="81" spans="1:17" x14ac:dyDescent="0.25">
      <c r="A81" s="31" t="s">
        <v>27</v>
      </c>
      <c r="D81" s="10">
        <f>+D31*$N$81</f>
        <v>140000</v>
      </c>
      <c r="E81" s="10">
        <f>+E31*$N$81</f>
        <v>140000</v>
      </c>
      <c r="F81" s="10">
        <f>+F31*$N$81</f>
        <v>140000</v>
      </c>
      <c r="G81" s="10">
        <f>+G31*$N$81</f>
        <v>140000</v>
      </c>
      <c r="H81" s="10">
        <f>+H31*$N$81</f>
        <v>140000</v>
      </c>
      <c r="I81" s="10">
        <f t="shared" ref="I81:M81" si="33">+I31*$N$81</f>
        <v>140000</v>
      </c>
      <c r="J81" s="10">
        <f t="shared" si="33"/>
        <v>140000</v>
      </c>
      <c r="K81" s="10">
        <f t="shared" si="33"/>
        <v>140000</v>
      </c>
      <c r="L81" s="10">
        <f t="shared" si="33"/>
        <v>140000</v>
      </c>
      <c r="M81" s="10">
        <f t="shared" si="33"/>
        <v>140000</v>
      </c>
      <c r="N81" s="35">
        <v>0.08</v>
      </c>
      <c r="O81" s="35" t="s">
        <v>50</v>
      </c>
      <c r="P81" s="35"/>
      <c r="Q81" s="34"/>
    </row>
    <row r="82" spans="1:17" x14ac:dyDescent="0.25">
      <c r="A82" s="31" t="s">
        <v>28</v>
      </c>
      <c r="D82" s="10">
        <f>+(D29+D30)*$N$82</f>
        <v>117000</v>
      </c>
      <c r="E82" s="10">
        <f>+(E29+E30)*$N$82</f>
        <v>117000</v>
      </c>
      <c r="F82" s="10">
        <f>+(F29+F30)*$N$82</f>
        <v>117000</v>
      </c>
      <c r="G82" s="10">
        <f>+(G29+G30)*$N$82</f>
        <v>117000</v>
      </c>
      <c r="H82" s="10">
        <f>+(H29+H30)*$N$82</f>
        <v>117000</v>
      </c>
      <c r="I82" s="10">
        <f t="shared" ref="I82:M82" si="34">+(I29+I30)*$N$82</f>
        <v>117000</v>
      </c>
      <c r="J82" s="10">
        <f t="shared" si="34"/>
        <v>117000</v>
      </c>
      <c r="K82" s="10">
        <f t="shared" si="34"/>
        <v>117000</v>
      </c>
      <c r="L82" s="10">
        <f t="shared" si="34"/>
        <v>117000</v>
      </c>
      <c r="M82" s="10">
        <f t="shared" si="34"/>
        <v>117000</v>
      </c>
      <c r="N82" s="35">
        <f>((8*5)+12+8)/7*350</f>
        <v>3000</v>
      </c>
      <c r="O82" s="35" t="s">
        <v>49</v>
      </c>
      <c r="P82" s="35"/>
      <c r="Q82" s="34"/>
    </row>
    <row r="83" spans="1:17" x14ac:dyDescent="0.25">
      <c r="A83" s="31" t="s">
        <v>65</v>
      </c>
      <c r="D83" s="50">
        <v>5000</v>
      </c>
      <c r="E83" s="50">
        <f>E75*$N$83</f>
        <v>5094.9587313809952</v>
      </c>
      <c r="F83" s="50">
        <f t="shared" ref="F83:M83" si="35">F75*$N$83</f>
        <v>5200.8100680992375</v>
      </c>
      <c r="G83" s="50">
        <f t="shared" si="35"/>
        <v>5377.3149284115789</v>
      </c>
      <c r="H83" s="50">
        <f t="shared" si="35"/>
        <v>5498.1243414490955</v>
      </c>
      <c r="I83" s="50">
        <f t="shared" si="35"/>
        <v>5627.5474203516142</v>
      </c>
      <c r="J83" s="50">
        <f t="shared" si="35"/>
        <v>5855.5520392140934</v>
      </c>
      <c r="K83" s="50">
        <f t="shared" si="35"/>
        <v>6007.0274068963354</v>
      </c>
      <c r="L83" s="50">
        <f t="shared" si="35"/>
        <v>6170.1477303667316</v>
      </c>
      <c r="M83" s="50">
        <f t="shared" si="35"/>
        <v>6346.1079563662297</v>
      </c>
      <c r="N83" s="47">
        <f>D83/D75</f>
        <v>1.2833778505025227E-2</v>
      </c>
      <c r="O83" s="35"/>
      <c r="P83" s="35"/>
      <c r="Q83" s="34"/>
    </row>
    <row r="84" spans="1:17" x14ac:dyDescent="0.25">
      <c r="A84" s="31" t="s">
        <v>29</v>
      </c>
      <c r="D84" s="10">
        <v>5000</v>
      </c>
      <c r="E84" s="50">
        <f>E75*$N$84</f>
        <v>5094.9587313809952</v>
      </c>
      <c r="F84" s="50">
        <f t="shared" ref="F84:H84" si="36">F75*$N$84</f>
        <v>5200.8100680992375</v>
      </c>
      <c r="G84" s="50">
        <f t="shared" si="36"/>
        <v>5377.3149284115789</v>
      </c>
      <c r="H84" s="50">
        <f t="shared" si="36"/>
        <v>5498.1243414490955</v>
      </c>
      <c r="I84" s="10">
        <f t="shared" ref="I84:M84" si="37">+H84*(1+$N$84)</f>
        <v>5568.6860514403406</v>
      </c>
      <c r="J84" s="10">
        <f t="shared" si="37"/>
        <v>5640.1533347885497</v>
      </c>
      <c r="K84" s="10">
        <f t="shared" si="37"/>
        <v>5712.5378134216053</v>
      </c>
      <c r="L84" s="10">
        <f t="shared" si="37"/>
        <v>5785.8512584206392</v>
      </c>
      <c r="M84" s="10">
        <f t="shared" si="37"/>
        <v>5860.1055919342307</v>
      </c>
      <c r="N84" s="45">
        <f>D84/D75</f>
        <v>1.2833778505025227E-2</v>
      </c>
      <c r="O84" s="35"/>
      <c r="P84" s="35"/>
      <c r="Q84" s="34"/>
    </row>
    <row r="85" spans="1:17" x14ac:dyDescent="0.25">
      <c r="A85" s="31" t="s">
        <v>30</v>
      </c>
      <c r="D85" s="10">
        <f>+(500000-SUM(D61:D73))*0.2</f>
        <v>22080.625</v>
      </c>
      <c r="E85" s="10">
        <f t="shared" ref="E85:H85" si="38">+(500000-SUM(E61:E73))*0.2</f>
        <v>20600.800000000003</v>
      </c>
      <c r="F85" s="10">
        <f t="shared" si="38"/>
        <v>18951.226000000002</v>
      </c>
      <c r="G85" s="10">
        <f t="shared" si="38"/>
        <v>16200.596320000011</v>
      </c>
      <c r="H85" s="10">
        <f t="shared" si="38"/>
        <v>14317.917528399988</v>
      </c>
      <c r="I85" s="10">
        <f t="shared" ref="I85:M85" si="39">+(500000-SUM(I62:I71))*0.2</f>
        <v>32600.547314043997</v>
      </c>
      <c r="J85" s="10">
        <f t="shared" si="39"/>
        <v>29810.812656844944</v>
      </c>
      <c r="K85" s="10">
        <f t="shared" si="39"/>
        <v>28285.991291530921</v>
      </c>
      <c r="L85" s="10">
        <f t="shared" si="39"/>
        <v>26662.964917390109</v>
      </c>
      <c r="M85" s="10">
        <f t="shared" si="39"/>
        <v>24932.931567897172</v>
      </c>
      <c r="N85" s="35"/>
      <c r="O85" s="35"/>
      <c r="P85" s="35"/>
      <c r="Q85" s="34"/>
    </row>
    <row r="86" spans="1:17" x14ac:dyDescent="0.25">
      <c r="I86" s="10"/>
      <c r="J86" s="10"/>
      <c r="K86" s="10"/>
      <c r="L86" s="10"/>
      <c r="M86" s="10"/>
      <c r="N86" s="35"/>
      <c r="O86" s="35"/>
      <c r="P86" s="35"/>
      <c r="Q86" s="34"/>
    </row>
    <row r="87" spans="1:17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35"/>
      <c r="O87" s="35"/>
      <c r="P87" s="35"/>
      <c r="Q87" s="34"/>
    </row>
    <row r="88" spans="1:17" x14ac:dyDescent="0.25">
      <c r="A88" s="31" t="s">
        <v>144</v>
      </c>
      <c r="D88" s="50">
        <f>D79-SUM(D81:D85)</f>
        <v>56416.25</v>
      </c>
      <c r="E88" s="50">
        <f t="shared" ref="E88:M88" si="40">E79-SUM(E81:E85)</f>
        <v>65105.282537238032</v>
      </c>
      <c r="F88" s="50">
        <f>F79-SUM(F81:F85)</f>
        <v>74791.0238638015</v>
      </c>
      <c r="G88" s="50">
        <f t="shared" si="40"/>
        <v>90941.792223176803</v>
      </c>
      <c r="H88" s="50">
        <f t="shared" si="40"/>
        <v>101996.24614670186</v>
      </c>
      <c r="I88" s="50">
        <f>I79-SUM(I81:I85)</f>
        <v>93598.196990824072</v>
      </c>
      <c r="J88" s="50">
        <f t="shared" si="40"/>
        <v>112874.43714468996</v>
      </c>
      <c r="K88" s="50">
        <f t="shared" si="40"/>
        <v>125978.26464138424</v>
      </c>
      <c r="L88" s="50">
        <f t="shared" si="40"/>
        <v>140075.09090166679</v>
      </c>
      <c r="M88" s="50">
        <f t="shared" si="40"/>
        <v>155265.62052638625</v>
      </c>
      <c r="N88" s="35"/>
      <c r="O88" s="35"/>
      <c r="P88" s="35"/>
      <c r="Q88" s="34"/>
    </row>
    <row r="89" spans="1:17" x14ac:dyDescent="0.25"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35"/>
      <c r="O89" s="35"/>
      <c r="P89" s="35"/>
      <c r="Q89" s="34"/>
    </row>
    <row r="90" spans="1:17" x14ac:dyDescent="0.25">
      <c r="A90" s="31" t="s">
        <v>87</v>
      </c>
      <c r="D90" s="16">
        <f>D113*0.1</f>
        <v>2000</v>
      </c>
      <c r="E90" s="16">
        <f>E113*0.1</f>
        <v>2000</v>
      </c>
      <c r="F90" s="16">
        <f>F113*0.1</f>
        <v>2000</v>
      </c>
      <c r="G90" s="16">
        <f>G113*0.1</f>
        <v>2000</v>
      </c>
      <c r="H90" s="16">
        <f>H113*0.1</f>
        <v>2000</v>
      </c>
      <c r="I90" s="16">
        <f t="shared" ref="I90:M90" si="41">I113*0.1</f>
        <v>2000.1000000000001</v>
      </c>
      <c r="J90" s="16">
        <f t="shared" si="41"/>
        <v>2000.2</v>
      </c>
      <c r="K90" s="16">
        <f t="shared" si="41"/>
        <v>2000.3000000000002</v>
      </c>
      <c r="L90" s="16">
        <f t="shared" si="41"/>
        <v>2000.4</v>
      </c>
      <c r="M90" s="16">
        <f t="shared" si="41"/>
        <v>2000.5</v>
      </c>
      <c r="N90" s="35"/>
      <c r="O90" s="35"/>
      <c r="P90" s="35"/>
      <c r="Q90" s="34"/>
    </row>
    <row r="91" spans="1:17" x14ac:dyDescent="0.25">
      <c r="A91" s="31" t="s">
        <v>86</v>
      </c>
      <c r="D91" s="16">
        <f>D109*(1/30)</f>
        <v>69000</v>
      </c>
      <c r="E91" s="16">
        <f>E109*(1/30)</f>
        <v>69000</v>
      </c>
      <c r="F91" s="16">
        <f>F109*(1/30)</f>
        <v>69000</v>
      </c>
      <c r="G91" s="16">
        <f>G109*(1/30)</f>
        <v>69000</v>
      </c>
      <c r="H91" s="16">
        <f>H109*(1/30)</f>
        <v>69000</v>
      </c>
      <c r="I91" s="16">
        <f t="shared" ref="I91:M91" si="42">I109*(1/30)</f>
        <v>69000</v>
      </c>
      <c r="J91" s="16">
        <f t="shared" si="42"/>
        <v>69000</v>
      </c>
      <c r="K91" s="16">
        <f t="shared" si="42"/>
        <v>69000</v>
      </c>
      <c r="L91" s="16">
        <f t="shared" si="42"/>
        <v>69000</v>
      </c>
      <c r="M91" s="16">
        <f t="shared" si="42"/>
        <v>69000</v>
      </c>
      <c r="N91" s="35"/>
      <c r="O91" s="35"/>
      <c r="P91" s="35"/>
      <c r="Q91" s="34"/>
    </row>
    <row r="92" spans="1:17" x14ac:dyDescent="0.25">
      <c r="A92" s="31" t="s">
        <v>168</v>
      </c>
      <c r="D92" s="16"/>
      <c r="E92" s="16"/>
      <c r="F92" s="16"/>
      <c r="G92" s="16"/>
      <c r="H92" s="16"/>
      <c r="I92" s="16"/>
      <c r="J92" s="16">
        <f>J111/10</f>
        <v>0</v>
      </c>
      <c r="K92" s="16">
        <f t="shared" ref="K92:M92" si="43">K111/10</f>
        <v>0</v>
      </c>
      <c r="L92" s="16">
        <f t="shared" si="43"/>
        <v>0</v>
      </c>
      <c r="M92" s="16">
        <f t="shared" si="43"/>
        <v>0</v>
      </c>
      <c r="N92" s="35"/>
      <c r="O92" s="35"/>
      <c r="P92" s="35"/>
      <c r="Q92" s="34"/>
    </row>
    <row r="93" spans="1:17" x14ac:dyDescent="0.25">
      <c r="A93" s="31" t="s">
        <v>62</v>
      </c>
      <c r="D93" s="41">
        <f>Amort!I19</f>
        <v>47280.767906401808</v>
      </c>
      <c r="E93" s="41">
        <f>Amort!I31</f>
        <v>46185.060624101076</v>
      </c>
      <c r="F93" s="41">
        <f>Amort!I43</f>
        <v>45061.644595325619</v>
      </c>
      <c r="G93" s="41">
        <f>Amort!I55</f>
        <v>43909.819108632131</v>
      </c>
      <c r="H93" s="41">
        <f>Amort!I67</f>
        <v>42728.86573266612</v>
      </c>
      <c r="I93" s="41">
        <f>Amort!I79</f>
        <v>41518.047868052745</v>
      </c>
      <c r="J93" s="41">
        <f>Amort!I91</f>
        <v>40276.610287955489</v>
      </c>
      <c r="K93" s="41">
        <f>Amort!I103</f>
        <v>39003.778667016501</v>
      </c>
      <c r="L93" s="41">
        <f>Amort!I115</f>
        <v>37698.759098384427</v>
      </c>
      <c r="M93" s="41">
        <f>Amort!I127</f>
        <v>36360.737598528664</v>
      </c>
      <c r="N93" s="35"/>
      <c r="O93" s="35"/>
      <c r="P93" s="35"/>
      <c r="Q93" s="34"/>
    </row>
    <row r="94" spans="1:17" x14ac:dyDescent="0.25">
      <c r="A94" s="31" t="s">
        <v>63</v>
      </c>
      <c r="D94" s="10">
        <f>D128*$N$128</f>
        <v>58607.036560827772</v>
      </c>
      <c r="E94" s="10">
        <f t="shared" ref="E94:M94" si="44">E128*$N$128</f>
        <v>64824.516666024596</v>
      </c>
      <c r="F94" s="10">
        <f t="shared" si="44"/>
        <v>70780.944851333639</v>
      </c>
      <c r="G94" s="10">
        <f t="shared" si="44"/>
        <v>75970.057109562375</v>
      </c>
      <c r="H94" s="10">
        <f t="shared" si="44"/>
        <v>80717.692038145149</v>
      </c>
      <c r="I94" s="10">
        <f t="shared" si="44"/>
        <v>41151.5846740161</v>
      </c>
      <c r="J94" s="10">
        <f t="shared" si="44"/>
        <v>39596.513546753304</v>
      </c>
      <c r="K94" s="10">
        <f t="shared" si="44"/>
        <v>38133.466756243899</v>
      </c>
      <c r="L94" s="10">
        <f t="shared" si="44"/>
        <v>36761.753335538786</v>
      </c>
      <c r="M94" s="10">
        <f t="shared" si="44"/>
        <v>34548.792059003754</v>
      </c>
      <c r="N94" s="35"/>
      <c r="O94" s="35"/>
      <c r="P94" s="35"/>
      <c r="Q94" s="34"/>
    </row>
    <row r="95" spans="1:17" x14ac:dyDescent="0.25"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35"/>
      <c r="O95" s="35"/>
      <c r="P95" s="35"/>
      <c r="Q95" s="34"/>
    </row>
    <row r="96" spans="1:17" x14ac:dyDescent="0.25">
      <c r="A96" s="31" t="s">
        <v>57</v>
      </c>
      <c r="D96" s="13">
        <f t="shared" ref="D96:M96" si="45">D88-SUM(D90:D94)</f>
        <v>-120471.55446722958</v>
      </c>
      <c r="E96" s="13">
        <f t="shared" si="45"/>
        <v>-116904.29475288765</v>
      </c>
      <c r="F96" s="13">
        <f t="shared" si="45"/>
        <v>-112051.56558285776</v>
      </c>
      <c r="G96" s="13">
        <f t="shared" si="45"/>
        <v>-99938.083995017689</v>
      </c>
      <c r="H96" s="13">
        <f t="shared" si="45"/>
        <v>-92450.311624109396</v>
      </c>
      <c r="I96" s="13">
        <f t="shared" si="45"/>
        <v>-60071.535551244771</v>
      </c>
      <c r="J96" s="13">
        <f t="shared" si="45"/>
        <v>-37998.886690018815</v>
      </c>
      <c r="K96" s="13">
        <f t="shared" si="45"/>
        <v>-22159.28078187615</v>
      </c>
      <c r="L96" s="13">
        <f t="shared" si="45"/>
        <v>-5385.8215322564356</v>
      </c>
      <c r="M96" s="13">
        <f t="shared" si="45"/>
        <v>13355.590868853847</v>
      </c>
      <c r="N96" s="35"/>
      <c r="O96" s="35"/>
      <c r="P96" s="35"/>
      <c r="Q96" s="34"/>
    </row>
    <row r="97" spans="1:17" x14ac:dyDescent="0.25">
      <c r="A97" s="31" t="s">
        <v>58</v>
      </c>
      <c r="D97" s="13">
        <f>IF(D96&lt;0,0,D96*$N$97)</f>
        <v>0</v>
      </c>
      <c r="E97" s="13">
        <f>IF(E96&lt;0,0,E96*$N$97)</f>
        <v>0</v>
      </c>
      <c r="F97" s="13">
        <f>IF(F96&lt;0,0,F96*$N$97)</f>
        <v>0</v>
      </c>
      <c r="G97" s="13">
        <f>IF(G96&lt;0,0,G96*$N$97)</f>
        <v>0</v>
      </c>
      <c r="H97" s="13">
        <f>IF(H96&lt;0,0,H96*$N$97)</f>
        <v>0</v>
      </c>
      <c r="I97" s="13">
        <f t="shared" ref="I97:M97" si="46">IF(I96&lt;0,0,I96*$N$97)</f>
        <v>0</v>
      </c>
      <c r="J97" s="13">
        <f t="shared" si="46"/>
        <v>0</v>
      </c>
      <c r="K97" s="13">
        <f t="shared" si="46"/>
        <v>0</v>
      </c>
      <c r="L97" s="13">
        <f t="shared" si="46"/>
        <v>0</v>
      </c>
      <c r="M97" s="13">
        <f t="shared" si="46"/>
        <v>3338.8977172134619</v>
      </c>
      <c r="N97" s="45">
        <v>0.25</v>
      </c>
      <c r="O97" s="35" t="s">
        <v>60</v>
      </c>
      <c r="P97" s="35"/>
      <c r="Q97" s="34"/>
    </row>
    <row r="98" spans="1:17" x14ac:dyDescent="0.25">
      <c r="A98" s="31" t="s">
        <v>59</v>
      </c>
      <c r="D98" s="13">
        <f>+D96-D97</f>
        <v>-120471.55446722958</v>
      </c>
      <c r="E98" s="13">
        <f t="shared" ref="E98:G98" si="47">+E96-E97</f>
        <v>-116904.29475288765</v>
      </c>
      <c r="F98" s="13">
        <f t="shared" si="47"/>
        <v>-112051.56558285776</v>
      </c>
      <c r="G98" s="13">
        <f t="shared" si="47"/>
        <v>-99938.083995017689</v>
      </c>
      <c r="H98" s="13">
        <f>+H96-H97</f>
        <v>-92450.311624109396</v>
      </c>
      <c r="I98" s="13">
        <f>+I96-I97</f>
        <v>-60071.535551244771</v>
      </c>
      <c r="J98" s="13">
        <f t="shared" ref="J98:M98" si="48">+J96-J97</f>
        <v>-37998.886690018815</v>
      </c>
      <c r="K98" s="13">
        <f t="shared" si="48"/>
        <v>-22159.28078187615</v>
      </c>
      <c r="L98" s="13">
        <f t="shared" si="48"/>
        <v>-5385.8215322564356</v>
      </c>
      <c r="M98" s="13">
        <f t="shared" si="48"/>
        <v>10016.693151640386</v>
      </c>
      <c r="N98" s="35"/>
      <c r="O98" s="35"/>
      <c r="P98" s="35"/>
      <c r="Q98" s="34"/>
    </row>
    <row r="99" spans="1:17" x14ac:dyDescent="0.25">
      <c r="D99" s="13"/>
      <c r="E99" s="13"/>
      <c r="F99" s="13"/>
      <c r="G99" s="13"/>
      <c r="H99" s="13"/>
      <c r="N99" s="35"/>
      <c r="O99" s="35"/>
      <c r="P99" s="35"/>
      <c r="Q99" s="34"/>
    </row>
    <row r="100" spans="1:17" x14ac:dyDescent="0.25">
      <c r="D100" s="13"/>
      <c r="E100" s="13"/>
      <c r="F100" s="13"/>
      <c r="G100" s="13"/>
      <c r="H100" s="13"/>
      <c r="N100" s="35"/>
      <c r="O100" s="35"/>
      <c r="P100" s="35"/>
      <c r="Q100" s="34"/>
    </row>
    <row r="101" spans="1:17" ht="18.75" x14ac:dyDescent="0.3">
      <c r="A101" s="5" t="s">
        <v>61</v>
      </c>
      <c r="B101" s="5"/>
      <c r="C101" s="5"/>
      <c r="N101" s="35"/>
      <c r="O101" s="35"/>
      <c r="P101" s="35"/>
      <c r="Q101" s="34"/>
    </row>
    <row r="102" spans="1:17" ht="18.75" x14ac:dyDescent="0.3">
      <c r="A102" s="5" t="s">
        <v>43</v>
      </c>
      <c r="B102" s="32"/>
      <c r="C102" s="32"/>
      <c r="N102" s="35"/>
      <c r="O102" s="35"/>
      <c r="P102" s="35"/>
      <c r="Q102" s="34"/>
    </row>
    <row r="103" spans="1:17" x14ac:dyDescent="0.25">
      <c r="A103" s="31" t="s">
        <v>52</v>
      </c>
      <c r="D103" s="31">
        <v>5000</v>
      </c>
      <c r="E103" s="31">
        <v>5000</v>
      </c>
      <c r="F103" s="31">
        <v>5000</v>
      </c>
      <c r="G103" s="31">
        <v>5000</v>
      </c>
      <c r="H103" s="31">
        <v>5000</v>
      </c>
      <c r="I103" s="31">
        <v>5000</v>
      </c>
      <c r="J103" s="31">
        <v>5000</v>
      </c>
      <c r="K103" s="31">
        <v>5000</v>
      </c>
      <c r="L103" s="31">
        <v>5000</v>
      </c>
      <c r="M103" s="31">
        <v>5000</v>
      </c>
      <c r="N103" s="35"/>
      <c r="O103" s="35"/>
      <c r="P103" s="35"/>
      <c r="Q103" s="34"/>
    </row>
    <row r="104" spans="1:17" x14ac:dyDescent="0.25">
      <c r="A104" s="31" t="s">
        <v>53</v>
      </c>
      <c r="N104" s="35"/>
      <c r="O104" s="35"/>
      <c r="P104" s="35"/>
      <c r="Q104" s="34"/>
    </row>
    <row r="105" spans="1:17" x14ac:dyDescent="0.25">
      <c r="A105" s="31" t="s">
        <v>54</v>
      </c>
      <c r="D105" s="15">
        <f t="shared" ref="D105:M105" si="49">(D77/365)*$N$105</f>
        <v>1691.5068493150686</v>
      </c>
      <c r="E105" s="15">
        <f t="shared" si="49"/>
        <v>1691.5068493150686</v>
      </c>
      <c r="F105" s="15">
        <f t="shared" si="49"/>
        <v>1691.5068493150686</v>
      </c>
      <c r="G105" s="15">
        <f t="shared" si="49"/>
        <v>1691.5068493150686</v>
      </c>
      <c r="H105" s="15">
        <f t="shared" si="49"/>
        <v>1691.5068493150686</v>
      </c>
      <c r="I105" s="15">
        <f t="shared" si="49"/>
        <v>1691.5068493150686</v>
      </c>
      <c r="J105" s="15">
        <f t="shared" si="49"/>
        <v>1729.0958904109589</v>
      </c>
      <c r="K105" s="15">
        <f t="shared" si="49"/>
        <v>1729.0958904109589</v>
      </c>
      <c r="L105" s="15">
        <f t="shared" si="49"/>
        <v>1729.0958904109589</v>
      </c>
      <c r="M105" s="15">
        <f t="shared" si="49"/>
        <v>1729.0958904109589</v>
      </c>
      <c r="N105" s="35">
        <v>14</v>
      </c>
      <c r="O105" s="35" t="s">
        <v>147</v>
      </c>
      <c r="P105" s="35"/>
      <c r="Q105" s="34"/>
    </row>
    <row r="106" spans="1:17" x14ac:dyDescent="0.25">
      <c r="N106" s="35"/>
      <c r="O106" s="35"/>
      <c r="P106" s="35"/>
      <c r="Q106" s="34"/>
    </row>
    <row r="107" spans="1:17" ht="18.75" x14ac:dyDescent="0.3">
      <c r="A107" s="3" t="s">
        <v>55</v>
      </c>
      <c r="N107" s="35"/>
      <c r="O107" s="35"/>
      <c r="P107" s="35"/>
      <c r="Q107" s="34"/>
    </row>
    <row r="108" spans="1:17" ht="15.75" x14ac:dyDescent="0.25">
      <c r="A108" s="24" t="s">
        <v>64</v>
      </c>
      <c r="D108" s="31">
        <f>20000*$O$108</f>
        <v>660000</v>
      </c>
      <c r="E108" s="31">
        <f>20000*$O$108</f>
        <v>660000</v>
      </c>
      <c r="F108" s="31">
        <f>20000*$O$108</f>
        <v>660000</v>
      </c>
      <c r="G108" s="31">
        <f>20000*$O$108</f>
        <v>660000</v>
      </c>
      <c r="H108" s="31">
        <f>20000*$O$108</f>
        <v>660000</v>
      </c>
      <c r="I108" s="31">
        <f t="shared" ref="I108:M108" si="50">20000*$O$108</f>
        <v>660000</v>
      </c>
      <c r="J108" s="31">
        <f t="shared" si="50"/>
        <v>660000</v>
      </c>
      <c r="K108" s="31">
        <f t="shared" si="50"/>
        <v>660000</v>
      </c>
      <c r="L108" s="31">
        <f t="shared" si="50"/>
        <v>660000</v>
      </c>
      <c r="M108" s="31">
        <f t="shared" si="50"/>
        <v>660000</v>
      </c>
      <c r="N108" s="35"/>
      <c r="O108" s="35">
        <v>33</v>
      </c>
      <c r="P108" s="35" t="s">
        <v>66</v>
      </c>
      <c r="Q108" s="34"/>
    </row>
    <row r="109" spans="1:17" x14ac:dyDescent="0.25">
      <c r="A109" s="31" t="s">
        <v>56</v>
      </c>
      <c r="D109" s="31">
        <f t="shared" ref="D109:M109" si="51">$O$109*D32</f>
        <v>2070000</v>
      </c>
      <c r="E109" s="31">
        <f t="shared" si="51"/>
        <v>2070000</v>
      </c>
      <c r="F109" s="31">
        <f t="shared" si="51"/>
        <v>2070000</v>
      </c>
      <c r="G109" s="31">
        <f t="shared" si="51"/>
        <v>2070000</v>
      </c>
      <c r="H109" s="31">
        <f t="shared" si="51"/>
        <v>2070000</v>
      </c>
      <c r="I109" s="31">
        <f t="shared" si="51"/>
        <v>2070000</v>
      </c>
      <c r="J109" s="31">
        <f t="shared" si="51"/>
        <v>2070000</v>
      </c>
      <c r="K109" s="31">
        <f t="shared" si="51"/>
        <v>2070000</v>
      </c>
      <c r="L109" s="31">
        <f t="shared" si="51"/>
        <v>2070000</v>
      </c>
      <c r="M109" s="31">
        <f t="shared" si="51"/>
        <v>2070000</v>
      </c>
      <c r="N109" s="35"/>
      <c r="O109" s="35">
        <v>23</v>
      </c>
      <c r="P109" s="35" t="s">
        <v>71</v>
      </c>
      <c r="Q109" s="34"/>
    </row>
    <row r="110" spans="1:17" x14ac:dyDescent="0.25">
      <c r="A110" s="31" t="s">
        <v>70</v>
      </c>
      <c r="D110" s="16">
        <f>C110+D91</f>
        <v>69000</v>
      </c>
      <c r="E110" s="16">
        <f>D110+E91</f>
        <v>138000</v>
      </c>
      <c r="F110" s="16">
        <f>E110+F91</f>
        <v>207000</v>
      </c>
      <c r="G110" s="16">
        <f>F110+G91</f>
        <v>276000</v>
      </c>
      <c r="H110" s="16">
        <f>G110+H91</f>
        <v>345000</v>
      </c>
      <c r="I110" s="16">
        <f t="shared" ref="I110:M110" si="52">H110+I91</f>
        <v>414000</v>
      </c>
      <c r="J110" s="16">
        <f t="shared" si="52"/>
        <v>483000</v>
      </c>
      <c r="K110" s="16">
        <f>J110+K91</f>
        <v>552000</v>
      </c>
      <c r="L110" s="16">
        <f t="shared" si="52"/>
        <v>621000</v>
      </c>
      <c r="M110" s="16">
        <f t="shared" si="52"/>
        <v>690000</v>
      </c>
      <c r="N110" s="35"/>
      <c r="O110" s="35">
        <v>30</v>
      </c>
      <c r="P110" s="35" t="s">
        <v>73</v>
      </c>
      <c r="Q110" s="34"/>
    </row>
    <row r="111" spans="1:17" x14ac:dyDescent="0.25">
      <c r="A111" s="31" t="s">
        <v>166</v>
      </c>
      <c r="D111" s="16"/>
      <c r="E111" s="16"/>
      <c r="F111" s="16"/>
      <c r="G111" s="16"/>
      <c r="I111" s="16"/>
      <c r="J111" s="16"/>
      <c r="K111" s="16"/>
      <c r="L111" s="16"/>
      <c r="M111" s="16"/>
      <c r="N111" s="35"/>
      <c r="O111" s="35"/>
      <c r="P111" s="35"/>
      <c r="Q111" s="34"/>
    </row>
    <row r="112" spans="1:17" x14ac:dyDescent="0.25">
      <c r="D112" s="16"/>
      <c r="E112" s="16"/>
      <c r="F112" s="16"/>
      <c r="G112" s="16"/>
      <c r="H112" s="16"/>
      <c r="I112" s="16"/>
      <c r="J112" s="16">
        <f>I112+J92</f>
        <v>0</v>
      </c>
      <c r="K112" s="16">
        <f t="shared" ref="K112:M112" si="53">J112+K92</f>
        <v>0</v>
      </c>
      <c r="L112" s="16">
        <f t="shared" si="53"/>
        <v>0</v>
      </c>
      <c r="M112" s="16">
        <f t="shared" si="53"/>
        <v>0</v>
      </c>
      <c r="N112" s="35">
        <v>10</v>
      </c>
      <c r="O112" s="35" t="s">
        <v>167</v>
      </c>
      <c r="P112" s="35"/>
      <c r="Q112" s="34"/>
    </row>
    <row r="113" spans="1:17" x14ac:dyDescent="0.25">
      <c r="A113" s="31" t="s">
        <v>44</v>
      </c>
      <c r="D113" s="10">
        <v>20000</v>
      </c>
      <c r="E113" s="10">
        <v>20000</v>
      </c>
      <c r="F113" s="10">
        <v>20000</v>
      </c>
      <c r="G113" s="10">
        <v>20000</v>
      </c>
      <c r="H113" s="10">
        <v>20000</v>
      </c>
      <c r="I113" s="10">
        <v>20001</v>
      </c>
      <c r="J113" s="10">
        <v>20002</v>
      </c>
      <c r="K113" s="10">
        <v>20003</v>
      </c>
      <c r="L113" s="10">
        <v>20004</v>
      </c>
      <c r="M113" s="10">
        <v>20005</v>
      </c>
      <c r="N113" s="35"/>
      <c r="O113" s="35"/>
      <c r="P113" s="35"/>
      <c r="Q113" s="34"/>
    </row>
    <row r="114" spans="1:17" x14ac:dyDescent="0.25">
      <c r="A114" s="31" t="s">
        <v>67</v>
      </c>
      <c r="D114" s="16">
        <f>C114+D90</f>
        <v>2000</v>
      </c>
      <c r="E114" s="16">
        <f>D114+E90</f>
        <v>4000</v>
      </c>
      <c r="F114" s="16">
        <f>E114+F90</f>
        <v>6000</v>
      </c>
      <c r="G114" s="16">
        <f>F114+G90</f>
        <v>8000</v>
      </c>
      <c r="H114" s="16">
        <f>G114+H90</f>
        <v>10000</v>
      </c>
      <c r="I114" s="16">
        <f t="shared" ref="I114:M114" si="54">H114+I90</f>
        <v>12000.1</v>
      </c>
      <c r="J114" s="16">
        <f t="shared" si="54"/>
        <v>14000.300000000001</v>
      </c>
      <c r="K114" s="16">
        <f t="shared" si="54"/>
        <v>16000.600000000002</v>
      </c>
      <c r="L114" s="16">
        <f t="shared" si="54"/>
        <v>18001.000000000004</v>
      </c>
      <c r="M114" s="16">
        <f t="shared" si="54"/>
        <v>20001.500000000004</v>
      </c>
      <c r="N114" s="35"/>
      <c r="O114" s="35">
        <v>10</v>
      </c>
      <c r="P114" s="35" t="s">
        <v>68</v>
      </c>
      <c r="Q114" s="34"/>
    </row>
    <row r="115" spans="1:17" ht="15.75" x14ac:dyDescent="0.25">
      <c r="A115" s="24" t="s">
        <v>129</v>
      </c>
      <c r="D115" s="31">
        <f t="shared" ref="D115:M115" si="55">SUM(D39:D40)</f>
        <v>90.5</v>
      </c>
      <c r="E115" s="31">
        <f t="shared" si="55"/>
        <v>90.5</v>
      </c>
      <c r="F115" s="31">
        <f t="shared" si="55"/>
        <v>90.5</v>
      </c>
      <c r="G115" s="31">
        <f t="shared" si="55"/>
        <v>90.5</v>
      </c>
      <c r="H115" s="31">
        <f t="shared" si="55"/>
        <v>90.5</v>
      </c>
      <c r="I115" s="31">
        <f t="shared" si="55"/>
        <v>90.5</v>
      </c>
      <c r="J115" s="31">
        <f t="shared" si="55"/>
        <v>91.4</v>
      </c>
      <c r="K115" s="31">
        <f t="shared" si="55"/>
        <v>91.4</v>
      </c>
      <c r="L115" s="31">
        <f t="shared" si="55"/>
        <v>91.4</v>
      </c>
      <c r="M115" s="31">
        <f t="shared" si="55"/>
        <v>91.4</v>
      </c>
      <c r="N115" s="35"/>
      <c r="O115" s="35"/>
      <c r="P115" s="35"/>
      <c r="Q115" s="34"/>
    </row>
    <row r="116" spans="1:17" ht="15.75" x14ac:dyDescent="0.25">
      <c r="A116" s="24" t="s">
        <v>130</v>
      </c>
      <c r="D116" s="31">
        <f t="shared" ref="D116:M116" si="56">SUM(D42:D43)</f>
        <v>660</v>
      </c>
      <c r="E116" s="31">
        <f t="shared" si="56"/>
        <v>660</v>
      </c>
      <c r="F116" s="31">
        <f t="shared" si="56"/>
        <v>660</v>
      </c>
      <c r="G116" s="31">
        <f t="shared" si="56"/>
        <v>660</v>
      </c>
      <c r="H116" s="31">
        <f t="shared" si="56"/>
        <v>660</v>
      </c>
      <c r="I116" s="31">
        <f t="shared" si="56"/>
        <v>661.1</v>
      </c>
      <c r="J116" s="31">
        <f t="shared" si="56"/>
        <v>662.2</v>
      </c>
      <c r="K116" s="31">
        <f t="shared" si="56"/>
        <v>663.3</v>
      </c>
      <c r="L116" s="31">
        <f t="shared" si="56"/>
        <v>664.4</v>
      </c>
      <c r="M116" s="31">
        <f t="shared" si="56"/>
        <v>665.5</v>
      </c>
      <c r="N116" s="35"/>
      <c r="O116" s="35"/>
      <c r="P116" s="35"/>
      <c r="Q116" s="34"/>
    </row>
    <row r="117" spans="1:17" ht="15.75" x14ac:dyDescent="0.25">
      <c r="A117" s="24" t="s">
        <v>131</v>
      </c>
      <c r="D117" s="31">
        <f t="shared" ref="D117:M117" si="57">SUM(D45:D48)</f>
        <v>1150</v>
      </c>
      <c r="E117" s="31">
        <f t="shared" si="57"/>
        <v>1150</v>
      </c>
      <c r="F117" s="31">
        <f t="shared" si="57"/>
        <v>1150</v>
      </c>
      <c r="G117" s="31">
        <f t="shared" si="57"/>
        <v>1150</v>
      </c>
      <c r="H117" s="31">
        <f t="shared" si="57"/>
        <v>1150</v>
      </c>
      <c r="I117" s="31">
        <f t="shared" si="57"/>
        <v>1150</v>
      </c>
      <c r="J117" s="31">
        <f t="shared" si="57"/>
        <v>1150</v>
      </c>
      <c r="K117" s="31">
        <f t="shared" si="57"/>
        <v>1150</v>
      </c>
      <c r="L117" s="31">
        <f t="shared" si="57"/>
        <v>1150</v>
      </c>
      <c r="M117" s="31">
        <f t="shared" si="57"/>
        <v>1150</v>
      </c>
      <c r="N117" s="35"/>
      <c r="O117" s="35"/>
      <c r="P117" s="35"/>
      <c r="Q117" s="34"/>
    </row>
    <row r="118" spans="1:17" ht="15.75" x14ac:dyDescent="0.25">
      <c r="A118" s="24" t="s">
        <v>132</v>
      </c>
      <c r="D118" s="31">
        <f t="shared" ref="D118:M118" si="58">SUM(D50:D53)</f>
        <v>8650</v>
      </c>
      <c r="E118" s="31">
        <f t="shared" si="58"/>
        <v>8650</v>
      </c>
      <c r="F118" s="31">
        <f t="shared" si="58"/>
        <v>8650</v>
      </c>
      <c r="G118" s="31">
        <f t="shared" si="58"/>
        <v>8650</v>
      </c>
      <c r="H118" s="31">
        <f t="shared" si="58"/>
        <v>8650</v>
      </c>
      <c r="I118" s="31">
        <f t="shared" si="58"/>
        <v>8650</v>
      </c>
      <c r="J118" s="31">
        <f t="shared" si="58"/>
        <v>8650</v>
      </c>
      <c r="K118" s="31">
        <f t="shared" si="58"/>
        <v>8650</v>
      </c>
      <c r="L118" s="31">
        <f t="shared" si="58"/>
        <v>8650</v>
      </c>
      <c r="M118" s="31">
        <f t="shared" si="58"/>
        <v>8650</v>
      </c>
      <c r="N118" s="35"/>
      <c r="O118" s="35"/>
      <c r="P118" s="35"/>
      <c r="Q118" s="34"/>
    </row>
    <row r="119" spans="1:17" ht="15.75" x14ac:dyDescent="0.25">
      <c r="A119" s="24" t="s">
        <v>135</v>
      </c>
      <c r="D119" s="36">
        <f>D55</f>
        <v>1507.2142857142858</v>
      </c>
      <c r="E119" s="36">
        <f t="shared" ref="E119:M119" si="59">D119+E55</f>
        <v>3014.4285714285716</v>
      </c>
      <c r="F119" s="36">
        <f t="shared" si="59"/>
        <v>4521.6428571428569</v>
      </c>
      <c r="G119" s="36">
        <f t="shared" si="59"/>
        <v>6028.8571428571431</v>
      </c>
      <c r="H119" s="36">
        <f t="shared" si="59"/>
        <v>7536.0714285714294</v>
      </c>
      <c r="I119" s="36">
        <f t="shared" si="59"/>
        <v>9043.442857142858</v>
      </c>
      <c r="J119" s="36">
        <f t="shared" si="59"/>
        <v>10551.1</v>
      </c>
      <c r="K119" s="36">
        <f t="shared" si="59"/>
        <v>12058.914285714287</v>
      </c>
      <c r="L119" s="36">
        <f t="shared" si="59"/>
        <v>13566.885714285716</v>
      </c>
      <c r="M119" s="36">
        <f t="shared" si="59"/>
        <v>15075.014285714287</v>
      </c>
      <c r="N119" s="35"/>
      <c r="O119" s="35"/>
      <c r="P119" s="35" t="s">
        <v>134</v>
      </c>
      <c r="Q119" s="34"/>
    </row>
    <row r="120" spans="1:17" x14ac:dyDescent="0.25">
      <c r="N120" s="35"/>
      <c r="O120" s="35"/>
      <c r="P120" s="35"/>
      <c r="Q120" s="34"/>
    </row>
    <row r="121" spans="1:17" x14ac:dyDescent="0.25">
      <c r="A121" s="31" t="s">
        <v>94</v>
      </c>
      <c r="D121" s="15">
        <f>SUM(D103:D105)+D108+D109+-D110+D113-D114+D115+D116+D117+D118-D119+D111-D112</f>
        <v>2694734.7925636009</v>
      </c>
      <c r="E121" s="15">
        <f t="shared" ref="E121:L121" si="60">SUM(E103:E105)+E108+E109+-E110+E113-E114+E115+E116+E117+E118-E119+E111-E112</f>
        <v>2622227.5782778864</v>
      </c>
      <c r="F121" s="15">
        <f t="shared" si="60"/>
        <v>2549720.3639921723</v>
      </c>
      <c r="G121" s="15">
        <f t="shared" si="60"/>
        <v>2477213.1497064577</v>
      </c>
      <c r="H121" s="15">
        <f t="shared" si="60"/>
        <v>2404705.9354207437</v>
      </c>
      <c r="I121" s="15">
        <f t="shared" si="60"/>
        <v>2332200.563992172</v>
      </c>
      <c r="J121" s="15">
        <f t="shared" si="60"/>
        <v>2259733.2958904114</v>
      </c>
      <c r="K121" s="15">
        <f t="shared" si="60"/>
        <v>2187227.2816046965</v>
      </c>
      <c r="L121" s="15">
        <f t="shared" si="60"/>
        <v>2114721.0101761254</v>
      </c>
      <c r="M121" s="15">
        <f>SUM(M103:M105)+M108+M109+-M110+M113-M114+M115+M116+M117+M118-M119+M111-M112</f>
        <v>2042214.4816046967</v>
      </c>
      <c r="N121" s="35"/>
      <c r="O121" s="35"/>
      <c r="P121" s="35"/>
      <c r="Q121" s="34"/>
    </row>
    <row r="122" spans="1:17" x14ac:dyDescent="0.25">
      <c r="N122" s="35"/>
      <c r="O122" s="35"/>
      <c r="P122" s="35"/>
      <c r="Q122" s="34"/>
    </row>
    <row r="123" spans="1:17" ht="18.75" x14ac:dyDescent="0.3">
      <c r="A123" s="3" t="s">
        <v>69</v>
      </c>
      <c r="N123" s="35"/>
      <c r="O123" s="35"/>
      <c r="P123" s="35"/>
      <c r="Q123" s="34"/>
    </row>
    <row r="124" spans="1:17" x14ac:dyDescent="0.25">
      <c r="A124" s="31" t="s">
        <v>89</v>
      </c>
      <c r="D124" s="15">
        <f t="shared" ref="D124:M124" si="61">D77/365*30</f>
        <v>3624.6575342465753</v>
      </c>
      <c r="E124" s="15">
        <f t="shared" si="61"/>
        <v>3624.6575342465753</v>
      </c>
      <c r="F124" s="15">
        <f t="shared" si="61"/>
        <v>3624.6575342465753</v>
      </c>
      <c r="G124" s="15">
        <f t="shared" si="61"/>
        <v>3624.6575342465753</v>
      </c>
      <c r="H124" s="15">
        <f t="shared" si="61"/>
        <v>3624.6575342465753</v>
      </c>
      <c r="I124" s="15">
        <f t="shared" si="61"/>
        <v>3624.6575342465753</v>
      </c>
      <c r="J124" s="15">
        <f t="shared" si="61"/>
        <v>3705.205479452055</v>
      </c>
      <c r="K124" s="15">
        <f t="shared" si="61"/>
        <v>3705.205479452055</v>
      </c>
      <c r="L124" s="15">
        <f t="shared" si="61"/>
        <v>3705.205479452055</v>
      </c>
      <c r="M124" s="15">
        <f t="shared" si="61"/>
        <v>3705.205479452055</v>
      </c>
      <c r="N124" s="35"/>
      <c r="O124" s="35"/>
      <c r="P124" s="35"/>
      <c r="Q124" s="34"/>
    </row>
    <row r="125" spans="1:17" x14ac:dyDescent="0.25">
      <c r="A125" s="31" t="s">
        <v>163</v>
      </c>
      <c r="D125" s="15">
        <f>D97</f>
        <v>0</v>
      </c>
      <c r="E125" s="15">
        <f t="shared" ref="E125:M125" si="62">E97</f>
        <v>0</v>
      </c>
      <c r="F125" s="15">
        <f t="shared" si="62"/>
        <v>0</v>
      </c>
      <c r="G125" s="15">
        <f t="shared" si="62"/>
        <v>0</v>
      </c>
      <c r="H125" s="15">
        <f t="shared" si="62"/>
        <v>0</v>
      </c>
      <c r="I125" s="15">
        <f t="shared" si="62"/>
        <v>0</v>
      </c>
      <c r="J125" s="15">
        <f t="shared" si="62"/>
        <v>0</v>
      </c>
      <c r="K125" s="15">
        <f t="shared" si="62"/>
        <v>0</v>
      </c>
      <c r="L125" s="15">
        <f t="shared" si="62"/>
        <v>0</v>
      </c>
      <c r="M125" s="15">
        <f t="shared" si="62"/>
        <v>3338.8977172134619</v>
      </c>
      <c r="N125" s="35"/>
      <c r="O125" s="35"/>
      <c r="P125" s="35"/>
      <c r="Q125" s="34"/>
    </row>
    <row r="126" spans="1:17" x14ac:dyDescent="0.25">
      <c r="A126" s="31" t="s">
        <v>90</v>
      </c>
      <c r="D126" s="41">
        <f>Amort!F19</f>
        <v>1867671.6433895195</v>
      </c>
      <c r="E126" s="41">
        <f>Amort!F31</f>
        <v>1823247.5794967387</v>
      </c>
      <c r="F126" s="41">
        <f>Amort!F43</f>
        <v>1777700.0995751822</v>
      </c>
      <c r="G126" s="41">
        <f>Amort!F55</f>
        <v>1731000.7941669319</v>
      </c>
      <c r="H126" s="41">
        <f>Amort!F67</f>
        <v>1683120.5353827158</v>
      </c>
      <c r="I126" s="41">
        <f>Amort!F79</f>
        <v>1634029.458733886</v>
      </c>
      <c r="J126" s="41">
        <f>Amort!F91</f>
        <v>1583696.9445049593</v>
      </c>
      <c r="K126" s="41">
        <f>Amort!F103</f>
        <v>1532091.5986550932</v>
      </c>
      <c r="L126" s="41">
        <f>Amort!F115</f>
        <v>1479181.2332365955</v>
      </c>
      <c r="M126" s="41">
        <f>Amort!F127</f>
        <v>1424932.8463182419</v>
      </c>
      <c r="N126" s="47">
        <v>0.05</v>
      </c>
      <c r="O126" s="35"/>
      <c r="P126" s="47">
        <v>0.7</v>
      </c>
      <c r="Q126" s="34"/>
    </row>
    <row r="127" spans="1:17" x14ac:dyDescent="0.25">
      <c r="A127" s="31" t="s">
        <v>91</v>
      </c>
      <c r="D127" s="15">
        <f>D81/12*$N$127</f>
        <v>11666.666666666666</v>
      </c>
      <c r="E127" s="15">
        <f>E81/12*$N$127</f>
        <v>11666.666666666666</v>
      </c>
      <c r="F127" s="15">
        <f>F81/12*$N$127</f>
        <v>11666.666666666666</v>
      </c>
      <c r="G127" s="15">
        <f>G81/12*$N$127</f>
        <v>11666.666666666666</v>
      </c>
      <c r="H127" s="15">
        <f>H81/12*$N$127</f>
        <v>11666.666666666666</v>
      </c>
      <c r="I127" s="15">
        <f>I81/12</f>
        <v>11666.666666666666</v>
      </c>
      <c r="J127" s="15">
        <f>J81/12</f>
        <v>11666.666666666666</v>
      </c>
      <c r="K127" s="15">
        <f>K81/12</f>
        <v>11666.666666666666</v>
      </c>
      <c r="L127" s="15">
        <f>L81/12</f>
        <v>11666.666666666666</v>
      </c>
      <c r="M127" s="15">
        <f>M81/12</f>
        <v>11666.666666666666</v>
      </c>
      <c r="N127" s="35">
        <v>1</v>
      </c>
      <c r="O127" s="35" t="s">
        <v>148</v>
      </c>
      <c r="P127" s="35"/>
      <c r="Q127" s="34"/>
    </row>
    <row r="128" spans="1:17" x14ac:dyDescent="0.25">
      <c r="A128" s="31" t="s">
        <v>136</v>
      </c>
      <c r="D128" s="10">
        <v>837243.37944039667</v>
      </c>
      <c r="E128" s="10">
        <v>926064.52380035131</v>
      </c>
      <c r="F128" s="10">
        <v>1011156.3550190519</v>
      </c>
      <c r="G128" s="10">
        <v>1085286.5301366053</v>
      </c>
      <c r="H128" s="10">
        <v>1153109.8862592163</v>
      </c>
      <c r="I128" s="10">
        <v>587879.78105737281</v>
      </c>
      <c r="J128" s="10">
        <v>565664.47923933284</v>
      </c>
      <c r="K128" s="10">
        <v>544763.81080348417</v>
      </c>
      <c r="L128" s="10">
        <v>525167.90479341114</v>
      </c>
      <c r="M128" s="10">
        <v>493554.17227148212</v>
      </c>
      <c r="N128" s="47">
        <v>7.0000000000000007E-2</v>
      </c>
      <c r="O128" s="35"/>
      <c r="P128" s="35">
        <f>(D109+D108)*P126</f>
        <v>1910999.9999999998</v>
      </c>
      <c r="Q128" s="34"/>
    </row>
    <row r="129" spans="1:23" x14ac:dyDescent="0.25">
      <c r="N129" s="35"/>
      <c r="O129" s="35"/>
      <c r="P129" s="35"/>
      <c r="Q129" s="34"/>
    </row>
    <row r="130" spans="1:23" x14ac:dyDescent="0.25">
      <c r="A130" s="31" t="s">
        <v>88</v>
      </c>
      <c r="D130" s="31">
        <v>95000</v>
      </c>
      <c r="E130" s="31">
        <v>95000</v>
      </c>
      <c r="F130" s="31">
        <v>95000</v>
      </c>
      <c r="G130" s="31">
        <v>95000</v>
      </c>
      <c r="H130" s="31">
        <v>95000</v>
      </c>
      <c r="I130" s="31">
        <v>95000</v>
      </c>
      <c r="J130" s="31">
        <v>95000</v>
      </c>
      <c r="K130" s="31">
        <v>95000</v>
      </c>
      <c r="L130" s="31">
        <v>95000</v>
      </c>
      <c r="M130" s="31">
        <v>95000</v>
      </c>
      <c r="N130" s="35"/>
      <c r="O130" s="35"/>
      <c r="P130" s="35"/>
      <c r="Q130" s="34"/>
    </row>
    <row r="131" spans="1:23" x14ac:dyDescent="0.25">
      <c r="A131" s="31" t="s">
        <v>92</v>
      </c>
      <c r="D131" s="13">
        <f>C131+D98</f>
        <v>-120471.55446722958</v>
      </c>
      <c r="E131" s="13">
        <f>D131+E98</f>
        <v>-237375.84922011723</v>
      </c>
      <c r="F131" s="13">
        <f>E131+F98</f>
        <v>-349427.41480297502</v>
      </c>
      <c r="G131" s="13">
        <f>F131+G98</f>
        <v>-449365.49879799271</v>
      </c>
      <c r="H131" s="13">
        <f>G131+H98</f>
        <v>-541815.81042210211</v>
      </c>
      <c r="I131" s="13">
        <f>IF(I98&lt;0,0,H131+I98)</f>
        <v>0</v>
      </c>
      <c r="J131" s="13">
        <f>IF(J98&lt;0,0,I131+J98)</f>
        <v>0</v>
      </c>
      <c r="K131" s="13">
        <f>IF(K98&lt;0,0,J131+K98)</f>
        <v>0</v>
      </c>
      <c r="L131" s="13">
        <f>IF(L98&lt;0,0,K131+L98)</f>
        <v>0</v>
      </c>
      <c r="M131" s="13">
        <f>IF(M98&lt;0,0,L131+M98)</f>
        <v>10016.693151640386</v>
      </c>
      <c r="N131" s="35"/>
      <c r="O131" s="68"/>
      <c r="P131" s="35"/>
      <c r="Q131" s="34"/>
    </row>
    <row r="132" spans="1:23" x14ac:dyDescent="0.25"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35"/>
      <c r="O132" s="35"/>
      <c r="P132" s="35"/>
      <c r="Q132" s="34"/>
    </row>
    <row r="133" spans="1:23" x14ac:dyDescent="0.25">
      <c r="N133" s="35"/>
      <c r="O133" s="35"/>
      <c r="P133" s="35"/>
      <c r="Q133" s="34"/>
    </row>
    <row r="134" spans="1:23" x14ac:dyDescent="0.25">
      <c r="A134" s="31" t="s">
        <v>93</v>
      </c>
      <c r="D134" s="2">
        <f t="shared" ref="D134:M134" si="63">SUM(D124:D131)</f>
        <v>2694734.7925636</v>
      </c>
      <c r="E134" s="2">
        <f t="shared" si="63"/>
        <v>2622227.5782778864</v>
      </c>
      <c r="F134" s="2">
        <f t="shared" si="63"/>
        <v>2549720.3639921723</v>
      </c>
      <c r="G134" s="2">
        <f t="shared" si="63"/>
        <v>2477213.1497064577</v>
      </c>
      <c r="H134" s="2">
        <f t="shared" si="63"/>
        <v>2404705.9354207432</v>
      </c>
      <c r="I134" s="2">
        <f t="shared" si="63"/>
        <v>2332200.563992172</v>
      </c>
      <c r="J134" s="2">
        <f t="shared" si="63"/>
        <v>2259733.2958904109</v>
      </c>
      <c r="K134" s="2">
        <f t="shared" si="63"/>
        <v>2187227.2816046961</v>
      </c>
      <c r="L134" s="2">
        <f t="shared" si="63"/>
        <v>2114721.0101761254</v>
      </c>
      <c r="M134" s="2">
        <f t="shared" si="63"/>
        <v>2042214.4816046967</v>
      </c>
      <c r="N134" s="64"/>
      <c r="O134" s="35"/>
      <c r="P134" s="35"/>
      <c r="Q134" s="34"/>
    </row>
    <row r="135" spans="1:23" x14ac:dyDescent="0.25">
      <c r="N135" s="35"/>
      <c r="O135" s="35"/>
      <c r="P135" s="35"/>
      <c r="Q135" s="34"/>
    </row>
    <row r="136" spans="1:23" x14ac:dyDescent="0.25">
      <c r="A136" s="31" t="s">
        <v>100</v>
      </c>
      <c r="D136" s="15">
        <f t="shared" ref="D136:M136" si="64">D121-D134</f>
        <v>0</v>
      </c>
      <c r="E136" s="15">
        <f t="shared" si="64"/>
        <v>0</v>
      </c>
      <c r="F136" s="15">
        <f t="shared" si="64"/>
        <v>0</v>
      </c>
      <c r="G136" s="15">
        <f t="shared" si="64"/>
        <v>0</v>
      </c>
      <c r="H136" s="15">
        <f t="shared" si="64"/>
        <v>0</v>
      </c>
      <c r="I136" s="15">
        <f t="shared" si="64"/>
        <v>0</v>
      </c>
      <c r="J136" s="15">
        <f t="shared" si="64"/>
        <v>0</v>
      </c>
      <c r="K136" s="15">
        <f t="shared" si="64"/>
        <v>0</v>
      </c>
      <c r="L136" s="15">
        <f t="shared" si="64"/>
        <v>0</v>
      </c>
      <c r="M136" s="15">
        <f t="shared" si="64"/>
        <v>0</v>
      </c>
      <c r="N136" s="35"/>
      <c r="O136" s="35"/>
      <c r="P136" s="35"/>
      <c r="Q136" s="34"/>
    </row>
    <row r="138" spans="1:23" x14ac:dyDescent="0.25">
      <c r="A138" s="31" t="s">
        <v>137</v>
      </c>
      <c r="C138" s="32">
        <v>0</v>
      </c>
      <c r="D138" s="32">
        <v>1</v>
      </c>
      <c r="E138" s="32">
        <v>2</v>
      </c>
      <c r="F138" s="32">
        <v>3</v>
      </c>
      <c r="G138" s="32">
        <v>4</v>
      </c>
      <c r="H138" s="32">
        <v>5</v>
      </c>
      <c r="I138" s="32">
        <v>6</v>
      </c>
      <c r="J138" s="32">
        <v>7</v>
      </c>
      <c r="K138" s="32">
        <v>8</v>
      </c>
      <c r="L138" s="32">
        <v>9</v>
      </c>
      <c r="M138" s="32">
        <v>10</v>
      </c>
      <c r="O138" s="35" t="s">
        <v>107</v>
      </c>
      <c r="P138" s="35"/>
      <c r="Q138" s="35"/>
      <c r="R138" s="35"/>
      <c r="S138" s="34"/>
    </row>
    <row r="139" spans="1:23" ht="15.75" x14ac:dyDescent="0.25">
      <c r="A139" s="52" t="s">
        <v>138</v>
      </c>
      <c r="C139" s="30"/>
      <c r="D139" s="27">
        <f t="shared" ref="D139:M139" si="65">D88</f>
        <v>56416.25</v>
      </c>
      <c r="E139" s="27">
        <f t="shared" si="65"/>
        <v>65105.282537238032</v>
      </c>
      <c r="F139" s="27">
        <f t="shared" si="65"/>
        <v>74791.0238638015</v>
      </c>
      <c r="G139" s="27">
        <f t="shared" si="65"/>
        <v>90941.792223176803</v>
      </c>
      <c r="H139" s="27">
        <f t="shared" si="65"/>
        <v>101996.24614670186</v>
      </c>
      <c r="I139" s="27">
        <f t="shared" si="65"/>
        <v>93598.196990824072</v>
      </c>
      <c r="J139" s="27">
        <f t="shared" si="65"/>
        <v>112874.43714468996</v>
      </c>
      <c r="K139" s="27">
        <f t="shared" si="65"/>
        <v>125978.26464138424</v>
      </c>
      <c r="L139" s="27">
        <f t="shared" si="65"/>
        <v>140075.09090166679</v>
      </c>
      <c r="M139" s="27">
        <f t="shared" si="65"/>
        <v>155265.62052638625</v>
      </c>
      <c r="O139" s="51">
        <f>R150+Q148</f>
        <v>0.119614</v>
      </c>
      <c r="V139" s="35"/>
      <c r="W139" s="35"/>
    </row>
    <row r="140" spans="1:23" ht="15.75" x14ac:dyDescent="0.25">
      <c r="A140" s="52" t="s">
        <v>139</v>
      </c>
      <c r="C140" s="30"/>
      <c r="D140" s="54">
        <f t="shared" ref="D140:I140" si="66">SUM(D90:D91)</f>
        <v>71000</v>
      </c>
      <c r="E140" s="54">
        <f t="shared" si="66"/>
        <v>71000</v>
      </c>
      <c r="F140" s="54">
        <f t="shared" si="66"/>
        <v>71000</v>
      </c>
      <c r="G140" s="54">
        <f t="shared" si="66"/>
        <v>71000</v>
      </c>
      <c r="H140" s="54">
        <f t="shared" si="66"/>
        <v>71000</v>
      </c>
      <c r="I140" s="54">
        <f t="shared" si="66"/>
        <v>71000.100000000006</v>
      </c>
      <c r="J140" s="54">
        <f>SUM(J90:J92,)</f>
        <v>71000.2</v>
      </c>
      <c r="K140" s="54">
        <f t="shared" ref="K140:M140" si="67">SUM(K90:K92,)</f>
        <v>71000.3</v>
      </c>
      <c r="L140" s="54">
        <f t="shared" si="67"/>
        <v>71000.399999999994</v>
      </c>
      <c r="M140" s="54">
        <f t="shared" si="67"/>
        <v>71000.5</v>
      </c>
      <c r="V140" s="35"/>
      <c r="W140" s="35"/>
    </row>
    <row r="141" spans="1:23" ht="15.75" x14ac:dyDescent="0.25">
      <c r="A141" s="52" t="s">
        <v>140</v>
      </c>
      <c r="C141" s="30"/>
      <c r="D141" s="44">
        <f>D139-D140</f>
        <v>-14583.75</v>
      </c>
      <c r="E141" s="44">
        <f t="shared" ref="E141:M141" si="68">E139-E140</f>
        <v>-5894.7174627619679</v>
      </c>
      <c r="F141" s="44">
        <f t="shared" si="68"/>
        <v>3791.0238638014998</v>
      </c>
      <c r="G141" s="44">
        <f t="shared" si="68"/>
        <v>19941.792223176803</v>
      </c>
      <c r="H141" s="44">
        <f t="shared" si="68"/>
        <v>30996.246146701858</v>
      </c>
      <c r="I141" s="44">
        <f t="shared" si="68"/>
        <v>22598.096990824066</v>
      </c>
      <c r="J141" s="44">
        <f t="shared" si="68"/>
        <v>41874.237144689963</v>
      </c>
      <c r="K141" s="44">
        <f t="shared" si="68"/>
        <v>54977.964641384242</v>
      </c>
      <c r="L141" s="44">
        <f t="shared" si="68"/>
        <v>69074.690901666792</v>
      </c>
      <c r="M141" s="44">
        <f t="shared" si="68"/>
        <v>84265.12052638625</v>
      </c>
      <c r="O141" s="56" t="s">
        <v>111</v>
      </c>
      <c r="V141" s="35"/>
      <c r="W141" s="35"/>
    </row>
    <row r="142" spans="1:23" ht="15.75" x14ac:dyDescent="0.25">
      <c r="A142" s="52" t="s">
        <v>141</v>
      </c>
      <c r="C142" s="30"/>
      <c r="D142" s="44">
        <f>-D141*$N$97</f>
        <v>3645.9375</v>
      </c>
      <c r="E142" s="44">
        <f t="shared" ref="E142:M142" si="69">-E141*$N$97</f>
        <v>1473.679365690492</v>
      </c>
      <c r="F142" s="44">
        <f t="shared" si="69"/>
        <v>-947.75596595037496</v>
      </c>
      <c r="G142" s="44">
        <f t="shared" si="69"/>
        <v>-4985.4480557942006</v>
      </c>
      <c r="H142" s="44">
        <f t="shared" si="69"/>
        <v>-7749.0615366754646</v>
      </c>
      <c r="I142" s="44">
        <f t="shared" si="69"/>
        <v>-5649.5242477060165</v>
      </c>
      <c r="J142" s="44">
        <f t="shared" si="69"/>
        <v>-10468.559286172491</v>
      </c>
      <c r="K142" s="44">
        <f t="shared" si="69"/>
        <v>-13744.49116034606</v>
      </c>
      <c r="L142" s="44">
        <f t="shared" si="69"/>
        <v>-17268.672725416698</v>
      </c>
      <c r="M142" s="44">
        <f t="shared" si="69"/>
        <v>-21066.280131596563</v>
      </c>
      <c r="O142" s="61">
        <f>(U153*R145)+(S157*O139)</f>
        <v>4.5420249037613082E-2</v>
      </c>
      <c r="V142" s="35"/>
      <c r="W142" s="35"/>
    </row>
    <row r="143" spans="1:23" ht="15.75" x14ac:dyDescent="0.25">
      <c r="A143" s="52" t="s">
        <v>142</v>
      </c>
      <c r="C143" s="30"/>
      <c r="D143" s="54">
        <f>D140</f>
        <v>71000</v>
      </c>
      <c r="E143" s="54">
        <f t="shared" ref="E143:M143" si="70">E140</f>
        <v>71000</v>
      </c>
      <c r="F143" s="54">
        <f t="shared" si="70"/>
        <v>71000</v>
      </c>
      <c r="G143" s="54">
        <f t="shared" si="70"/>
        <v>71000</v>
      </c>
      <c r="H143" s="54">
        <f t="shared" si="70"/>
        <v>71000</v>
      </c>
      <c r="I143" s="54">
        <f t="shared" si="70"/>
        <v>71000.100000000006</v>
      </c>
      <c r="J143" s="54">
        <f t="shared" si="70"/>
        <v>71000.2</v>
      </c>
      <c r="K143" s="54">
        <f t="shared" si="70"/>
        <v>71000.3</v>
      </c>
      <c r="L143" s="54">
        <f t="shared" si="70"/>
        <v>71000.399999999994</v>
      </c>
      <c r="M143" s="54">
        <f t="shared" si="70"/>
        <v>71000.5</v>
      </c>
      <c r="W143" s="35"/>
    </row>
    <row r="144" spans="1:23" ht="15.75" x14ac:dyDescent="0.25">
      <c r="A144" s="53" t="s">
        <v>143</v>
      </c>
      <c r="C144" s="30"/>
      <c r="D144" s="44">
        <f>SUM(D141:D143)</f>
        <v>60062.1875</v>
      </c>
      <c r="E144" s="44">
        <f t="shared" ref="E144:M144" si="71">SUM(E141:E143)</f>
        <v>66578.961902928524</v>
      </c>
      <c r="F144" s="44">
        <f t="shared" si="71"/>
        <v>73843.267897851125</v>
      </c>
      <c r="G144" s="44">
        <f t="shared" si="71"/>
        <v>85956.344167382602</v>
      </c>
      <c r="H144" s="44">
        <f t="shared" si="71"/>
        <v>94247.184610026394</v>
      </c>
      <c r="I144" s="44">
        <f t="shared" si="71"/>
        <v>87948.672743118048</v>
      </c>
      <c r="J144" s="44">
        <f t="shared" si="71"/>
        <v>102405.87785851747</v>
      </c>
      <c r="K144" s="44">
        <f t="shared" si="71"/>
        <v>112233.77348103818</v>
      </c>
      <c r="L144" s="44">
        <f t="shared" si="71"/>
        <v>122806.4181762501</v>
      </c>
      <c r="M144" s="44">
        <f t="shared" si="71"/>
        <v>134199.3403947897</v>
      </c>
      <c r="Q144" s="27"/>
      <c r="R144" s="27" t="s">
        <v>116</v>
      </c>
      <c r="S144" s="27"/>
      <c r="T144" s="27"/>
      <c r="U144" s="27"/>
      <c r="W144" s="35"/>
    </row>
    <row r="145" spans="1:23" x14ac:dyDescent="0.25">
      <c r="B145" s="30"/>
      <c r="C145" s="30"/>
      <c r="D145" s="30"/>
      <c r="P145" s="30" t="s">
        <v>104</v>
      </c>
      <c r="Q145" s="29">
        <f>T154</f>
        <v>5.514524380398772E-2</v>
      </c>
      <c r="R145" s="28">
        <f>Q145*R146</f>
        <v>4.135893285299079E-2</v>
      </c>
      <c r="S145" s="27"/>
      <c r="T145" s="27"/>
      <c r="U145" s="27"/>
      <c r="W145" s="35"/>
    </row>
    <row r="146" spans="1:23" x14ac:dyDescent="0.25">
      <c r="A146" s="59" t="s">
        <v>149</v>
      </c>
      <c r="B146" s="60"/>
      <c r="C146" s="30"/>
      <c r="D146" s="30"/>
      <c r="H146" s="16"/>
      <c r="P146" s="31" t="s">
        <v>164</v>
      </c>
      <c r="Q146" s="42">
        <f>N97</f>
        <v>0.25</v>
      </c>
      <c r="R146" s="42">
        <f>1-Q146</f>
        <v>0.75</v>
      </c>
      <c r="S146" s="30"/>
      <c r="T146" s="27"/>
      <c r="U146" s="27"/>
      <c r="W146" s="35"/>
    </row>
    <row r="147" spans="1:23" x14ac:dyDescent="0.25">
      <c r="A147" s="60"/>
      <c r="B147" s="60" t="s">
        <v>150</v>
      </c>
      <c r="C147" s="62">
        <f>-D109</f>
        <v>-2070000</v>
      </c>
      <c r="D147" s="30"/>
      <c r="J147" s="16"/>
      <c r="M147" s="16">
        <f>1.47*(M109-M110)</f>
        <v>2028600</v>
      </c>
      <c r="N147" s="16">
        <f>M147-(M109-M110)</f>
        <v>648600</v>
      </c>
      <c r="P147" s="30" t="s">
        <v>105</v>
      </c>
      <c r="Q147" s="29"/>
      <c r="R147" s="30"/>
      <c r="S147" s="30"/>
      <c r="T147" s="30"/>
      <c r="U147" s="27"/>
    </row>
    <row r="148" spans="1:23" x14ac:dyDescent="0.25">
      <c r="A148" s="60"/>
      <c r="B148" s="60" t="s">
        <v>151</v>
      </c>
      <c r="C148" s="30"/>
      <c r="D148" s="30"/>
      <c r="M148" s="31">
        <f>-(N147*N97)</f>
        <v>-162150</v>
      </c>
      <c r="P148" s="31" t="s">
        <v>165</v>
      </c>
      <c r="Q148" s="29">
        <v>1.5E-3</v>
      </c>
      <c r="R148" s="30" t="s">
        <v>106</v>
      </c>
      <c r="S148" s="30"/>
      <c r="T148" s="30"/>
      <c r="U148" s="27"/>
    </row>
    <row r="149" spans="1:23" x14ac:dyDescent="0.25">
      <c r="A149" s="60"/>
      <c r="B149" s="60" t="s">
        <v>152</v>
      </c>
      <c r="C149" s="30"/>
      <c r="D149" s="30"/>
      <c r="P149" s="30" t="s">
        <v>108</v>
      </c>
      <c r="Q149" s="29">
        <v>8.2400000000000001E-2</v>
      </c>
      <c r="R149" s="29">
        <f>Q149-Q148</f>
        <v>8.09E-2</v>
      </c>
      <c r="S149" s="30"/>
      <c r="T149" s="29"/>
      <c r="W149" s="35"/>
    </row>
    <row r="150" spans="1:23" x14ac:dyDescent="0.25">
      <c r="A150" s="60"/>
      <c r="B150" s="60"/>
      <c r="C150" s="30"/>
      <c r="D150" s="30"/>
      <c r="P150" s="30" t="s">
        <v>109</v>
      </c>
      <c r="Q150" s="30">
        <v>1.46</v>
      </c>
      <c r="R150" s="28">
        <f>R149*Q150</f>
        <v>0.118114</v>
      </c>
      <c r="S150" s="30"/>
      <c r="T150" s="30"/>
      <c r="W150" s="35"/>
    </row>
    <row r="151" spans="1:23" x14ac:dyDescent="0.25">
      <c r="A151" s="59" t="s">
        <v>153</v>
      </c>
      <c r="B151" s="60"/>
      <c r="C151" s="30"/>
      <c r="D151" s="30"/>
      <c r="T151" s="30"/>
      <c r="W151" s="35"/>
    </row>
    <row r="152" spans="1:23" x14ac:dyDescent="0.25">
      <c r="A152" s="60" t="s">
        <v>154</v>
      </c>
      <c r="B152" s="60" t="s">
        <v>155</v>
      </c>
      <c r="C152" s="30"/>
      <c r="D152" s="30"/>
      <c r="R152" s="31" t="s">
        <v>169</v>
      </c>
      <c r="T152" s="30"/>
      <c r="W152" s="35"/>
    </row>
    <row r="153" spans="1:23" x14ac:dyDescent="0.25">
      <c r="A153" s="60" t="s">
        <v>154</v>
      </c>
      <c r="B153" s="60" t="s">
        <v>54</v>
      </c>
      <c r="C153" s="30"/>
      <c r="D153" s="57">
        <f>-(D105-C105)</f>
        <v>-1691.5068493150686</v>
      </c>
      <c r="E153" s="57">
        <f>-(E105-D105)</f>
        <v>0</v>
      </c>
      <c r="F153" s="57">
        <f>-(F105-E105)</f>
        <v>0</v>
      </c>
      <c r="G153" s="57">
        <f>-(G105-F105)</f>
        <v>0</v>
      </c>
      <c r="H153" s="57">
        <f>-(H105-G105)</f>
        <v>0</v>
      </c>
      <c r="I153" s="57">
        <f t="shared" ref="I153:M153" si="72">-(I105-H105)</f>
        <v>0</v>
      </c>
      <c r="J153" s="57">
        <f t="shared" si="72"/>
        <v>-37.589041095890252</v>
      </c>
      <c r="K153" s="57">
        <f t="shared" si="72"/>
        <v>0</v>
      </c>
      <c r="L153" s="57">
        <f t="shared" si="72"/>
        <v>0</v>
      </c>
      <c r="M153" s="57">
        <f t="shared" si="72"/>
        <v>0</v>
      </c>
      <c r="P153" s="30" t="s">
        <v>110</v>
      </c>
      <c r="Q153" s="55">
        <f>M126</f>
        <v>1424932.8463182419</v>
      </c>
      <c r="R153" s="30">
        <f>Q153/SUM(Q153:Q154)</f>
        <v>0.74273780980061421</v>
      </c>
      <c r="S153" s="31">
        <v>0.05</v>
      </c>
      <c r="T153" s="30"/>
      <c r="U153" s="65">
        <f>(Q153+Q154)/(Q159)</f>
        <v>0.94810155645266081</v>
      </c>
      <c r="W153" s="35"/>
    </row>
    <row r="154" spans="1:23" x14ac:dyDescent="0.25">
      <c r="A154" s="60" t="s">
        <v>156</v>
      </c>
      <c r="B154" s="60" t="s">
        <v>89</v>
      </c>
      <c r="C154" s="30"/>
      <c r="D154" s="57">
        <f>D124-C124</f>
        <v>3624.6575342465753</v>
      </c>
      <c r="E154" s="57">
        <f t="shared" ref="E154:M154" si="73">E124-D124</f>
        <v>0</v>
      </c>
      <c r="F154" s="57">
        <f t="shared" si="73"/>
        <v>0</v>
      </c>
      <c r="G154" s="57">
        <f t="shared" si="73"/>
        <v>0</v>
      </c>
      <c r="H154" s="57">
        <f t="shared" si="73"/>
        <v>0</v>
      </c>
      <c r="I154" s="57">
        <f t="shared" si="73"/>
        <v>0</v>
      </c>
      <c r="J154" s="57">
        <f t="shared" si="73"/>
        <v>80.547945205479664</v>
      </c>
      <c r="K154" s="57">
        <f t="shared" si="73"/>
        <v>0</v>
      </c>
      <c r="L154" s="57">
        <f t="shared" si="73"/>
        <v>0</v>
      </c>
      <c r="M154" s="57">
        <f t="shared" si="73"/>
        <v>0</v>
      </c>
      <c r="P154" s="30" t="s">
        <v>112</v>
      </c>
      <c r="Q154" s="27">
        <f>M128</f>
        <v>493554.17227148212</v>
      </c>
      <c r="R154" s="30">
        <f>Q154/SUM(Q153:Q154)</f>
        <v>0.25726219019938579</v>
      </c>
      <c r="S154" s="43">
        <v>7.0000000000000007E-2</v>
      </c>
      <c r="T154" s="30">
        <f>R153*S153+R154*S154</f>
        <v>5.514524380398772E-2</v>
      </c>
      <c r="U154" s="30"/>
    </row>
    <row r="155" spans="1:23" x14ac:dyDescent="0.25">
      <c r="A155" s="60" t="s">
        <v>156</v>
      </c>
      <c r="B155" s="60" t="s">
        <v>157</v>
      </c>
      <c r="C155" s="30"/>
      <c r="D155" s="44">
        <f>-(D142-C142)</f>
        <v>-3645.9375</v>
      </c>
      <c r="E155" s="44">
        <f t="shared" ref="E155:M155" si="74">-(E142-D142)</f>
        <v>2172.258134309508</v>
      </c>
      <c r="F155" s="44">
        <f t="shared" si="74"/>
        <v>2421.4353316408669</v>
      </c>
      <c r="G155" s="44">
        <f t="shared" si="74"/>
        <v>4037.6920898438257</v>
      </c>
      <c r="H155" s="44">
        <f t="shared" si="74"/>
        <v>2763.613480881264</v>
      </c>
      <c r="I155" s="44">
        <f t="shared" si="74"/>
        <v>-2099.5372889694481</v>
      </c>
      <c r="J155" s="44">
        <f t="shared" si="74"/>
        <v>4819.0350384664744</v>
      </c>
      <c r="K155" s="44">
        <f t="shared" si="74"/>
        <v>3275.9318741735697</v>
      </c>
      <c r="L155" s="44">
        <f t="shared" si="74"/>
        <v>3524.1815650706376</v>
      </c>
      <c r="M155" s="44">
        <f t="shared" si="74"/>
        <v>3797.6074061798645</v>
      </c>
      <c r="N155" s="35"/>
      <c r="O155" s="35"/>
      <c r="P155" s="30"/>
      <c r="Q155" s="27"/>
      <c r="R155" s="66">
        <f>SUM(Q153:Q154)/Q159</f>
        <v>0.94810155645266081</v>
      </c>
      <c r="S155" s="30"/>
      <c r="T155" s="30"/>
      <c r="U155" s="30"/>
    </row>
    <row r="156" spans="1:23" x14ac:dyDescent="0.25">
      <c r="A156" s="60"/>
      <c r="B156" s="60"/>
      <c r="C156" s="30"/>
      <c r="D156" s="30"/>
      <c r="E156" s="30"/>
      <c r="F156" s="30"/>
      <c r="G156" s="30"/>
      <c r="H156" s="30"/>
      <c r="I156" s="30"/>
      <c r="J156" s="30"/>
      <c r="N156" s="34"/>
      <c r="O156" s="34"/>
      <c r="P156" s="30" t="s">
        <v>105</v>
      </c>
      <c r="R156" s="55"/>
      <c r="S156" s="30"/>
      <c r="T156" s="30"/>
      <c r="U156" s="30"/>
    </row>
    <row r="157" spans="1:23" x14ac:dyDescent="0.25">
      <c r="A157" s="59" t="s">
        <v>158</v>
      </c>
      <c r="B157" s="60"/>
      <c r="C157" s="30"/>
      <c r="D157" s="30"/>
      <c r="E157" s="30"/>
      <c r="F157" s="30"/>
      <c r="G157" s="30"/>
      <c r="H157" s="30"/>
      <c r="I157" s="30"/>
      <c r="J157" s="30"/>
      <c r="N157" s="34"/>
      <c r="O157" s="34"/>
      <c r="P157" s="30" t="s">
        <v>113</v>
      </c>
      <c r="Q157" s="30">
        <f>M130</f>
        <v>95000</v>
      </c>
      <c r="R157" s="44">
        <f>SUM(Q157:Q158)/Q159</f>
        <v>5.1898443547339121E-2</v>
      </c>
      <c r="S157" s="65">
        <f>SUM(Q157:Q158)/Q159</f>
        <v>5.1898443547339121E-2</v>
      </c>
      <c r="T157" s="30"/>
      <c r="U157" s="30"/>
    </row>
    <row r="158" spans="1:23" x14ac:dyDescent="0.25">
      <c r="A158" s="60" t="s">
        <v>156</v>
      </c>
      <c r="B158" s="60" t="s">
        <v>155</v>
      </c>
      <c r="C158" s="30"/>
      <c r="D158" s="30"/>
      <c r="E158" s="30"/>
      <c r="F158" s="30"/>
      <c r="G158" s="30"/>
      <c r="H158" s="30"/>
      <c r="I158" s="30"/>
      <c r="J158" s="30"/>
      <c r="N158" s="34"/>
      <c r="O158" s="34"/>
      <c r="P158" s="30" t="s">
        <v>114</v>
      </c>
      <c r="Q158" s="27">
        <f>M131</f>
        <v>10016.693151640386</v>
      </c>
      <c r="R158" s="30"/>
      <c r="S158" s="43"/>
      <c r="T158" s="30"/>
      <c r="U158" s="30"/>
    </row>
    <row r="159" spans="1:23" x14ac:dyDescent="0.25">
      <c r="A159" s="60" t="s">
        <v>156</v>
      </c>
      <c r="B159" s="60" t="s">
        <v>54</v>
      </c>
      <c r="C159" s="30"/>
      <c r="D159" s="30"/>
      <c r="E159" s="27"/>
      <c r="F159" s="27"/>
      <c r="G159" s="27"/>
      <c r="H159" s="27"/>
      <c r="I159" s="30"/>
      <c r="J159" s="30"/>
      <c r="M159" s="15">
        <f>M105</f>
        <v>1729.0958904109589</v>
      </c>
      <c r="N159" s="34"/>
      <c r="O159" s="34"/>
      <c r="P159" s="30" t="s">
        <v>115</v>
      </c>
      <c r="Q159" s="27">
        <f>SUM(Q153:Q158)</f>
        <v>2023503.7117413646</v>
      </c>
      <c r="R159" s="30"/>
      <c r="S159" s="30"/>
      <c r="T159" s="34"/>
    </row>
    <row r="160" spans="1:23" x14ac:dyDescent="0.25">
      <c r="A160" s="60" t="s">
        <v>154</v>
      </c>
      <c r="B160" s="60" t="s">
        <v>89</v>
      </c>
      <c r="C160" s="30"/>
      <c r="D160" s="30"/>
      <c r="E160" s="27"/>
      <c r="F160" s="27"/>
      <c r="G160" s="27"/>
      <c r="H160" s="27"/>
      <c r="I160" s="30"/>
      <c r="J160" s="30"/>
      <c r="M160" s="15">
        <f>-M124</f>
        <v>-3705.205479452055</v>
      </c>
      <c r="N160" s="34"/>
      <c r="O160" s="34"/>
      <c r="Q160" s="27"/>
      <c r="R160" s="30"/>
      <c r="S160" s="30"/>
    </row>
    <row r="161" spans="1:19" x14ac:dyDescent="0.25">
      <c r="A161" s="60" t="s">
        <v>154</v>
      </c>
      <c r="B161" s="60" t="s">
        <v>157</v>
      </c>
      <c r="C161" s="30"/>
      <c r="D161" s="30"/>
      <c r="E161" s="30"/>
      <c r="F161" s="30"/>
      <c r="G161" s="30"/>
      <c r="H161" s="44"/>
      <c r="I161" s="30"/>
      <c r="J161" s="30"/>
      <c r="M161" s="63">
        <f>M142</f>
        <v>-21066.280131596563</v>
      </c>
      <c r="N161" s="34"/>
      <c r="O161" s="34"/>
      <c r="Q161" s="35"/>
      <c r="R161" s="35"/>
      <c r="S161" s="35"/>
    </row>
    <row r="162" spans="1:19" x14ac:dyDescent="0.25">
      <c r="A162" s="60"/>
      <c r="B162" s="60"/>
      <c r="C162" s="30"/>
      <c r="D162" s="30"/>
      <c r="E162" s="27"/>
      <c r="F162" s="27"/>
      <c r="G162" s="27"/>
      <c r="H162" s="27"/>
      <c r="I162" s="30"/>
      <c r="J162" s="30"/>
      <c r="N162" s="34"/>
      <c r="O162" s="34"/>
      <c r="P162" s="30" t="s">
        <v>170</v>
      </c>
      <c r="Q162" s="67">
        <f>Q150/(1+(1-Q146)*(R155/R157))</f>
        <v>9.9310942327481527E-2</v>
      </c>
    </row>
    <row r="163" spans="1:19" x14ac:dyDescent="0.25">
      <c r="A163" s="59" t="s">
        <v>159</v>
      </c>
      <c r="B163" s="60"/>
      <c r="C163" s="58">
        <f>SUM(C144:C162)</f>
        <v>-2070000</v>
      </c>
      <c r="D163" s="58">
        <f t="shared" ref="D163:L163" si="75">SUM(D144:D162)</f>
        <v>58349.400684931505</v>
      </c>
      <c r="E163" s="58">
        <f t="shared" si="75"/>
        <v>68751.220037238032</v>
      </c>
      <c r="F163" s="58">
        <f t="shared" si="75"/>
        <v>76264.703229491992</v>
      </c>
      <c r="G163" s="58">
        <f t="shared" si="75"/>
        <v>89994.036257226428</v>
      </c>
      <c r="H163" s="58">
        <f t="shared" si="75"/>
        <v>97010.798090907658</v>
      </c>
      <c r="I163" s="58">
        <f t="shared" si="75"/>
        <v>85849.135454148607</v>
      </c>
      <c r="J163" s="58">
        <f>SUM(J144:J162)</f>
        <v>107267.87180109354</v>
      </c>
      <c r="K163" s="58">
        <f t="shared" si="75"/>
        <v>115509.70535521174</v>
      </c>
      <c r="L163" s="58">
        <f t="shared" si="75"/>
        <v>126330.59974132074</v>
      </c>
      <c r="M163" s="58">
        <f>SUM(M144:M162)</f>
        <v>1981404.5580803319</v>
      </c>
      <c r="N163" s="34"/>
      <c r="O163" s="34"/>
      <c r="P163" s="34"/>
      <c r="Q163" s="34"/>
    </row>
    <row r="164" spans="1:19" x14ac:dyDescent="0.25">
      <c r="A164" s="60" t="s">
        <v>160</v>
      </c>
      <c r="B164" s="29">
        <f>IRR(C163:M163)</f>
        <v>3.609706164001647E-2</v>
      </c>
      <c r="C164" s="30"/>
      <c r="D164" s="30"/>
      <c r="E164" s="27"/>
      <c r="F164" s="27"/>
      <c r="G164" s="27"/>
      <c r="H164" s="27"/>
      <c r="I164" s="30"/>
      <c r="J164" s="30"/>
      <c r="N164" s="34"/>
      <c r="O164" s="34"/>
      <c r="P164" s="34" t="s">
        <v>171</v>
      </c>
      <c r="Q164" s="34">
        <f>Q162*(1+(1-Q146)*(0.5/0.5))</f>
        <v>0.17379414907309268</v>
      </c>
    </row>
    <row r="165" spans="1:19" x14ac:dyDescent="0.25">
      <c r="B165" s="30"/>
      <c r="C165" s="30"/>
      <c r="D165" s="30"/>
      <c r="E165" s="30"/>
      <c r="F165" s="30"/>
      <c r="G165" s="30"/>
      <c r="H165" s="30"/>
      <c r="I165" s="30"/>
      <c r="J165" s="30"/>
      <c r="N165" s="34"/>
      <c r="O165" s="34"/>
      <c r="P165" s="34"/>
      <c r="Q165" s="34"/>
    </row>
    <row r="166" spans="1:19" x14ac:dyDescent="0.25">
      <c r="A166" s="60" t="s">
        <v>161</v>
      </c>
      <c r="B166" s="30"/>
      <c r="C166" s="55">
        <f t="shared" ref="C166:M166" si="76">-PV($O$142,C138,,C163)</f>
        <v>-2070000</v>
      </c>
      <c r="D166" s="55">
        <f t="shared" si="76"/>
        <v>55814.301223499795</v>
      </c>
      <c r="E166" s="55">
        <f t="shared" si="76"/>
        <v>62906.944867321305</v>
      </c>
      <c r="F166" s="55">
        <f t="shared" si="76"/>
        <v>66749.937159186986</v>
      </c>
      <c r="G166" s="55">
        <f t="shared" si="76"/>
        <v>75344.247412584096</v>
      </c>
      <c r="H166" s="55">
        <f t="shared" si="76"/>
        <v>77690.074586196715</v>
      </c>
      <c r="I166" s="55">
        <f t="shared" si="76"/>
        <v>65764.341982538594</v>
      </c>
      <c r="J166" s="55">
        <f t="shared" si="76"/>
        <v>78601.948044976598</v>
      </c>
      <c r="K166" s="55">
        <f t="shared" si="76"/>
        <v>80963.861546245389</v>
      </c>
      <c r="L166" s="55">
        <f t="shared" si="76"/>
        <v>84701.360776692789</v>
      </c>
      <c r="M166" s="55">
        <f t="shared" si="76"/>
        <v>1270761.5905634626</v>
      </c>
      <c r="N166" s="35"/>
      <c r="O166" s="35"/>
      <c r="P166" s="35"/>
    </row>
    <row r="167" spans="1:19" x14ac:dyDescent="0.25">
      <c r="B167" s="30"/>
      <c r="C167" s="30"/>
      <c r="D167" s="30"/>
      <c r="E167" s="42"/>
      <c r="F167" s="42"/>
      <c r="G167" s="42"/>
      <c r="H167" s="42"/>
      <c r="I167" s="30"/>
      <c r="J167" s="30"/>
      <c r="N167" s="35"/>
      <c r="O167" s="35"/>
      <c r="P167" s="35"/>
    </row>
    <row r="168" spans="1:19" x14ac:dyDescent="0.25">
      <c r="A168" s="31" t="s">
        <v>162</v>
      </c>
      <c r="B168" s="30"/>
      <c r="C168" s="55">
        <f>SUM(C166:M166)</f>
        <v>-150701.39183729514</v>
      </c>
      <c r="D168" s="30"/>
      <c r="E168" s="44"/>
      <c r="F168" s="44"/>
      <c r="G168" s="44"/>
      <c r="H168" s="44"/>
      <c r="I168" s="30"/>
      <c r="J168" s="30"/>
      <c r="N168" s="35"/>
      <c r="O168" s="35"/>
      <c r="P168" s="35"/>
    </row>
    <row r="169" spans="1:19" x14ac:dyDescent="0.25">
      <c r="B169" s="30"/>
      <c r="C169" s="55"/>
      <c r="D169" s="30"/>
      <c r="E169" s="30"/>
      <c r="F169" s="30"/>
      <c r="G169" s="30"/>
      <c r="H169" s="30"/>
      <c r="I169" s="30"/>
      <c r="J169" s="30"/>
      <c r="N169" s="35"/>
      <c r="O169" s="35"/>
      <c r="P169" s="35"/>
    </row>
    <row r="170" spans="1:19" x14ac:dyDescent="0.25">
      <c r="B170" s="30"/>
      <c r="C170" s="30"/>
      <c r="D170" s="30"/>
      <c r="E170" s="27"/>
      <c r="F170" s="27"/>
      <c r="G170" s="27"/>
      <c r="H170" s="27"/>
      <c r="I170" s="30"/>
      <c r="J170" s="30"/>
      <c r="N170" s="35"/>
      <c r="O170" s="35"/>
      <c r="P170" s="35"/>
    </row>
    <row r="171" spans="1:19" x14ac:dyDescent="0.25">
      <c r="C171" s="31">
        <v>2013</v>
      </c>
      <c r="D171" s="31">
        <v>2014</v>
      </c>
      <c r="E171" s="31">
        <v>2015</v>
      </c>
      <c r="F171" s="31">
        <v>2016</v>
      </c>
      <c r="G171" s="31">
        <v>2017</v>
      </c>
      <c r="H171" s="31">
        <v>2018</v>
      </c>
      <c r="I171" s="31">
        <v>2019</v>
      </c>
      <c r="J171" s="31">
        <v>2020</v>
      </c>
      <c r="K171" s="31">
        <v>2021</v>
      </c>
      <c r="L171" s="31">
        <v>2022</v>
      </c>
      <c r="N171" s="35"/>
      <c r="O171" s="35"/>
      <c r="P171" s="35"/>
    </row>
    <row r="172" spans="1:19" x14ac:dyDescent="0.25">
      <c r="A172" s="31" t="s">
        <v>178</v>
      </c>
      <c r="D172" s="63">
        <f t="shared" ref="D172:L172" si="77">D144</f>
        <v>60062.1875</v>
      </c>
      <c r="E172" s="63">
        <f t="shared" si="77"/>
        <v>66578.961902928524</v>
      </c>
      <c r="F172" s="63">
        <f t="shared" si="77"/>
        <v>73843.267897851125</v>
      </c>
      <c r="G172" s="63">
        <f t="shared" si="77"/>
        <v>85956.344167382602</v>
      </c>
      <c r="H172" s="63">
        <f t="shared" si="77"/>
        <v>94247.184610026394</v>
      </c>
      <c r="I172" s="63">
        <f t="shared" si="77"/>
        <v>87948.672743118048</v>
      </c>
      <c r="J172" s="63">
        <f t="shared" si="77"/>
        <v>102405.87785851747</v>
      </c>
      <c r="K172" s="63">
        <f t="shared" si="77"/>
        <v>112233.77348103818</v>
      </c>
      <c r="L172" s="63">
        <f t="shared" si="77"/>
        <v>122806.4181762501</v>
      </c>
      <c r="N172" s="35"/>
      <c r="O172" s="35"/>
      <c r="P172" s="35"/>
    </row>
    <row r="173" spans="1:19" x14ac:dyDescent="0.25">
      <c r="A173" s="31" t="s">
        <v>177</v>
      </c>
      <c r="C173" s="86">
        <f>SUM(C147)</f>
        <v>-2070000</v>
      </c>
      <c r="J173" s="16">
        <f>J147</f>
        <v>0</v>
      </c>
      <c r="N173" s="35"/>
      <c r="O173" s="35"/>
      <c r="P173" s="35"/>
    </row>
    <row r="174" spans="1:19" x14ac:dyDescent="0.25">
      <c r="A174" s="31" t="s">
        <v>179</v>
      </c>
      <c r="D174" s="15">
        <f t="shared" ref="D174:L174" si="78">SUM(D153:D155)</f>
        <v>-1712.7868150684933</v>
      </c>
      <c r="E174" s="15">
        <f t="shared" si="78"/>
        <v>2172.258134309508</v>
      </c>
      <c r="F174" s="15">
        <f t="shared" si="78"/>
        <v>2421.4353316408669</v>
      </c>
      <c r="G174" s="15">
        <f t="shared" si="78"/>
        <v>4037.6920898438257</v>
      </c>
      <c r="H174" s="15">
        <f t="shared" si="78"/>
        <v>2763.613480881264</v>
      </c>
      <c r="I174" s="15">
        <f t="shared" si="78"/>
        <v>-2099.5372889694481</v>
      </c>
      <c r="J174" s="15">
        <f t="shared" si="78"/>
        <v>4861.993942576064</v>
      </c>
      <c r="K174" s="15">
        <f t="shared" si="78"/>
        <v>3275.9318741735697</v>
      </c>
      <c r="L174" s="15">
        <f t="shared" si="78"/>
        <v>3524.1815650706376</v>
      </c>
      <c r="N174" s="35"/>
      <c r="O174" s="35"/>
      <c r="P174" s="35"/>
    </row>
    <row r="175" spans="1:19" x14ac:dyDescent="0.25">
      <c r="A175" s="31" t="s">
        <v>180</v>
      </c>
      <c r="L175" s="63">
        <f>SUM(M159:M161)</f>
        <v>-23042.389720637657</v>
      </c>
      <c r="N175" s="35"/>
      <c r="O175" s="35"/>
      <c r="P175" s="35"/>
    </row>
    <row r="176" spans="1:19" x14ac:dyDescent="0.25">
      <c r="A176" s="31" t="s">
        <v>181</v>
      </c>
      <c r="C176" s="63">
        <f>SUM(C172:C175)</f>
        <v>-2070000</v>
      </c>
      <c r="D176" s="63">
        <f t="shared" ref="D176:L176" si="79">SUM(D172:D175)</f>
        <v>58349.400684931505</v>
      </c>
      <c r="E176" s="63">
        <f t="shared" si="79"/>
        <v>68751.220037238032</v>
      </c>
      <c r="F176" s="63">
        <f t="shared" si="79"/>
        <v>76264.703229491992</v>
      </c>
      <c r="G176" s="63">
        <f t="shared" si="79"/>
        <v>89994.036257226428</v>
      </c>
      <c r="H176" s="63">
        <f t="shared" si="79"/>
        <v>97010.798090907658</v>
      </c>
      <c r="I176" s="63">
        <f t="shared" si="79"/>
        <v>85849.135454148607</v>
      </c>
      <c r="J176" s="63">
        <f t="shared" si="79"/>
        <v>107267.87180109354</v>
      </c>
      <c r="K176" s="63">
        <f t="shared" si="79"/>
        <v>115509.70535521174</v>
      </c>
      <c r="L176" s="63">
        <f t="shared" si="79"/>
        <v>103288.21002068308</v>
      </c>
      <c r="N176" s="35"/>
      <c r="O176" s="35"/>
      <c r="P176" s="35"/>
    </row>
    <row r="177" spans="2:3" x14ac:dyDescent="0.25">
      <c r="B177" s="31" t="s">
        <v>185</v>
      </c>
      <c r="C177" s="63">
        <f>SUM(C176:L176)</f>
        <v>-1267714.9190690673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Financial Statements</vt:lpstr>
      <vt:lpstr>Finacial statement-Neutral</vt:lpstr>
      <vt:lpstr>Amort</vt:lpstr>
      <vt:lpstr>Good1</vt:lpstr>
      <vt:lpstr>Bad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2013-12-06T21:12:47Z</dcterms:created>
  <dcterms:modified xsi:type="dcterms:W3CDTF">2019-07-26T22:15:11Z</dcterms:modified>
</cp:coreProperties>
</file>