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420" windowWidth="20490" windowHeight="7335"/>
  </bookViews>
  <sheets>
    <sheet name="Forecast" sheetId="1" r:id="rId1"/>
    <sheet name="Mortgage" sheetId="2" r:id="rId2"/>
    <sheet name="WACC" sheetId="3" r:id="rId3"/>
    <sheet name="Free Cash Flows" sheetId="5" r:id="rId4"/>
  </sheets>
  <calcPr calcId="145621"/>
</workbook>
</file>

<file path=xl/calcChain.xml><?xml version="1.0" encoding="utf-8"?>
<calcChain xmlns="http://schemas.openxmlformats.org/spreadsheetml/2006/main">
  <c r="E213" i="1" l="1"/>
  <c r="C11" i="3"/>
  <c r="C209" i="1" l="1"/>
  <c r="C208" i="1"/>
  <c r="H201" i="1"/>
  <c r="O198" i="1"/>
  <c r="C213" i="1" l="1"/>
  <c r="C183" i="1"/>
  <c r="C182" i="1"/>
  <c r="B141" i="1" l="1"/>
  <c r="B171" i="1" s="1"/>
  <c r="B174" i="1" s="1"/>
  <c r="D123" i="1" l="1"/>
  <c r="E123" i="1"/>
  <c r="F123" i="1"/>
  <c r="G123" i="1"/>
  <c r="H123" i="1"/>
  <c r="I123" i="1"/>
  <c r="J123" i="1"/>
  <c r="K123" i="1"/>
  <c r="L123" i="1"/>
  <c r="C123" i="1"/>
  <c r="M73" i="1"/>
  <c r="C122" i="1" s="1"/>
  <c r="D112" i="1"/>
  <c r="E112" i="1" s="1"/>
  <c r="F112" i="1" s="1"/>
  <c r="G112" i="1" s="1"/>
  <c r="H112" i="1" s="1"/>
  <c r="I112" i="1" s="1"/>
  <c r="J112" i="1" s="1"/>
  <c r="K112" i="1" s="1"/>
  <c r="L112" i="1" s="1"/>
  <c r="D111" i="1"/>
  <c r="E111" i="1" s="1"/>
  <c r="F111" i="1" s="1"/>
  <c r="G111" i="1" s="1"/>
  <c r="H111" i="1" s="1"/>
  <c r="I111" i="1" s="1"/>
  <c r="J111" i="1" s="1"/>
  <c r="K111" i="1" s="1"/>
  <c r="L111" i="1" s="1"/>
  <c r="D110" i="1"/>
  <c r="C113" i="1"/>
  <c r="D113" i="1" l="1"/>
  <c r="K122" i="1"/>
  <c r="G122" i="1"/>
  <c r="J122" i="1"/>
  <c r="I122" i="1"/>
  <c r="E122" i="1"/>
  <c r="L122" i="1"/>
  <c r="H122" i="1"/>
  <c r="D122" i="1"/>
  <c r="F122" i="1"/>
  <c r="E110" i="1"/>
  <c r="B26" i="3"/>
  <c r="B22" i="3"/>
  <c r="B21" i="3"/>
  <c r="E17" i="3"/>
  <c r="E12" i="3"/>
  <c r="E11" i="3"/>
  <c r="C12" i="3"/>
  <c r="C8" i="3"/>
  <c r="F21" i="5"/>
  <c r="F23" i="5"/>
  <c r="F27" i="5"/>
  <c r="L98" i="1"/>
  <c r="K98" i="1"/>
  <c r="J98" i="1"/>
  <c r="I98" i="1"/>
  <c r="H98" i="1"/>
  <c r="G98" i="1"/>
  <c r="F139" i="2"/>
  <c r="F138" i="2"/>
  <c r="F137" i="2"/>
  <c r="F136" i="2"/>
  <c r="F135" i="2"/>
  <c r="F134" i="2"/>
  <c r="F133" i="2"/>
  <c r="F132" i="2"/>
  <c r="F131" i="2"/>
  <c r="F130" i="2"/>
  <c r="F129" i="2"/>
  <c r="F128" i="2"/>
  <c r="C128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C114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D100" i="2" s="1"/>
  <c r="E100" i="2"/>
  <c r="C100" i="2"/>
  <c r="F97" i="2"/>
  <c r="F96" i="2"/>
  <c r="F95" i="2"/>
  <c r="F94" i="2"/>
  <c r="F93" i="2"/>
  <c r="F92" i="2"/>
  <c r="F91" i="2"/>
  <c r="F90" i="2"/>
  <c r="F89" i="2"/>
  <c r="F88" i="2"/>
  <c r="F87" i="2"/>
  <c r="F86" i="2"/>
  <c r="C86" i="2"/>
  <c r="F83" i="2"/>
  <c r="F82" i="2"/>
  <c r="F81" i="2"/>
  <c r="F80" i="2"/>
  <c r="F79" i="2"/>
  <c r="F78" i="2"/>
  <c r="F77" i="2"/>
  <c r="F76" i="2"/>
  <c r="F75" i="2"/>
  <c r="F74" i="2"/>
  <c r="F73" i="2"/>
  <c r="F72" i="2"/>
  <c r="C72" i="2"/>
  <c r="E70" i="2"/>
  <c r="D70" i="2"/>
  <c r="C60" i="2"/>
  <c r="E60" i="2" s="1"/>
  <c r="F60" i="2"/>
  <c r="D60" i="2" s="1"/>
  <c r="G60" i="2" s="1"/>
  <c r="C61" i="2" s="1"/>
  <c r="F61" i="2"/>
  <c r="F62" i="2"/>
  <c r="F63" i="2"/>
  <c r="F64" i="2"/>
  <c r="F65" i="2"/>
  <c r="F66" i="2"/>
  <c r="F67" i="2"/>
  <c r="F68" i="2"/>
  <c r="F69" i="2"/>
  <c r="E59" i="2"/>
  <c r="F59" i="2"/>
  <c r="D59" i="2" s="1"/>
  <c r="G59" i="2" s="1"/>
  <c r="C59" i="2"/>
  <c r="F58" i="2"/>
  <c r="D58" i="2" s="1"/>
  <c r="G58" i="2" s="1"/>
  <c r="E58" i="2"/>
  <c r="C58" i="2"/>
  <c r="G73" i="1"/>
  <c r="H73" i="1"/>
  <c r="I73" i="1"/>
  <c r="J73" i="1"/>
  <c r="K73" i="1"/>
  <c r="L73" i="1"/>
  <c r="G74" i="1"/>
  <c r="H74" i="1"/>
  <c r="I74" i="1"/>
  <c r="J74" i="1"/>
  <c r="K74" i="1"/>
  <c r="L74" i="1"/>
  <c r="G56" i="1"/>
  <c r="G80" i="1" s="1"/>
  <c r="H56" i="1"/>
  <c r="H80" i="1" s="1"/>
  <c r="I56" i="1"/>
  <c r="I80" i="1" s="1"/>
  <c r="J56" i="1"/>
  <c r="J80" i="1" s="1"/>
  <c r="K56" i="1"/>
  <c r="K80" i="1" s="1"/>
  <c r="L56" i="1"/>
  <c r="L80" i="1" s="1"/>
  <c r="D42" i="1"/>
  <c r="E42" i="1" s="1"/>
  <c r="F42" i="1" s="1"/>
  <c r="G42" i="1" s="1"/>
  <c r="H42" i="1" s="1"/>
  <c r="I42" i="1" s="1"/>
  <c r="J42" i="1" s="1"/>
  <c r="K42" i="1" s="1"/>
  <c r="L42" i="1" s="1"/>
  <c r="K52" i="1"/>
  <c r="K54" i="1" s="1"/>
  <c r="G72" i="1" s="1"/>
  <c r="C72" i="1" l="1"/>
  <c r="C92" i="1" s="1"/>
  <c r="I72" i="1"/>
  <c r="E72" i="1"/>
  <c r="I124" i="1"/>
  <c r="I125" i="1"/>
  <c r="J124" i="1"/>
  <c r="J125" i="1"/>
  <c r="G124" i="1"/>
  <c r="G125" i="1"/>
  <c r="H124" i="1"/>
  <c r="H125" i="1"/>
  <c r="L124" i="1"/>
  <c r="L125" i="1"/>
  <c r="K125" i="1"/>
  <c r="K124" i="1"/>
  <c r="F110" i="1"/>
  <c r="E113" i="1"/>
  <c r="J72" i="1"/>
  <c r="F72" i="1"/>
  <c r="L72" i="1"/>
  <c r="H72" i="1"/>
  <c r="D72" i="1"/>
  <c r="K72" i="1"/>
  <c r="D128" i="2"/>
  <c r="G128" i="2" s="1"/>
  <c r="C129" i="2" s="1"/>
  <c r="E128" i="2"/>
  <c r="E114" i="2"/>
  <c r="G100" i="2"/>
  <c r="C101" i="2" s="1"/>
  <c r="D86" i="2"/>
  <c r="E86" i="2"/>
  <c r="E72" i="2"/>
  <c r="G61" i="2"/>
  <c r="C62" i="2" s="1"/>
  <c r="E61" i="2"/>
  <c r="D61" i="2"/>
  <c r="D92" i="1" l="1"/>
  <c r="E92" i="1" s="1"/>
  <c r="F92" i="1" s="1"/>
  <c r="G92" i="1" s="1"/>
  <c r="H92" i="1" s="1"/>
  <c r="I92" i="1" s="1"/>
  <c r="J92" i="1" s="1"/>
  <c r="K92" i="1" s="1"/>
  <c r="L92" i="1" s="1"/>
  <c r="L126" i="1"/>
  <c r="L127" i="1" s="1"/>
  <c r="K126" i="1"/>
  <c r="K127" i="1" s="1"/>
  <c r="H126" i="1"/>
  <c r="H127" i="1" s="1"/>
  <c r="G126" i="1"/>
  <c r="G127" i="1" s="1"/>
  <c r="I126" i="1"/>
  <c r="I127" i="1" s="1"/>
  <c r="J126" i="1"/>
  <c r="J127" i="1" s="1"/>
  <c r="F113" i="1"/>
  <c r="G110" i="1"/>
  <c r="E129" i="2"/>
  <c r="D129" i="2" s="1"/>
  <c r="G129" i="2"/>
  <c r="C130" i="2" s="1"/>
  <c r="D114" i="2"/>
  <c r="E101" i="2"/>
  <c r="G86" i="2"/>
  <c r="C87" i="2" s="1"/>
  <c r="D72" i="2"/>
  <c r="E62" i="2"/>
  <c r="D62" i="2" s="1"/>
  <c r="G62" i="2" s="1"/>
  <c r="C63" i="2" s="1"/>
  <c r="C74" i="1"/>
  <c r="D74" i="1"/>
  <c r="E74" i="1"/>
  <c r="F74" i="1"/>
  <c r="C7" i="1"/>
  <c r="C8" i="1"/>
  <c r="D8" i="1" s="1"/>
  <c r="E8" i="1" s="1"/>
  <c r="F8" i="1" s="1"/>
  <c r="G8" i="1" s="1"/>
  <c r="H8" i="1" s="1"/>
  <c r="I8" i="1" s="1"/>
  <c r="J8" i="1" s="1"/>
  <c r="K8" i="1" s="1"/>
  <c r="L8" i="1" s="1"/>
  <c r="C9" i="1"/>
  <c r="D9" i="1" s="1"/>
  <c r="E9" i="1" s="1"/>
  <c r="F9" i="1" s="1"/>
  <c r="G9" i="1" s="1"/>
  <c r="H9" i="1" s="1"/>
  <c r="I9" i="1" s="1"/>
  <c r="J9" i="1" s="1"/>
  <c r="K9" i="1" s="1"/>
  <c r="L9" i="1" s="1"/>
  <c r="C10" i="1"/>
  <c r="D10" i="1" s="1"/>
  <c r="E10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C6" i="1"/>
  <c r="D6" i="1" s="1"/>
  <c r="E6" i="1" s="1"/>
  <c r="F6" i="1" s="1"/>
  <c r="G6" i="1" s="1"/>
  <c r="D16" i="1"/>
  <c r="E16" i="1" s="1"/>
  <c r="F16" i="1" s="1"/>
  <c r="G16" i="1" s="1"/>
  <c r="H16" i="1" s="1"/>
  <c r="I16" i="1" s="1"/>
  <c r="J16" i="1" s="1"/>
  <c r="K16" i="1" s="1"/>
  <c r="L16" i="1" s="1"/>
  <c r="D18" i="1"/>
  <c r="E18" i="1" s="1"/>
  <c r="F18" i="1" s="1"/>
  <c r="G18" i="1" s="1"/>
  <c r="H18" i="1" s="1"/>
  <c r="I18" i="1" s="1"/>
  <c r="J18" i="1" s="1"/>
  <c r="K18" i="1" s="1"/>
  <c r="L18" i="1" s="1"/>
  <c r="D14" i="1"/>
  <c r="E14" i="1" s="1"/>
  <c r="D15" i="1"/>
  <c r="E15" i="1" s="1"/>
  <c r="F15" i="1" s="1"/>
  <c r="G15" i="1" s="1"/>
  <c r="H15" i="1" s="1"/>
  <c r="I15" i="1" s="1"/>
  <c r="J15" i="1" s="1"/>
  <c r="K15" i="1" s="1"/>
  <c r="L15" i="1" s="1"/>
  <c r="D17" i="1"/>
  <c r="E17" i="1" s="1"/>
  <c r="F17" i="1" s="1"/>
  <c r="G17" i="1" s="1"/>
  <c r="H17" i="1" s="1"/>
  <c r="I17" i="1" s="1"/>
  <c r="J17" i="1" s="1"/>
  <c r="K17" i="1" s="1"/>
  <c r="L17" i="1" s="1"/>
  <c r="D19" i="1"/>
  <c r="E19" i="1" s="1"/>
  <c r="F19" i="1" s="1"/>
  <c r="G19" i="1" s="1"/>
  <c r="H19" i="1" s="1"/>
  <c r="I19" i="1" s="1"/>
  <c r="J19" i="1" s="1"/>
  <c r="K19" i="1" s="1"/>
  <c r="L19" i="1" s="1"/>
  <c r="D31" i="1"/>
  <c r="E31" i="1" s="1"/>
  <c r="F31" i="1" s="1"/>
  <c r="G31" i="1" s="1"/>
  <c r="H31" i="1" s="1"/>
  <c r="I31" i="1" s="1"/>
  <c r="J31" i="1" s="1"/>
  <c r="K31" i="1" s="1"/>
  <c r="L31" i="1" s="1"/>
  <c r="D41" i="1"/>
  <c r="E41" i="1" s="1"/>
  <c r="C24" i="1"/>
  <c r="D24" i="1" s="1"/>
  <c r="E24" i="1" s="1"/>
  <c r="F24" i="1" s="1"/>
  <c r="G24" i="1" s="1"/>
  <c r="H24" i="1" s="1"/>
  <c r="I24" i="1" s="1"/>
  <c r="J24" i="1" s="1"/>
  <c r="K24" i="1" s="1"/>
  <c r="L24" i="1" s="1"/>
  <c r="C26" i="1"/>
  <c r="D26" i="1" s="1"/>
  <c r="E26" i="1" s="1"/>
  <c r="F26" i="1" s="1"/>
  <c r="G26" i="1" s="1"/>
  <c r="H26" i="1" s="1"/>
  <c r="I26" i="1" s="1"/>
  <c r="J26" i="1" s="1"/>
  <c r="K26" i="1" s="1"/>
  <c r="L26" i="1" s="1"/>
  <c r="C22" i="1"/>
  <c r="D22" i="1" s="1"/>
  <c r="E22" i="1" s="1"/>
  <c r="D23" i="1"/>
  <c r="E23" i="1" s="1"/>
  <c r="F23" i="1" s="1"/>
  <c r="G23" i="1" s="1"/>
  <c r="H23" i="1" s="1"/>
  <c r="I23" i="1" s="1"/>
  <c r="J23" i="1" s="1"/>
  <c r="K23" i="1" s="1"/>
  <c r="L23" i="1" s="1"/>
  <c r="C25" i="1"/>
  <c r="D25" i="1" s="1"/>
  <c r="E25" i="1" s="1"/>
  <c r="F25" i="1" s="1"/>
  <c r="G25" i="1" s="1"/>
  <c r="H25" i="1" s="1"/>
  <c r="I25" i="1" s="1"/>
  <c r="J25" i="1" s="1"/>
  <c r="K25" i="1" s="1"/>
  <c r="L25" i="1" s="1"/>
  <c r="C27" i="1"/>
  <c r="D27" i="1" s="1"/>
  <c r="E27" i="1" s="1"/>
  <c r="F27" i="1" s="1"/>
  <c r="G27" i="1" s="1"/>
  <c r="H27" i="1" s="1"/>
  <c r="I27" i="1" s="1"/>
  <c r="J27" i="1" s="1"/>
  <c r="K27" i="1" s="1"/>
  <c r="L27" i="1" s="1"/>
  <c r="D39" i="1"/>
  <c r="E39" i="1" s="1"/>
  <c r="C86" i="1"/>
  <c r="D86" i="1" s="1"/>
  <c r="E86" i="1" s="1"/>
  <c r="F86" i="1" s="1"/>
  <c r="G86" i="1" s="1"/>
  <c r="H86" i="1" s="1"/>
  <c r="I86" i="1" s="1"/>
  <c r="J86" i="1" s="1"/>
  <c r="K86" i="1" s="1"/>
  <c r="L86" i="1" s="1"/>
  <c r="C52" i="1"/>
  <c r="C54" i="1" s="1"/>
  <c r="C70" i="1" s="1"/>
  <c r="G52" i="1"/>
  <c r="G54" i="1" s="1"/>
  <c r="C71" i="1" s="1"/>
  <c r="D82" i="1"/>
  <c r="E82" i="1" s="1"/>
  <c r="F82" i="1" s="1"/>
  <c r="G82" i="1" s="1"/>
  <c r="H82" i="1" s="1"/>
  <c r="I82" i="1" s="1"/>
  <c r="J82" i="1" s="1"/>
  <c r="K82" i="1" s="1"/>
  <c r="L82" i="1" s="1"/>
  <c r="D88" i="1"/>
  <c r="E88" i="1" s="1"/>
  <c r="F88" i="1" s="1"/>
  <c r="G88" i="1" s="1"/>
  <c r="H88" i="1" s="1"/>
  <c r="I88" i="1" s="1"/>
  <c r="J88" i="1" s="1"/>
  <c r="K88" i="1" s="1"/>
  <c r="L88" i="1" s="1"/>
  <c r="D91" i="1"/>
  <c r="E91" i="1" s="1"/>
  <c r="F91" i="1" s="1"/>
  <c r="G91" i="1" s="1"/>
  <c r="H91" i="1" s="1"/>
  <c r="I91" i="1" s="1"/>
  <c r="J91" i="1" s="1"/>
  <c r="K91" i="1" s="1"/>
  <c r="L91" i="1" s="1"/>
  <c r="D56" i="1"/>
  <c r="D80" i="1" s="1"/>
  <c r="E56" i="1"/>
  <c r="E80" i="1" s="1"/>
  <c r="F56" i="1"/>
  <c r="F80" i="1" s="1"/>
  <c r="C56" i="1"/>
  <c r="C80" i="1" s="1"/>
  <c r="C40" i="1"/>
  <c r="C73" i="1"/>
  <c r="C66" i="1"/>
  <c r="D36" i="1"/>
  <c r="E36" i="1" s="1"/>
  <c r="F36" i="1" s="1"/>
  <c r="G36" i="1" s="1"/>
  <c r="H36" i="1" s="1"/>
  <c r="I36" i="1" s="1"/>
  <c r="J36" i="1" s="1"/>
  <c r="K36" i="1" s="1"/>
  <c r="L36" i="1" s="1"/>
  <c r="D35" i="1"/>
  <c r="E35" i="1" s="1"/>
  <c r="F35" i="1" s="1"/>
  <c r="G35" i="1" s="1"/>
  <c r="H35" i="1" s="1"/>
  <c r="I35" i="1" s="1"/>
  <c r="J35" i="1" s="1"/>
  <c r="K35" i="1" s="1"/>
  <c r="L35" i="1" s="1"/>
  <c r="D73" i="1"/>
  <c r="D45" i="1"/>
  <c r="E45" i="1" s="1"/>
  <c r="D46" i="1"/>
  <c r="E46" i="1" s="1"/>
  <c r="F46" i="1" s="1"/>
  <c r="G46" i="1" s="1"/>
  <c r="H46" i="1" s="1"/>
  <c r="I46" i="1" s="1"/>
  <c r="J46" i="1" s="1"/>
  <c r="K46" i="1" s="1"/>
  <c r="L46" i="1" s="1"/>
  <c r="D47" i="1"/>
  <c r="E47" i="1" s="1"/>
  <c r="F47" i="1" s="1"/>
  <c r="G47" i="1" s="1"/>
  <c r="H47" i="1" s="1"/>
  <c r="I47" i="1" s="1"/>
  <c r="J47" i="1" s="1"/>
  <c r="K47" i="1" s="1"/>
  <c r="L47" i="1" s="1"/>
  <c r="D68" i="1"/>
  <c r="E68" i="1" s="1"/>
  <c r="F68" i="1" s="1"/>
  <c r="G68" i="1" s="1"/>
  <c r="H68" i="1" s="1"/>
  <c r="I68" i="1" s="1"/>
  <c r="J68" i="1" s="1"/>
  <c r="K68" i="1" s="1"/>
  <c r="L68" i="1" s="1"/>
  <c r="E73" i="1"/>
  <c r="F73" i="1"/>
  <c r="D98" i="1"/>
  <c r="D103" i="1"/>
  <c r="E103" i="1" s="1"/>
  <c r="F103" i="1" s="1"/>
  <c r="G103" i="1" s="1"/>
  <c r="H103" i="1" s="1"/>
  <c r="I103" i="1" s="1"/>
  <c r="J103" i="1" s="1"/>
  <c r="K103" i="1" s="1"/>
  <c r="L103" i="1" s="1"/>
  <c r="C2" i="2"/>
  <c r="J2" i="2"/>
  <c r="E2" i="2"/>
  <c r="J4" i="2"/>
  <c r="J8" i="2"/>
  <c r="F2" i="2"/>
  <c r="D2" i="2"/>
  <c r="G2" i="2"/>
  <c r="C3" i="2"/>
  <c r="E3" i="2"/>
  <c r="F3" i="2"/>
  <c r="D3" i="2"/>
  <c r="G3" i="2"/>
  <c r="C4" i="2"/>
  <c r="E4" i="2"/>
  <c r="F4" i="2"/>
  <c r="D4" i="2"/>
  <c r="G4" i="2"/>
  <c r="C5" i="2"/>
  <c r="E5" i="2"/>
  <c r="F5" i="2"/>
  <c r="D5" i="2"/>
  <c r="G5" i="2"/>
  <c r="C6" i="2"/>
  <c r="E6" i="2"/>
  <c r="F6" i="2"/>
  <c r="D6" i="2"/>
  <c r="G6" i="2"/>
  <c r="C7" i="2"/>
  <c r="E7" i="2"/>
  <c r="F7" i="2"/>
  <c r="D7" i="2"/>
  <c r="G7" i="2"/>
  <c r="C8" i="2"/>
  <c r="E8" i="2"/>
  <c r="F8" i="2"/>
  <c r="D8" i="2"/>
  <c r="G8" i="2"/>
  <c r="C9" i="2"/>
  <c r="E9" i="2"/>
  <c r="F9" i="2"/>
  <c r="D9" i="2"/>
  <c r="G9" i="2"/>
  <c r="C10" i="2"/>
  <c r="E10" i="2"/>
  <c r="F10" i="2"/>
  <c r="D10" i="2"/>
  <c r="G10" i="2"/>
  <c r="C11" i="2"/>
  <c r="E11" i="2"/>
  <c r="F11" i="2"/>
  <c r="D11" i="2"/>
  <c r="G11" i="2"/>
  <c r="C12" i="2"/>
  <c r="E12" i="2"/>
  <c r="F12" i="2"/>
  <c r="D12" i="2"/>
  <c r="G12" i="2"/>
  <c r="C13" i="2"/>
  <c r="E13" i="2"/>
  <c r="E14" i="2"/>
  <c r="F13" i="2"/>
  <c r="D13" i="2"/>
  <c r="G13" i="2"/>
  <c r="C16" i="2"/>
  <c r="E16" i="2"/>
  <c r="F16" i="2"/>
  <c r="D16" i="2"/>
  <c r="G16" i="2"/>
  <c r="C17" i="2"/>
  <c r="E17" i="2"/>
  <c r="F17" i="2"/>
  <c r="D17" i="2"/>
  <c r="G17" i="2"/>
  <c r="C18" i="2"/>
  <c r="E18" i="2"/>
  <c r="F18" i="2"/>
  <c r="D18" i="2"/>
  <c r="G18" i="2"/>
  <c r="C19" i="2"/>
  <c r="E19" i="2"/>
  <c r="F19" i="2"/>
  <c r="D19" i="2"/>
  <c r="G19" i="2"/>
  <c r="C20" i="2"/>
  <c r="E20" i="2"/>
  <c r="F20" i="2"/>
  <c r="D20" i="2"/>
  <c r="G20" i="2"/>
  <c r="C21" i="2"/>
  <c r="E21" i="2"/>
  <c r="F21" i="2"/>
  <c r="D21" i="2"/>
  <c r="G21" i="2"/>
  <c r="C22" i="2"/>
  <c r="E22" i="2"/>
  <c r="F22" i="2"/>
  <c r="D22" i="2"/>
  <c r="G22" i="2"/>
  <c r="C23" i="2"/>
  <c r="E23" i="2"/>
  <c r="F23" i="2"/>
  <c r="D23" i="2"/>
  <c r="G23" i="2"/>
  <c r="C24" i="2"/>
  <c r="E24" i="2"/>
  <c r="F24" i="2"/>
  <c r="D24" i="2"/>
  <c r="G24" i="2"/>
  <c r="C25" i="2"/>
  <c r="E25" i="2"/>
  <c r="F25" i="2"/>
  <c r="D25" i="2"/>
  <c r="G25" i="2"/>
  <c r="C26" i="2"/>
  <c r="E26" i="2"/>
  <c r="F26" i="2"/>
  <c r="D26" i="2"/>
  <c r="G26" i="2"/>
  <c r="C27" i="2"/>
  <c r="E27" i="2"/>
  <c r="E28" i="2"/>
  <c r="F27" i="2"/>
  <c r="D27" i="2"/>
  <c r="G27" i="2"/>
  <c r="C30" i="2"/>
  <c r="E30" i="2"/>
  <c r="F30" i="2"/>
  <c r="D30" i="2"/>
  <c r="G30" i="2"/>
  <c r="C31" i="2"/>
  <c r="E31" i="2"/>
  <c r="F31" i="2"/>
  <c r="D31" i="2"/>
  <c r="G31" i="2"/>
  <c r="C32" i="2"/>
  <c r="E32" i="2"/>
  <c r="F32" i="2"/>
  <c r="D32" i="2"/>
  <c r="G32" i="2"/>
  <c r="C33" i="2"/>
  <c r="E33" i="2"/>
  <c r="F33" i="2"/>
  <c r="D33" i="2"/>
  <c r="G33" i="2"/>
  <c r="C34" i="2"/>
  <c r="E34" i="2"/>
  <c r="F34" i="2"/>
  <c r="D34" i="2"/>
  <c r="G34" i="2"/>
  <c r="C35" i="2"/>
  <c r="E35" i="2"/>
  <c r="F35" i="2"/>
  <c r="D35" i="2"/>
  <c r="G35" i="2"/>
  <c r="C36" i="2"/>
  <c r="E36" i="2"/>
  <c r="F36" i="2"/>
  <c r="D36" i="2"/>
  <c r="G36" i="2"/>
  <c r="C37" i="2"/>
  <c r="E37" i="2"/>
  <c r="F37" i="2"/>
  <c r="D37" i="2"/>
  <c r="G37" i="2"/>
  <c r="C38" i="2"/>
  <c r="E38" i="2"/>
  <c r="F38" i="2"/>
  <c r="D38" i="2"/>
  <c r="G38" i="2"/>
  <c r="C39" i="2"/>
  <c r="E39" i="2"/>
  <c r="F39" i="2"/>
  <c r="D39" i="2"/>
  <c r="G39" i="2"/>
  <c r="C40" i="2"/>
  <c r="E40" i="2"/>
  <c r="F40" i="2"/>
  <c r="D40" i="2"/>
  <c r="G40" i="2"/>
  <c r="C41" i="2"/>
  <c r="E41" i="2"/>
  <c r="E42" i="2"/>
  <c r="F41" i="2"/>
  <c r="D41" i="2"/>
  <c r="G41" i="2"/>
  <c r="C44" i="2"/>
  <c r="E44" i="2"/>
  <c r="F44" i="2"/>
  <c r="D44" i="2"/>
  <c r="G44" i="2"/>
  <c r="C45" i="2"/>
  <c r="E45" i="2"/>
  <c r="F45" i="2"/>
  <c r="D45" i="2"/>
  <c r="G45" i="2"/>
  <c r="C46" i="2"/>
  <c r="E46" i="2"/>
  <c r="F46" i="2"/>
  <c r="D46" i="2"/>
  <c r="G46" i="2"/>
  <c r="C47" i="2"/>
  <c r="E47" i="2"/>
  <c r="F47" i="2"/>
  <c r="D47" i="2"/>
  <c r="G47" i="2"/>
  <c r="C48" i="2"/>
  <c r="E48" i="2"/>
  <c r="F48" i="2"/>
  <c r="D48" i="2"/>
  <c r="G48" i="2"/>
  <c r="C49" i="2"/>
  <c r="E49" i="2"/>
  <c r="F49" i="2"/>
  <c r="D49" i="2"/>
  <c r="G49" i="2"/>
  <c r="C50" i="2"/>
  <c r="E50" i="2"/>
  <c r="F50" i="2"/>
  <c r="D50" i="2"/>
  <c r="G50" i="2"/>
  <c r="C51" i="2"/>
  <c r="E51" i="2"/>
  <c r="F51" i="2"/>
  <c r="D51" i="2"/>
  <c r="G51" i="2"/>
  <c r="C52" i="2"/>
  <c r="E52" i="2"/>
  <c r="F52" i="2"/>
  <c r="D52" i="2"/>
  <c r="G52" i="2"/>
  <c r="C53" i="2"/>
  <c r="E53" i="2"/>
  <c r="F53" i="2"/>
  <c r="D53" i="2"/>
  <c r="G53" i="2"/>
  <c r="C54" i="2"/>
  <c r="E54" i="2"/>
  <c r="F54" i="2"/>
  <c r="D54" i="2"/>
  <c r="G54" i="2"/>
  <c r="C55" i="2"/>
  <c r="E55" i="2"/>
  <c r="E56" i="2"/>
  <c r="F55" i="2"/>
  <c r="D14" i="2"/>
  <c r="C98" i="1"/>
  <c r="D28" i="2"/>
  <c r="D42" i="2"/>
  <c r="E98" i="1"/>
  <c r="D55" i="2"/>
  <c r="D56" i="2"/>
  <c r="G55" i="2"/>
  <c r="F98" i="1"/>
  <c r="D40" i="1" l="1"/>
  <c r="C134" i="1"/>
  <c r="C137" i="1" s="1"/>
  <c r="C124" i="1"/>
  <c r="C125" i="1"/>
  <c r="F125" i="1"/>
  <c r="F124" i="1"/>
  <c r="E124" i="1"/>
  <c r="E125" i="1"/>
  <c r="D125" i="1"/>
  <c r="D124" i="1"/>
  <c r="H110" i="1"/>
  <c r="G113" i="1"/>
  <c r="F39" i="1"/>
  <c r="G39" i="1" s="1"/>
  <c r="E40" i="1"/>
  <c r="D89" i="1"/>
  <c r="E89" i="1" s="1"/>
  <c r="F89" i="1" s="1"/>
  <c r="G89" i="1" s="1"/>
  <c r="H89" i="1" s="1"/>
  <c r="B157" i="1"/>
  <c r="D2" i="5"/>
  <c r="C61" i="1"/>
  <c r="C65" i="1" s="1"/>
  <c r="C96" i="1" s="1"/>
  <c r="C148" i="1" s="1"/>
  <c r="C58" i="1"/>
  <c r="C13" i="3"/>
  <c r="C16" i="3" s="1"/>
  <c r="C30" i="1"/>
  <c r="C59" i="1" s="1"/>
  <c r="D7" i="1"/>
  <c r="E7" i="1" s="1"/>
  <c r="F7" i="1" s="1"/>
  <c r="G7" i="1" s="1"/>
  <c r="H7" i="1" s="1"/>
  <c r="I7" i="1" s="1"/>
  <c r="J7" i="1" s="1"/>
  <c r="K7" i="1" s="1"/>
  <c r="L7" i="1" s="1"/>
  <c r="E130" i="2"/>
  <c r="G114" i="2"/>
  <c r="C115" i="2" s="1"/>
  <c r="D101" i="2"/>
  <c r="E87" i="2"/>
  <c r="G72" i="2"/>
  <c r="C73" i="2" s="1"/>
  <c r="E63" i="2"/>
  <c r="D63" i="2" s="1"/>
  <c r="G63" i="2"/>
  <c r="C64" i="2" s="1"/>
  <c r="E66" i="1"/>
  <c r="F45" i="1"/>
  <c r="H6" i="1"/>
  <c r="D66" i="1"/>
  <c r="F10" i="1"/>
  <c r="G10" i="1" s="1"/>
  <c r="H10" i="1" s="1"/>
  <c r="I10" i="1" s="1"/>
  <c r="J10" i="1" s="1"/>
  <c r="K10" i="1" s="1"/>
  <c r="L10" i="1" s="1"/>
  <c r="C90" i="1"/>
  <c r="D71" i="1"/>
  <c r="E71" i="1" s="1"/>
  <c r="F71" i="1" s="1"/>
  <c r="G71" i="1" s="1"/>
  <c r="H71" i="1" s="1"/>
  <c r="I71" i="1" s="1"/>
  <c r="J71" i="1" s="1"/>
  <c r="K71" i="1" s="1"/>
  <c r="L71" i="1" s="1"/>
  <c r="F22" i="1"/>
  <c r="G22" i="1" s="1"/>
  <c r="H22" i="1" s="1"/>
  <c r="I22" i="1" s="1"/>
  <c r="J22" i="1" s="1"/>
  <c r="K22" i="1" s="1"/>
  <c r="L22" i="1" s="1"/>
  <c r="F14" i="1"/>
  <c r="C87" i="1"/>
  <c r="D70" i="1"/>
  <c r="F41" i="1"/>
  <c r="G41" i="1" s="1"/>
  <c r="H41" i="1" s="1"/>
  <c r="I41" i="1" s="1"/>
  <c r="J41" i="1" s="1"/>
  <c r="K41" i="1" s="1"/>
  <c r="L41" i="1" s="1"/>
  <c r="I89" i="1" l="1"/>
  <c r="J89" i="1" s="1"/>
  <c r="K89" i="1" s="1"/>
  <c r="L89" i="1" s="1"/>
  <c r="E126" i="1"/>
  <c r="E127" i="1" s="1"/>
  <c r="C126" i="1"/>
  <c r="C127" i="1" s="1"/>
  <c r="D126" i="1"/>
  <c r="D127" i="1" s="1"/>
  <c r="F126" i="1"/>
  <c r="F127" i="1" s="1"/>
  <c r="I110" i="1"/>
  <c r="H113" i="1"/>
  <c r="C85" i="1"/>
  <c r="C147" i="1" s="1"/>
  <c r="F40" i="1"/>
  <c r="H39" i="1"/>
  <c r="G40" i="1"/>
  <c r="C60" i="1"/>
  <c r="C69" i="1" s="1"/>
  <c r="C34" i="1"/>
  <c r="C67" i="1" s="1"/>
  <c r="E61" i="1"/>
  <c r="E65" i="1" s="1"/>
  <c r="D58" i="1"/>
  <c r="D11" i="3"/>
  <c r="D12" i="3"/>
  <c r="F58" i="1"/>
  <c r="G14" i="1"/>
  <c r="H14" i="1" s="1"/>
  <c r="I14" i="1" s="1"/>
  <c r="J14" i="1" s="1"/>
  <c r="K14" i="1" s="1"/>
  <c r="L14" i="1" s="1"/>
  <c r="E58" i="1"/>
  <c r="E30" i="1"/>
  <c r="E34" i="1" s="1"/>
  <c r="E67" i="1" s="1"/>
  <c r="D30" i="1"/>
  <c r="D59" i="1" s="1"/>
  <c r="E70" i="1"/>
  <c r="D134" i="1"/>
  <c r="D137" i="1" s="1"/>
  <c r="D61" i="1"/>
  <c r="D85" i="1" s="1"/>
  <c r="D130" i="2"/>
  <c r="E115" i="2"/>
  <c r="G101" i="2"/>
  <c r="C102" i="2" s="1"/>
  <c r="D87" i="2"/>
  <c r="E73" i="2"/>
  <c r="E64" i="2"/>
  <c r="D64" i="2" s="1"/>
  <c r="G64" i="2" s="1"/>
  <c r="C65" i="2" s="1"/>
  <c r="C84" i="1"/>
  <c r="F30" i="1"/>
  <c r="F34" i="1" s="1"/>
  <c r="F67" i="1" s="1"/>
  <c r="I6" i="1"/>
  <c r="H61" i="1"/>
  <c r="H30" i="1"/>
  <c r="F66" i="1"/>
  <c r="G45" i="1"/>
  <c r="G30" i="1"/>
  <c r="F61" i="1"/>
  <c r="F65" i="1" s="1"/>
  <c r="F96" i="1" s="1"/>
  <c r="G61" i="1"/>
  <c r="D90" i="1"/>
  <c r="E90" i="1" s="1"/>
  <c r="F90" i="1" s="1"/>
  <c r="D87" i="1"/>
  <c r="C62" i="1" l="1"/>
  <c r="C133" i="1" s="1"/>
  <c r="C135" i="1" s="1"/>
  <c r="D147" i="1"/>
  <c r="J110" i="1"/>
  <c r="I113" i="1"/>
  <c r="C75" i="1"/>
  <c r="C76" i="1" s="1"/>
  <c r="C77" i="1" s="1"/>
  <c r="C97" i="1" s="1"/>
  <c r="C100" i="1" s="1"/>
  <c r="E59" i="1"/>
  <c r="E60" i="1" s="1"/>
  <c r="E69" i="1" s="1"/>
  <c r="E75" i="1" s="1"/>
  <c r="H40" i="1"/>
  <c r="I39" i="1"/>
  <c r="E85" i="1"/>
  <c r="E147" i="1" s="1"/>
  <c r="F59" i="1"/>
  <c r="F60" i="1" s="1"/>
  <c r="F62" i="1" s="1"/>
  <c r="F12" i="3"/>
  <c r="G12" i="3" s="1"/>
  <c r="E16" i="3" s="1"/>
  <c r="D60" i="1"/>
  <c r="D69" i="1" s="1"/>
  <c r="F85" i="1"/>
  <c r="D65" i="1"/>
  <c r="D96" i="1" s="1"/>
  <c r="D148" i="1" s="1"/>
  <c r="D34" i="1"/>
  <c r="D67" i="1" s="1"/>
  <c r="H58" i="1"/>
  <c r="G58" i="1"/>
  <c r="C146" i="1"/>
  <c r="C93" i="1"/>
  <c r="H65" i="1"/>
  <c r="H96" i="1" s="1"/>
  <c r="H85" i="1"/>
  <c r="F70" i="1"/>
  <c r="E134" i="1"/>
  <c r="E137" i="1" s="1"/>
  <c r="G65" i="1"/>
  <c r="G96" i="1" s="1"/>
  <c r="G85" i="1"/>
  <c r="G90" i="1"/>
  <c r="H90" i="1" s="1"/>
  <c r="I90" i="1" s="1"/>
  <c r="J90" i="1" s="1"/>
  <c r="K90" i="1" s="1"/>
  <c r="L90" i="1" s="1"/>
  <c r="N142" i="1" s="1"/>
  <c r="L142" i="1" s="1"/>
  <c r="G4" i="5"/>
  <c r="H4" i="5" s="1"/>
  <c r="E4" i="5" s="1"/>
  <c r="G130" i="2"/>
  <c r="C131" i="2" s="1"/>
  <c r="D115" i="2"/>
  <c r="E102" i="2"/>
  <c r="G87" i="2"/>
  <c r="C88" i="2" s="1"/>
  <c r="D73" i="2"/>
  <c r="G65" i="2"/>
  <c r="C66" i="2" s="1"/>
  <c r="E65" i="2"/>
  <c r="D65" i="2" s="1"/>
  <c r="J6" i="1"/>
  <c r="I30" i="1"/>
  <c r="I58" i="1"/>
  <c r="I61" i="1"/>
  <c r="G59" i="1"/>
  <c r="G34" i="1"/>
  <c r="G67" i="1" s="1"/>
  <c r="H45" i="1"/>
  <c r="G66" i="1"/>
  <c r="H59" i="1"/>
  <c r="H34" i="1"/>
  <c r="H67" i="1" s="1"/>
  <c r="E96" i="1"/>
  <c r="E87" i="1"/>
  <c r="L143" i="1" l="1"/>
  <c r="L171" i="1" s="1"/>
  <c r="K110" i="1"/>
  <c r="J113" i="1"/>
  <c r="J39" i="1"/>
  <c r="I40" i="1"/>
  <c r="F147" i="1"/>
  <c r="E84" i="1"/>
  <c r="E93" i="1" s="1"/>
  <c r="E62" i="1"/>
  <c r="E76" i="1" s="1"/>
  <c r="E77" i="1" s="1"/>
  <c r="E97" i="1" s="1"/>
  <c r="E100" i="1" s="1"/>
  <c r="D84" i="1"/>
  <c r="D62" i="1"/>
  <c r="D133" i="1" s="1"/>
  <c r="D135" i="1" s="1"/>
  <c r="D136" i="1" s="1"/>
  <c r="F84" i="1"/>
  <c r="D75" i="1"/>
  <c r="F87" i="1"/>
  <c r="F69" i="1"/>
  <c r="F75" i="1" s="1"/>
  <c r="F76" i="1" s="1"/>
  <c r="H60" i="1"/>
  <c r="H84" i="1" s="1"/>
  <c r="G147" i="1"/>
  <c r="E148" i="1"/>
  <c r="G60" i="1"/>
  <c r="G84" i="1" s="1"/>
  <c r="G148" i="1"/>
  <c r="H148" i="1"/>
  <c r="I65" i="1"/>
  <c r="I96" i="1" s="1"/>
  <c r="I85" i="1"/>
  <c r="I147" i="1" s="1"/>
  <c r="F148" i="1"/>
  <c r="G70" i="1"/>
  <c r="F134" i="1"/>
  <c r="F137" i="1" s="1"/>
  <c r="C136" i="1"/>
  <c r="C149" i="1" s="1"/>
  <c r="C172" i="1" s="1"/>
  <c r="H147" i="1"/>
  <c r="E131" i="2"/>
  <c r="G115" i="2"/>
  <c r="C116" i="2" s="1"/>
  <c r="D102" i="2"/>
  <c r="E88" i="2"/>
  <c r="G73" i="2"/>
  <c r="C74" i="2" s="1"/>
  <c r="E66" i="2"/>
  <c r="D66" i="2" s="1"/>
  <c r="G66" i="2" s="1"/>
  <c r="C67" i="2" s="1"/>
  <c r="I45" i="1"/>
  <c r="H66" i="1"/>
  <c r="I34" i="1"/>
  <c r="I67" i="1" s="1"/>
  <c r="I59" i="1"/>
  <c r="I60" i="1" s="1"/>
  <c r="I84" i="1" s="1"/>
  <c r="K6" i="1"/>
  <c r="J30" i="1"/>
  <c r="J58" i="1"/>
  <c r="J61" i="1"/>
  <c r="C78" i="1"/>
  <c r="D76" i="1" l="1"/>
  <c r="D77" i="1" s="1"/>
  <c r="D97" i="1" s="1"/>
  <c r="D100" i="1" s="1"/>
  <c r="F146" i="1"/>
  <c r="E133" i="1"/>
  <c r="E135" i="1" s="1"/>
  <c r="E136" i="1" s="1"/>
  <c r="E149" i="1" s="1"/>
  <c r="L110" i="1"/>
  <c r="L113" i="1" s="1"/>
  <c r="K113" i="1"/>
  <c r="G69" i="1"/>
  <c r="G75" i="1" s="1"/>
  <c r="E146" i="1"/>
  <c r="E172" i="1" s="1"/>
  <c r="F133" i="1"/>
  <c r="F135" i="1" s="1"/>
  <c r="J40" i="1"/>
  <c r="K39" i="1"/>
  <c r="G62" i="1"/>
  <c r="D146" i="1"/>
  <c r="D93" i="1"/>
  <c r="H146" i="1"/>
  <c r="G146" i="1"/>
  <c r="F93" i="1"/>
  <c r="H69" i="1"/>
  <c r="H62" i="1"/>
  <c r="C138" i="1"/>
  <c r="G87" i="1"/>
  <c r="G93" i="1" s="1"/>
  <c r="D138" i="1"/>
  <c r="D170" i="1" s="1"/>
  <c r="J65" i="1"/>
  <c r="J96" i="1" s="1"/>
  <c r="J85" i="1"/>
  <c r="J147" i="1" s="1"/>
  <c r="I146" i="1"/>
  <c r="I148" i="1"/>
  <c r="H70" i="1"/>
  <c r="G134" i="1"/>
  <c r="D149" i="1"/>
  <c r="D131" i="2"/>
  <c r="G131" i="2" s="1"/>
  <c r="C132" i="2" s="1"/>
  <c r="E116" i="2"/>
  <c r="G102" i="2"/>
  <c r="C103" i="2" s="1"/>
  <c r="D88" i="2"/>
  <c r="E74" i="2"/>
  <c r="E67" i="2"/>
  <c r="D67" i="2" s="1"/>
  <c r="G67" i="2"/>
  <c r="C68" i="2" s="1"/>
  <c r="I62" i="1"/>
  <c r="I69" i="1"/>
  <c r="J59" i="1"/>
  <c r="J34" i="1"/>
  <c r="J67" i="1" s="1"/>
  <c r="L6" i="1"/>
  <c r="K30" i="1"/>
  <c r="K58" i="1"/>
  <c r="K61" i="1"/>
  <c r="J45" i="1"/>
  <c r="I66" i="1"/>
  <c r="J60" i="1"/>
  <c r="J84" i="1" s="1"/>
  <c r="F77" i="1"/>
  <c r="F97" i="1" s="1"/>
  <c r="F100" i="1" s="1"/>
  <c r="E78" i="1"/>
  <c r="D172" i="1" l="1"/>
  <c r="D78" i="1"/>
  <c r="E138" i="1"/>
  <c r="E170" i="1" s="1"/>
  <c r="D174" i="1"/>
  <c r="C157" i="1"/>
  <c r="C160" i="1" s="1"/>
  <c r="C170" i="1"/>
  <c r="C174" i="1" s="1"/>
  <c r="C177" i="1" s="1"/>
  <c r="G133" i="1"/>
  <c r="G135" i="1" s="1"/>
  <c r="C116" i="1"/>
  <c r="C115" i="1"/>
  <c r="C128" i="1" s="1"/>
  <c r="L39" i="1"/>
  <c r="L40" i="1" s="1"/>
  <c r="K40" i="1"/>
  <c r="G76" i="1"/>
  <c r="G77" i="1" s="1"/>
  <c r="G97" i="1" s="1"/>
  <c r="G100" i="1" s="1"/>
  <c r="D157" i="1"/>
  <c r="H133" i="1"/>
  <c r="F136" i="1"/>
  <c r="F149" i="1" s="1"/>
  <c r="F172" i="1" s="1"/>
  <c r="I133" i="1"/>
  <c r="I70" i="1"/>
  <c r="I75" i="1" s="1"/>
  <c r="I76" i="1" s="1"/>
  <c r="I77" i="1" s="1"/>
  <c r="H134" i="1"/>
  <c r="H137" i="1" s="1"/>
  <c r="J146" i="1"/>
  <c r="K65" i="1"/>
  <c r="K96" i="1" s="1"/>
  <c r="K85" i="1"/>
  <c r="K147" i="1" s="1"/>
  <c r="H75" i="1"/>
  <c r="H76" i="1" s="1"/>
  <c r="H77" i="1" s="1"/>
  <c r="H78" i="1" s="1"/>
  <c r="G137" i="1"/>
  <c r="H87" i="1"/>
  <c r="J148" i="1"/>
  <c r="E132" i="2"/>
  <c r="D116" i="2"/>
  <c r="E103" i="2"/>
  <c r="G88" i="2"/>
  <c r="C89" i="2" s="1"/>
  <c r="D74" i="2"/>
  <c r="E68" i="2"/>
  <c r="D68" i="2" s="1"/>
  <c r="G68" i="2" s="1"/>
  <c r="C69" i="2" s="1"/>
  <c r="K34" i="1"/>
  <c r="K67" i="1" s="1"/>
  <c r="K59" i="1"/>
  <c r="K60" i="1" s="1"/>
  <c r="K84" i="1" s="1"/>
  <c r="J62" i="1"/>
  <c r="J69" i="1"/>
  <c r="K45" i="1"/>
  <c r="J66" i="1"/>
  <c r="L30" i="1"/>
  <c r="L58" i="1"/>
  <c r="L61" i="1"/>
  <c r="D104" i="1"/>
  <c r="C105" i="1"/>
  <c r="F78" i="1"/>
  <c r="B17" i="5" l="1"/>
  <c r="E157" i="1"/>
  <c r="E160" i="1" s="1"/>
  <c r="D177" i="1"/>
  <c r="E174" i="1"/>
  <c r="C175" i="1"/>
  <c r="B175" i="1"/>
  <c r="D160" i="1"/>
  <c r="C120" i="1"/>
  <c r="D116" i="1"/>
  <c r="C119" i="1"/>
  <c r="D115" i="1"/>
  <c r="C117" i="1"/>
  <c r="G78" i="1"/>
  <c r="H97" i="1"/>
  <c r="H100" i="1" s="1"/>
  <c r="F138" i="1"/>
  <c r="J133" i="1"/>
  <c r="B16" i="5"/>
  <c r="L65" i="1"/>
  <c r="L96" i="1" s="1"/>
  <c r="L85" i="1"/>
  <c r="G136" i="1"/>
  <c r="G149" i="1" s="1"/>
  <c r="G172" i="1" s="1"/>
  <c r="H135" i="1"/>
  <c r="K148" i="1"/>
  <c r="J70" i="1"/>
  <c r="I134" i="1"/>
  <c r="C106" i="1"/>
  <c r="C108" i="1" s="1"/>
  <c r="I87" i="1"/>
  <c r="H93" i="1"/>
  <c r="K146" i="1"/>
  <c r="D132" i="2"/>
  <c r="G132" i="2" s="1"/>
  <c r="C133" i="2" s="1"/>
  <c r="G116" i="2"/>
  <c r="C117" i="2" s="1"/>
  <c r="D103" i="2"/>
  <c r="E89" i="2"/>
  <c r="G74" i="2"/>
  <c r="C75" i="2" s="1"/>
  <c r="E69" i="2"/>
  <c r="D69" i="2" s="1"/>
  <c r="G69" i="2" s="1"/>
  <c r="I78" i="1"/>
  <c r="I97" i="1"/>
  <c r="I100" i="1" s="1"/>
  <c r="K69" i="1"/>
  <c r="K62" i="1"/>
  <c r="L59" i="1"/>
  <c r="L60" i="1" s="1"/>
  <c r="L84" i="1" s="1"/>
  <c r="L34" i="1"/>
  <c r="L67" i="1" s="1"/>
  <c r="L45" i="1"/>
  <c r="L66" i="1" s="1"/>
  <c r="K66" i="1"/>
  <c r="D105" i="1"/>
  <c r="D106" i="1" s="1"/>
  <c r="D108" i="1" s="1"/>
  <c r="E104" i="1"/>
  <c r="E177" i="1" l="1"/>
  <c r="C176" i="1"/>
  <c r="B176" i="1"/>
  <c r="F157" i="1"/>
  <c r="F160" i="1" s="1"/>
  <c r="F170" i="1"/>
  <c r="F174" i="1" s="1"/>
  <c r="D128" i="1"/>
  <c r="D175" i="1" s="1"/>
  <c r="D117" i="1"/>
  <c r="C118" i="1"/>
  <c r="E116" i="1"/>
  <c r="D120" i="1"/>
  <c r="E115" i="1"/>
  <c r="D119" i="1"/>
  <c r="L152" i="1"/>
  <c r="L146" i="1"/>
  <c r="K133" i="1"/>
  <c r="L153" i="1"/>
  <c r="L147" i="1"/>
  <c r="J87" i="1"/>
  <c r="I93" i="1"/>
  <c r="I137" i="1"/>
  <c r="I135" i="1"/>
  <c r="H136" i="1"/>
  <c r="H149" i="1" s="1"/>
  <c r="H172" i="1" s="1"/>
  <c r="L154" i="1"/>
  <c r="L148" i="1"/>
  <c r="K70" i="1"/>
  <c r="K75" i="1" s="1"/>
  <c r="K76" i="1" s="1"/>
  <c r="K77" i="1" s="1"/>
  <c r="J134" i="1"/>
  <c r="G138" i="1"/>
  <c r="J75" i="1"/>
  <c r="J76" i="1" s="1"/>
  <c r="J77" i="1" s="1"/>
  <c r="J97" i="1" s="1"/>
  <c r="J100" i="1" s="1"/>
  <c r="E133" i="2"/>
  <c r="D133" i="2" s="1"/>
  <c r="G133" i="2" s="1"/>
  <c r="C134" i="2" s="1"/>
  <c r="E117" i="2"/>
  <c r="G103" i="2"/>
  <c r="C104" i="2" s="1"/>
  <c r="D89" i="2"/>
  <c r="E75" i="2"/>
  <c r="L62" i="1"/>
  <c r="L69" i="1"/>
  <c r="E105" i="1"/>
  <c r="F104" i="1"/>
  <c r="D176" i="1" l="1"/>
  <c r="F177" i="1"/>
  <c r="G157" i="1"/>
  <c r="G160" i="1" s="1"/>
  <c r="G170" i="1"/>
  <c r="G174" i="1" s="1"/>
  <c r="G177" i="1" s="1"/>
  <c r="E128" i="1"/>
  <c r="E175" i="1" s="1"/>
  <c r="E117" i="1"/>
  <c r="D118" i="1"/>
  <c r="G104" i="1"/>
  <c r="H104" i="1" s="1"/>
  <c r="F116" i="1"/>
  <c r="E120" i="1"/>
  <c r="F115" i="1"/>
  <c r="E119" i="1"/>
  <c r="L133" i="1"/>
  <c r="H138" i="1"/>
  <c r="K87" i="1"/>
  <c r="J93" i="1"/>
  <c r="E106" i="1"/>
  <c r="E108" i="1" s="1"/>
  <c r="I136" i="1"/>
  <c r="I149" i="1" s="1"/>
  <c r="I172" i="1" s="1"/>
  <c r="J78" i="1"/>
  <c r="J137" i="1"/>
  <c r="J135" i="1"/>
  <c r="L70" i="1"/>
  <c r="L134" i="1" s="1"/>
  <c r="L137" i="1" s="1"/>
  <c r="K134" i="1"/>
  <c r="E134" i="2"/>
  <c r="D134" i="2" s="1"/>
  <c r="G134" i="2" s="1"/>
  <c r="C135" i="2" s="1"/>
  <c r="D117" i="2"/>
  <c r="E104" i="2"/>
  <c r="D104" i="2" s="1"/>
  <c r="G104" i="2" s="1"/>
  <c r="C105" i="2" s="1"/>
  <c r="G89" i="2"/>
  <c r="C90" i="2" s="1"/>
  <c r="D75" i="2"/>
  <c r="K78" i="1"/>
  <c r="K97" i="1"/>
  <c r="K100" i="1" s="1"/>
  <c r="F105" i="1"/>
  <c r="F106" i="1" s="1"/>
  <c r="F108" i="1" s="1"/>
  <c r="I199" i="1" l="1"/>
  <c r="E176" i="1"/>
  <c r="H157" i="1"/>
  <c r="H160" i="1" s="1"/>
  <c r="H170" i="1"/>
  <c r="H174" i="1" s="1"/>
  <c r="F128" i="1"/>
  <c r="F175" i="1" s="1"/>
  <c r="E118" i="1"/>
  <c r="G105" i="1"/>
  <c r="G106" i="1" s="1"/>
  <c r="G108" i="1" s="1"/>
  <c r="F117" i="1"/>
  <c r="G120" i="1"/>
  <c r="H116" i="1"/>
  <c r="H115" i="1"/>
  <c r="G119" i="1"/>
  <c r="G116" i="1"/>
  <c r="F120" i="1"/>
  <c r="G115" i="1"/>
  <c r="F119" i="1"/>
  <c r="L75" i="1"/>
  <c r="L76" i="1" s="1"/>
  <c r="J136" i="1"/>
  <c r="J149" i="1" s="1"/>
  <c r="J172" i="1" s="1"/>
  <c r="I138" i="1"/>
  <c r="I197" i="1" s="1"/>
  <c r="I201" i="1" s="1"/>
  <c r="K135" i="1"/>
  <c r="K136" i="1" s="1"/>
  <c r="K137" i="1"/>
  <c r="I104" i="1"/>
  <c r="H105" i="1"/>
  <c r="L87" i="1"/>
  <c r="L93" i="1" s="1"/>
  <c r="K93" i="1"/>
  <c r="L135" i="1"/>
  <c r="E135" i="2"/>
  <c r="D135" i="2" s="1"/>
  <c r="G135" i="2" s="1"/>
  <c r="C136" i="2" s="1"/>
  <c r="G117" i="2"/>
  <c r="C118" i="2" s="1"/>
  <c r="G105" i="2"/>
  <c r="C106" i="2" s="1"/>
  <c r="E105" i="2"/>
  <c r="D105" i="2" s="1"/>
  <c r="E90" i="2"/>
  <c r="D90" i="2" s="1"/>
  <c r="G90" i="2" s="1"/>
  <c r="C91" i="2" s="1"/>
  <c r="G75" i="2"/>
  <c r="C76" i="2" s="1"/>
  <c r="J199" i="1" l="1"/>
  <c r="I204" i="1"/>
  <c r="F176" i="1"/>
  <c r="H177" i="1"/>
  <c r="I157" i="1"/>
  <c r="I160" i="1" s="1"/>
  <c r="I170" i="1"/>
  <c r="I174" i="1" s="1"/>
  <c r="I177" i="1" s="1"/>
  <c r="H128" i="1"/>
  <c r="H175" i="1" s="1"/>
  <c r="G128" i="1"/>
  <c r="G175" i="1" s="1"/>
  <c r="F118" i="1"/>
  <c r="H117" i="1"/>
  <c r="G117" i="1"/>
  <c r="G118" i="1" s="1"/>
  <c r="I116" i="1"/>
  <c r="H120" i="1"/>
  <c r="H119" i="1"/>
  <c r="I115" i="1"/>
  <c r="K138" i="1"/>
  <c r="L136" i="1"/>
  <c r="L138" i="1" s="1"/>
  <c r="H106" i="1"/>
  <c r="H108" i="1" s="1"/>
  <c r="I105" i="1"/>
  <c r="I106" i="1" s="1"/>
  <c r="I108" i="1" s="1"/>
  <c r="J104" i="1"/>
  <c r="J138" i="1"/>
  <c r="J197" i="1" s="1"/>
  <c r="K149" i="1"/>
  <c r="K172" i="1" s="1"/>
  <c r="L77" i="1"/>
  <c r="L97" i="1" s="1"/>
  <c r="L100" i="1" s="1"/>
  <c r="E136" i="2"/>
  <c r="D136" i="2" s="1"/>
  <c r="G136" i="2" s="1"/>
  <c r="C137" i="2" s="1"/>
  <c r="E118" i="2"/>
  <c r="D118" i="2" s="1"/>
  <c r="E106" i="2"/>
  <c r="D106" i="2" s="1"/>
  <c r="G106" i="2" s="1"/>
  <c r="C107" i="2" s="1"/>
  <c r="E91" i="2"/>
  <c r="D91" i="2" s="1"/>
  <c r="G91" i="2"/>
  <c r="C92" i="2" s="1"/>
  <c r="E76" i="2"/>
  <c r="D76" i="2" s="1"/>
  <c r="J201" i="1" l="1"/>
  <c r="K199" i="1"/>
  <c r="L170" i="1"/>
  <c r="L197" i="1"/>
  <c r="K170" i="1"/>
  <c r="K174" i="1" s="1"/>
  <c r="K197" i="1"/>
  <c r="K201" i="1" s="1"/>
  <c r="H176" i="1"/>
  <c r="G176" i="1"/>
  <c r="J157" i="1"/>
  <c r="J160" i="1" s="1"/>
  <c r="J170" i="1"/>
  <c r="J174" i="1" s="1"/>
  <c r="I128" i="1"/>
  <c r="H118" i="1"/>
  <c r="I117" i="1"/>
  <c r="J116" i="1"/>
  <c r="I120" i="1"/>
  <c r="J115" i="1"/>
  <c r="I119" i="1"/>
  <c r="K157" i="1"/>
  <c r="J105" i="1"/>
  <c r="J106" i="1" s="1"/>
  <c r="J108" i="1" s="1"/>
  <c r="K104" i="1"/>
  <c r="L149" i="1"/>
  <c r="L172" i="1" s="1"/>
  <c r="L155" i="1"/>
  <c r="L78" i="1"/>
  <c r="E137" i="2"/>
  <c r="D137" i="2" s="1"/>
  <c r="G137" i="2" s="1"/>
  <c r="C138" i="2" s="1"/>
  <c r="G118" i="2"/>
  <c r="C119" i="2" s="1"/>
  <c r="E107" i="2"/>
  <c r="D107" i="2" s="1"/>
  <c r="G107" i="2" s="1"/>
  <c r="C108" i="2" s="1"/>
  <c r="E92" i="2"/>
  <c r="D92" i="2" s="1"/>
  <c r="G92" i="2"/>
  <c r="C93" i="2" s="1"/>
  <c r="G76" i="2"/>
  <c r="C77" i="2" s="1"/>
  <c r="L173" i="1" l="1"/>
  <c r="L200" i="1"/>
  <c r="L199" i="1"/>
  <c r="L201" i="1" s="1"/>
  <c r="L204" i="1" s="1"/>
  <c r="I175" i="1"/>
  <c r="I176" i="1" s="1"/>
  <c r="I202" i="1"/>
  <c r="K204" i="1"/>
  <c r="J204" i="1"/>
  <c r="L174" i="1"/>
  <c r="L177" i="1" s="1"/>
  <c r="K160" i="1"/>
  <c r="K177" i="1"/>
  <c r="J177" i="1"/>
  <c r="J128" i="1"/>
  <c r="I118" i="1"/>
  <c r="K116" i="1"/>
  <c r="J120" i="1"/>
  <c r="K115" i="1"/>
  <c r="J119" i="1"/>
  <c r="J117" i="1"/>
  <c r="L157" i="1"/>
  <c r="L160" i="1" s="1"/>
  <c r="K105" i="1"/>
  <c r="L104" i="1"/>
  <c r="E138" i="2"/>
  <c r="D138" i="2" s="1"/>
  <c r="G138" i="2"/>
  <c r="C139" i="2" s="1"/>
  <c r="E119" i="2"/>
  <c r="D119" i="2" s="1"/>
  <c r="G119" i="2" s="1"/>
  <c r="C120" i="2" s="1"/>
  <c r="E108" i="2"/>
  <c r="D108" i="2" s="1"/>
  <c r="G108" i="2" s="1"/>
  <c r="C109" i="2" s="1"/>
  <c r="E93" i="2"/>
  <c r="D93" i="2" s="1"/>
  <c r="G93" i="2" s="1"/>
  <c r="C94" i="2" s="1"/>
  <c r="E77" i="2"/>
  <c r="D77" i="2" s="1"/>
  <c r="G77" i="2"/>
  <c r="C78" i="2" s="1"/>
  <c r="J175" i="1" l="1"/>
  <c r="J176" i="1" s="1"/>
  <c r="J202" i="1"/>
  <c r="J203" i="1"/>
  <c r="I203" i="1"/>
  <c r="M160" i="1"/>
  <c r="K128" i="1"/>
  <c r="L105" i="1"/>
  <c r="L106" i="1" s="1"/>
  <c r="L108" i="1" s="1"/>
  <c r="K120" i="1"/>
  <c r="L120" i="1" s="1"/>
  <c r="L116" i="1"/>
  <c r="L115" i="1"/>
  <c r="K119" i="1"/>
  <c r="J118" i="1"/>
  <c r="K117" i="1"/>
  <c r="K106" i="1"/>
  <c r="K108" i="1" s="1"/>
  <c r="E139" i="2"/>
  <c r="E120" i="2"/>
  <c r="D120" i="2" s="1"/>
  <c r="G120" i="2" s="1"/>
  <c r="C121" i="2" s="1"/>
  <c r="E109" i="2"/>
  <c r="D109" i="2" s="1"/>
  <c r="G109" i="2" s="1"/>
  <c r="C110" i="2" s="1"/>
  <c r="E94" i="2"/>
  <c r="D94" i="2" s="1"/>
  <c r="G94" i="2" s="1"/>
  <c r="C95" i="2" s="1"/>
  <c r="E78" i="2"/>
  <c r="D78" i="2" s="1"/>
  <c r="G78" i="2" s="1"/>
  <c r="C79" i="2" s="1"/>
  <c r="K175" i="1" l="1"/>
  <c r="K176" i="1" s="1"/>
  <c r="K202" i="1"/>
  <c r="C17" i="3"/>
  <c r="C18" i="3" s="1"/>
  <c r="D16" i="3" s="1"/>
  <c r="L117" i="1"/>
  <c r="L128" i="1"/>
  <c r="L202" i="1" s="1"/>
  <c r="L119" i="1"/>
  <c r="K118" i="1"/>
  <c r="D139" i="2"/>
  <c r="E140" i="2"/>
  <c r="E121" i="2"/>
  <c r="D121" i="2" s="1"/>
  <c r="G121" i="2" s="1"/>
  <c r="C122" i="2" s="1"/>
  <c r="E110" i="2"/>
  <c r="D110" i="2" s="1"/>
  <c r="G110" i="2"/>
  <c r="C111" i="2" s="1"/>
  <c r="E95" i="2"/>
  <c r="D95" i="2" s="1"/>
  <c r="G95" i="2"/>
  <c r="C96" i="2" s="1"/>
  <c r="E79" i="2"/>
  <c r="D79" i="2" s="1"/>
  <c r="G79" i="2" s="1"/>
  <c r="C80" i="2" s="1"/>
  <c r="L203" i="1" l="1"/>
  <c r="K203" i="1"/>
  <c r="D17" i="3"/>
  <c r="B24" i="3" s="1"/>
  <c r="M128" i="1"/>
  <c r="L175" i="1"/>
  <c r="L118" i="1"/>
  <c r="B23" i="3"/>
  <c r="D140" i="2"/>
  <c r="G139" i="2"/>
  <c r="E122" i="2"/>
  <c r="D122" i="2" s="1"/>
  <c r="G122" i="2" s="1"/>
  <c r="C123" i="2" s="1"/>
  <c r="E111" i="2"/>
  <c r="E96" i="2"/>
  <c r="D96" i="2" s="1"/>
  <c r="G96" i="2"/>
  <c r="C97" i="2" s="1"/>
  <c r="E80" i="2"/>
  <c r="D80" i="2" s="1"/>
  <c r="G80" i="2" s="1"/>
  <c r="C81" i="2" s="1"/>
  <c r="B207" i="1" l="1"/>
  <c r="B213" i="1"/>
  <c r="G213" i="1" s="1"/>
  <c r="F17" i="3"/>
  <c r="B158" i="1" s="1"/>
  <c r="B20" i="3"/>
  <c r="L176" i="1"/>
  <c r="B209" i="1" s="1"/>
  <c r="D209" i="1" s="1"/>
  <c r="B183" i="1"/>
  <c r="D183" i="1" s="1"/>
  <c r="E123" i="2"/>
  <c r="D123" i="2" s="1"/>
  <c r="G123" i="2" s="1"/>
  <c r="C124" i="2" s="1"/>
  <c r="D111" i="2"/>
  <c r="E112" i="2"/>
  <c r="E97" i="2"/>
  <c r="E81" i="2"/>
  <c r="D81" i="2" s="1"/>
  <c r="G81" i="2" s="1"/>
  <c r="C82" i="2" s="1"/>
  <c r="I158" i="1" l="1"/>
  <c r="C158" i="1"/>
  <c r="L187" i="1" s="1"/>
  <c r="K158" i="1"/>
  <c r="E158" i="1"/>
  <c r="L158" i="1"/>
  <c r="G158" i="1"/>
  <c r="J158" i="1"/>
  <c r="D158" i="1"/>
  <c r="F158" i="1"/>
  <c r="H158" i="1"/>
  <c r="B187" i="1"/>
  <c r="B186" i="1"/>
  <c r="B159" i="1"/>
  <c r="E124" i="2"/>
  <c r="D124" i="2" s="1"/>
  <c r="G124" i="2"/>
  <c r="C125" i="2" s="1"/>
  <c r="D112" i="2"/>
  <c r="G111" i="2"/>
  <c r="D97" i="2"/>
  <c r="E98" i="2"/>
  <c r="E82" i="2"/>
  <c r="D82" i="2" s="1"/>
  <c r="G82" i="2"/>
  <c r="C83" i="2" s="1"/>
  <c r="D186" i="1" l="1"/>
  <c r="C187" i="1"/>
  <c r="B188" i="1" s="1"/>
  <c r="J186" i="1"/>
  <c r="G186" i="1"/>
  <c r="F159" i="1"/>
  <c r="C159" i="1"/>
  <c r="C186" i="1"/>
  <c r="D159" i="1"/>
  <c r="E159" i="1"/>
  <c r="E186" i="1"/>
  <c r="D187" i="1"/>
  <c r="F187" i="1"/>
  <c r="G187" i="1"/>
  <c r="J159" i="1"/>
  <c r="G159" i="1"/>
  <c r="I159" i="1"/>
  <c r="F186" i="1"/>
  <c r="J187" i="1"/>
  <c r="L159" i="1"/>
  <c r="B206" i="1" s="1"/>
  <c r="B208" i="1" s="1"/>
  <c r="D208" i="1" s="1"/>
  <c r="D210" i="1" s="1"/>
  <c r="K159" i="1"/>
  <c r="K186" i="1"/>
  <c r="E187" i="1"/>
  <c r="H186" i="1"/>
  <c r="H159" i="1"/>
  <c r="L186" i="1"/>
  <c r="H187" i="1"/>
  <c r="I186" i="1"/>
  <c r="K187" i="1"/>
  <c r="B182" i="1"/>
  <c r="D182" i="1" s="1"/>
  <c r="D184" i="1" s="1"/>
  <c r="I187" i="1"/>
  <c r="E125" i="2"/>
  <c r="D98" i="2"/>
  <c r="G97" i="2"/>
  <c r="E83" i="2"/>
  <c r="D125" i="2" l="1"/>
  <c r="E126" i="2"/>
  <c r="D83" i="2"/>
  <c r="E84" i="2"/>
  <c r="D126" i="2" l="1"/>
  <c r="G125" i="2"/>
  <c r="D84" i="2"/>
  <c r="G83" i="2"/>
</calcChain>
</file>

<file path=xl/sharedStrings.xml><?xml version="1.0" encoding="utf-8"?>
<sst xmlns="http://schemas.openxmlformats.org/spreadsheetml/2006/main" count="342" uniqueCount="256">
  <si>
    <t>Assumptions</t>
  </si>
  <si>
    <t>Operating Expenses</t>
  </si>
  <si>
    <t>Mortgage Interest Expense</t>
  </si>
  <si>
    <t>Extra Bank Loan Interest Expense</t>
  </si>
  <si>
    <t>Taxable Income</t>
  </si>
  <si>
    <t>Income Tax</t>
  </si>
  <si>
    <t>Net Income</t>
  </si>
  <si>
    <t>Assets</t>
  </si>
  <si>
    <t>Minimum Cash</t>
  </si>
  <si>
    <t>Extra Cash</t>
  </si>
  <si>
    <t>Accounts Receivable</t>
  </si>
  <si>
    <t>Buildings</t>
  </si>
  <si>
    <t>Accumulated Depreciation</t>
  </si>
  <si>
    <t>Liabilities</t>
  </si>
  <si>
    <t>Accounts Payable</t>
  </si>
  <si>
    <t>Mortgage Loan</t>
  </si>
  <si>
    <t>Extra Bank Loan</t>
  </si>
  <si>
    <t xml:space="preserve">Common Stock </t>
  </si>
  <si>
    <t>Retained Earnings</t>
  </si>
  <si>
    <t>Inventory</t>
  </si>
  <si>
    <t>Beg Balance</t>
  </si>
  <si>
    <t>Principal</t>
  </si>
  <si>
    <t xml:space="preserve">Interest </t>
  </si>
  <si>
    <t>Payment</t>
  </si>
  <si>
    <t>End Balance</t>
  </si>
  <si>
    <t>Rate</t>
  </si>
  <si>
    <t>January 2012</t>
  </si>
  <si>
    <t>Per Rate</t>
  </si>
  <si>
    <t>February 2012</t>
  </si>
  <si>
    <t>FV</t>
  </si>
  <si>
    <t>March 2012</t>
  </si>
  <si>
    <t>Per</t>
  </si>
  <si>
    <t>April 2012</t>
  </si>
  <si>
    <t>Type</t>
  </si>
  <si>
    <t>May 2012</t>
  </si>
  <si>
    <t>PV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</si>
  <si>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</si>
  <si>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</si>
  <si>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</si>
  <si>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</si>
  <si>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</si>
  <si>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</si>
  <si>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</si>
  <si>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</si>
  <si>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</si>
  <si>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</si>
  <si>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</si>
  <si>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</si>
  <si>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</si>
  <si>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</si>
  <si>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</si>
  <si>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</si>
  <si>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</si>
  <si>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</si>
  <si>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</si>
  <si>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</si>
  <si>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</si>
  <si>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</si>
  <si>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</si>
  <si>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</si>
  <si>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</si>
  <si>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</si>
  <si>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</si>
  <si>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</si>
  <si>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</si>
  <si>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</si>
  <si>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</si>
  <si>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</si>
  <si>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</si>
  <si>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</si>
  <si>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</si>
  <si>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</si>
  <si>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</si>
  <si>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</si>
  <si>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</si>
  <si>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</si>
  <si>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</si>
  <si>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</si>
  <si>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</si>
  <si>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</si>
  <si>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Income Tax Payable</t>
  </si>
  <si>
    <t>Equity</t>
  </si>
  <si>
    <t>Total Revenue</t>
  </si>
  <si>
    <t>Gross Revenue</t>
  </si>
  <si>
    <t>Revenue</t>
  </si>
  <si>
    <t>Yearly turnover rate</t>
  </si>
  <si>
    <t>Total Liabilities</t>
  </si>
  <si>
    <t>Total Equity</t>
  </si>
  <si>
    <t>Total expenses</t>
  </si>
  <si>
    <t>Blooming Plant</t>
  </si>
  <si>
    <t>Dozen Red Roses in a Vase</t>
  </si>
  <si>
    <t>Spring is in the Air</t>
  </si>
  <si>
    <t>Spring Mix</t>
  </si>
  <si>
    <t>Spring Centerpiece</t>
  </si>
  <si>
    <t>Cost</t>
  </si>
  <si>
    <t>Sales revenue</t>
  </si>
  <si>
    <t>Delivery charge</t>
  </si>
  <si>
    <t>Delivery revenue</t>
  </si>
  <si>
    <t>COGS Flowers</t>
  </si>
  <si>
    <t>Bad flower expense</t>
  </si>
  <si>
    <t>Salary expense</t>
  </si>
  <si>
    <t>Freight-in</t>
  </si>
  <si>
    <t>Delivery expense</t>
  </si>
  <si>
    <t>Average miles per year</t>
  </si>
  <si>
    <t>Price per gallon</t>
  </si>
  <si>
    <t>Delivery van</t>
  </si>
  <si>
    <t>Employees</t>
  </si>
  <si>
    <t>Hours per year</t>
  </si>
  <si>
    <t>Hourly rate</t>
  </si>
  <si>
    <t>Land</t>
  </si>
  <si>
    <t>Salvage value</t>
  </si>
  <si>
    <t>Annual depreciation</t>
  </si>
  <si>
    <t>WACC</t>
  </si>
  <si>
    <t>Beta</t>
  </si>
  <si>
    <t>S&amp;P 500</t>
  </si>
  <si>
    <t>Tax rate</t>
  </si>
  <si>
    <t>Equipment</t>
  </si>
  <si>
    <t>Buy Building</t>
  </si>
  <si>
    <t>Sell Building</t>
  </si>
  <si>
    <t>Book Value</t>
  </si>
  <si>
    <t>Gain</t>
  </si>
  <si>
    <t>Pay Taxes on Sale</t>
  </si>
  <si>
    <t>Cash from changes in working capitol</t>
  </si>
  <si>
    <t>Cash from liquidating working capitol</t>
  </si>
  <si>
    <t>Total Free Cash Flows</t>
  </si>
  <si>
    <t>PV OF TOTAL FREE CASH FLOWS</t>
  </si>
  <si>
    <t>NPV</t>
  </si>
  <si>
    <t>IRR</t>
  </si>
  <si>
    <t>DFN</t>
  </si>
  <si>
    <t>Cost (2 vans @ $15,000 each)</t>
  </si>
  <si>
    <t>Notes:</t>
  </si>
  <si>
    <t>of sales</t>
  </si>
  <si>
    <t>Delivery Price</t>
  </si>
  <si>
    <t>Floral Cost</t>
  </si>
  <si>
    <t>Floral Price</t>
  </si>
  <si>
    <t>Floral Sales Quantity</t>
  </si>
  <si>
    <t>mile average delivery trip</t>
  </si>
  <si>
    <t>Annual delivery trips</t>
  </si>
  <si>
    <t>MPG of delivery vans</t>
  </si>
  <si>
    <t>Cash from Capital Expenditures</t>
  </si>
  <si>
    <t>Delivery Cost</t>
  </si>
  <si>
    <t>Delivery Van Depreciation</t>
  </si>
  <si>
    <t>Building Depreciation</t>
  </si>
  <si>
    <t>Depreciable base</t>
  </si>
  <si>
    <t>Useful life (in years)</t>
  </si>
  <si>
    <t>Utilities</t>
  </si>
  <si>
    <t>Depreciation expense (Vans)</t>
  </si>
  <si>
    <t>Depreciation (Building)</t>
  </si>
  <si>
    <t>Bloomers Flower Shoppe</t>
  </si>
  <si>
    <t>annual interest</t>
  </si>
  <si>
    <t>marginal tax rate</t>
  </si>
  <si>
    <t>of revenue</t>
  </si>
  <si>
    <t>Freight-in and utilities</t>
  </si>
  <si>
    <t>Total Assets</t>
  </si>
  <si>
    <t>Total Liabilities and Equity</t>
  </si>
  <si>
    <t>Inventory turnover (Flower shelf-life)</t>
  </si>
  <si>
    <t>Salary Expense</t>
  </si>
  <si>
    <t xml:space="preserve"> www.bloomersflowershoppe.com</t>
  </si>
  <si>
    <t>Accounts Recievable (days)</t>
  </si>
  <si>
    <t>Accounts Payable (days)</t>
  </si>
  <si>
    <t>Mnthly</t>
  </si>
  <si>
    <t>Income Statement</t>
  </si>
  <si>
    <t>Balance Sheet</t>
  </si>
  <si>
    <t>of COGS</t>
  </si>
  <si>
    <t>% chg.</t>
  </si>
  <si>
    <t>Wrapped with Chocolates</t>
  </si>
  <si>
    <t>correct extra cash)</t>
  </si>
  <si>
    <t>(Use goal seek to find</t>
  </si>
  <si>
    <t>correct loan amount)</t>
  </si>
  <si>
    <t>Equipment Depreciation</t>
  </si>
  <si>
    <t>Depreciation expense (Equipment)</t>
  </si>
  <si>
    <t>January 2016</t>
  </si>
  <si>
    <t>January 2017</t>
  </si>
  <si>
    <t>January 2018</t>
  </si>
  <si>
    <t>January 2019</t>
  </si>
  <si>
    <t>January 2020</t>
  </si>
  <si>
    <t>January 2021</t>
  </si>
  <si>
    <t>January 2022</t>
  </si>
  <si>
    <t>Return Equity Holders Want</t>
  </si>
  <si>
    <t>T-Bills</t>
  </si>
  <si>
    <t>Cost of Debtholders</t>
  </si>
  <si>
    <t>Proportion</t>
  </si>
  <si>
    <t>Blended</t>
  </si>
  <si>
    <t>Tax adjusted</t>
  </si>
  <si>
    <t>TOTAL LOANS</t>
  </si>
  <si>
    <t>Unlevered Beta</t>
  </si>
  <si>
    <t>Regular Beta</t>
  </si>
  <si>
    <t>Proportion of debt</t>
  </si>
  <si>
    <t>Proportion of equity</t>
  </si>
  <si>
    <t>Re-levered Beta</t>
  </si>
  <si>
    <t>Desired proportion of debt</t>
  </si>
  <si>
    <t>Desired proportion of equity</t>
  </si>
  <si>
    <t>CAPM</t>
  </si>
  <si>
    <t>No tax adjustement needed</t>
  </si>
  <si>
    <t>Mortgage on buildings</t>
  </si>
  <si>
    <t>Bank loans</t>
  </si>
  <si>
    <t>Total debt</t>
  </si>
  <si>
    <t>Total equity</t>
  </si>
  <si>
    <t>TOTAL CAPITAL</t>
  </si>
  <si>
    <t>FCF, NPV, IRR</t>
  </si>
  <si>
    <t>Cash from Operations</t>
  </si>
  <si>
    <t>Operating Profit</t>
  </si>
  <si>
    <t>Less: Depreciation</t>
  </si>
  <si>
    <t>Taxable Operating Income</t>
  </si>
  <si>
    <t>Taxes on Operations ONLY</t>
  </si>
  <si>
    <t>Add Back: Depreciation</t>
  </si>
  <si>
    <t>Total Cash from Operations</t>
  </si>
  <si>
    <t>Cash in/out from Capital Expenditures</t>
  </si>
  <si>
    <t>Book value</t>
  </si>
  <si>
    <t>Taxes on Sale of Building</t>
  </si>
  <si>
    <t>Cash in/out from Changes in Working Capital</t>
  </si>
  <si>
    <t>Cash in/out from Liquidation of Working Capital</t>
  </si>
  <si>
    <t>Present Value of Total Free Cash Flows</t>
  </si>
  <si>
    <t>NPV of Total Free Cash Flows</t>
  </si>
  <si>
    <t>Selling price</t>
  </si>
  <si>
    <t>- Accounts Receivable</t>
  </si>
  <si>
    <t>- Inventory</t>
  </si>
  <si>
    <t>+ Accounts Payable</t>
  </si>
  <si>
    <t>+ Income Tax Payable</t>
  </si>
  <si>
    <t>% debt</t>
  </si>
  <si>
    <t>% equity</t>
  </si>
  <si>
    <t>Unlevered beta</t>
  </si>
  <si>
    <t>Relevered beta</t>
  </si>
  <si>
    <t>Next year's % debt</t>
  </si>
  <si>
    <t>Next year's % equity</t>
  </si>
  <si>
    <t>Mortgage interest rate</t>
  </si>
  <si>
    <t>Extra bank loan interest rate</t>
  </si>
  <si>
    <t>% mortgage</t>
  </si>
  <si>
    <t>% bank loan</t>
  </si>
  <si>
    <t>Average WACC</t>
  </si>
  <si>
    <t>Average IRR</t>
  </si>
  <si>
    <t>Alternate Scenario</t>
  </si>
  <si>
    <t>A new flower shop opens up in town and takes some of our customer base. Cash flows are expected to decrease in each of the following areas:</t>
  </si>
  <si>
    <t>Cash in/out from Liguidation of Working Capital</t>
  </si>
  <si>
    <t>Probability of Original Scenario</t>
  </si>
  <si>
    <t>Probablity of Alternate Scenario</t>
  </si>
  <si>
    <t>NPV of Original Scenario</t>
  </si>
  <si>
    <t>NPV of Alternate Scenario</t>
  </si>
  <si>
    <t>Expected Value</t>
  </si>
  <si>
    <t>Standard Deviation of PV of Free Cash Flows</t>
  </si>
  <si>
    <t>Average Present Value of Free Cash Flows</t>
  </si>
  <si>
    <t>Option</t>
  </si>
  <si>
    <t>In year 7 we have the option to add-on to our building.The expansion would make room for more freezers to store flowers longer and enlarge the floor space to display arrangements as customers shop.</t>
  </si>
  <si>
    <t>Add-on depreciation</t>
  </si>
  <si>
    <t>Useful life</t>
  </si>
  <si>
    <t>NPV of Option</t>
  </si>
  <si>
    <t>Combined NPV</t>
  </si>
  <si>
    <t>S</t>
  </si>
  <si>
    <t>X</t>
  </si>
  <si>
    <t>t</t>
  </si>
  <si>
    <t>STDEV(%)</t>
  </si>
  <si>
    <t>r</t>
  </si>
  <si>
    <t>Option Price</t>
  </si>
  <si>
    <t>Value of Real Option</t>
  </si>
  <si>
    <t>*Not sure how to get standard deviation into  a percentage… or if we calculated it right.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</si>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</sst>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[$$-409]#,##0.00;[Red]\-[$$-409]#,##0.00"/>
    <numFmt numFmtId="167" formatCode="_(* #,##0_);_(* \(#,##0\);_(* &quot;-&quot;??_);_(@_)"/>
    <numFmt numFmtId="168" formatCode="_(* #,##0.0_);_(* \(#,##0.0\);_(* &quot;-&quot;??_);_(@_)"/>
    <numFmt numFmtId="169" formatCode="_(\$* #,##0.00_);_(\$* \(#,##0.00\);_(\$* \-??_);_(@_)"/>
    <numFmt numFmtId="170" formatCode="_(* #,##0.00_);_(* \(#,##0.00\);_(* \-??_);_(@_)"/>
    <numFmt numFmtId="171" formatCode="_(\$* #,##0_);_(\$* \(#,##0\);_(\$* \-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i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/>
    <xf numFmtId="170" fontId="13" fillId="0" borderId="0"/>
    <xf numFmtId="169" fontId="13" fillId="0" borderId="0"/>
    <xf numFmtId="9" fontId="14" fillId="0" borderId="0"/>
    <xf numFmtId="0" fontId="13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10" fontId="0" fillId="0" borderId="0" xfId="2" applyNumberFormat="1" applyFont="1"/>
    <xf numFmtId="44" fontId="0" fillId="0" borderId="0" xfId="0" applyNumberFormat="1"/>
    <xf numFmtId="165" fontId="0" fillId="0" borderId="0" xfId="1" applyNumberFormat="1" applyFont="1"/>
    <xf numFmtId="0" fontId="2" fillId="0" borderId="0" xfId="0" applyFont="1"/>
    <xf numFmtId="10" fontId="0" fillId="0" borderId="0" xfId="0" applyNumberFormat="1"/>
    <xf numFmtId="0" fontId="0" fillId="0" borderId="0" xfId="0" applyFont="1" applyAlignment="1">
      <alignment wrapText="1"/>
    </xf>
    <xf numFmtId="166" fontId="0" fillId="0" borderId="0" xfId="0" applyNumberFormat="1" applyFont="1" applyAlignment="1">
      <alignment wrapText="1"/>
    </xf>
    <xf numFmtId="166" fontId="0" fillId="0" borderId="0" xfId="0" applyNumberFormat="1"/>
    <xf numFmtId="0" fontId="0" fillId="0" borderId="0" xfId="0" applyNumberFormat="1"/>
    <xf numFmtId="166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9" fontId="0" fillId="0" borderId="0" xfId="2" applyFont="1"/>
    <xf numFmtId="0" fontId="0" fillId="0" borderId="0" xfId="0" applyAlignment="1">
      <alignment horizontal="left" indent="1"/>
    </xf>
    <xf numFmtId="0" fontId="0" fillId="0" borderId="0" xfId="0" applyFont="1"/>
    <xf numFmtId="167" fontId="0" fillId="0" borderId="0" xfId="3" applyNumberFormat="1" applyFont="1"/>
    <xf numFmtId="167" fontId="0" fillId="0" borderId="1" xfId="3" applyNumberFormat="1" applyFont="1" applyBorder="1"/>
    <xf numFmtId="0" fontId="4" fillId="0" borderId="0" xfId="4"/>
    <xf numFmtId="0" fontId="5" fillId="0" borderId="0" xfId="0" applyFont="1"/>
    <xf numFmtId="167" fontId="0" fillId="0" borderId="0" xfId="0" applyNumberFormat="1"/>
    <xf numFmtId="43" fontId="0" fillId="0" borderId="0" xfId="0" applyNumberFormat="1"/>
    <xf numFmtId="0" fontId="6" fillId="0" borderId="0" xfId="5" applyAlignment="1">
      <alignment wrapText="1"/>
    </xf>
    <xf numFmtId="0" fontId="7" fillId="0" borderId="0" xfId="5" applyFont="1" applyAlignment="1">
      <alignment wrapText="1"/>
    </xf>
    <xf numFmtId="0" fontId="2" fillId="0" borderId="0" xfId="5" applyFont="1"/>
    <xf numFmtId="0" fontId="6" fillId="0" borderId="0" xfId="5"/>
    <xf numFmtId="165" fontId="6" fillId="0" borderId="0" xfId="5" applyNumberFormat="1"/>
    <xf numFmtId="43" fontId="0" fillId="0" borderId="0" xfId="7" applyFont="1"/>
    <xf numFmtId="9" fontId="6" fillId="0" borderId="0" xfId="5" applyNumberFormat="1"/>
    <xf numFmtId="8" fontId="6" fillId="0" borderId="0" xfId="5" applyNumberFormat="1"/>
    <xf numFmtId="165" fontId="0" fillId="2" borderId="0" xfId="1" applyNumberFormat="1" applyFont="1" applyFill="1"/>
    <xf numFmtId="167" fontId="0" fillId="2" borderId="1" xfId="3" applyNumberFormat="1" applyFont="1" applyFill="1" applyBorder="1"/>
    <xf numFmtId="167" fontId="0" fillId="2" borderId="0" xfId="3" applyNumberFormat="1" applyFont="1" applyFill="1"/>
    <xf numFmtId="167" fontId="0" fillId="2" borderId="2" xfId="3" applyNumberFormat="1" applyFont="1" applyFill="1" applyBorder="1"/>
    <xf numFmtId="165" fontId="0" fillId="2" borderId="3" xfId="0" applyNumberFormat="1" applyFill="1" applyBorder="1"/>
    <xf numFmtId="167" fontId="0" fillId="2" borderId="0" xfId="3" applyNumberFormat="1" applyFont="1" applyFill="1" applyBorder="1"/>
    <xf numFmtId="44" fontId="0" fillId="0" borderId="0" xfId="1" applyFont="1"/>
    <xf numFmtId="9" fontId="5" fillId="0" borderId="0" xfId="2" applyFont="1"/>
    <xf numFmtId="0" fontId="0" fillId="0" borderId="0" xfId="0" applyFont="1" applyAlignment="1">
      <alignment horizontal="left" indent="1"/>
    </xf>
    <xf numFmtId="167" fontId="5" fillId="0" borderId="0" xfId="3" applyNumberFormat="1" applyFont="1"/>
    <xf numFmtId="9" fontId="2" fillId="0" borderId="0" xfId="2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3" applyNumberFormat="1" applyFont="1"/>
    <xf numFmtId="0" fontId="5" fillId="0" borderId="0" xfId="0" applyNumberFormat="1" applyFont="1"/>
    <xf numFmtId="0" fontId="2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7" fontId="0" fillId="0" borderId="1" xfId="3" applyNumberFormat="1" applyFont="1" applyFill="1" applyBorder="1"/>
    <xf numFmtId="167" fontId="0" fillId="0" borderId="0" xfId="3" applyNumberFormat="1" applyFont="1" applyFill="1"/>
    <xf numFmtId="167" fontId="0" fillId="0" borderId="2" xfId="3" applyNumberFormat="1" applyFont="1" applyFill="1" applyBorder="1"/>
    <xf numFmtId="165" fontId="0" fillId="0" borderId="3" xfId="0" applyNumberFormat="1" applyFill="1" applyBorder="1"/>
    <xf numFmtId="167" fontId="0" fillId="0" borderId="0" xfId="3" applyNumberFormat="1" applyFont="1" applyFill="1" applyBorder="1"/>
    <xf numFmtId="0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67" fontId="2" fillId="0" borderId="0" xfId="3" applyNumberFormat="1" applyFont="1" applyFill="1"/>
    <xf numFmtId="167" fontId="2" fillId="0" borderId="3" xfId="3" applyNumberFormat="1" applyFont="1" applyFill="1" applyBorder="1"/>
    <xf numFmtId="0" fontId="9" fillId="0" borderId="0" xfId="0" applyFont="1"/>
    <xf numFmtId="9" fontId="0" fillId="0" borderId="0" xfId="1" applyNumberFormat="1" applyFont="1"/>
    <xf numFmtId="167" fontId="2" fillId="2" borderId="3" xfId="3" applyNumberFormat="1" applyFont="1" applyFill="1" applyBorder="1"/>
    <xf numFmtId="0" fontId="10" fillId="0" borderId="0" xfId="0" applyFont="1" applyAlignment="1">
      <alignment horizontal="right"/>
    </xf>
    <xf numFmtId="9" fontId="0" fillId="2" borderId="0" xfId="2" applyFont="1" applyFill="1"/>
    <xf numFmtId="9" fontId="0" fillId="2" borderId="0" xfId="2" applyNumberFormat="1" applyFont="1" applyFill="1"/>
    <xf numFmtId="168" fontId="0" fillId="2" borderId="0" xfId="3" applyNumberFormat="1" applyFont="1" applyFill="1"/>
    <xf numFmtId="168" fontId="0" fillId="2" borderId="0" xfId="0" applyNumberFormat="1" applyFill="1"/>
    <xf numFmtId="44" fontId="0" fillId="2" borderId="0" xfId="1" applyFont="1" applyFill="1"/>
    <xf numFmtId="0" fontId="5" fillId="0" borderId="0" xfId="0" applyFont="1" applyAlignment="1">
      <alignment horizontal="left" indent="3"/>
    </xf>
    <xf numFmtId="0" fontId="0" fillId="2" borderId="0" xfId="0" applyFill="1"/>
    <xf numFmtId="166" fontId="2" fillId="0" borderId="0" xfId="0" applyNumberFormat="1" applyFont="1"/>
    <xf numFmtId="166" fontId="2" fillId="0" borderId="0" xfId="0" applyNumberFormat="1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quotePrefix="1" applyFont="1"/>
    <xf numFmtId="0" fontId="7" fillId="0" borderId="0" xfId="5" applyFont="1" applyAlignment="1"/>
    <xf numFmtId="9" fontId="6" fillId="0" borderId="0" xfId="2" applyFont="1" applyAlignment="1">
      <alignment wrapText="1"/>
    </xf>
    <xf numFmtId="0" fontId="6" fillId="0" borderId="0" xfId="5" applyAlignment="1"/>
    <xf numFmtId="9" fontId="6" fillId="0" borderId="0" xfId="2" applyFont="1" applyAlignment="1"/>
    <xf numFmtId="9" fontId="7" fillId="0" borderId="0" xfId="2" applyFont="1" applyAlignment="1"/>
    <xf numFmtId="0" fontId="6" fillId="0" borderId="0" xfId="5" applyFont="1" applyAlignment="1"/>
    <xf numFmtId="165" fontId="6" fillId="0" borderId="0" xfId="1" applyNumberFormat="1" applyFont="1" applyAlignment="1"/>
    <xf numFmtId="165" fontId="6" fillId="0" borderId="1" xfId="1" applyNumberFormat="1" applyFont="1" applyBorder="1" applyAlignment="1"/>
    <xf numFmtId="165" fontId="6" fillId="0" borderId="0" xfId="2" applyNumberFormat="1" applyFont="1" applyAlignment="1"/>
    <xf numFmtId="10" fontId="6" fillId="0" borderId="0" xfId="5" applyNumberFormat="1" applyAlignment="1"/>
    <xf numFmtId="9" fontId="6" fillId="0" borderId="0" xfId="5" applyNumberFormat="1" applyAlignment="1"/>
    <xf numFmtId="9" fontId="6" fillId="0" borderId="0" xfId="2" applyNumberFormat="1" applyFont="1" applyAlignment="1"/>
    <xf numFmtId="10" fontId="7" fillId="0" borderId="0" xfId="2" applyNumberFormat="1" applyFont="1" applyAlignment="1"/>
    <xf numFmtId="0" fontId="6" fillId="0" borderId="0" xfId="5" applyAlignment="1">
      <alignment horizontal="right"/>
    </xf>
    <xf numFmtId="0" fontId="6" fillId="0" borderId="0" xfId="5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9" fontId="6" fillId="0" borderId="0" xfId="5" applyNumberFormat="1" applyFill="1" applyBorder="1" applyAlignment="1">
      <alignment wrapText="1"/>
    </xf>
    <xf numFmtId="9" fontId="8" fillId="0" borderId="0" xfId="5" applyNumberFormat="1" applyFont="1" applyFill="1" applyBorder="1" applyAlignment="1">
      <alignment horizontal="left" wrapText="1"/>
    </xf>
    <xf numFmtId="0" fontId="8" fillId="0" borderId="0" xfId="5" applyFont="1" applyFill="1" applyBorder="1" applyAlignment="1">
      <alignment wrapText="1"/>
    </xf>
    <xf numFmtId="164" fontId="6" fillId="0" borderId="0" xfId="5" applyNumberFormat="1" applyFill="1" applyBorder="1" applyAlignment="1">
      <alignment wrapText="1"/>
    </xf>
    <xf numFmtId="164" fontId="6" fillId="0" borderId="0" xfId="5" applyNumberFormat="1" applyFont="1" applyFill="1" applyBorder="1" applyAlignment="1">
      <alignment wrapText="1"/>
    </xf>
    <xf numFmtId="167" fontId="6" fillId="0" borderId="0" xfId="3" applyNumberFormat="1" applyFont="1" applyFill="1" applyBorder="1" applyAlignment="1">
      <alignment wrapText="1"/>
    </xf>
    <xf numFmtId="167" fontId="8" fillId="0" borderId="0" xfId="3" applyNumberFormat="1" applyFont="1" applyFill="1" applyBorder="1" applyAlignment="1">
      <alignment wrapText="1"/>
    </xf>
    <xf numFmtId="9" fontId="8" fillId="0" borderId="0" xfId="5" applyNumberFormat="1" applyFont="1" applyFill="1" applyBorder="1" applyAlignment="1">
      <alignment wrapText="1"/>
    </xf>
    <xf numFmtId="10" fontId="6" fillId="0" borderId="0" xfId="6" applyNumberFormat="1" applyFont="1" applyFill="1" applyBorder="1" applyAlignment="1">
      <alignment wrapText="1"/>
    </xf>
    <xf numFmtId="0" fontId="7" fillId="0" borderId="0" xfId="5" applyFont="1" applyFill="1" applyBorder="1" applyAlignment="1">
      <alignment wrapText="1"/>
    </xf>
    <xf numFmtId="10" fontId="7" fillId="0" borderId="0" xfId="5" applyNumberFormat="1" applyFont="1" applyFill="1" applyBorder="1" applyAlignment="1">
      <alignment wrapText="1"/>
    </xf>
    <xf numFmtId="164" fontId="7" fillId="0" borderId="0" xfId="5" applyNumberFormat="1" applyFont="1" applyFill="1" applyBorder="1" applyAlignment="1">
      <alignment wrapText="1"/>
    </xf>
    <xf numFmtId="171" fontId="13" fillId="0" borderId="0" xfId="12" applyNumberFormat="1" applyFill="1"/>
    <xf numFmtId="0" fontId="13" fillId="0" borderId="0" xfId="12" applyFill="1"/>
    <xf numFmtId="0" fontId="15" fillId="0" borderId="0" xfId="12" applyFont="1" applyFill="1"/>
    <xf numFmtId="0" fontId="12" fillId="0" borderId="0" xfId="8" applyFill="1"/>
    <xf numFmtId="0" fontId="13" fillId="0" borderId="0" xfId="12" applyFill="1" applyAlignment="1">
      <alignment horizontal="left" indent="2"/>
    </xf>
    <xf numFmtId="0" fontId="17" fillId="3" borderId="0" xfId="14" applyFont="1" applyFill="1"/>
    <xf numFmtId="43" fontId="11" fillId="3" borderId="0" xfId="15" applyNumberFormat="1" applyFont="1" applyFill="1"/>
    <xf numFmtId="0" fontId="1" fillId="0" borderId="4" xfId="14" applyFont="1" applyBorder="1"/>
    <xf numFmtId="43" fontId="18" fillId="4" borderId="5" xfId="15" applyNumberFormat="1" applyFont="1" applyFill="1" applyBorder="1"/>
    <xf numFmtId="0" fontId="1" fillId="0" borderId="6" xfId="14" applyFont="1" applyBorder="1"/>
    <xf numFmtId="9" fontId="18" fillId="4" borderId="5" xfId="16" applyFont="1" applyFill="1" applyBorder="1"/>
    <xf numFmtId="0" fontId="1" fillId="0" borderId="7" xfId="14" applyFont="1" applyBorder="1"/>
    <xf numFmtId="9" fontId="18" fillId="4" borderId="8" xfId="16" applyFont="1" applyFill="1" applyBorder="1"/>
    <xf numFmtId="0" fontId="1" fillId="0" borderId="0" xfId="14" applyFont="1"/>
    <xf numFmtId="43" fontId="11" fillId="3" borderId="0" xfId="15" applyFont="1" applyFill="1"/>
    <xf numFmtId="43" fontId="1" fillId="0" borderId="9" xfId="14" applyNumberFormat="1" applyFont="1" applyBorder="1"/>
    <xf numFmtId="9" fontId="18" fillId="0" borderId="10" xfId="16" applyFont="1" applyBorder="1"/>
    <xf numFmtId="171" fontId="13" fillId="0" borderId="0" xfId="10" applyNumberFormat="1" applyFill="1"/>
    <xf numFmtId="0" fontId="15" fillId="0" borderId="0" xfId="12" applyFont="1" applyFill="1" applyAlignment="1">
      <alignment horizontal="left" indent="2"/>
    </xf>
    <xf numFmtId="171" fontId="19" fillId="0" borderId="0" xfId="12" applyNumberFormat="1" applyFont="1" applyFill="1"/>
    <xf numFmtId="9" fontId="18" fillId="0" borderId="0" xfId="11" applyFont="1" applyFill="1"/>
    <xf numFmtId="0" fontId="16" fillId="0" borderId="0" xfId="12" applyFont="1" applyFill="1"/>
    <xf numFmtId="0" fontId="3" fillId="0" borderId="0" xfId="8" applyFont="1" applyFill="1"/>
    <xf numFmtId="167" fontId="13" fillId="0" borderId="0" xfId="12" applyNumberFormat="1" applyFill="1"/>
    <xf numFmtId="167" fontId="13" fillId="0" borderId="0" xfId="3" applyNumberFormat="1" applyFont="1" applyFill="1"/>
    <xf numFmtId="167" fontId="13" fillId="0" borderId="0" xfId="12" applyNumberFormat="1" applyFill="1" applyBorder="1"/>
    <xf numFmtId="167" fontId="13" fillId="0" borderId="1" xfId="12" applyNumberFormat="1" applyFill="1" applyBorder="1"/>
    <xf numFmtId="167" fontId="0" fillId="0" borderId="0" xfId="0" applyNumberFormat="1" applyFill="1"/>
    <xf numFmtId="167" fontId="5" fillId="0" borderId="0" xfId="0" applyNumberFormat="1" applyFont="1"/>
    <xf numFmtId="0" fontId="13" fillId="0" borderId="0" xfId="12" quotePrefix="1" applyFill="1" applyAlignment="1">
      <alignment horizontal="left" indent="2"/>
    </xf>
    <xf numFmtId="171" fontId="13" fillId="0" borderId="0" xfId="12" applyNumberFormat="1" applyFill="1" applyBorder="1"/>
    <xf numFmtId="10" fontId="13" fillId="0" borderId="0" xfId="12" applyNumberFormat="1" applyFill="1" applyBorder="1"/>
    <xf numFmtId="9" fontId="13" fillId="0" borderId="0" xfId="12" applyNumberFormat="1" applyFill="1"/>
    <xf numFmtId="0" fontId="0" fillId="0" borderId="0" xfId="0" applyFont="1" applyFill="1"/>
    <xf numFmtId="9" fontId="1" fillId="0" borderId="0" xfId="2" applyFont="1"/>
    <xf numFmtId="0" fontId="20" fillId="0" borderId="0" xfId="5" applyFont="1" applyAlignment="1">
      <alignment wrapText="1"/>
    </xf>
    <xf numFmtId="9" fontId="20" fillId="0" borderId="0" xfId="2" applyFont="1" applyAlignment="1">
      <alignment wrapText="1"/>
    </xf>
    <xf numFmtId="0" fontId="20" fillId="0" borderId="0" xfId="5" applyFont="1" applyAlignment="1"/>
    <xf numFmtId="9" fontId="20" fillId="0" borderId="0" xfId="2" applyFont="1" applyAlignment="1"/>
    <xf numFmtId="0" fontId="20" fillId="0" borderId="0" xfId="5" applyFont="1" applyFill="1" applyAlignment="1">
      <alignment wrapText="1"/>
    </xf>
    <xf numFmtId="43" fontId="1" fillId="0" borderId="0" xfId="3" applyFont="1"/>
    <xf numFmtId="9" fontId="0" fillId="0" borderId="0" xfId="0" applyNumberFormat="1"/>
    <xf numFmtId="9" fontId="5" fillId="0" borderId="0" xfId="0" applyNumberFormat="1" applyFont="1"/>
    <xf numFmtId="9" fontId="0" fillId="0" borderId="0" xfId="0" applyNumberFormat="1" applyFill="1"/>
    <xf numFmtId="9" fontId="5" fillId="0" borderId="0" xfId="2" applyFont="1" applyAlignment="1">
      <alignment horizontal="right"/>
    </xf>
    <xf numFmtId="10" fontId="5" fillId="0" borderId="0" xfId="2" applyNumberFormat="1" applyFont="1"/>
    <xf numFmtId="9" fontId="0" fillId="2" borderId="0" xfId="0" applyNumberFormat="1" applyFill="1"/>
    <xf numFmtId="9" fontId="20" fillId="2" borderId="0" xfId="2" applyFont="1" applyFill="1" applyAlignment="1"/>
    <xf numFmtId="0" fontId="0" fillId="2" borderId="0" xfId="0" applyFont="1" applyFill="1"/>
    <xf numFmtId="9" fontId="1" fillId="2" borderId="0" xfId="2" applyFont="1" applyFill="1"/>
    <xf numFmtId="43" fontId="1" fillId="2" borderId="0" xfId="3" applyFont="1" applyFill="1"/>
    <xf numFmtId="10" fontId="0" fillId="2" borderId="0" xfId="0" applyNumberFormat="1" applyFill="1"/>
    <xf numFmtId="10" fontId="0" fillId="2" borderId="0" xfId="2" applyNumberFormat="1" applyFont="1" applyFill="1"/>
    <xf numFmtId="0" fontId="16" fillId="2" borderId="0" xfId="12" applyFont="1" applyFill="1"/>
    <xf numFmtId="0" fontId="13" fillId="2" borderId="0" xfId="12" applyFill="1"/>
    <xf numFmtId="167" fontId="13" fillId="2" borderId="0" xfId="12" applyNumberFormat="1" applyFill="1"/>
    <xf numFmtId="167" fontId="13" fillId="2" borderId="1" xfId="12" applyNumberFormat="1" applyFill="1" applyBorder="1"/>
    <xf numFmtId="167" fontId="13" fillId="2" borderId="0" xfId="3" applyNumberFormat="1" applyFont="1" applyFill="1"/>
    <xf numFmtId="167" fontId="13" fillId="2" borderId="0" xfId="12" applyNumberFormat="1" applyFill="1" applyBorder="1"/>
    <xf numFmtId="9" fontId="13" fillId="2" borderId="0" xfId="12" applyNumberFormat="1" applyFill="1"/>
    <xf numFmtId="167" fontId="2" fillId="2" borderId="0" xfId="3" applyNumberFormat="1" applyFont="1" applyFill="1"/>
    <xf numFmtId="0" fontId="2" fillId="2" borderId="0" xfId="0" applyFont="1" applyFill="1"/>
    <xf numFmtId="0" fontId="1" fillId="2" borderId="0" xfId="0" applyFont="1" applyFill="1"/>
    <xf numFmtId="167" fontId="0" fillId="2" borderId="0" xfId="0" applyNumberFormat="1" applyFill="1"/>
    <xf numFmtId="0" fontId="21" fillId="0" borderId="0" xfId="12" applyFont="1" applyFill="1"/>
    <xf numFmtId="9" fontId="0" fillId="0" borderId="0" xfId="2" applyFont="1" applyFill="1"/>
    <xf numFmtId="0" fontId="15" fillId="0" borderId="0" xfId="12" applyFont="1" applyFill="1" applyAlignment="1">
      <alignment horizontal="left"/>
    </xf>
    <xf numFmtId="9" fontId="5" fillId="0" borderId="0" xfId="2" applyFont="1" applyFill="1"/>
    <xf numFmtId="0" fontId="22" fillId="0" borderId="0" xfId="3" applyNumberFormat="1" applyFont="1" applyFill="1"/>
    <xf numFmtId="0" fontId="2" fillId="0" borderId="0" xfId="3" applyNumberFormat="1" applyFont="1" applyFill="1"/>
    <xf numFmtId="167" fontId="0" fillId="0" borderId="1" xfId="0" applyNumberFormat="1" applyFill="1" applyBorder="1"/>
    <xf numFmtId="167" fontId="0" fillId="0" borderId="0" xfId="0" applyNumberFormat="1" applyFill="1" applyBorder="1"/>
    <xf numFmtId="0" fontId="0" fillId="0" borderId="0" xfId="0" applyFill="1" applyAlignment="1">
      <alignment horizontal="right"/>
    </xf>
    <xf numFmtId="0" fontId="5" fillId="0" borderId="0" xfId="0" applyFont="1" applyFill="1"/>
    <xf numFmtId="167" fontId="1" fillId="0" borderId="0" xfId="3" applyNumberFormat="1" applyFont="1" applyFill="1"/>
    <xf numFmtId="0" fontId="0" fillId="0" borderId="11" xfId="0" applyBorder="1"/>
    <xf numFmtId="0" fontId="0" fillId="0" borderId="11" xfId="0" applyFill="1" applyBorder="1"/>
    <xf numFmtId="171" fontId="0" fillId="0" borderId="11" xfId="10" applyNumberFormat="1" applyFont="1" applyBorder="1"/>
    <xf numFmtId="9" fontId="0" fillId="0" borderId="11" xfId="2" applyFont="1" applyBorder="1"/>
    <xf numFmtId="9" fontId="0" fillId="0" borderId="11" xfId="2" applyNumberFormat="1" applyFont="1" applyBorder="1"/>
    <xf numFmtId="171" fontId="23" fillId="0" borderId="11" xfId="10" applyNumberFormat="1" applyFont="1" applyBorder="1"/>
    <xf numFmtId="0" fontId="0" fillId="0" borderId="1" xfId="0" applyBorder="1"/>
    <xf numFmtId="43" fontId="5" fillId="0" borderId="0" xfId="3" applyFont="1" applyFill="1"/>
    <xf numFmtId="167" fontId="5" fillId="0" borderId="0" xfId="0" applyNumberFormat="1" applyFont="1" applyFill="1"/>
    <xf numFmtId="167" fontId="0" fillId="0" borderId="0" xfId="2" applyNumberFormat="1" applyFont="1"/>
  </cellXfs>
  <cellStyles count="17">
    <cellStyle name="Comma" xfId="3" builtinId="3"/>
    <cellStyle name="Comma 2" xfId="7"/>
    <cellStyle name="Comma 3" xfId="15"/>
    <cellStyle name="Comma 4" xfId="9"/>
    <cellStyle name="Currency" xfId="1" builtinId="4"/>
    <cellStyle name="Currency 2" xfId="10"/>
    <cellStyle name="Excel Built-in Normal" xfId="13"/>
    <cellStyle name="Excel Built-in Normal 1" xfId="12"/>
    <cellStyle name="Hyperlink" xfId="4" builtinId="8"/>
    <cellStyle name="Normal" xfId="0" builtinId="0"/>
    <cellStyle name="Normal 2" xfId="5"/>
    <cellStyle name="Normal 3" xfId="14"/>
    <cellStyle name="Normal 4" xfId="8"/>
    <cellStyle name="Percent" xfId="2" builtinId="5"/>
    <cellStyle name="Percent 2" xfId="6"/>
    <cellStyle name="Percent 3" xfId="16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tabSelected="1" zoomScaleNormal="100" workbookViewId="0">
      <selection activeCell="E213" sqref="E213"/>
    </sheetView>
  </sheetViews>
  <sheetFormatPr defaultRowHeight="15" x14ac:dyDescent="0.25"/>
  <cols>
    <col min="1" max="1" width="43.42578125" customWidth="1"/>
    <col min="2" max="3" width="12.140625" customWidth="1"/>
    <col min="4" max="12" width="11" customWidth="1"/>
    <col min="13" max="13" width="24.7109375" style="13" bestFit="1" customWidth="1"/>
    <col min="14" max="14" width="19.5703125" bestFit="1" customWidth="1"/>
    <col min="15" max="15" width="10.5703125" bestFit="1" customWidth="1"/>
    <col min="17" max="17" width="10.5703125" bestFit="1" customWidth="1"/>
  </cols>
  <sheetData>
    <row r="1" spans="1:13" ht="31.5" x14ac:dyDescent="0.5">
      <c r="A1" s="58" t="s">
        <v>148</v>
      </c>
    </row>
    <row r="2" spans="1:13" x14ac:dyDescent="0.25">
      <c r="A2" s="41" t="s">
        <v>157</v>
      </c>
    </row>
    <row r="3" spans="1:13" x14ac:dyDescent="0.25">
      <c r="C3" s="4">
        <v>2013</v>
      </c>
      <c r="D3" s="4">
        <v>2014</v>
      </c>
      <c r="E3" s="4">
        <v>2015</v>
      </c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40" t="s">
        <v>164</v>
      </c>
    </row>
    <row r="4" spans="1:13" x14ac:dyDescent="0.25">
      <c r="A4" s="4" t="s">
        <v>0</v>
      </c>
    </row>
    <row r="5" spans="1:13" x14ac:dyDescent="0.25">
      <c r="A5" s="19" t="s">
        <v>135</v>
      </c>
      <c r="B5" s="43" t="s">
        <v>160</v>
      </c>
    </row>
    <row r="6" spans="1:13" x14ac:dyDescent="0.25">
      <c r="A6" s="38" t="s">
        <v>89</v>
      </c>
      <c r="B6" s="68">
        <v>12</v>
      </c>
      <c r="C6" s="32">
        <f t="shared" ref="C6:C11" si="0">B6*12</f>
        <v>144</v>
      </c>
      <c r="D6" s="32">
        <f t="shared" ref="D6:F11" si="1">C6+(C6*$M6)</f>
        <v>158.4</v>
      </c>
      <c r="E6" s="32">
        <f t="shared" si="1"/>
        <v>174.24</v>
      </c>
      <c r="F6" s="32">
        <f t="shared" si="1"/>
        <v>191.66400000000002</v>
      </c>
      <c r="G6" s="32">
        <f t="shared" ref="G6:L6" si="2">F6+(F6*$M6)</f>
        <v>210.83040000000003</v>
      </c>
      <c r="H6" s="32">
        <f t="shared" si="2"/>
        <v>231.91344000000004</v>
      </c>
      <c r="I6" s="32">
        <f t="shared" si="2"/>
        <v>255.10478400000005</v>
      </c>
      <c r="J6" s="32">
        <f t="shared" si="2"/>
        <v>280.61526240000006</v>
      </c>
      <c r="K6" s="32">
        <f t="shared" si="2"/>
        <v>308.67678864000004</v>
      </c>
      <c r="L6" s="32">
        <f t="shared" si="2"/>
        <v>339.54446750400007</v>
      </c>
      <c r="M6" s="62">
        <v>0.1</v>
      </c>
    </row>
    <row r="7" spans="1:13" x14ac:dyDescent="0.25">
      <c r="A7" s="38" t="s">
        <v>90</v>
      </c>
      <c r="B7" s="47">
        <v>14</v>
      </c>
      <c r="C7" s="16">
        <f t="shared" si="0"/>
        <v>168</v>
      </c>
      <c r="D7" s="16">
        <f t="shared" si="1"/>
        <v>186.48</v>
      </c>
      <c r="E7" s="16">
        <f t="shared" si="1"/>
        <v>206.99279999999999</v>
      </c>
      <c r="F7" s="16">
        <f t="shared" si="1"/>
        <v>229.76200799999998</v>
      </c>
      <c r="G7" s="16">
        <f t="shared" ref="G7:L7" si="3">F7+(F7*$M7)</f>
        <v>255.03582887999997</v>
      </c>
      <c r="H7" s="16">
        <f t="shared" si="3"/>
        <v>283.08977005679998</v>
      </c>
      <c r="I7" s="16">
        <f t="shared" si="3"/>
        <v>314.22964476304799</v>
      </c>
      <c r="J7" s="16">
        <f t="shared" si="3"/>
        <v>348.79490568698327</v>
      </c>
      <c r="K7" s="16">
        <f t="shared" si="3"/>
        <v>387.16234531255145</v>
      </c>
      <c r="L7" s="16">
        <f t="shared" si="3"/>
        <v>429.75020329693211</v>
      </c>
      <c r="M7" s="13">
        <v>0.11</v>
      </c>
    </row>
    <row r="8" spans="1:13" x14ac:dyDescent="0.25">
      <c r="A8" s="38" t="s">
        <v>91</v>
      </c>
      <c r="B8" s="68">
        <v>13</v>
      </c>
      <c r="C8" s="32">
        <f t="shared" si="0"/>
        <v>156</v>
      </c>
      <c r="D8" s="32">
        <f t="shared" si="1"/>
        <v>171.6</v>
      </c>
      <c r="E8" s="32">
        <f t="shared" si="1"/>
        <v>188.76</v>
      </c>
      <c r="F8" s="32">
        <f t="shared" si="1"/>
        <v>207.636</v>
      </c>
      <c r="G8" s="32">
        <f t="shared" ref="G8:L8" si="4">F8+(F8*$M8)</f>
        <v>228.39959999999999</v>
      </c>
      <c r="H8" s="32">
        <f t="shared" si="4"/>
        <v>251.23955999999998</v>
      </c>
      <c r="I8" s="32">
        <f t="shared" si="4"/>
        <v>276.363516</v>
      </c>
      <c r="J8" s="32">
        <f t="shared" si="4"/>
        <v>303.99986760000002</v>
      </c>
      <c r="K8" s="32">
        <f t="shared" si="4"/>
        <v>334.39985436000001</v>
      </c>
      <c r="L8" s="32">
        <f t="shared" si="4"/>
        <v>367.83983979599998</v>
      </c>
      <c r="M8" s="62">
        <v>0.1</v>
      </c>
    </row>
    <row r="9" spans="1:13" x14ac:dyDescent="0.25">
      <c r="A9" s="38" t="s">
        <v>165</v>
      </c>
      <c r="B9" s="47">
        <v>22</v>
      </c>
      <c r="C9" s="16">
        <f t="shared" si="0"/>
        <v>264</v>
      </c>
      <c r="D9" s="16">
        <f t="shared" si="1"/>
        <v>287.76</v>
      </c>
      <c r="E9" s="16">
        <f t="shared" si="1"/>
        <v>313.65839999999997</v>
      </c>
      <c r="F9" s="16">
        <f t="shared" si="1"/>
        <v>341.88765599999999</v>
      </c>
      <c r="G9" s="16">
        <f t="shared" ref="G9:L9" si="5">F9+(F9*$M9)</f>
        <v>372.65754504</v>
      </c>
      <c r="H9" s="16">
        <f t="shared" si="5"/>
        <v>406.19672409359998</v>
      </c>
      <c r="I9" s="16">
        <f t="shared" si="5"/>
        <v>442.75442926202396</v>
      </c>
      <c r="J9" s="16">
        <f t="shared" si="5"/>
        <v>482.60232789560609</v>
      </c>
      <c r="K9" s="16">
        <f t="shared" si="5"/>
        <v>526.03653740621064</v>
      </c>
      <c r="L9" s="16">
        <f t="shared" si="5"/>
        <v>573.37982577276955</v>
      </c>
      <c r="M9" s="13">
        <v>0.09</v>
      </c>
    </row>
    <row r="10" spans="1:13" x14ac:dyDescent="0.25">
      <c r="A10" s="38" t="s">
        <v>92</v>
      </c>
      <c r="B10" s="68">
        <v>14</v>
      </c>
      <c r="C10" s="32">
        <f t="shared" si="0"/>
        <v>168</v>
      </c>
      <c r="D10" s="32">
        <f t="shared" si="1"/>
        <v>188.16</v>
      </c>
      <c r="E10" s="32">
        <f t="shared" si="1"/>
        <v>210.73919999999998</v>
      </c>
      <c r="F10" s="32">
        <f t="shared" si="1"/>
        <v>236.02790399999998</v>
      </c>
      <c r="G10" s="32">
        <f t="shared" ref="G10:L10" si="6">F10+(F10*$M10)</f>
        <v>264.35125247999997</v>
      </c>
      <c r="H10" s="32">
        <f t="shared" si="6"/>
        <v>296.07340277759999</v>
      </c>
      <c r="I10" s="32">
        <f t="shared" si="6"/>
        <v>331.60221111091198</v>
      </c>
      <c r="J10" s="32">
        <f t="shared" si="6"/>
        <v>371.39447644422143</v>
      </c>
      <c r="K10" s="32">
        <f t="shared" si="6"/>
        <v>415.96181361752798</v>
      </c>
      <c r="L10" s="32">
        <f t="shared" si="6"/>
        <v>465.87723125163131</v>
      </c>
      <c r="M10" s="62">
        <v>0.12</v>
      </c>
    </row>
    <row r="11" spans="1:13" x14ac:dyDescent="0.25">
      <c r="A11" s="38" t="s">
        <v>93</v>
      </c>
      <c r="B11">
        <v>10</v>
      </c>
      <c r="C11" s="16">
        <f t="shared" si="0"/>
        <v>120</v>
      </c>
      <c r="D11" s="16">
        <f t="shared" si="1"/>
        <v>132</v>
      </c>
      <c r="E11" s="16">
        <f t="shared" si="1"/>
        <v>145.19999999999999</v>
      </c>
      <c r="F11" s="16">
        <f t="shared" si="1"/>
        <v>159.72</v>
      </c>
      <c r="G11" s="16">
        <f t="shared" ref="G11:L11" si="7">F11+(F11*$M11)</f>
        <v>175.69200000000001</v>
      </c>
      <c r="H11" s="16">
        <f t="shared" si="7"/>
        <v>193.2612</v>
      </c>
      <c r="I11" s="16">
        <f t="shared" si="7"/>
        <v>212.58732000000001</v>
      </c>
      <c r="J11" s="16">
        <f t="shared" si="7"/>
        <v>233.84605200000001</v>
      </c>
      <c r="K11" s="16">
        <f t="shared" si="7"/>
        <v>257.2306572</v>
      </c>
      <c r="L11" s="16">
        <f t="shared" si="7"/>
        <v>282.95372292000002</v>
      </c>
      <c r="M11" s="13">
        <v>0.1</v>
      </c>
    </row>
    <row r="12" spans="1:13" x14ac:dyDescent="0.25">
      <c r="A12" s="15"/>
    </row>
    <row r="13" spans="1:13" x14ac:dyDescent="0.25">
      <c r="A13" s="19" t="s">
        <v>134</v>
      </c>
    </row>
    <row r="14" spans="1:13" x14ac:dyDescent="0.25">
      <c r="A14" s="38" t="s">
        <v>89</v>
      </c>
      <c r="C14" s="30">
        <v>45</v>
      </c>
      <c r="D14" s="30">
        <f t="shared" ref="D14:F19" si="8">C14+(C14*$M14)</f>
        <v>47.25</v>
      </c>
      <c r="E14" s="30">
        <f t="shared" si="8"/>
        <v>49.612499999999997</v>
      </c>
      <c r="F14" s="30">
        <f t="shared" si="8"/>
        <v>52.093125000000001</v>
      </c>
      <c r="G14" s="30">
        <f t="shared" ref="G14:L14" si="9">F14+(F14*$M14)</f>
        <v>54.697781249999998</v>
      </c>
      <c r="H14" s="30">
        <f t="shared" si="9"/>
        <v>57.432670312500001</v>
      </c>
      <c r="I14" s="30">
        <f t="shared" si="9"/>
        <v>60.304303828125001</v>
      </c>
      <c r="J14" s="30">
        <f t="shared" si="9"/>
        <v>63.319519019531249</v>
      </c>
      <c r="K14" s="30">
        <f t="shared" si="9"/>
        <v>66.485494970507816</v>
      </c>
      <c r="L14" s="30">
        <f t="shared" si="9"/>
        <v>69.809769719033213</v>
      </c>
      <c r="M14" s="62">
        <v>0.05</v>
      </c>
    </row>
    <row r="15" spans="1:13" x14ac:dyDescent="0.25">
      <c r="A15" s="38" t="s">
        <v>90</v>
      </c>
      <c r="C15" s="3">
        <v>65</v>
      </c>
      <c r="D15" s="3">
        <f t="shared" si="8"/>
        <v>68.25</v>
      </c>
      <c r="E15" s="3">
        <f t="shared" si="8"/>
        <v>71.662499999999994</v>
      </c>
      <c r="F15" s="3">
        <f t="shared" si="8"/>
        <v>75.24562499999999</v>
      </c>
      <c r="G15" s="3">
        <f t="shared" ref="G15:L15" si="10">F15+(F15*$M15)</f>
        <v>79.007906249999991</v>
      </c>
      <c r="H15" s="3">
        <f t="shared" si="10"/>
        <v>82.958301562499997</v>
      </c>
      <c r="I15" s="3">
        <f t="shared" si="10"/>
        <v>87.106216640624993</v>
      </c>
      <c r="J15" s="3">
        <f t="shared" si="10"/>
        <v>91.461527472656243</v>
      </c>
      <c r="K15" s="3">
        <f t="shared" si="10"/>
        <v>96.034603846289059</v>
      </c>
      <c r="L15" s="3">
        <f t="shared" si="10"/>
        <v>100.83633403860351</v>
      </c>
      <c r="M15" s="13">
        <v>0.05</v>
      </c>
    </row>
    <row r="16" spans="1:13" x14ac:dyDescent="0.25">
      <c r="A16" s="38" t="s">
        <v>91</v>
      </c>
      <c r="C16" s="30">
        <v>40</v>
      </c>
      <c r="D16" s="30">
        <f t="shared" si="8"/>
        <v>42</v>
      </c>
      <c r="E16" s="30">
        <f t="shared" si="8"/>
        <v>44.1</v>
      </c>
      <c r="F16" s="30">
        <f t="shared" si="8"/>
        <v>46.305</v>
      </c>
      <c r="G16" s="30">
        <f t="shared" ref="G16:L16" si="11">F16+(F16*$M16)</f>
        <v>48.620249999999999</v>
      </c>
      <c r="H16" s="30">
        <f t="shared" si="11"/>
        <v>51.0512625</v>
      </c>
      <c r="I16" s="30">
        <f t="shared" si="11"/>
        <v>53.603825624999999</v>
      </c>
      <c r="J16" s="30">
        <f t="shared" si="11"/>
        <v>56.284016906250002</v>
      </c>
      <c r="K16" s="30">
        <f t="shared" si="11"/>
        <v>59.098217751562501</v>
      </c>
      <c r="L16" s="30">
        <f t="shared" si="11"/>
        <v>62.053128639140624</v>
      </c>
      <c r="M16" s="62">
        <v>0.05</v>
      </c>
    </row>
    <row r="17" spans="1:13" x14ac:dyDescent="0.25">
      <c r="A17" s="38" t="s">
        <v>165</v>
      </c>
      <c r="C17" s="3">
        <v>46</v>
      </c>
      <c r="D17" s="3">
        <f t="shared" si="8"/>
        <v>48.3</v>
      </c>
      <c r="E17" s="3">
        <f t="shared" si="8"/>
        <v>50.714999999999996</v>
      </c>
      <c r="F17" s="3">
        <f t="shared" si="8"/>
        <v>53.250749999999996</v>
      </c>
      <c r="G17" s="3">
        <f t="shared" ref="G17:L17" si="12">F17+(F17*$M17)</f>
        <v>55.913287499999996</v>
      </c>
      <c r="H17" s="3">
        <f t="shared" si="12"/>
        <v>58.708951874999997</v>
      </c>
      <c r="I17" s="3">
        <f t="shared" si="12"/>
        <v>61.644399468749995</v>
      </c>
      <c r="J17" s="3">
        <f t="shared" si="12"/>
        <v>64.726619442187499</v>
      </c>
      <c r="K17" s="3">
        <f t="shared" si="12"/>
        <v>67.96295041429687</v>
      </c>
      <c r="L17" s="3">
        <f t="shared" si="12"/>
        <v>71.361097935011713</v>
      </c>
      <c r="M17" s="13">
        <v>0.05</v>
      </c>
    </row>
    <row r="18" spans="1:13" x14ac:dyDescent="0.25">
      <c r="A18" s="38" t="s">
        <v>92</v>
      </c>
      <c r="C18" s="30">
        <v>55</v>
      </c>
      <c r="D18" s="30">
        <f t="shared" si="8"/>
        <v>57.75</v>
      </c>
      <c r="E18" s="30">
        <f t="shared" si="8"/>
        <v>60.637500000000003</v>
      </c>
      <c r="F18" s="30">
        <f t="shared" si="8"/>
        <v>63.669375000000002</v>
      </c>
      <c r="G18" s="30">
        <f t="shared" ref="G18:L18" si="13">F18+(F18*$M18)</f>
        <v>66.852843750000005</v>
      </c>
      <c r="H18" s="30">
        <f t="shared" si="13"/>
        <v>70.19548593750001</v>
      </c>
      <c r="I18" s="30">
        <f t="shared" si="13"/>
        <v>73.705260234375004</v>
      </c>
      <c r="J18" s="30">
        <f t="shared" si="13"/>
        <v>77.39052324609375</v>
      </c>
      <c r="K18" s="30">
        <f t="shared" si="13"/>
        <v>81.26004940839843</v>
      </c>
      <c r="L18" s="30">
        <f t="shared" si="13"/>
        <v>85.323051878818347</v>
      </c>
      <c r="M18" s="62">
        <v>0.05</v>
      </c>
    </row>
    <row r="19" spans="1:13" x14ac:dyDescent="0.25">
      <c r="A19" s="38" t="s">
        <v>93</v>
      </c>
      <c r="C19" s="3">
        <v>70</v>
      </c>
      <c r="D19" s="3">
        <f t="shared" si="8"/>
        <v>73.5</v>
      </c>
      <c r="E19" s="3">
        <f t="shared" si="8"/>
        <v>77.174999999999997</v>
      </c>
      <c r="F19" s="3">
        <f t="shared" si="8"/>
        <v>81.033749999999998</v>
      </c>
      <c r="G19" s="3">
        <f t="shared" ref="G19:L19" si="14">F19+(F19*$M19)</f>
        <v>85.085437499999998</v>
      </c>
      <c r="H19" s="3">
        <f t="shared" si="14"/>
        <v>89.339709374999998</v>
      </c>
      <c r="I19" s="3">
        <f t="shared" si="14"/>
        <v>93.806694843749995</v>
      </c>
      <c r="J19" s="3">
        <f t="shared" si="14"/>
        <v>98.497029585937497</v>
      </c>
      <c r="K19" s="3">
        <f t="shared" si="14"/>
        <v>103.42188106523437</v>
      </c>
      <c r="L19" s="3">
        <f t="shared" si="14"/>
        <v>108.5929751184961</v>
      </c>
      <c r="M19" s="13">
        <v>0.05</v>
      </c>
    </row>
    <row r="20" spans="1:13" x14ac:dyDescent="0.25">
      <c r="A20" s="15"/>
    </row>
    <row r="21" spans="1:13" x14ac:dyDescent="0.25">
      <c r="A21" s="19" t="s">
        <v>133</v>
      </c>
      <c r="B21" s="37">
        <v>0.25</v>
      </c>
      <c r="C21" s="45" t="s">
        <v>131</v>
      </c>
      <c r="D21" s="2"/>
      <c r="E21" s="2"/>
      <c r="F21" s="2"/>
      <c r="G21" s="2"/>
      <c r="H21" s="2"/>
      <c r="I21" s="2"/>
      <c r="J21" s="2"/>
      <c r="K21" s="2"/>
      <c r="L21" s="2"/>
    </row>
    <row r="22" spans="1:13" x14ac:dyDescent="0.25">
      <c r="A22" s="38" t="s">
        <v>89</v>
      </c>
      <c r="C22" s="30">
        <f>C14*$B$21</f>
        <v>11.25</v>
      </c>
      <c r="D22" s="30">
        <f t="shared" ref="D22:F27" si="15">C22+(C22*$M22)</f>
        <v>11.8125</v>
      </c>
      <c r="E22" s="30">
        <f t="shared" si="15"/>
        <v>12.403124999999999</v>
      </c>
      <c r="F22" s="30">
        <f t="shared" si="15"/>
        <v>13.02328125</v>
      </c>
      <c r="G22" s="30">
        <f t="shared" ref="G22:L22" si="16">F22+(F22*$M22)</f>
        <v>13.6744453125</v>
      </c>
      <c r="H22" s="30">
        <f t="shared" si="16"/>
        <v>14.358167578125</v>
      </c>
      <c r="I22" s="30">
        <f t="shared" si="16"/>
        <v>15.07607595703125</v>
      </c>
      <c r="J22" s="30">
        <f t="shared" si="16"/>
        <v>15.829879754882812</v>
      </c>
      <c r="K22" s="30">
        <f t="shared" si="16"/>
        <v>16.621373742626954</v>
      </c>
      <c r="L22" s="30">
        <f t="shared" si="16"/>
        <v>17.452442429758303</v>
      </c>
      <c r="M22" s="62">
        <v>0.05</v>
      </c>
    </row>
    <row r="23" spans="1:13" x14ac:dyDescent="0.25">
      <c r="A23" s="38" t="s">
        <v>90</v>
      </c>
      <c r="C23" s="3">
        <v>1</v>
      </c>
      <c r="D23" s="3">
        <f t="shared" si="15"/>
        <v>1.05</v>
      </c>
      <c r="E23" s="3">
        <f t="shared" si="15"/>
        <v>1.1025</v>
      </c>
      <c r="F23" s="3">
        <f t="shared" si="15"/>
        <v>1.1576250000000001</v>
      </c>
      <c r="G23" s="3">
        <f t="shared" ref="G23:L23" si="17">F23+(F23*$M23)</f>
        <v>1.2155062500000002</v>
      </c>
      <c r="H23" s="3">
        <f t="shared" si="17"/>
        <v>1.2762815625000004</v>
      </c>
      <c r="I23" s="3">
        <f t="shared" si="17"/>
        <v>1.3400956406250004</v>
      </c>
      <c r="J23" s="3">
        <f t="shared" si="17"/>
        <v>1.4071004226562505</v>
      </c>
      <c r="K23" s="3">
        <f t="shared" si="17"/>
        <v>1.477455443789063</v>
      </c>
      <c r="L23" s="3">
        <f t="shared" si="17"/>
        <v>1.5513282159785162</v>
      </c>
      <c r="M23" s="13">
        <v>0.05</v>
      </c>
    </row>
    <row r="24" spans="1:13" x14ac:dyDescent="0.25">
      <c r="A24" s="38" t="s">
        <v>91</v>
      </c>
      <c r="C24" s="30">
        <f>C16*$B$21</f>
        <v>10</v>
      </c>
      <c r="D24" s="30">
        <f t="shared" si="15"/>
        <v>10.5</v>
      </c>
      <c r="E24" s="30">
        <f t="shared" si="15"/>
        <v>11.025</v>
      </c>
      <c r="F24" s="30">
        <f t="shared" si="15"/>
        <v>11.57625</v>
      </c>
      <c r="G24" s="30">
        <f t="shared" ref="G24:L24" si="18">F24+(F24*$M24)</f>
        <v>12.1550625</v>
      </c>
      <c r="H24" s="30">
        <f t="shared" si="18"/>
        <v>12.762815625</v>
      </c>
      <c r="I24" s="30">
        <f t="shared" si="18"/>
        <v>13.40095640625</v>
      </c>
      <c r="J24" s="30">
        <f t="shared" si="18"/>
        <v>14.071004226562501</v>
      </c>
      <c r="K24" s="30">
        <f t="shared" si="18"/>
        <v>14.774554437890625</v>
      </c>
      <c r="L24" s="30">
        <f t="shared" si="18"/>
        <v>15.513282159785156</v>
      </c>
      <c r="M24" s="62">
        <v>0.05</v>
      </c>
    </row>
    <row r="25" spans="1:13" x14ac:dyDescent="0.25">
      <c r="A25" s="38" t="s">
        <v>165</v>
      </c>
      <c r="C25" s="3">
        <f>C17*$B$21</f>
        <v>11.5</v>
      </c>
      <c r="D25" s="3">
        <f t="shared" si="15"/>
        <v>12.074999999999999</v>
      </c>
      <c r="E25" s="3">
        <f t="shared" si="15"/>
        <v>12.678749999999999</v>
      </c>
      <c r="F25" s="3">
        <f t="shared" si="15"/>
        <v>13.312687499999999</v>
      </c>
      <c r="G25" s="3">
        <f t="shared" ref="G25:L25" si="19">F25+(F25*$M25)</f>
        <v>13.978321874999999</v>
      </c>
      <c r="H25" s="3">
        <f t="shared" si="19"/>
        <v>14.677237968749999</v>
      </c>
      <c r="I25" s="3">
        <f t="shared" si="19"/>
        <v>15.411099867187499</v>
      </c>
      <c r="J25" s="3">
        <f t="shared" si="19"/>
        <v>16.181654860546875</v>
      </c>
      <c r="K25" s="3">
        <f t="shared" si="19"/>
        <v>16.990737603574217</v>
      </c>
      <c r="L25" s="3">
        <f t="shared" si="19"/>
        <v>17.840274483752928</v>
      </c>
      <c r="M25" s="13">
        <v>0.05</v>
      </c>
    </row>
    <row r="26" spans="1:13" x14ac:dyDescent="0.25">
      <c r="A26" s="38" t="s">
        <v>92</v>
      </c>
      <c r="C26" s="30">
        <f>C18*$B$21</f>
        <v>13.75</v>
      </c>
      <c r="D26" s="30">
        <f t="shared" si="15"/>
        <v>14.4375</v>
      </c>
      <c r="E26" s="30">
        <f t="shared" si="15"/>
        <v>15.159375000000001</v>
      </c>
      <c r="F26" s="30">
        <f t="shared" si="15"/>
        <v>15.917343750000001</v>
      </c>
      <c r="G26" s="30">
        <f t="shared" ref="G26:L26" si="20">F26+(F26*$M26)</f>
        <v>16.713210937500001</v>
      </c>
      <c r="H26" s="30">
        <f t="shared" si="20"/>
        <v>17.548871484375002</v>
      </c>
      <c r="I26" s="30">
        <f t="shared" si="20"/>
        <v>18.426315058593751</v>
      </c>
      <c r="J26" s="30">
        <f t="shared" si="20"/>
        <v>19.347630811523437</v>
      </c>
      <c r="K26" s="30">
        <f t="shared" si="20"/>
        <v>20.315012352099608</v>
      </c>
      <c r="L26" s="30">
        <f t="shared" si="20"/>
        <v>21.330762969704587</v>
      </c>
      <c r="M26" s="62">
        <v>0.05</v>
      </c>
    </row>
    <row r="27" spans="1:13" x14ac:dyDescent="0.25">
      <c r="A27" s="38" t="s">
        <v>93</v>
      </c>
      <c r="C27" s="3">
        <f>C19*$B$21</f>
        <v>17.5</v>
      </c>
      <c r="D27" s="3">
        <f t="shared" si="15"/>
        <v>18.375</v>
      </c>
      <c r="E27" s="3">
        <f t="shared" si="15"/>
        <v>19.293749999999999</v>
      </c>
      <c r="F27" s="3">
        <f t="shared" si="15"/>
        <v>20.258437499999999</v>
      </c>
      <c r="G27" s="3">
        <f t="shared" ref="G27:L27" si="21">F27+(F27*$M27)</f>
        <v>21.271359374999999</v>
      </c>
      <c r="H27" s="3">
        <f t="shared" si="21"/>
        <v>22.33492734375</v>
      </c>
      <c r="I27" s="3">
        <f t="shared" si="21"/>
        <v>23.451673710937499</v>
      </c>
      <c r="J27" s="3">
        <f t="shared" si="21"/>
        <v>24.624257396484374</v>
      </c>
      <c r="K27" s="3">
        <f t="shared" si="21"/>
        <v>25.855470266308593</v>
      </c>
      <c r="L27" s="3">
        <f t="shared" si="21"/>
        <v>27.148243779624025</v>
      </c>
      <c r="M27" s="13">
        <v>0.05</v>
      </c>
    </row>
    <row r="28" spans="1:13" x14ac:dyDescent="0.25">
      <c r="A28" s="15"/>
    </row>
    <row r="29" spans="1:13" x14ac:dyDescent="0.25">
      <c r="A29" s="19" t="s">
        <v>132</v>
      </c>
      <c r="B29" s="37">
        <v>0.3</v>
      </c>
      <c r="C29" s="19" t="s">
        <v>131</v>
      </c>
    </row>
    <row r="30" spans="1:13" x14ac:dyDescent="0.25">
      <c r="A30" s="38" t="s">
        <v>137</v>
      </c>
      <c r="C30" s="32">
        <f>$B$29*(SUM(C6:C11))</f>
        <v>306</v>
      </c>
      <c r="D30" s="32">
        <f>$B$29*(SUM(D6:D11))</f>
        <v>337.32</v>
      </c>
      <c r="E30" s="32">
        <f>$B$29*(SUM(E6:E11))</f>
        <v>371.87711999999999</v>
      </c>
      <c r="F30" s="32">
        <f>$B$29*(SUM(F6:F11))</f>
        <v>410.00927039999999</v>
      </c>
      <c r="G30" s="32">
        <f t="shared" ref="G30:L30" si="22">$B$29*(SUM(G6:G11))</f>
        <v>452.08998791999994</v>
      </c>
      <c r="H30" s="32">
        <f t="shared" si="22"/>
        <v>498.53222907840001</v>
      </c>
      <c r="I30" s="32">
        <f t="shared" si="22"/>
        <v>549.79257154079517</v>
      </c>
      <c r="J30" s="32">
        <f t="shared" si="22"/>
        <v>606.37586760804322</v>
      </c>
      <c r="K30" s="32">
        <f t="shared" si="22"/>
        <v>668.840398960887</v>
      </c>
      <c r="L30" s="32">
        <f t="shared" si="22"/>
        <v>737.80358716239982</v>
      </c>
      <c r="M30" s="32"/>
    </row>
    <row r="31" spans="1:13" x14ac:dyDescent="0.25">
      <c r="A31" s="38" t="s">
        <v>96</v>
      </c>
      <c r="C31" s="3">
        <v>7</v>
      </c>
      <c r="D31" s="3">
        <f>C31</f>
        <v>7</v>
      </c>
      <c r="E31" s="3">
        <f>D31</f>
        <v>7</v>
      </c>
      <c r="F31" s="3">
        <f>E31</f>
        <v>7</v>
      </c>
      <c r="G31" s="3">
        <f t="shared" ref="G31:L31" si="23">F31</f>
        <v>7</v>
      </c>
      <c r="H31" s="3">
        <f t="shared" si="23"/>
        <v>7</v>
      </c>
      <c r="I31" s="3">
        <f t="shared" si="23"/>
        <v>7</v>
      </c>
      <c r="J31" s="3">
        <f t="shared" si="23"/>
        <v>7</v>
      </c>
      <c r="K31" s="3">
        <f t="shared" si="23"/>
        <v>7</v>
      </c>
      <c r="L31" s="3">
        <f t="shared" si="23"/>
        <v>7</v>
      </c>
      <c r="M31" s="3"/>
    </row>
    <row r="32" spans="1:13" x14ac:dyDescent="0.25">
      <c r="A32" s="15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4" x14ac:dyDescent="0.25">
      <c r="A33" s="19" t="s">
        <v>140</v>
      </c>
      <c r="B33" s="39">
        <v>5</v>
      </c>
      <c r="C33" s="44" t="s">
        <v>136</v>
      </c>
      <c r="D33" s="16"/>
      <c r="E33" s="16"/>
      <c r="F33" s="16"/>
      <c r="G33" s="16"/>
      <c r="H33" s="16"/>
      <c r="I33" s="16"/>
      <c r="J33" s="16"/>
      <c r="K33" s="16"/>
      <c r="L33" s="16"/>
    </row>
    <row r="34" spans="1:14" x14ac:dyDescent="0.25">
      <c r="A34" s="38" t="s">
        <v>103</v>
      </c>
      <c r="C34" s="32">
        <f>C30*$B$33</f>
        <v>1530</v>
      </c>
      <c r="D34" s="32">
        <f>D30*$B$33</f>
        <v>1686.6</v>
      </c>
      <c r="E34" s="32">
        <f>E30*$B$33</f>
        <v>1859.3856000000001</v>
      </c>
      <c r="F34" s="32">
        <f>F30*$B$33</f>
        <v>2050.0463519999998</v>
      </c>
      <c r="G34" s="32">
        <f t="shared" ref="G34:L34" si="24">G30*$B$33</f>
        <v>2260.4499395999997</v>
      </c>
      <c r="H34" s="32">
        <f t="shared" si="24"/>
        <v>2492.661145392</v>
      </c>
      <c r="I34" s="32">
        <f t="shared" si="24"/>
        <v>2748.9628577039757</v>
      </c>
      <c r="J34" s="32">
        <f t="shared" si="24"/>
        <v>3031.8793380402162</v>
      </c>
      <c r="K34" s="32">
        <f t="shared" si="24"/>
        <v>3344.2019948044349</v>
      </c>
      <c r="L34" s="32">
        <f t="shared" si="24"/>
        <v>3689.017935811999</v>
      </c>
      <c r="M34" s="62"/>
    </row>
    <row r="35" spans="1:14" x14ac:dyDescent="0.25">
      <c r="A35" s="38" t="s">
        <v>104</v>
      </c>
      <c r="C35" s="36">
        <v>3.5</v>
      </c>
      <c r="D35" s="36">
        <f>C35+(C35*$M35)</f>
        <v>3.605</v>
      </c>
      <c r="E35" s="36">
        <f>D35+(D35*$M35)</f>
        <v>3.7131500000000002</v>
      </c>
      <c r="F35" s="36">
        <f>E35+(E35*$M35)</f>
        <v>3.8245445</v>
      </c>
      <c r="G35" s="36">
        <f t="shared" ref="G35:L35" si="25">F35+(F35*$M35)</f>
        <v>3.9392808349999999</v>
      </c>
      <c r="H35" s="36">
        <f t="shared" si="25"/>
        <v>4.0574592600499999</v>
      </c>
      <c r="I35" s="36">
        <f t="shared" si="25"/>
        <v>4.1791830378514998</v>
      </c>
      <c r="J35" s="36">
        <f t="shared" si="25"/>
        <v>4.3045585289870445</v>
      </c>
      <c r="K35" s="36">
        <f t="shared" si="25"/>
        <v>4.4336952848566558</v>
      </c>
      <c r="L35" s="36">
        <f t="shared" si="25"/>
        <v>4.5667061434023557</v>
      </c>
      <c r="M35" s="13">
        <v>0.03</v>
      </c>
    </row>
    <row r="36" spans="1:14" x14ac:dyDescent="0.25">
      <c r="A36" s="38" t="s">
        <v>138</v>
      </c>
      <c r="C36" s="32">
        <v>6</v>
      </c>
      <c r="D36" s="32">
        <f>C36</f>
        <v>6</v>
      </c>
      <c r="E36" s="32">
        <f>D36</f>
        <v>6</v>
      </c>
      <c r="F36" s="32">
        <f>E36</f>
        <v>6</v>
      </c>
      <c r="G36" s="32">
        <f t="shared" ref="G36:L36" si="26">F36</f>
        <v>6</v>
      </c>
      <c r="H36" s="32">
        <f t="shared" si="26"/>
        <v>6</v>
      </c>
      <c r="I36" s="32">
        <f t="shared" si="26"/>
        <v>6</v>
      </c>
      <c r="J36" s="32">
        <f t="shared" si="26"/>
        <v>6</v>
      </c>
      <c r="K36" s="32">
        <f t="shared" si="26"/>
        <v>6</v>
      </c>
      <c r="L36" s="32">
        <f t="shared" si="26"/>
        <v>6</v>
      </c>
      <c r="M36" s="62"/>
    </row>
    <row r="37" spans="1:14" x14ac:dyDescent="0.25">
      <c r="C37" s="21"/>
    </row>
    <row r="38" spans="1:14" x14ac:dyDescent="0.25">
      <c r="A38" s="41" t="s">
        <v>19</v>
      </c>
      <c r="C38" s="21"/>
    </row>
    <row r="39" spans="1:14" x14ac:dyDescent="0.25">
      <c r="A39" s="14" t="s">
        <v>155</v>
      </c>
      <c r="C39" s="32">
        <v>20</v>
      </c>
      <c r="D39" s="32">
        <f>C39</f>
        <v>20</v>
      </c>
      <c r="E39" s="32">
        <f>D39</f>
        <v>20</v>
      </c>
      <c r="F39" s="32">
        <f>E39</f>
        <v>20</v>
      </c>
      <c r="G39" s="32">
        <f t="shared" ref="G39:L39" si="27">F39</f>
        <v>20</v>
      </c>
      <c r="H39" s="32">
        <f t="shared" si="27"/>
        <v>20</v>
      </c>
      <c r="I39" s="32">
        <f t="shared" si="27"/>
        <v>20</v>
      </c>
      <c r="J39" s="32">
        <f t="shared" si="27"/>
        <v>20</v>
      </c>
      <c r="K39" s="32">
        <f t="shared" si="27"/>
        <v>20</v>
      </c>
      <c r="L39" s="32">
        <f t="shared" si="27"/>
        <v>20</v>
      </c>
      <c r="M39" s="63"/>
    </row>
    <row r="40" spans="1:14" x14ac:dyDescent="0.25">
      <c r="A40" s="14" t="s">
        <v>85</v>
      </c>
      <c r="C40" s="16">
        <f>365/C39</f>
        <v>18.25</v>
      </c>
      <c r="D40" s="16">
        <f>365/D39</f>
        <v>18.25</v>
      </c>
      <c r="E40" s="16">
        <f>365/E39</f>
        <v>18.25</v>
      </c>
      <c r="F40" s="16">
        <f>365/F39</f>
        <v>18.25</v>
      </c>
      <c r="G40" s="16">
        <f t="shared" ref="G40:L40" si="28">365/G39</f>
        <v>18.25</v>
      </c>
      <c r="H40" s="16">
        <f t="shared" si="28"/>
        <v>18.25</v>
      </c>
      <c r="I40" s="16">
        <f t="shared" si="28"/>
        <v>18.25</v>
      </c>
      <c r="J40" s="16">
        <f t="shared" si="28"/>
        <v>18.25</v>
      </c>
      <c r="K40" s="16">
        <f t="shared" si="28"/>
        <v>18.25</v>
      </c>
      <c r="L40" s="16">
        <f t="shared" si="28"/>
        <v>18.25</v>
      </c>
      <c r="M40" s="59"/>
    </row>
    <row r="41" spans="1:14" x14ac:dyDescent="0.25">
      <c r="A41" s="14" t="s">
        <v>158</v>
      </c>
      <c r="C41" s="32">
        <v>0</v>
      </c>
      <c r="D41" s="32">
        <f>C41*(1+$M$41)</f>
        <v>0</v>
      </c>
      <c r="E41" s="32">
        <f>D41*(1+$M$41)</f>
        <v>0</v>
      </c>
      <c r="F41" s="32">
        <f>E41*(1+$M$41)</f>
        <v>0</v>
      </c>
      <c r="G41" s="32">
        <f t="shared" ref="G41:L41" si="29">F41*(1+$M$41)</f>
        <v>0</v>
      </c>
      <c r="H41" s="32">
        <f t="shared" si="29"/>
        <v>0</v>
      </c>
      <c r="I41" s="32">
        <f t="shared" si="29"/>
        <v>0</v>
      </c>
      <c r="J41" s="32">
        <f t="shared" si="29"/>
        <v>0</v>
      </c>
      <c r="K41" s="32">
        <f t="shared" si="29"/>
        <v>0</v>
      </c>
      <c r="L41" s="32">
        <f t="shared" si="29"/>
        <v>0</v>
      </c>
      <c r="M41" s="63">
        <v>0</v>
      </c>
    </row>
    <row r="42" spans="1:14" x14ac:dyDescent="0.25">
      <c r="A42" s="14" t="s">
        <v>159</v>
      </c>
      <c r="C42" s="16">
        <v>15</v>
      </c>
      <c r="D42" s="16">
        <f>C42</f>
        <v>15</v>
      </c>
      <c r="E42" s="16">
        <f t="shared" ref="E42:L42" si="30">D42</f>
        <v>15</v>
      </c>
      <c r="F42" s="16">
        <f t="shared" si="30"/>
        <v>15</v>
      </c>
      <c r="G42" s="16">
        <f t="shared" si="30"/>
        <v>15</v>
      </c>
      <c r="H42" s="16">
        <f t="shared" si="30"/>
        <v>15</v>
      </c>
      <c r="I42" s="16">
        <f t="shared" si="30"/>
        <v>15</v>
      </c>
      <c r="J42" s="16">
        <f t="shared" si="30"/>
        <v>15</v>
      </c>
      <c r="K42" s="16">
        <f t="shared" si="30"/>
        <v>15</v>
      </c>
      <c r="L42" s="16">
        <f t="shared" si="30"/>
        <v>15</v>
      </c>
      <c r="N42" s="1"/>
    </row>
    <row r="44" spans="1:14" x14ac:dyDescent="0.25">
      <c r="A44" s="41" t="s">
        <v>156</v>
      </c>
    </row>
    <row r="45" spans="1:14" x14ac:dyDescent="0.25">
      <c r="A45" s="14" t="s">
        <v>106</v>
      </c>
      <c r="C45" s="64">
        <v>1.5</v>
      </c>
      <c r="D45" s="65">
        <f t="shared" ref="D45:F46" si="31">C45</f>
        <v>1.5</v>
      </c>
      <c r="E45" s="65">
        <f t="shared" si="31"/>
        <v>1.5</v>
      </c>
      <c r="F45" s="65">
        <f t="shared" si="31"/>
        <v>1.5</v>
      </c>
      <c r="G45" s="65">
        <f t="shared" ref="G45:G46" si="32">F45</f>
        <v>1.5</v>
      </c>
      <c r="H45" s="65">
        <f t="shared" ref="H45:H46" si="33">G45</f>
        <v>1.5</v>
      </c>
      <c r="I45" s="65">
        <f t="shared" ref="I45:I46" si="34">H45</f>
        <v>1.5</v>
      </c>
      <c r="J45" s="65">
        <f t="shared" ref="J45:J46" si="35">I45</f>
        <v>1.5</v>
      </c>
      <c r="K45" s="65">
        <f t="shared" ref="K45:K46" si="36">J45</f>
        <v>1.5</v>
      </c>
      <c r="L45" s="65">
        <f t="shared" ref="L45:L46" si="37">K45</f>
        <v>1.5</v>
      </c>
      <c r="M45" s="62"/>
    </row>
    <row r="46" spans="1:14" x14ac:dyDescent="0.25">
      <c r="A46" s="14" t="s">
        <v>107</v>
      </c>
      <c r="C46" s="16">
        <v>2000</v>
      </c>
      <c r="D46" s="20">
        <f t="shared" si="31"/>
        <v>2000</v>
      </c>
      <c r="E46" s="20">
        <f t="shared" si="31"/>
        <v>2000</v>
      </c>
      <c r="F46" s="20">
        <f t="shared" si="31"/>
        <v>2000</v>
      </c>
      <c r="G46" s="20">
        <f t="shared" si="32"/>
        <v>2000</v>
      </c>
      <c r="H46" s="20">
        <f t="shared" si="33"/>
        <v>2000</v>
      </c>
      <c r="I46" s="20">
        <f t="shared" si="34"/>
        <v>2000</v>
      </c>
      <c r="J46" s="20">
        <f t="shared" si="35"/>
        <v>2000</v>
      </c>
      <c r="K46" s="20">
        <f t="shared" si="36"/>
        <v>2000</v>
      </c>
      <c r="L46" s="20">
        <f t="shared" si="37"/>
        <v>2000</v>
      </c>
    </row>
    <row r="47" spans="1:14" x14ac:dyDescent="0.25">
      <c r="A47" s="14" t="s">
        <v>108</v>
      </c>
      <c r="C47" s="66">
        <v>8</v>
      </c>
      <c r="D47" s="66">
        <f>C47+(C47*$M$47)</f>
        <v>8.24</v>
      </c>
      <c r="E47" s="66">
        <f>D47+(D47*$M$47)</f>
        <v>8.4871999999999996</v>
      </c>
      <c r="F47" s="66">
        <f>E47+(E47*$M$47)</f>
        <v>8.741816</v>
      </c>
      <c r="G47" s="66">
        <f t="shared" ref="G47:L47" si="38">F47+(F47*$M$47)</f>
        <v>9.0040704799999993</v>
      </c>
      <c r="H47" s="66">
        <f t="shared" si="38"/>
        <v>9.2741925943999988</v>
      </c>
      <c r="I47" s="66">
        <f t="shared" si="38"/>
        <v>9.5524183722319993</v>
      </c>
      <c r="J47" s="66">
        <f t="shared" si="38"/>
        <v>9.8389909233989599</v>
      </c>
      <c r="K47" s="66">
        <f t="shared" si="38"/>
        <v>10.134160651100929</v>
      </c>
      <c r="L47" s="66">
        <f t="shared" si="38"/>
        <v>10.438185470633957</v>
      </c>
      <c r="M47" s="62">
        <v>0.03</v>
      </c>
    </row>
    <row r="49" spans="1:13" x14ac:dyDescent="0.25">
      <c r="A49" s="19" t="s">
        <v>141</v>
      </c>
      <c r="E49" s="19" t="s">
        <v>142</v>
      </c>
      <c r="I49" s="19" t="s">
        <v>169</v>
      </c>
    </row>
    <row r="50" spans="1:13" x14ac:dyDescent="0.25">
      <c r="A50" s="14" t="s">
        <v>129</v>
      </c>
      <c r="C50" s="3">
        <v>30000</v>
      </c>
      <c r="E50" s="14" t="s">
        <v>94</v>
      </c>
      <c r="G50" s="3">
        <v>90000</v>
      </c>
      <c r="I50" s="14" t="s">
        <v>94</v>
      </c>
      <c r="K50" s="3">
        <v>1000</v>
      </c>
    </row>
    <row r="51" spans="1:13" x14ac:dyDescent="0.25">
      <c r="A51" s="14" t="s">
        <v>110</v>
      </c>
      <c r="C51" s="17">
        <v>1000</v>
      </c>
      <c r="E51" s="14" t="s">
        <v>110</v>
      </c>
      <c r="G51" s="17">
        <v>10000</v>
      </c>
      <c r="I51" s="14" t="s">
        <v>110</v>
      </c>
      <c r="K51" s="17">
        <v>50</v>
      </c>
    </row>
    <row r="52" spans="1:13" x14ac:dyDescent="0.25">
      <c r="A52" s="14" t="s">
        <v>143</v>
      </c>
      <c r="C52" s="3">
        <f>C50-C51</f>
        <v>29000</v>
      </c>
      <c r="E52" s="14" t="s">
        <v>143</v>
      </c>
      <c r="G52" s="3">
        <f>G50-G51</f>
        <v>80000</v>
      </c>
      <c r="I52" s="14" t="s">
        <v>143</v>
      </c>
      <c r="K52" s="3">
        <f>K50-K51</f>
        <v>950</v>
      </c>
    </row>
    <row r="53" spans="1:13" x14ac:dyDescent="0.25">
      <c r="A53" s="14" t="s">
        <v>144</v>
      </c>
      <c r="C53" s="17">
        <v>10</v>
      </c>
      <c r="E53" s="14" t="s">
        <v>144</v>
      </c>
      <c r="G53" s="17">
        <v>30</v>
      </c>
      <c r="I53" s="14" t="s">
        <v>144</v>
      </c>
      <c r="K53" s="17">
        <v>10</v>
      </c>
    </row>
    <row r="54" spans="1:13" x14ac:dyDescent="0.25">
      <c r="A54" s="14" t="s">
        <v>111</v>
      </c>
      <c r="C54" s="3">
        <f>C52/C53</f>
        <v>2900</v>
      </c>
      <c r="E54" s="14" t="s">
        <v>111</v>
      </c>
      <c r="G54" s="3">
        <f>G52/G53</f>
        <v>2666.6666666666665</v>
      </c>
      <c r="I54" s="14" t="s">
        <v>111</v>
      </c>
      <c r="K54" s="3">
        <f>K52/K53</f>
        <v>95</v>
      </c>
    </row>
    <row r="56" spans="1:13" x14ac:dyDescent="0.25">
      <c r="A56" s="4" t="s">
        <v>161</v>
      </c>
      <c r="B56" s="68"/>
      <c r="C56" s="46">
        <f>C3</f>
        <v>2013</v>
      </c>
      <c r="D56" s="163">
        <f>D3</f>
        <v>2014</v>
      </c>
      <c r="E56" s="46">
        <f>E3</f>
        <v>2015</v>
      </c>
      <c r="F56" s="163">
        <f>F3</f>
        <v>2016</v>
      </c>
      <c r="G56" s="4">
        <f t="shared" ref="G56:L56" si="39">G3</f>
        <v>2017</v>
      </c>
      <c r="H56" s="163">
        <f t="shared" si="39"/>
        <v>2018</v>
      </c>
      <c r="I56" s="4">
        <f t="shared" si="39"/>
        <v>2019</v>
      </c>
      <c r="J56" s="163">
        <f t="shared" si="39"/>
        <v>2020</v>
      </c>
      <c r="K56" s="4">
        <f t="shared" si="39"/>
        <v>2021</v>
      </c>
      <c r="L56" s="163">
        <f t="shared" si="39"/>
        <v>2022</v>
      </c>
      <c r="M56" s="4" t="s">
        <v>130</v>
      </c>
    </row>
    <row r="57" spans="1:13" x14ac:dyDescent="0.25">
      <c r="A57" s="15" t="s">
        <v>84</v>
      </c>
      <c r="B57" s="68"/>
      <c r="C57" s="47"/>
      <c r="D57" s="68"/>
      <c r="E57" s="47"/>
      <c r="F57" s="68"/>
      <c r="H57" s="68"/>
      <c r="I57" s="47"/>
      <c r="J57" s="68"/>
      <c r="K57" s="47"/>
      <c r="L57" s="68"/>
    </row>
    <row r="58" spans="1:13" x14ac:dyDescent="0.25">
      <c r="A58" s="14" t="s">
        <v>95</v>
      </c>
      <c r="B58" s="68"/>
      <c r="C58" s="48">
        <f>(C6*C14)+(C7*C15)+(C8*C16)+(C9*C17)+(C10*C18)+(C11*C19)</f>
        <v>53424</v>
      </c>
      <c r="D58" s="30">
        <f>(D6*D14)+(D7*D15)+(D8*D16)+(D9*D17)+(D10*D18)+(D11*D19)</f>
        <v>61885.907999999996</v>
      </c>
      <c r="E58" s="48">
        <f>(E6*E14)+(E7*E15)+(E8*E16)+(E9*E17)+(E10*E18)+(E11*E19)</f>
        <v>71694.113526000001</v>
      </c>
      <c r="F58" s="30">
        <f>(F6*F14)+(F7*F15)+(F8*F16)+(F9*F17)+(F10*F18)+(F11*F19)</f>
        <v>83063.781361197005</v>
      </c>
      <c r="G58" s="48">
        <f t="shared" ref="G58:L58" si="40">(G6*G14)+(G7*G15)+(G8*G16)+(G9*G17)+(G10*G18)+(G11*G19)</f>
        <v>96244.619727770027</v>
      </c>
      <c r="H58" s="30">
        <f t="shared" si="40"/>
        <v>111526.45113133339</v>
      </c>
      <c r="I58" s="48">
        <f t="shared" si="40"/>
        <v>129245.68565785798</v>
      </c>
      <c r="J58" s="30">
        <f t="shared" si="40"/>
        <v>149792.84356575497</v>
      </c>
      <c r="K58" s="48">
        <f t="shared" si="40"/>
        <v>173621.29801367089</v>
      </c>
      <c r="L58" s="30">
        <f t="shared" si="40"/>
        <v>201257.43670100643</v>
      </c>
    </row>
    <row r="59" spans="1:13" x14ac:dyDescent="0.25">
      <c r="A59" s="14" t="s">
        <v>97</v>
      </c>
      <c r="B59" s="68"/>
      <c r="C59" s="49">
        <f>C30*C31</f>
        <v>2142</v>
      </c>
      <c r="D59" s="31">
        <f>D30*D31</f>
        <v>2361.2399999999998</v>
      </c>
      <c r="E59" s="49">
        <f>E30*E31</f>
        <v>2603.1398399999998</v>
      </c>
      <c r="F59" s="31">
        <f>F30*F31</f>
        <v>2870.0648928000001</v>
      </c>
      <c r="G59" s="49">
        <f t="shared" ref="G59:L59" si="41">G30*G31</f>
        <v>3164.6299154399994</v>
      </c>
      <c r="H59" s="31">
        <f t="shared" si="41"/>
        <v>3489.7256035487999</v>
      </c>
      <c r="I59" s="49">
        <f t="shared" si="41"/>
        <v>3848.5480007855663</v>
      </c>
      <c r="J59" s="31">
        <f t="shared" si="41"/>
        <v>4244.6310732563024</v>
      </c>
      <c r="K59" s="49">
        <f t="shared" si="41"/>
        <v>4681.8827927262091</v>
      </c>
      <c r="L59" s="31">
        <f t="shared" si="41"/>
        <v>5164.6251101367989</v>
      </c>
    </row>
    <row r="60" spans="1:13" x14ac:dyDescent="0.25">
      <c r="A60" t="s">
        <v>82</v>
      </c>
      <c r="B60" s="68"/>
      <c r="C60" s="50">
        <f>SUM(C58:C59)</f>
        <v>55566</v>
      </c>
      <c r="D60" s="32">
        <f>SUM(D58:D59)</f>
        <v>64247.147999999994</v>
      </c>
      <c r="E60" s="50">
        <f>SUM(E58:E59)</f>
        <v>74297.253366000004</v>
      </c>
      <c r="F60" s="32">
        <f>SUM(F58:F59)</f>
        <v>85933.846253997006</v>
      </c>
      <c r="G60" s="50">
        <f t="shared" ref="G60:L60" si="42">SUM(G58:G59)</f>
        <v>99409.249643210031</v>
      </c>
      <c r="H60" s="32">
        <f t="shared" si="42"/>
        <v>115016.17673488219</v>
      </c>
      <c r="I60" s="50">
        <f t="shared" si="42"/>
        <v>133094.23365864356</v>
      </c>
      <c r="J60" s="32">
        <f t="shared" si="42"/>
        <v>154037.47463901129</v>
      </c>
      <c r="K60" s="50">
        <f t="shared" si="42"/>
        <v>178303.18080639711</v>
      </c>
      <c r="L60" s="32">
        <f t="shared" si="42"/>
        <v>206422.06181114324</v>
      </c>
    </row>
    <row r="61" spans="1:13" x14ac:dyDescent="0.25">
      <c r="A61" s="14" t="s">
        <v>98</v>
      </c>
      <c r="B61" s="68"/>
      <c r="C61" s="49">
        <f>(+C6*C22)+(C7*C23)+(C8*C24)+(C9*C25)+(C10*C26)+(C11*C27)</f>
        <v>10794</v>
      </c>
      <c r="D61" s="31">
        <f>(+D6*D22)+(D7*D23)+(D8*D24)+(D9*D25)+(D10*D26)+(D11*D27)</f>
        <v>12485.465999999999</v>
      </c>
      <c r="E61" s="49">
        <f>(+E6*E22)+(E7*E23)+(E8*E24)+(E9*E25)+(E10*E26)+(E11*E27)</f>
        <v>14443.332560999999</v>
      </c>
      <c r="F61" s="31">
        <f>(+F6*F22)+(F7*F23)+(F8*F24)+(F9*F25)+(F10*F26)+(F11*F27)</f>
        <v>16709.777111506501</v>
      </c>
      <c r="G61" s="49">
        <f t="shared" ref="G61:L61" si="43">(+G6*G22)+(G7*G23)+(G8*G24)+(G9*G25)+(G10*G26)+(G11*G27)</f>
        <v>19333.690861284558</v>
      </c>
      <c r="H61" s="31">
        <f t="shared" si="43"/>
        <v>22371.753408481512</v>
      </c>
      <c r="I61" s="49">
        <f t="shared" si="43"/>
        <v>25889.680313657424</v>
      </c>
      <c r="J61" s="31">
        <f t="shared" si="43"/>
        <v>29963.671638448104</v>
      </c>
      <c r="K61" s="49">
        <f t="shared" si="43"/>
        <v>34682.094004057122</v>
      </c>
      <c r="L61" s="31">
        <f t="shared" si="43"/>
        <v>40147.43402824684</v>
      </c>
    </row>
    <row r="62" spans="1:13" x14ac:dyDescent="0.25">
      <c r="A62" t="s">
        <v>83</v>
      </c>
      <c r="B62" s="68"/>
      <c r="C62" s="50">
        <f>C60-C61</f>
        <v>44772</v>
      </c>
      <c r="D62" s="32">
        <f>D60-D61</f>
        <v>51761.681999999993</v>
      </c>
      <c r="E62" s="50">
        <f>E60-E61</f>
        <v>59853.920805000002</v>
      </c>
      <c r="F62" s="32">
        <f>F60-F61</f>
        <v>69224.069142490509</v>
      </c>
      <c r="G62" s="50">
        <f t="shared" ref="G62:L62" si="44">G60-G61</f>
        <v>80075.558781925472</v>
      </c>
      <c r="H62" s="32">
        <f t="shared" si="44"/>
        <v>92644.423326400676</v>
      </c>
      <c r="I62" s="50">
        <f t="shared" si="44"/>
        <v>107204.55334498614</v>
      </c>
      <c r="J62" s="32">
        <f t="shared" si="44"/>
        <v>124073.80300056317</v>
      </c>
      <c r="K62" s="50">
        <f t="shared" si="44"/>
        <v>143621.08680234</v>
      </c>
      <c r="L62" s="32">
        <f t="shared" si="44"/>
        <v>166274.62778289639</v>
      </c>
    </row>
    <row r="63" spans="1:13" x14ac:dyDescent="0.25">
      <c r="B63" s="68"/>
      <c r="C63" s="50"/>
      <c r="D63" s="32"/>
      <c r="E63" s="50"/>
      <c r="F63" s="32"/>
      <c r="G63" s="50"/>
      <c r="H63" s="32"/>
      <c r="I63" s="50"/>
      <c r="J63" s="32"/>
      <c r="K63" s="50"/>
      <c r="L63" s="32"/>
    </row>
    <row r="64" spans="1:13" x14ac:dyDescent="0.25">
      <c r="A64" t="s">
        <v>1</v>
      </c>
      <c r="B64" s="68"/>
      <c r="C64" s="50"/>
      <c r="D64" s="32"/>
      <c r="E64" s="50"/>
      <c r="F64" s="32"/>
      <c r="G64" s="50"/>
      <c r="H64" s="32"/>
      <c r="I64" s="50"/>
      <c r="J64" s="32"/>
      <c r="K64" s="50"/>
      <c r="L64" s="32"/>
    </row>
    <row r="65" spans="1:14" x14ac:dyDescent="0.25">
      <c r="A65" s="14" t="s">
        <v>101</v>
      </c>
      <c r="B65" s="68"/>
      <c r="C65" s="50">
        <f>$M$65*C61</f>
        <v>2158.8000000000002</v>
      </c>
      <c r="D65" s="32">
        <f>$M$65*D61</f>
        <v>2497.0931999999998</v>
      </c>
      <c r="E65" s="50">
        <f>$M$65*E61</f>
        <v>2888.6665121999999</v>
      </c>
      <c r="F65" s="32">
        <f>$M$65*F61</f>
        <v>3341.9554223013001</v>
      </c>
      <c r="G65" s="50">
        <f t="shared" ref="G65:L65" si="45">$M$65*G61</f>
        <v>3866.7381722569116</v>
      </c>
      <c r="H65" s="32">
        <f t="shared" si="45"/>
        <v>4474.3506816963027</v>
      </c>
      <c r="I65" s="50">
        <f t="shared" si="45"/>
        <v>5177.9360627314854</v>
      </c>
      <c r="J65" s="32">
        <f t="shared" si="45"/>
        <v>5992.7343276896208</v>
      </c>
      <c r="K65" s="50">
        <f t="shared" si="45"/>
        <v>6936.4188008114252</v>
      </c>
      <c r="L65" s="32">
        <f t="shared" si="45"/>
        <v>8029.4868056493688</v>
      </c>
      <c r="M65" s="37">
        <v>0.2</v>
      </c>
      <c r="N65" s="19" t="s">
        <v>163</v>
      </c>
    </row>
    <row r="66" spans="1:14" x14ac:dyDescent="0.25">
      <c r="A66" s="14" t="s">
        <v>100</v>
      </c>
      <c r="B66" s="68"/>
      <c r="C66" s="50">
        <f>C45*C46*C47</f>
        <v>24000</v>
      </c>
      <c r="D66" s="32">
        <f>D45*D46*D47</f>
        <v>24720</v>
      </c>
      <c r="E66" s="50">
        <f>E45*E46*E47</f>
        <v>25461.599999999999</v>
      </c>
      <c r="F66" s="32">
        <f>F45*F46*F47</f>
        <v>26225.448</v>
      </c>
      <c r="G66" s="50">
        <f t="shared" ref="G66:L66" si="46">G45*G46*G47</f>
        <v>27012.211439999999</v>
      </c>
      <c r="H66" s="32">
        <f t="shared" si="46"/>
        <v>27822.577783199995</v>
      </c>
      <c r="I66" s="50">
        <f t="shared" si="46"/>
        <v>28657.255116695997</v>
      </c>
      <c r="J66" s="32">
        <f t="shared" si="46"/>
        <v>29516.97277019688</v>
      </c>
      <c r="K66" s="50">
        <f t="shared" si="46"/>
        <v>30402.481953302788</v>
      </c>
      <c r="L66" s="32">
        <f t="shared" si="46"/>
        <v>31314.556411901871</v>
      </c>
      <c r="M66" s="19"/>
      <c r="N66" s="19"/>
    </row>
    <row r="67" spans="1:14" x14ac:dyDescent="0.25">
      <c r="A67" s="14" t="s">
        <v>102</v>
      </c>
      <c r="B67" s="62"/>
      <c r="C67" s="50">
        <f>C34/C36*C35</f>
        <v>892.5</v>
      </c>
      <c r="D67" s="32">
        <f>D34/D36*D35</f>
        <v>1013.3654999999999</v>
      </c>
      <c r="E67" s="50">
        <f>E34/E36*E35</f>
        <v>1150.6962734400001</v>
      </c>
      <c r="F67" s="32">
        <f>F34/F36*F35</f>
        <v>1306.7489167144438</v>
      </c>
      <c r="G67" s="50">
        <f t="shared" ref="G67:L67" si="47">G34/G36*G35</f>
        <v>1484.091187590531</v>
      </c>
      <c r="H67" s="32">
        <f t="shared" si="47"/>
        <v>1685.645174422935</v>
      </c>
      <c r="I67" s="50">
        <f t="shared" si="47"/>
        <v>1914.7364911000402</v>
      </c>
      <c r="J67" s="32">
        <f t="shared" si="47"/>
        <v>2175.1503439034345</v>
      </c>
      <c r="K67" s="50">
        <f t="shared" si="47"/>
        <v>2471.1954359954407</v>
      </c>
      <c r="L67" s="32">
        <f t="shared" si="47"/>
        <v>2807.7768117656888</v>
      </c>
      <c r="M67" s="19"/>
      <c r="N67" s="19"/>
    </row>
    <row r="68" spans="1:14" x14ac:dyDescent="0.25">
      <c r="A68" s="54" t="s">
        <v>145</v>
      </c>
      <c r="B68" s="68"/>
      <c r="C68" s="50">
        <v>3000</v>
      </c>
      <c r="D68" s="32">
        <f>C68</f>
        <v>3000</v>
      </c>
      <c r="E68" s="50">
        <f>D68</f>
        <v>3000</v>
      </c>
      <c r="F68" s="32">
        <f>E68</f>
        <v>3000</v>
      </c>
      <c r="G68" s="50">
        <f t="shared" ref="G68:L68" si="48">F68</f>
        <v>3000</v>
      </c>
      <c r="H68" s="32">
        <f t="shared" si="48"/>
        <v>3000</v>
      </c>
      <c r="I68" s="50">
        <f t="shared" si="48"/>
        <v>3000</v>
      </c>
      <c r="J68" s="32">
        <f t="shared" si="48"/>
        <v>3000</v>
      </c>
      <c r="K68" s="50">
        <f t="shared" si="48"/>
        <v>3000</v>
      </c>
      <c r="L68" s="32">
        <f t="shared" si="48"/>
        <v>3000</v>
      </c>
      <c r="M68" s="19"/>
      <c r="N68" s="19"/>
    </row>
    <row r="69" spans="1:14" x14ac:dyDescent="0.25">
      <c r="A69" s="14" t="s">
        <v>99</v>
      </c>
      <c r="B69" s="68"/>
      <c r="C69" s="50">
        <f>$M$69*C60</f>
        <v>5556.6</v>
      </c>
      <c r="D69" s="32">
        <f>$M$69*D60</f>
        <v>6424.7147999999997</v>
      </c>
      <c r="E69" s="50">
        <f>$M$69*E60</f>
        <v>7429.7253366000004</v>
      </c>
      <c r="F69" s="32">
        <f>$M$69*F60</f>
        <v>8593.3846253997017</v>
      </c>
      <c r="G69" s="50">
        <f t="shared" ref="G69:L69" si="49">$M$69*G60</f>
        <v>9940.9249643210042</v>
      </c>
      <c r="H69" s="32">
        <f t="shared" si="49"/>
        <v>11501.617673488219</v>
      </c>
      <c r="I69" s="50">
        <f t="shared" si="49"/>
        <v>13309.423365864357</v>
      </c>
      <c r="J69" s="32">
        <f t="shared" si="49"/>
        <v>15403.747463901129</v>
      </c>
      <c r="K69" s="50">
        <f t="shared" si="49"/>
        <v>17830.31808063971</v>
      </c>
      <c r="L69" s="32">
        <f t="shared" si="49"/>
        <v>20642.206181114325</v>
      </c>
      <c r="M69" s="37">
        <v>0.1</v>
      </c>
      <c r="N69" s="19" t="s">
        <v>151</v>
      </c>
    </row>
    <row r="70" spans="1:14" x14ac:dyDescent="0.25">
      <c r="A70" s="42" t="s">
        <v>146</v>
      </c>
      <c r="B70" s="62"/>
      <c r="C70" s="50">
        <f>C54</f>
        <v>2900</v>
      </c>
      <c r="D70" s="32">
        <f t="shared" ref="D70:F71" si="50">C70</f>
        <v>2900</v>
      </c>
      <c r="E70" s="50">
        <f t="shared" si="50"/>
        <v>2900</v>
      </c>
      <c r="F70" s="32">
        <f t="shared" si="50"/>
        <v>2900</v>
      </c>
      <c r="G70" s="50">
        <f t="shared" ref="G70:G71" si="51">F70</f>
        <v>2900</v>
      </c>
      <c r="H70" s="32">
        <f t="shared" ref="H70:H71" si="52">G70</f>
        <v>2900</v>
      </c>
      <c r="I70" s="50">
        <f t="shared" ref="I70:I71" si="53">H70</f>
        <v>2900</v>
      </c>
      <c r="J70" s="32">
        <f t="shared" ref="J70:J71" si="54">I70</f>
        <v>2900</v>
      </c>
      <c r="K70" s="50">
        <f t="shared" ref="K70:K71" si="55">J70</f>
        <v>2900</v>
      </c>
      <c r="L70" s="32">
        <f t="shared" ref="L70:L71" si="56">K70</f>
        <v>2900</v>
      </c>
      <c r="M70"/>
    </row>
    <row r="71" spans="1:14" x14ac:dyDescent="0.25">
      <c r="A71" t="s">
        <v>147</v>
      </c>
      <c r="B71" s="68"/>
      <c r="C71" s="50">
        <f>G54</f>
        <v>2666.6666666666665</v>
      </c>
      <c r="D71" s="32">
        <f t="shared" si="50"/>
        <v>2666.6666666666665</v>
      </c>
      <c r="E71" s="50">
        <f t="shared" si="50"/>
        <v>2666.6666666666665</v>
      </c>
      <c r="F71" s="32">
        <f t="shared" si="50"/>
        <v>2666.6666666666665</v>
      </c>
      <c r="G71" s="50">
        <f t="shared" si="51"/>
        <v>2666.6666666666665</v>
      </c>
      <c r="H71" s="32">
        <f t="shared" si="52"/>
        <v>2666.6666666666665</v>
      </c>
      <c r="I71" s="50">
        <f t="shared" si="53"/>
        <v>2666.6666666666665</v>
      </c>
      <c r="J71" s="32">
        <f t="shared" si="54"/>
        <v>2666.6666666666665</v>
      </c>
      <c r="K71" s="50">
        <f t="shared" si="55"/>
        <v>2666.6666666666665</v>
      </c>
      <c r="L71" s="32">
        <f t="shared" si="56"/>
        <v>2666.6666666666665</v>
      </c>
      <c r="M71"/>
    </row>
    <row r="72" spans="1:14" x14ac:dyDescent="0.25">
      <c r="A72" s="42" t="s">
        <v>170</v>
      </c>
      <c r="B72" s="68"/>
      <c r="C72" s="50">
        <f>$K$54</f>
        <v>95</v>
      </c>
      <c r="D72" s="32">
        <f t="shared" ref="D72:L72" si="57">$K$54</f>
        <v>95</v>
      </c>
      <c r="E72" s="50">
        <f t="shared" si="57"/>
        <v>95</v>
      </c>
      <c r="F72" s="32">
        <f t="shared" si="57"/>
        <v>95</v>
      </c>
      <c r="G72" s="50">
        <f t="shared" si="57"/>
        <v>95</v>
      </c>
      <c r="H72" s="32">
        <f t="shared" si="57"/>
        <v>95</v>
      </c>
      <c r="I72" s="50">
        <f t="shared" si="57"/>
        <v>95</v>
      </c>
      <c r="J72" s="32">
        <f t="shared" si="57"/>
        <v>95</v>
      </c>
      <c r="K72" s="50">
        <f t="shared" si="57"/>
        <v>95</v>
      </c>
      <c r="L72" s="32">
        <f t="shared" si="57"/>
        <v>95</v>
      </c>
      <c r="M72"/>
    </row>
    <row r="73" spans="1:14" x14ac:dyDescent="0.25">
      <c r="A73" t="s">
        <v>2</v>
      </c>
      <c r="B73" s="68"/>
      <c r="C73" s="50">
        <f>Mortgage!E14</f>
        <v>7996.0555502308835</v>
      </c>
      <c r="D73" s="32">
        <f>Mortgage!E28</f>
        <v>7874.5287394823281</v>
      </c>
      <c r="E73" s="50">
        <f>Mortgage!E42</f>
        <v>7746.7843864523611</v>
      </c>
      <c r="F73" s="32">
        <f>Mortgage!E56</f>
        <v>7612.5043898777085</v>
      </c>
      <c r="G73" s="50">
        <f>Mortgage!F56</f>
        <v>0</v>
      </c>
      <c r="H73" s="32">
        <f>Mortgage!G56</f>
        <v>0</v>
      </c>
      <c r="I73" s="50">
        <f>Mortgage!H56</f>
        <v>0</v>
      </c>
      <c r="J73" s="32">
        <f>Mortgage!I56</f>
        <v>0</v>
      </c>
      <c r="K73" s="50">
        <f>Mortgage!J56</f>
        <v>0</v>
      </c>
      <c r="L73" s="32">
        <f>Mortgage!K56</f>
        <v>0</v>
      </c>
      <c r="M73" s="144">
        <f>Mortgage!J1</f>
        <v>0.05</v>
      </c>
    </row>
    <row r="74" spans="1:14" x14ac:dyDescent="0.25">
      <c r="A74" t="s">
        <v>3</v>
      </c>
      <c r="B74" s="68"/>
      <c r="C74" s="49">
        <f>C99*$M$74</f>
        <v>0</v>
      </c>
      <c r="D74" s="31">
        <f>D99*$M$74</f>
        <v>0</v>
      </c>
      <c r="E74" s="49">
        <f>E99*$M$74</f>
        <v>0</v>
      </c>
      <c r="F74" s="31">
        <f>F99*$M$74</f>
        <v>0</v>
      </c>
      <c r="G74" s="49">
        <f t="shared" ref="G74:L74" si="58">G99*$M$74</f>
        <v>0</v>
      </c>
      <c r="H74" s="31">
        <f t="shared" si="58"/>
        <v>0</v>
      </c>
      <c r="I74" s="49">
        <f t="shared" si="58"/>
        <v>0</v>
      </c>
      <c r="J74" s="31">
        <f t="shared" si="58"/>
        <v>0</v>
      </c>
      <c r="K74" s="49">
        <f t="shared" si="58"/>
        <v>0</v>
      </c>
      <c r="L74" s="31">
        <f t="shared" si="58"/>
        <v>0</v>
      </c>
      <c r="M74" s="37">
        <v>0.12</v>
      </c>
      <c r="N74" s="19" t="s">
        <v>149</v>
      </c>
    </row>
    <row r="75" spans="1:14" x14ac:dyDescent="0.25">
      <c r="A75" t="s">
        <v>88</v>
      </c>
      <c r="B75" s="68"/>
      <c r="C75" s="51">
        <f>SUM(C65:C74)</f>
        <v>49265.622216897551</v>
      </c>
      <c r="D75" s="33">
        <f>SUM(D65:D74)</f>
        <v>51191.368906148986</v>
      </c>
      <c r="E75" s="51">
        <f>SUM(E65:E74)</f>
        <v>53339.139175359021</v>
      </c>
      <c r="F75" s="33">
        <f>SUM(F65:F74)</f>
        <v>55741.708020959821</v>
      </c>
      <c r="G75" s="51">
        <f t="shared" ref="G75:L75" si="59">SUM(G65:G74)</f>
        <v>50965.63243083511</v>
      </c>
      <c r="H75" s="33">
        <f t="shared" si="59"/>
        <v>54145.857979474116</v>
      </c>
      <c r="I75" s="51">
        <f t="shared" si="59"/>
        <v>57721.01770305854</v>
      </c>
      <c r="J75" s="33">
        <f t="shared" si="59"/>
        <v>61750.271572357728</v>
      </c>
      <c r="K75" s="51">
        <f t="shared" si="59"/>
        <v>66302.080937416031</v>
      </c>
      <c r="L75" s="33">
        <f t="shared" si="59"/>
        <v>71455.692877097928</v>
      </c>
      <c r="M75"/>
      <c r="N75" s="19"/>
    </row>
    <row r="76" spans="1:14" x14ac:dyDescent="0.25">
      <c r="A76" t="s">
        <v>4</v>
      </c>
      <c r="B76" s="68"/>
      <c r="C76" s="50">
        <f>C62-C75</f>
        <v>-4493.622216897551</v>
      </c>
      <c r="D76" s="32">
        <f>D62-D75</f>
        <v>570.31309385100758</v>
      </c>
      <c r="E76" s="50">
        <f>E62-E75</f>
        <v>6514.7816296409801</v>
      </c>
      <c r="F76" s="32">
        <f>F62-F75</f>
        <v>13482.361121530688</v>
      </c>
      <c r="G76" s="50">
        <f t="shared" ref="G76:L76" si="60">G62-G75</f>
        <v>29109.926351090362</v>
      </c>
      <c r="H76" s="32">
        <f t="shared" si="60"/>
        <v>38498.56534692656</v>
      </c>
      <c r="I76" s="50">
        <f t="shared" si="60"/>
        <v>49483.535641927599</v>
      </c>
      <c r="J76" s="32">
        <f t="shared" si="60"/>
        <v>62323.531428205446</v>
      </c>
      <c r="K76" s="50">
        <f t="shared" si="60"/>
        <v>77319.005864923965</v>
      </c>
      <c r="L76" s="32">
        <f t="shared" si="60"/>
        <v>94818.934905798465</v>
      </c>
      <c r="M76"/>
    </row>
    <row r="77" spans="1:14" x14ac:dyDescent="0.25">
      <c r="A77" t="s">
        <v>5</v>
      </c>
      <c r="B77" s="68"/>
      <c r="C77" s="50">
        <f>IF(C76*$M$77&lt;0,0,C76*$M$77)</f>
        <v>0</v>
      </c>
      <c r="D77" s="32">
        <f>IF(D76*$M$77&lt;0,0,D76*$M$77)</f>
        <v>114.06261877020152</v>
      </c>
      <c r="E77" s="50">
        <f>IF(E76*$M$77&lt;0,0,E76*$M$77)</f>
        <v>1302.9563259281961</v>
      </c>
      <c r="F77" s="32">
        <f>IF(F76*$M$77&lt;0,0,F76*$M$77)</f>
        <v>2696.4722243061378</v>
      </c>
      <c r="G77" s="50">
        <f t="shared" ref="G77:L77" si="61">IF(G76*$M$77&lt;0,0,G76*$M$77)</f>
        <v>5821.9852702180724</v>
      </c>
      <c r="H77" s="32">
        <f t="shared" si="61"/>
        <v>7699.7130693853123</v>
      </c>
      <c r="I77" s="50">
        <f t="shared" si="61"/>
        <v>9896.7071283855203</v>
      </c>
      <c r="J77" s="32">
        <f t="shared" si="61"/>
        <v>12464.70628564109</v>
      </c>
      <c r="K77" s="50">
        <f t="shared" si="61"/>
        <v>15463.801172984793</v>
      </c>
      <c r="L77" s="32">
        <f t="shared" si="61"/>
        <v>18963.786981159694</v>
      </c>
      <c r="M77" s="37">
        <v>0.2</v>
      </c>
      <c r="N77" s="19" t="s">
        <v>150</v>
      </c>
    </row>
    <row r="78" spans="1:14" ht="15.75" thickBot="1" x14ac:dyDescent="0.3">
      <c r="A78" t="s">
        <v>6</v>
      </c>
      <c r="B78" s="68"/>
      <c r="C78" s="52">
        <f>C76-C77</f>
        <v>-4493.622216897551</v>
      </c>
      <c r="D78" s="34">
        <f>D76-D77</f>
        <v>456.25047508080604</v>
      </c>
      <c r="E78" s="52">
        <f>E76-E77</f>
        <v>5211.8253037127843</v>
      </c>
      <c r="F78" s="34">
        <f>F76-F77</f>
        <v>10785.888897224551</v>
      </c>
      <c r="G78" s="52">
        <f t="shared" ref="G78:L78" si="62">G76-G77</f>
        <v>23287.94108087229</v>
      </c>
      <c r="H78" s="34">
        <f t="shared" si="62"/>
        <v>30798.852277541249</v>
      </c>
      <c r="I78" s="52">
        <f t="shared" si="62"/>
        <v>39586.828513542081</v>
      </c>
      <c r="J78" s="34">
        <f t="shared" si="62"/>
        <v>49858.825142564354</v>
      </c>
      <c r="K78" s="52">
        <f t="shared" si="62"/>
        <v>61855.204691939172</v>
      </c>
      <c r="L78" s="34">
        <f t="shared" si="62"/>
        <v>75855.147924638775</v>
      </c>
      <c r="M78"/>
      <c r="N78" s="19"/>
    </row>
    <row r="79" spans="1:14" ht="15.75" thickTop="1" x14ac:dyDescent="0.25">
      <c r="B79" s="68"/>
      <c r="C79" s="47"/>
      <c r="D79" s="68"/>
      <c r="E79" s="47"/>
      <c r="F79" s="68"/>
      <c r="G79" s="47"/>
      <c r="H79" s="68"/>
      <c r="I79" s="47"/>
      <c r="J79" s="68"/>
      <c r="K79" s="47"/>
      <c r="L79" s="68"/>
      <c r="M79"/>
    </row>
    <row r="80" spans="1:14" x14ac:dyDescent="0.25">
      <c r="A80" s="4" t="s">
        <v>162</v>
      </c>
      <c r="B80" s="68"/>
      <c r="C80" s="46">
        <f>C56</f>
        <v>2013</v>
      </c>
      <c r="D80" s="163">
        <f>D56</f>
        <v>2014</v>
      </c>
      <c r="E80" s="46">
        <f>E56</f>
        <v>2015</v>
      </c>
      <c r="F80" s="163">
        <f>F56</f>
        <v>2016</v>
      </c>
      <c r="G80" s="46">
        <f t="shared" ref="G80:L80" si="63">G56</f>
        <v>2017</v>
      </c>
      <c r="H80" s="163">
        <f t="shared" si="63"/>
        <v>2018</v>
      </c>
      <c r="I80" s="46">
        <f t="shared" si="63"/>
        <v>2019</v>
      </c>
      <c r="J80" s="163">
        <f t="shared" si="63"/>
        <v>2020</v>
      </c>
      <c r="K80" s="46">
        <f t="shared" si="63"/>
        <v>2021</v>
      </c>
      <c r="L80" s="163">
        <f t="shared" si="63"/>
        <v>2022</v>
      </c>
      <c r="M80" s="4" t="s">
        <v>130</v>
      </c>
    </row>
    <row r="81" spans="1:13" x14ac:dyDescent="0.25">
      <c r="A81" s="19" t="s">
        <v>7</v>
      </c>
      <c r="B81" s="68"/>
      <c r="C81" s="47"/>
      <c r="D81" s="68"/>
      <c r="E81" s="47"/>
      <c r="F81" s="68"/>
      <c r="G81" s="47"/>
      <c r="H81" s="68"/>
      <c r="I81" s="47"/>
      <c r="J81" s="68"/>
      <c r="K81" s="47"/>
      <c r="L81" s="68"/>
      <c r="M81"/>
    </row>
    <row r="82" spans="1:13" x14ac:dyDescent="0.25">
      <c r="A82" s="14" t="s">
        <v>8</v>
      </c>
      <c r="B82" s="68"/>
      <c r="C82" s="48">
        <v>1000</v>
      </c>
      <c r="D82" s="30">
        <f>C82</f>
        <v>1000</v>
      </c>
      <c r="E82" s="48">
        <f>D82</f>
        <v>1000</v>
      </c>
      <c r="F82" s="30">
        <f>E82</f>
        <v>1000</v>
      </c>
      <c r="G82" s="48">
        <f t="shared" ref="G82:L82" si="64">F82</f>
        <v>1000</v>
      </c>
      <c r="H82" s="30">
        <f t="shared" si="64"/>
        <v>1000</v>
      </c>
      <c r="I82" s="48">
        <f t="shared" si="64"/>
        <v>1000</v>
      </c>
      <c r="J82" s="30">
        <f t="shared" si="64"/>
        <v>1000</v>
      </c>
      <c r="K82" s="48">
        <f t="shared" si="64"/>
        <v>1000</v>
      </c>
      <c r="L82" s="30">
        <f t="shared" si="64"/>
        <v>1000</v>
      </c>
      <c r="M82"/>
    </row>
    <row r="83" spans="1:13" x14ac:dyDescent="0.25">
      <c r="A83" s="14" t="s">
        <v>9</v>
      </c>
      <c r="B83" s="68"/>
      <c r="C83" s="50">
        <v>95030.169556193432</v>
      </c>
      <c r="D83" s="32">
        <v>98686.503691379708</v>
      </c>
      <c r="E83" s="50">
        <v>108033.09169319413</v>
      </c>
      <c r="F83" s="32">
        <v>123009.71335762704</v>
      </c>
      <c r="G83" s="50">
        <v>152062.58508681771</v>
      </c>
      <c r="H83" s="32">
        <v>187210.92212510703</v>
      </c>
      <c r="I83" s="50">
        <v>231288.18932517519</v>
      </c>
      <c r="J83" s="32">
        <v>285818.61753765354</v>
      </c>
      <c r="K83" s="50">
        <v>352574.17703421967</v>
      </c>
      <c r="L83" s="32">
        <v>433614.63664050971</v>
      </c>
      <c r="M83" s="67" t="s">
        <v>167</v>
      </c>
    </row>
    <row r="84" spans="1:13" x14ac:dyDescent="0.25">
      <c r="A84" s="14" t="s">
        <v>10</v>
      </c>
      <c r="B84" s="68"/>
      <c r="C84" s="50">
        <f>C60/365*C41</f>
        <v>0</v>
      </c>
      <c r="D84" s="32">
        <f>D60/365*D41</f>
        <v>0</v>
      </c>
      <c r="E84" s="50">
        <f>E60/365*E41</f>
        <v>0</v>
      </c>
      <c r="F84" s="32">
        <f>F60/365*F41</f>
        <v>0</v>
      </c>
      <c r="G84" s="50">
        <f t="shared" ref="G84:L84" si="65">G60/365*G41</f>
        <v>0</v>
      </c>
      <c r="H84" s="32">
        <f t="shared" si="65"/>
        <v>0</v>
      </c>
      <c r="I84" s="50">
        <f t="shared" si="65"/>
        <v>0</v>
      </c>
      <c r="J84" s="32">
        <f t="shared" si="65"/>
        <v>0</v>
      </c>
      <c r="K84" s="50">
        <f t="shared" si="65"/>
        <v>0</v>
      </c>
      <c r="L84" s="32">
        <f t="shared" si="65"/>
        <v>0</v>
      </c>
      <c r="M84" s="67" t="s">
        <v>166</v>
      </c>
    </row>
    <row r="85" spans="1:13" x14ac:dyDescent="0.25">
      <c r="A85" s="14" t="s">
        <v>19</v>
      </c>
      <c r="B85" s="68"/>
      <c r="C85" s="50">
        <f>C61/365*C39</f>
        <v>591.45205479452056</v>
      </c>
      <c r="D85" s="32">
        <f>D61/365*D39</f>
        <v>684.13512328767115</v>
      </c>
      <c r="E85" s="50">
        <f>E61/365*E39</f>
        <v>791.41548279452059</v>
      </c>
      <c r="F85" s="32">
        <f>F61/365*F39</f>
        <v>915.60422528802746</v>
      </c>
      <c r="G85" s="50">
        <f t="shared" ref="G85:L85" si="66">G61/365*G39</f>
        <v>1059.3803211662771</v>
      </c>
      <c r="H85" s="32">
        <f t="shared" si="66"/>
        <v>1225.8495018346034</v>
      </c>
      <c r="I85" s="50">
        <f t="shared" si="66"/>
        <v>1418.6126199264343</v>
      </c>
      <c r="J85" s="32">
        <f t="shared" si="66"/>
        <v>1641.8450212848277</v>
      </c>
      <c r="K85" s="50">
        <f t="shared" si="66"/>
        <v>1900.3887125510753</v>
      </c>
      <c r="L85" s="32">
        <f t="shared" si="66"/>
        <v>2199.8593988080461</v>
      </c>
      <c r="M85" s="19"/>
    </row>
    <row r="86" spans="1:13" x14ac:dyDescent="0.25">
      <c r="A86" s="14" t="s">
        <v>105</v>
      </c>
      <c r="B86" s="68"/>
      <c r="C86" s="50">
        <f>C50</f>
        <v>30000</v>
      </c>
      <c r="D86" s="32">
        <f>C86</f>
        <v>30000</v>
      </c>
      <c r="E86" s="50">
        <f>D86</f>
        <v>30000</v>
      </c>
      <c r="F86" s="32">
        <f>E86</f>
        <v>30000</v>
      </c>
      <c r="G86" s="50">
        <f t="shared" ref="G86:L86" si="67">F86</f>
        <v>30000</v>
      </c>
      <c r="H86" s="32">
        <f t="shared" si="67"/>
        <v>30000</v>
      </c>
      <c r="I86" s="50">
        <f t="shared" si="67"/>
        <v>30000</v>
      </c>
      <c r="J86" s="32">
        <f t="shared" si="67"/>
        <v>30000</v>
      </c>
      <c r="K86" s="50">
        <f t="shared" si="67"/>
        <v>30000</v>
      </c>
      <c r="L86" s="32">
        <f t="shared" si="67"/>
        <v>30000</v>
      </c>
      <c r="M86"/>
    </row>
    <row r="87" spans="1:13" x14ac:dyDescent="0.25">
      <c r="A87" s="55" t="s">
        <v>12</v>
      </c>
      <c r="B87" s="68"/>
      <c r="C87" s="50">
        <f>-(B87+C70)</f>
        <v>-2900</v>
      </c>
      <c r="D87" s="32">
        <f>C87-D70</f>
        <v>-5800</v>
      </c>
      <c r="E87" s="50">
        <f>D87-E70</f>
        <v>-8700</v>
      </c>
      <c r="F87" s="32">
        <f>E87-F70</f>
        <v>-11600</v>
      </c>
      <c r="G87" s="50">
        <f t="shared" ref="G87:L87" si="68">F87-G70</f>
        <v>-14500</v>
      </c>
      <c r="H87" s="32">
        <f t="shared" si="68"/>
        <v>-17400</v>
      </c>
      <c r="I87" s="50">
        <f t="shared" si="68"/>
        <v>-20300</v>
      </c>
      <c r="J87" s="32">
        <f t="shared" si="68"/>
        <v>-23200</v>
      </c>
      <c r="K87" s="50">
        <f t="shared" si="68"/>
        <v>-26100</v>
      </c>
      <c r="L87" s="32">
        <f t="shared" si="68"/>
        <v>-29000</v>
      </c>
      <c r="M87"/>
    </row>
    <row r="88" spans="1:13" x14ac:dyDescent="0.25">
      <c r="A88" s="14" t="s">
        <v>109</v>
      </c>
      <c r="B88" s="68"/>
      <c r="C88" s="50">
        <v>45000</v>
      </c>
      <c r="D88" s="32">
        <f t="shared" ref="D88:F89" si="69">C88</f>
        <v>45000</v>
      </c>
      <c r="E88" s="50">
        <f t="shared" si="69"/>
        <v>45000</v>
      </c>
      <c r="F88" s="32">
        <f t="shared" si="69"/>
        <v>45000</v>
      </c>
      <c r="G88" s="50">
        <f t="shared" ref="G88:G89" si="70">F88</f>
        <v>45000</v>
      </c>
      <c r="H88" s="32">
        <f t="shared" ref="H88:H89" si="71">G88</f>
        <v>45000</v>
      </c>
      <c r="I88" s="50">
        <f t="shared" ref="I88:I89" si="72">H88</f>
        <v>45000</v>
      </c>
      <c r="J88" s="32">
        <f t="shared" ref="J88:J89" si="73">I88</f>
        <v>45000</v>
      </c>
      <c r="K88" s="50">
        <f t="shared" ref="K88:K89" si="74">J88</f>
        <v>45000</v>
      </c>
      <c r="L88" s="32">
        <f t="shared" ref="L88:L89" si="75">K88</f>
        <v>45000</v>
      </c>
      <c r="M88"/>
    </row>
    <row r="89" spans="1:13" x14ac:dyDescent="0.25">
      <c r="A89" s="14" t="s">
        <v>11</v>
      </c>
      <c r="B89" s="68"/>
      <c r="C89" s="50">
        <v>52000</v>
      </c>
      <c r="D89" s="32">
        <f t="shared" si="69"/>
        <v>52000</v>
      </c>
      <c r="E89" s="50">
        <f t="shared" si="69"/>
        <v>52000</v>
      </c>
      <c r="F89" s="32">
        <f t="shared" si="69"/>
        <v>52000</v>
      </c>
      <c r="G89" s="50">
        <f t="shared" si="70"/>
        <v>52000</v>
      </c>
      <c r="H89" s="32">
        <f t="shared" si="71"/>
        <v>52000</v>
      </c>
      <c r="I89" s="50">
        <f t="shared" si="72"/>
        <v>52000</v>
      </c>
      <c r="J89" s="32">
        <f t="shared" si="73"/>
        <v>52000</v>
      </c>
      <c r="K89" s="50">
        <f t="shared" si="74"/>
        <v>52000</v>
      </c>
      <c r="L89" s="32">
        <f t="shared" si="75"/>
        <v>52000</v>
      </c>
      <c r="M89"/>
    </row>
    <row r="90" spans="1:13" x14ac:dyDescent="0.25">
      <c r="A90" s="55" t="s">
        <v>12</v>
      </c>
      <c r="B90" s="68"/>
      <c r="C90" s="53">
        <f>-(B90+C71)</f>
        <v>-2666.6666666666665</v>
      </c>
      <c r="D90" s="35">
        <f>C90-D71</f>
        <v>-5333.333333333333</v>
      </c>
      <c r="E90" s="53">
        <f>D90-E71</f>
        <v>-8000</v>
      </c>
      <c r="F90" s="35">
        <f>E90-F71</f>
        <v>-10666.666666666666</v>
      </c>
      <c r="G90" s="53">
        <f t="shared" ref="G90:L90" si="76">F90-G71</f>
        <v>-13333.333333333332</v>
      </c>
      <c r="H90" s="35">
        <f t="shared" si="76"/>
        <v>-15999.999999999998</v>
      </c>
      <c r="I90" s="53">
        <f t="shared" si="76"/>
        <v>-18666.666666666664</v>
      </c>
      <c r="J90" s="35">
        <f t="shared" si="76"/>
        <v>-21333.333333333332</v>
      </c>
      <c r="K90" s="53">
        <f t="shared" si="76"/>
        <v>-24000</v>
      </c>
      <c r="L90" s="35">
        <f t="shared" si="76"/>
        <v>-26666.666666666668</v>
      </c>
      <c r="M90"/>
    </row>
    <row r="91" spans="1:13" x14ac:dyDescent="0.25">
      <c r="A91" s="14" t="s">
        <v>116</v>
      </c>
      <c r="B91" s="68"/>
      <c r="C91" s="53">
        <v>1000</v>
      </c>
      <c r="D91" s="35">
        <f t="shared" ref="D91:F91" si="77">C91</f>
        <v>1000</v>
      </c>
      <c r="E91" s="53">
        <f t="shared" si="77"/>
        <v>1000</v>
      </c>
      <c r="F91" s="35">
        <f t="shared" si="77"/>
        <v>1000</v>
      </c>
      <c r="G91" s="53">
        <f t="shared" ref="G91" si="78">F91</f>
        <v>1000</v>
      </c>
      <c r="H91" s="35">
        <f t="shared" ref="H91" si="79">G91</f>
        <v>1000</v>
      </c>
      <c r="I91" s="53">
        <f t="shared" ref="I91" si="80">H91</f>
        <v>1000</v>
      </c>
      <c r="J91" s="35">
        <f t="shared" ref="J91" si="81">I91</f>
        <v>1000</v>
      </c>
      <c r="K91" s="53">
        <f t="shared" ref="K91" si="82">J91</f>
        <v>1000</v>
      </c>
      <c r="L91" s="35">
        <f t="shared" ref="L91" si="83">K91</f>
        <v>1000</v>
      </c>
      <c r="M91"/>
    </row>
    <row r="92" spans="1:13" x14ac:dyDescent="0.25">
      <c r="A92" s="55" t="s">
        <v>12</v>
      </c>
      <c r="B92" s="68"/>
      <c r="C92" s="53">
        <f>-(B92+C72)</f>
        <v>-95</v>
      </c>
      <c r="D92" s="35">
        <f>C92-D72</f>
        <v>-190</v>
      </c>
      <c r="E92" s="53">
        <f t="shared" ref="E92:L92" si="84">D92-E72</f>
        <v>-285</v>
      </c>
      <c r="F92" s="35">
        <f t="shared" si="84"/>
        <v>-380</v>
      </c>
      <c r="G92" s="53">
        <f t="shared" si="84"/>
        <v>-475</v>
      </c>
      <c r="H92" s="35">
        <f t="shared" si="84"/>
        <v>-570</v>
      </c>
      <c r="I92" s="53">
        <f t="shared" si="84"/>
        <v>-665</v>
      </c>
      <c r="J92" s="35">
        <f t="shared" si="84"/>
        <v>-760</v>
      </c>
      <c r="K92" s="53">
        <f t="shared" si="84"/>
        <v>-855</v>
      </c>
      <c r="L92" s="35">
        <f t="shared" si="84"/>
        <v>-950</v>
      </c>
      <c r="M92"/>
    </row>
    <row r="93" spans="1:13" x14ac:dyDescent="0.25">
      <c r="A93" s="4" t="s">
        <v>153</v>
      </c>
      <c r="B93" s="163"/>
      <c r="C93" s="56">
        <f>SUM(C82:C92)</f>
        <v>218959.95494432127</v>
      </c>
      <c r="D93" s="162">
        <f t="shared" ref="D93:L93" si="85">SUM(D82:D92)</f>
        <v>217047.30548133404</v>
      </c>
      <c r="E93" s="56">
        <f t="shared" si="85"/>
        <v>220839.50717598863</v>
      </c>
      <c r="F93" s="162">
        <f t="shared" si="85"/>
        <v>230278.65091624841</v>
      </c>
      <c r="G93" s="56">
        <f t="shared" si="85"/>
        <v>253813.63207465064</v>
      </c>
      <c r="H93" s="162">
        <f t="shared" si="85"/>
        <v>283466.77162694163</v>
      </c>
      <c r="I93" s="56">
        <f t="shared" si="85"/>
        <v>322075.1352784349</v>
      </c>
      <c r="J93" s="162">
        <f t="shared" si="85"/>
        <v>371167.12922560505</v>
      </c>
      <c r="K93" s="56">
        <f t="shared" si="85"/>
        <v>432519.56574677076</v>
      </c>
      <c r="L93" s="162">
        <f t="shared" si="85"/>
        <v>508197.829372651</v>
      </c>
      <c r="M93"/>
    </row>
    <row r="94" spans="1:13" x14ac:dyDescent="0.25">
      <c r="B94" s="68"/>
      <c r="C94" s="50"/>
      <c r="D94" s="32"/>
      <c r="E94" s="50"/>
      <c r="F94" s="32"/>
      <c r="G94" s="50"/>
      <c r="H94" s="32"/>
      <c r="I94" s="50"/>
      <c r="J94" s="32"/>
      <c r="K94" s="50"/>
      <c r="L94" s="32"/>
      <c r="M94"/>
    </row>
    <row r="95" spans="1:13" x14ac:dyDescent="0.25">
      <c r="A95" s="19" t="s">
        <v>13</v>
      </c>
      <c r="B95" s="68"/>
      <c r="C95" s="50"/>
      <c r="D95" s="32"/>
      <c r="E95" s="50"/>
      <c r="F95" s="32"/>
      <c r="G95" s="50"/>
      <c r="H95" s="32"/>
      <c r="I95" s="50"/>
      <c r="J95" s="32"/>
      <c r="K95" s="50"/>
      <c r="L95" s="32"/>
      <c r="M95"/>
    </row>
    <row r="96" spans="1:13" x14ac:dyDescent="0.25">
      <c r="A96" s="14" t="s">
        <v>14</v>
      </c>
      <c r="B96" s="68"/>
      <c r="C96" s="50">
        <f>(C65/365*C42)+(C68/365*30)</f>
        <v>335.29315068493156</v>
      </c>
      <c r="D96" s="32">
        <f>(D65/365*D42)+(D68/365*30)</f>
        <v>349.19561095890413</v>
      </c>
      <c r="E96" s="50">
        <f>(E65/365*E42)+(E68/365*30)</f>
        <v>365.28766488493153</v>
      </c>
      <c r="F96" s="32">
        <f>(F65/365*F42)+(F68/365*30)</f>
        <v>383.91597625895758</v>
      </c>
      <c r="G96" s="50">
        <f t="shared" ref="G96:L96" si="86">(G65/365*G42)+(G68/365*30)</f>
        <v>405.48239064069503</v>
      </c>
      <c r="H96" s="32">
        <f t="shared" si="86"/>
        <v>430.45276774094395</v>
      </c>
      <c r="I96" s="50">
        <f t="shared" si="86"/>
        <v>459.36723545471864</v>
      </c>
      <c r="J96" s="32">
        <f t="shared" si="86"/>
        <v>492.85209565847765</v>
      </c>
      <c r="K96" s="50">
        <f t="shared" si="86"/>
        <v>531.63364934841479</v>
      </c>
      <c r="L96" s="32">
        <f t="shared" si="86"/>
        <v>576.55425228696038</v>
      </c>
      <c r="M96" s="67" t="s">
        <v>152</v>
      </c>
    </row>
    <row r="97" spans="1:21" x14ac:dyDescent="0.25">
      <c r="A97" s="14" t="s">
        <v>80</v>
      </c>
      <c r="B97" s="68"/>
      <c r="C97" s="50">
        <f>IF(C77&lt;0,0,C77)</f>
        <v>0</v>
      </c>
      <c r="D97" s="32">
        <f>IF(D77&lt;0,0,D77)</f>
        <v>114.06261877020152</v>
      </c>
      <c r="E97" s="50">
        <f>IF(E77&lt;0,0,E77)</f>
        <v>1302.9563259281961</v>
      </c>
      <c r="F97" s="32">
        <f>IF(F77&lt;0,0,F77)</f>
        <v>2696.4722243061378</v>
      </c>
      <c r="G97" s="50">
        <f t="shared" ref="G97:L97" si="87">IF(G77&lt;0,0,G77)</f>
        <v>5821.9852702180724</v>
      </c>
      <c r="H97" s="32">
        <f t="shared" si="87"/>
        <v>7699.7130693853123</v>
      </c>
      <c r="I97" s="50">
        <f t="shared" si="87"/>
        <v>9896.7071283855203</v>
      </c>
      <c r="J97" s="32">
        <f t="shared" si="87"/>
        <v>12464.70628564109</v>
      </c>
      <c r="K97" s="50">
        <f t="shared" si="87"/>
        <v>15463.801172984793</v>
      </c>
      <c r="L97" s="32">
        <f t="shared" si="87"/>
        <v>18963.786981159694</v>
      </c>
      <c r="M97" s="19"/>
      <c r="U97" s="18"/>
    </row>
    <row r="98" spans="1:21" x14ac:dyDescent="0.25">
      <c r="A98" s="14" t="s">
        <v>15</v>
      </c>
      <c r="B98" s="68"/>
      <c r="C98" s="50">
        <f>Mortgage!G13</f>
        <v>158624.66179363633</v>
      </c>
      <c r="D98" s="32">
        <f>Mortgage!G27</f>
        <v>156127.79677652413</v>
      </c>
      <c r="E98" s="50">
        <f>Mortgage!G41</f>
        <v>153503.187406382</v>
      </c>
      <c r="F98" s="32">
        <f>Mortgage!G55</f>
        <v>150744.29803966521</v>
      </c>
      <c r="G98" s="50">
        <f>Mortgage!G69</f>
        <v>147844.25865690145</v>
      </c>
      <c r="H98" s="32">
        <f>Mortgage!G83</f>
        <v>144795.8477553837</v>
      </c>
      <c r="I98" s="50">
        <f>Mortgage!G97</f>
        <v>141591.47436662094</v>
      </c>
      <c r="J98" s="32">
        <f>Mortgage!G111</f>
        <v>138223.15915376737</v>
      </c>
      <c r="K98" s="50">
        <f>Mortgage!G125</f>
        <v>134682.51454196026</v>
      </c>
      <c r="L98" s="32">
        <f>Mortgage!G139</f>
        <v>130960.72383208838</v>
      </c>
      <c r="M98"/>
      <c r="N98" s="19"/>
    </row>
    <row r="99" spans="1:21" x14ac:dyDescent="0.25">
      <c r="A99" s="14" t="s">
        <v>16</v>
      </c>
      <c r="B99" s="68"/>
      <c r="C99" s="50">
        <v>0</v>
      </c>
      <c r="D99" s="32">
        <v>0</v>
      </c>
      <c r="E99" s="50">
        <v>0</v>
      </c>
      <c r="F99" s="32">
        <v>0</v>
      </c>
      <c r="G99" s="50">
        <v>0</v>
      </c>
      <c r="H99" s="32">
        <v>0</v>
      </c>
      <c r="I99" s="50">
        <v>0</v>
      </c>
      <c r="J99" s="32">
        <v>0</v>
      </c>
      <c r="K99" s="50">
        <v>0</v>
      </c>
      <c r="L99" s="32">
        <v>0</v>
      </c>
      <c r="M99" s="67" t="s">
        <v>167</v>
      </c>
    </row>
    <row r="100" spans="1:21" x14ac:dyDescent="0.25">
      <c r="A100" s="15" t="s">
        <v>86</v>
      </c>
      <c r="B100" s="68"/>
      <c r="C100" s="50">
        <f>SUM(C96:C99)</f>
        <v>158959.95494432127</v>
      </c>
      <c r="D100" s="32">
        <f>SUM(D96:D99)</f>
        <v>156591.05500625324</v>
      </c>
      <c r="E100" s="50">
        <f>SUM(E96:E99)</f>
        <v>155171.43139719512</v>
      </c>
      <c r="F100" s="32">
        <f>SUM(F96:F99)</f>
        <v>153824.68624023031</v>
      </c>
      <c r="G100" s="50">
        <f t="shared" ref="G100:L100" si="88">SUM(G96:G99)</f>
        <v>154071.72631776021</v>
      </c>
      <c r="H100" s="32">
        <f t="shared" si="88"/>
        <v>152926.01359250996</v>
      </c>
      <c r="I100" s="50">
        <f t="shared" si="88"/>
        <v>151947.54873046119</v>
      </c>
      <c r="J100" s="32">
        <f t="shared" si="88"/>
        <v>151180.71753506694</v>
      </c>
      <c r="K100" s="50">
        <f t="shared" si="88"/>
        <v>150677.94936429348</v>
      </c>
      <c r="L100" s="32">
        <f t="shared" si="88"/>
        <v>150501.06506553502</v>
      </c>
      <c r="M100" s="67" t="s">
        <v>168</v>
      </c>
    </row>
    <row r="101" spans="1:21" x14ac:dyDescent="0.25">
      <c r="B101" s="68"/>
      <c r="C101" s="50"/>
      <c r="D101" s="32"/>
      <c r="E101" s="50"/>
      <c r="F101" s="32"/>
      <c r="G101" s="50"/>
      <c r="H101" s="32"/>
      <c r="I101" s="50"/>
      <c r="J101" s="32"/>
      <c r="K101" s="50"/>
      <c r="L101" s="32"/>
      <c r="M101" s="19"/>
    </row>
    <row r="102" spans="1:21" x14ac:dyDescent="0.25">
      <c r="A102" s="19" t="s">
        <v>81</v>
      </c>
      <c r="B102" s="68"/>
      <c r="C102" s="50"/>
      <c r="D102" s="32"/>
      <c r="E102" s="50"/>
      <c r="F102" s="32"/>
      <c r="G102" s="50"/>
      <c r="H102" s="32"/>
      <c r="I102" s="50"/>
      <c r="J102" s="32"/>
      <c r="K102" s="50"/>
      <c r="L102" s="32"/>
    </row>
    <row r="103" spans="1:21" x14ac:dyDescent="0.25">
      <c r="A103" s="14" t="s">
        <v>17</v>
      </c>
      <c r="B103" s="68"/>
      <c r="C103" s="50">
        <v>60000</v>
      </c>
      <c r="D103" s="32">
        <f>C103</f>
        <v>60000</v>
      </c>
      <c r="E103" s="50">
        <f>D103</f>
        <v>60000</v>
      </c>
      <c r="F103" s="32">
        <f>E103</f>
        <v>60000</v>
      </c>
      <c r="G103" s="50">
        <f t="shared" ref="G103:L103" si="89">F103</f>
        <v>60000</v>
      </c>
      <c r="H103" s="32">
        <f t="shared" si="89"/>
        <v>60000</v>
      </c>
      <c r="I103" s="50">
        <f t="shared" si="89"/>
        <v>60000</v>
      </c>
      <c r="J103" s="32">
        <f t="shared" si="89"/>
        <v>60000</v>
      </c>
      <c r="K103" s="50">
        <f t="shared" si="89"/>
        <v>60000</v>
      </c>
      <c r="L103" s="32">
        <f t="shared" si="89"/>
        <v>60000</v>
      </c>
    </row>
    <row r="104" spans="1:21" x14ac:dyDescent="0.25">
      <c r="A104" s="14" t="s">
        <v>18</v>
      </c>
      <c r="B104" s="68"/>
      <c r="C104" s="49">
        <v>0</v>
      </c>
      <c r="D104" s="31">
        <f>C104+D78</f>
        <v>456.25047508080604</v>
      </c>
      <c r="E104" s="49">
        <f>D104+E78</f>
        <v>5668.07577879359</v>
      </c>
      <c r="F104" s="31">
        <f>E104+F78</f>
        <v>16453.964676018142</v>
      </c>
      <c r="G104" s="49">
        <f t="shared" ref="G104:L104" si="90">F104+G78</f>
        <v>39741.905756890432</v>
      </c>
      <c r="H104" s="31">
        <f t="shared" si="90"/>
        <v>70540.758034431681</v>
      </c>
      <c r="I104" s="49">
        <f t="shared" si="90"/>
        <v>110127.58654797377</v>
      </c>
      <c r="J104" s="31">
        <f t="shared" si="90"/>
        <v>159986.41169053811</v>
      </c>
      <c r="K104" s="49">
        <f t="shared" si="90"/>
        <v>221841.61638247728</v>
      </c>
      <c r="L104" s="31">
        <f t="shared" si="90"/>
        <v>297696.76430711604</v>
      </c>
    </row>
    <row r="105" spans="1:21" x14ac:dyDescent="0.25">
      <c r="A105" t="s">
        <v>87</v>
      </c>
      <c r="B105" s="68"/>
      <c r="C105" s="49">
        <f>SUM(C103:C104)</f>
        <v>60000</v>
      </c>
      <c r="D105" s="31">
        <f>SUM(D103:D104)</f>
        <v>60456.250475080808</v>
      </c>
      <c r="E105" s="49">
        <f>SUM(E103:E104)</f>
        <v>65668.075778793587</v>
      </c>
      <c r="F105" s="31">
        <f>SUM(F103:F104)</f>
        <v>76453.964676018135</v>
      </c>
      <c r="G105" s="49">
        <f t="shared" ref="G105:L105" si="91">SUM(G103:G104)</f>
        <v>99741.905756890425</v>
      </c>
      <c r="H105" s="31">
        <f t="shared" si="91"/>
        <v>130540.75803443168</v>
      </c>
      <c r="I105" s="49">
        <f t="shared" si="91"/>
        <v>170127.58654797377</v>
      </c>
      <c r="J105" s="31">
        <f t="shared" si="91"/>
        <v>219986.41169053811</v>
      </c>
      <c r="K105" s="49">
        <f t="shared" si="91"/>
        <v>281841.61638247728</v>
      </c>
      <c r="L105" s="31">
        <f t="shared" si="91"/>
        <v>357696.76430711604</v>
      </c>
    </row>
    <row r="106" spans="1:21" ht="15.75" thickBot="1" x14ac:dyDescent="0.3">
      <c r="A106" s="4" t="s">
        <v>154</v>
      </c>
      <c r="B106" s="163"/>
      <c r="C106" s="57">
        <f>C100+C105</f>
        <v>218959.95494432127</v>
      </c>
      <c r="D106" s="60">
        <f>D100+D105</f>
        <v>217047.30548133404</v>
      </c>
      <c r="E106" s="57">
        <f>E100+E105</f>
        <v>220839.50717598869</v>
      </c>
      <c r="F106" s="60">
        <f>F100+F105</f>
        <v>230278.65091624844</v>
      </c>
      <c r="G106" s="57">
        <f t="shared" ref="G106:L106" si="92">G100+G105</f>
        <v>253813.63207465064</v>
      </c>
      <c r="H106" s="60">
        <f t="shared" si="92"/>
        <v>283466.77162694163</v>
      </c>
      <c r="I106" s="57">
        <f t="shared" si="92"/>
        <v>322075.13527843496</v>
      </c>
      <c r="J106" s="60">
        <f t="shared" si="92"/>
        <v>371167.12922560505</v>
      </c>
      <c r="K106" s="57">
        <f t="shared" si="92"/>
        <v>432519.56574677076</v>
      </c>
      <c r="L106" s="60">
        <f t="shared" si="92"/>
        <v>508197.82937265106</v>
      </c>
    </row>
    <row r="107" spans="1:21" ht="15.75" thickTop="1" x14ac:dyDescent="0.25">
      <c r="B107" s="68"/>
      <c r="C107" s="16"/>
      <c r="D107" s="32"/>
      <c r="E107" s="16"/>
      <c r="F107" s="32"/>
      <c r="G107" s="50"/>
      <c r="H107" s="32"/>
      <c r="I107" s="50"/>
      <c r="J107" s="32"/>
      <c r="K107" s="50"/>
      <c r="L107" s="32"/>
    </row>
    <row r="108" spans="1:21" x14ac:dyDescent="0.25">
      <c r="A108" t="s">
        <v>128</v>
      </c>
      <c r="B108" s="68"/>
      <c r="C108" s="16">
        <f>C93-C106</f>
        <v>0</v>
      </c>
      <c r="D108" s="32">
        <f>D93-D106</f>
        <v>0</v>
      </c>
      <c r="E108" s="16">
        <f>E93-E106</f>
        <v>0</v>
      </c>
      <c r="F108" s="32">
        <f>F93-F106</f>
        <v>0</v>
      </c>
      <c r="G108" s="50">
        <f t="shared" ref="G108:L108" si="93">G93-G106</f>
        <v>0</v>
      </c>
      <c r="H108" s="32">
        <f t="shared" si="93"/>
        <v>0</v>
      </c>
      <c r="I108" s="50">
        <f t="shared" si="93"/>
        <v>0</v>
      </c>
      <c r="J108" s="32">
        <f t="shared" si="93"/>
        <v>0</v>
      </c>
      <c r="K108" s="50">
        <f t="shared" si="93"/>
        <v>0</v>
      </c>
      <c r="L108" s="32">
        <f t="shared" si="93"/>
        <v>0</v>
      </c>
    </row>
    <row r="109" spans="1:21" x14ac:dyDescent="0.25">
      <c r="B109" s="68"/>
      <c r="D109" s="68"/>
      <c r="F109" s="68"/>
      <c r="G109" s="47"/>
      <c r="H109" s="68"/>
      <c r="I109" s="47"/>
      <c r="J109" s="68"/>
      <c r="L109" s="68"/>
    </row>
    <row r="110" spans="1:21" x14ac:dyDescent="0.25">
      <c r="A110" s="137" t="s">
        <v>113</v>
      </c>
      <c r="B110" s="164"/>
      <c r="C110" s="137">
        <v>0.82499999999999996</v>
      </c>
      <c r="D110" s="68">
        <f>C110</f>
        <v>0.82499999999999996</v>
      </c>
      <c r="E110">
        <f t="shared" ref="E110:L110" si="94">D110</f>
        <v>0.82499999999999996</v>
      </c>
      <c r="F110" s="68">
        <f t="shared" si="94"/>
        <v>0.82499999999999996</v>
      </c>
      <c r="G110">
        <f t="shared" si="94"/>
        <v>0.82499999999999996</v>
      </c>
      <c r="H110" s="68">
        <f t="shared" si="94"/>
        <v>0.82499999999999996</v>
      </c>
      <c r="I110">
        <f t="shared" si="94"/>
        <v>0.82499999999999996</v>
      </c>
      <c r="J110" s="68">
        <f t="shared" si="94"/>
        <v>0.82499999999999996</v>
      </c>
      <c r="K110">
        <f t="shared" si="94"/>
        <v>0.82499999999999996</v>
      </c>
      <c r="L110" s="68">
        <f t="shared" si="94"/>
        <v>0.82499999999999996</v>
      </c>
    </row>
    <row r="111" spans="1:21" x14ac:dyDescent="0.25">
      <c r="A111" s="137" t="s">
        <v>114</v>
      </c>
      <c r="B111" s="164"/>
      <c r="C111" s="138">
        <v>0.11</v>
      </c>
      <c r="D111" s="148">
        <f>C111</f>
        <v>0.11</v>
      </c>
      <c r="E111" s="143">
        <f t="shared" ref="E111:L111" si="95">D111</f>
        <v>0.11</v>
      </c>
      <c r="F111" s="148">
        <f t="shared" si="95"/>
        <v>0.11</v>
      </c>
      <c r="G111" s="143">
        <f t="shared" si="95"/>
        <v>0.11</v>
      </c>
      <c r="H111" s="148">
        <f t="shared" si="95"/>
        <v>0.11</v>
      </c>
      <c r="I111" s="143">
        <f t="shared" si="95"/>
        <v>0.11</v>
      </c>
      <c r="J111" s="148">
        <f t="shared" si="95"/>
        <v>0.11</v>
      </c>
      <c r="K111" s="143">
        <f t="shared" si="95"/>
        <v>0.11</v>
      </c>
      <c r="L111" s="148">
        <f t="shared" si="95"/>
        <v>0.11</v>
      </c>
    </row>
    <row r="112" spans="1:21" x14ac:dyDescent="0.25">
      <c r="A112" s="137" t="s">
        <v>179</v>
      </c>
      <c r="B112" s="164"/>
      <c r="C112" s="138">
        <v>0.01</v>
      </c>
      <c r="D112" s="148">
        <f>C112</f>
        <v>0.01</v>
      </c>
      <c r="E112" s="143">
        <f t="shared" ref="E112:L112" si="96">D112</f>
        <v>0.01</v>
      </c>
      <c r="F112" s="148">
        <f t="shared" si="96"/>
        <v>0.01</v>
      </c>
      <c r="G112" s="143">
        <f t="shared" si="96"/>
        <v>0.01</v>
      </c>
      <c r="H112" s="148">
        <f t="shared" si="96"/>
        <v>0.01</v>
      </c>
      <c r="I112" s="143">
        <f t="shared" si="96"/>
        <v>0.01</v>
      </c>
      <c r="J112" s="148">
        <f t="shared" si="96"/>
        <v>0.01</v>
      </c>
      <c r="K112" s="143">
        <f t="shared" si="96"/>
        <v>0.01</v>
      </c>
      <c r="L112" s="148">
        <f t="shared" si="96"/>
        <v>0.01</v>
      </c>
    </row>
    <row r="113" spans="1:13" s="15" customFormat="1" x14ac:dyDescent="0.25">
      <c r="A113" s="139" t="s">
        <v>192</v>
      </c>
      <c r="B113" s="164"/>
      <c r="C113" s="140">
        <f>+C112+C110*(C111-C112)</f>
        <v>9.2499999999999999E-2</v>
      </c>
      <c r="D113" s="149">
        <f t="shared" ref="D113:L113" si="97">+D112+D110*(D111-D112)</f>
        <v>9.2499999999999999E-2</v>
      </c>
      <c r="E113" s="140">
        <f t="shared" si="97"/>
        <v>9.2499999999999999E-2</v>
      </c>
      <c r="F113" s="149">
        <f t="shared" si="97"/>
        <v>9.2499999999999999E-2</v>
      </c>
      <c r="G113" s="140">
        <f t="shared" si="97"/>
        <v>9.2499999999999999E-2</v>
      </c>
      <c r="H113" s="149">
        <f t="shared" si="97"/>
        <v>9.2499999999999999E-2</v>
      </c>
      <c r="I113" s="140">
        <f t="shared" si="97"/>
        <v>9.2499999999999999E-2</v>
      </c>
      <c r="J113" s="149">
        <f t="shared" si="97"/>
        <v>9.2499999999999999E-2</v>
      </c>
      <c r="K113" s="140">
        <f t="shared" si="97"/>
        <v>9.2499999999999999E-2</v>
      </c>
      <c r="L113" s="149">
        <f t="shared" si="97"/>
        <v>9.2499999999999999E-2</v>
      </c>
      <c r="M113" s="136"/>
    </row>
    <row r="114" spans="1:13" s="15" customFormat="1" x14ac:dyDescent="0.25">
      <c r="A114" s="139"/>
      <c r="B114" s="164"/>
      <c r="C114" s="140"/>
      <c r="D114" s="150"/>
      <c r="F114" s="150"/>
      <c r="G114" s="135"/>
      <c r="H114" s="150"/>
      <c r="I114" s="135"/>
      <c r="J114" s="150"/>
      <c r="L114" s="150"/>
      <c r="M114" s="136"/>
    </row>
    <row r="115" spans="1:13" x14ac:dyDescent="0.25">
      <c r="A115" s="141" t="s">
        <v>219</v>
      </c>
      <c r="B115" s="164"/>
      <c r="C115" s="136">
        <f>SUM(C98:C99)/SUM(C98:C99,C103:C104)</f>
        <v>0.72555703685142781</v>
      </c>
      <c r="D115" s="151">
        <f t="shared" ref="D115:L115" si="98">SUM(D98:D99)/SUM(D98:D99,D103:D104)</f>
        <v>0.72086471168003896</v>
      </c>
      <c r="E115" s="136">
        <f t="shared" si="98"/>
        <v>0.70038008256898487</v>
      </c>
      <c r="F115" s="151">
        <f t="shared" si="98"/>
        <v>0.66349230067972453</v>
      </c>
      <c r="G115" s="136">
        <f t="shared" si="98"/>
        <v>0.59714265135514066</v>
      </c>
      <c r="H115" s="151">
        <f t="shared" si="98"/>
        <v>0.52588665913139421</v>
      </c>
      <c r="I115" s="136">
        <f t="shared" si="98"/>
        <v>0.45422783563888131</v>
      </c>
      <c r="J115" s="151">
        <f t="shared" si="98"/>
        <v>0.38587232280805134</v>
      </c>
      <c r="K115" s="136">
        <f t="shared" si="98"/>
        <v>0.32334864787556156</v>
      </c>
      <c r="L115" s="151">
        <f t="shared" si="98"/>
        <v>0.2680010580228363</v>
      </c>
    </row>
    <row r="116" spans="1:13" x14ac:dyDescent="0.25">
      <c r="A116" s="141" t="s">
        <v>220</v>
      </c>
      <c r="B116" s="164"/>
      <c r="C116" s="136">
        <f>SUM(C103:C104)/SUM(C98:C99,C103:C104)</f>
        <v>0.27444296314857219</v>
      </c>
      <c r="D116" s="151">
        <f t="shared" ref="D116:L116" si="99">SUM(D103:D104)/SUM(D98:D99,D103:D104)</f>
        <v>0.27913528831996104</v>
      </c>
      <c r="E116" s="136">
        <f t="shared" si="99"/>
        <v>0.29961991743101507</v>
      </c>
      <c r="F116" s="151">
        <f t="shared" si="99"/>
        <v>0.33650769932027552</v>
      </c>
      <c r="G116" s="136">
        <f t="shared" si="99"/>
        <v>0.40285734864485934</v>
      </c>
      <c r="H116" s="151">
        <f t="shared" si="99"/>
        <v>0.47411334086860585</v>
      </c>
      <c r="I116" s="136">
        <f t="shared" si="99"/>
        <v>0.54577216436111875</v>
      </c>
      <c r="J116" s="151">
        <f t="shared" si="99"/>
        <v>0.61412767719194872</v>
      </c>
      <c r="K116" s="136">
        <f t="shared" si="99"/>
        <v>0.67665135212443839</v>
      </c>
      <c r="L116" s="151">
        <f t="shared" si="99"/>
        <v>0.73199894197716364</v>
      </c>
    </row>
    <row r="117" spans="1:13" x14ac:dyDescent="0.25">
      <c r="A117" s="141" t="s">
        <v>221</v>
      </c>
      <c r="B117" s="164"/>
      <c r="C117" s="142">
        <f>+C110/(1+(1-$M$77)*(C115/C116))</f>
        <v>0.26484789544459553</v>
      </c>
      <c r="D117" s="152">
        <f t="shared" ref="D117:L117" si="100">+D110/(1+(1-$M$77)*(D115/D116))</f>
        <v>0.26908078075089453</v>
      </c>
      <c r="E117" s="142">
        <f t="shared" si="100"/>
        <v>0.28745149179171997</v>
      </c>
      <c r="F117" s="152">
        <f t="shared" si="100"/>
        <v>0.32009496026346562</v>
      </c>
      <c r="G117" s="142">
        <f t="shared" si="100"/>
        <v>0.37743365990985839</v>
      </c>
      <c r="H117" s="152">
        <f t="shared" si="100"/>
        <v>0.43711845947633399</v>
      </c>
      <c r="I117" s="142">
        <f t="shared" si="100"/>
        <v>0.49525363273590794</v>
      </c>
      <c r="J117" s="152">
        <f t="shared" si="100"/>
        <v>0.54902613140486001</v>
      </c>
      <c r="K117" s="142">
        <f t="shared" si="100"/>
        <v>0.59683449061161464</v>
      </c>
      <c r="L117" s="152">
        <f t="shared" si="100"/>
        <v>0.63810150270113308</v>
      </c>
    </row>
    <row r="118" spans="1:13" x14ac:dyDescent="0.25">
      <c r="A118" s="141" t="s">
        <v>222</v>
      </c>
      <c r="B118" s="164"/>
      <c r="C118" s="142">
        <f>((1+(1-$M$77)*(C119/C120)))*C117</f>
        <v>0.81202199998100355</v>
      </c>
      <c r="D118" s="152">
        <f t="shared" ref="D118:L118" si="101">((1+(1-$M$77)*(D119/D120)))*D117</f>
        <v>0.77227515062032603</v>
      </c>
      <c r="E118" s="142">
        <f t="shared" si="101"/>
        <v>0.74086602467272911</v>
      </c>
      <c r="F118" s="152">
        <f t="shared" si="101"/>
        <v>0.69966823383062438</v>
      </c>
      <c r="G118" s="142">
        <f t="shared" si="101"/>
        <v>0.71235328244583485</v>
      </c>
      <c r="H118" s="152">
        <f t="shared" si="101"/>
        <v>0.72815766554967642</v>
      </c>
      <c r="I118" s="142">
        <f t="shared" si="101"/>
        <v>0.74419817862153448</v>
      </c>
      <c r="J118" s="152">
        <f t="shared" si="101"/>
        <v>0.75891485082379551</v>
      </c>
      <c r="K118" s="142">
        <f t="shared" si="101"/>
        <v>0.77164597273359115</v>
      </c>
      <c r="L118" s="152">
        <f t="shared" si="101"/>
        <v>0.82499999999999996</v>
      </c>
    </row>
    <row r="119" spans="1:13" x14ac:dyDescent="0.25">
      <c r="A119" s="141" t="s">
        <v>223</v>
      </c>
      <c r="B119" s="68"/>
      <c r="C119" s="13">
        <f>SUM(D98:D99)/SUM(D98:D99,D103:D104)</f>
        <v>0.72086471168003896</v>
      </c>
      <c r="D119" s="62">
        <f t="shared" ref="D119:K119" si="102">SUM(E98:E99)/SUM(E98:E99,E103:E104)</f>
        <v>0.70038008256898487</v>
      </c>
      <c r="E119" s="13">
        <f t="shared" si="102"/>
        <v>0.66349230067972453</v>
      </c>
      <c r="F119" s="62">
        <f t="shared" si="102"/>
        <v>0.59714265135514066</v>
      </c>
      <c r="G119" s="13">
        <f t="shared" si="102"/>
        <v>0.52588665913139421</v>
      </c>
      <c r="H119" s="62">
        <f t="shared" si="102"/>
        <v>0.45422783563888131</v>
      </c>
      <c r="I119" s="13">
        <f t="shared" si="102"/>
        <v>0.38587232280805134</v>
      </c>
      <c r="J119" s="62">
        <f t="shared" si="102"/>
        <v>0.32334864787556156</v>
      </c>
      <c r="K119" s="13">
        <f t="shared" si="102"/>
        <v>0.2680010580228363</v>
      </c>
      <c r="L119" s="62">
        <f>K119</f>
        <v>0.2680010580228363</v>
      </c>
    </row>
    <row r="120" spans="1:13" x14ac:dyDescent="0.25">
      <c r="A120" s="141" t="s">
        <v>224</v>
      </c>
      <c r="B120" s="68"/>
      <c r="C120" s="13">
        <f>SUM(D103:D104)/SUM(D98:D99,D103:D104)</f>
        <v>0.27913528831996104</v>
      </c>
      <c r="D120" s="62">
        <f t="shared" ref="D120:K120" si="103">SUM(E103:E104)/SUM(E98:E99,E103:E104)</f>
        <v>0.29961991743101507</v>
      </c>
      <c r="E120" s="13">
        <f t="shared" si="103"/>
        <v>0.33650769932027552</v>
      </c>
      <c r="F120" s="62">
        <f t="shared" si="103"/>
        <v>0.40285734864485934</v>
      </c>
      <c r="G120" s="13">
        <f t="shared" si="103"/>
        <v>0.47411334086860585</v>
      </c>
      <c r="H120" s="62">
        <f t="shared" si="103"/>
        <v>0.54577216436111875</v>
      </c>
      <c r="I120" s="13">
        <f t="shared" si="103"/>
        <v>0.61412767719194872</v>
      </c>
      <c r="J120" s="62">
        <f t="shared" si="103"/>
        <v>0.67665135212443839</v>
      </c>
      <c r="K120" s="13">
        <f t="shared" si="103"/>
        <v>0.73199894197716364</v>
      </c>
      <c r="L120" s="62">
        <f>K120</f>
        <v>0.73199894197716364</v>
      </c>
    </row>
    <row r="121" spans="1:13" x14ac:dyDescent="0.25">
      <c r="B121" s="68"/>
      <c r="D121" s="68"/>
      <c r="F121" s="68"/>
      <c r="G121" s="47"/>
      <c r="H121" s="68"/>
      <c r="I121" s="47"/>
      <c r="J121" s="68"/>
      <c r="L121" s="68"/>
    </row>
    <row r="122" spans="1:13" x14ac:dyDescent="0.25">
      <c r="A122" s="141" t="s">
        <v>225</v>
      </c>
      <c r="B122" s="68"/>
      <c r="C122" s="13">
        <f>$M$73</f>
        <v>0.05</v>
      </c>
      <c r="D122" s="62">
        <f t="shared" ref="D122:L122" si="104">$M$73</f>
        <v>0.05</v>
      </c>
      <c r="E122" s="13">
        <f t="shared" si="104"/>
        <v>0.05</v>
      </c>
      <c r="F122" s="62">
        <f t="shared" si="104"/>
        <v>0.05</v>
      </c>
      <c r="G122" s="13">
        <f t="shared" si="104"/>
        <v>0.05</v>
      </c>
      <c r="H122" s="62">
        <f t="shared" si="104"/>
        <v>0.05</v>
      </c>
      <c r="I122" s="13">
        <f t="shared" si="104"/>
        <v>0.05</v>
      </c>
      <c r="J122" s="62">
        <f t="shared" si="104"/>
        <v>0.05</v>
      </c>
      <c r="K122" s="13">
        <f t="shared" si="104"/>
        <v>0.05</v>
      </c>
      <c r="L122" s="62">
        <f t="shared" si="104"/>
        <v>0.05</v>
      </c>
    </row>
    <row r="123" spans="1:13" x14ac:dyDescent="0.25">
      <c r="A123" s="141" t="s">
        <v>226</v>
      </c>
      <c r="B123" s="68"/>
      <c r="C123" s="143">
        <f>$M$74</f>
        <v>0.12</v>
      </c>
      <c r="D123" s="148">
        <f t="shared" ref="D123:L123" si="105">$M$74</f>
        <v>0.12</v>
      </c>
      <c r="E123" s="143">
        <f t="shared" si="105"/>
        <v>0.12</v>
      </c>
      <c r="F123" s="148">
        <f t="shared" si="105"/>
        <v>0.12</v>
      </c>
      <c r="G123" s="143">
        <f t="shared" si="105"/>
        <v>0.12</v>
      </c>
      <c r="H123" s="148">
        <f t="shared" si="105"/>
        <v>0.12</v>
      </c>
      <c r="I123" s="143">
        <f t="shared" si="105"/>
        <v>0.12</v>
      </c>
      <c r="J123" s="148">
        <f t="shared" si="105"/>
        <v>0.12</v>
      </c>
      <c r="K123" s="143">
        <f t="shared" si="105"/>
        <v>0.12</v>
      </c>
      <c r="L123" s="148">
        <f t="shared" si="105"/>
        <v>0.12</v>
      </c>
    </row>
    <row r="124" spans="1:13" x14ac:dyDescent="0.25">
      <c r="A124" s="141" t="s">
        <v>227</v>
      </c>
      <c r="B124" s="68"/>
      <c r="C124" s="13">
        <f>C98/SUM(C98:C99)</f>
        <v>1</v>
      </c>
      <c r="D124" s="62">
        <f t="shared" ref="D124:L124" si="106">D98/SUM(D98:D99)</f>
        <v>1</v>
      </c>
      <c r="E124" s="13">
        <f t="shared" si="106"/>
        <v>1</v>
      </c>
      <c r="F124" s="62">
        <f t="shared" si="106"/>
        <v>1</v>
      </c>
      <c r="G124" s="13">
        <f t="shared" si="106"/>
        <v>1</v>
      </c>
      <c r="H124" s="62">
        <f t="shared" si="106"/>
        <v>1</v>
      </c>
      <c r="I124" s="13">
        <f t="shared" si="106"/>
        <v>1</v>
      </c>
      <c r="J124" s="62">
        <f t="shared" si="106"/>
        <v>1</v>
      </c>
      <c r="K124" s="13">
        <f t="shared" si="106"/>
        <v>1</v>
      </c>
      <c r="L124" s="62">
        <f t="shared" si="106"/>
        <v>1</v>
      </c>
    </row>
    <row r="125" spans="1:13" x14ac:dyDescent="0.25">
      <c r="A125" s="141" t="s">
        <v>228</v>
      </c>
      <c r="B125" s="68"/>
      <c r="C125" s="13">
        <f>C99/SUM(C98:C99)</f>
        <v>0</v>
      </c>
      <c r="D125" s="62">
        <f t="shared" ref="D125:L125" si="107">D99/SUM(D98:D99)</f>
        <v>0</v>
      </c>
      <c r="E125" s="13">
        <f t="shared" si="107"/>
        <v>0</v>
      </c>
      <c r="F125" s="62">
        <f t="shared" si="107"/>
        <v>0</v>
      </c>
      <c r="G125" s="13">
        <f t="shared" si="107"/>
        <v>0</v>
      </c>
      <c r="H125" s="62">
        <f t="shared" si="107"/>
        <v>0</v>
      </c>
      <c r="I125" s="13">
        <f t="shared" si="107"/>
        <v>0</v>
      </c>
      <c r="J125" s="62">
        <f t="shared" si="107"/>
        <v>0</v>
      </c>
      <c r="K125" s="13">
        <f t="shared" si="107"/>
        <v>0</v>
      </c>
      <c r="L125" s="62">
        <f t="shared" si="107"/>
        <v>0</v>
      </c>
    </row>
    <row r="126" spans="1:13" x14ac:dyDescent="0.25">
      <c r="A126" s="141" t="s">
        <v>182</v>
      </c>
      <c r="B126" s="68"/>
      <c r="C126" s="5">
        <f>C122*C124+C123*C125</f>
        <v>0.05</v>
      </c>
      <c r="D126" s="153">
        <f t="shared" ref="D126:L126" si="108">D122*D124+D123*D125</f>
        <v>0.05</v>
      </c>
      <c r="E126" s="5">
        <f t="shared" si="108"/>
        <v>0.05</v>
      </c>
      <c r="F126" s="153">
        <f t="shared" si="108"/>
        <v>0.05</v>
      </c>
      <c r="G126" s="5">
        <f t="shared" si="108"/>
        <v>0.05</v>
      </c>
      <c r="H126" s="153">
        <f t="shared" si="108"/>
        <v>0.05</v>
      </c>
      <c r="I126" s="5">
        <f t="shared" si="108"/>
        <v>0.05</v>
      </c>
      <c r="J126" s="153">
        <f t="shared" si="108"/>
        <v>0.05</v>
      </c>
      <c r="K126" s="5">
        <f t="shared" si="108"/>
        <v>0.05</v>
      </c>
      <c r="L126" s="153">
        <f t="shared" si="108"/>
        <v>0.05</v>
      </c>
    </row>
    <row r="127" spans="1:13" x14ac:dyDescent="0.25">
      <c r="A127" s="141" t="s">
        <v>183</v>
      </c>
      <c r="B127" s="68"/>
      <c r="C127" s="5">
        <f>C126*(1-$M$77)</f>
        <v>4.0000000000000008E-2</v>
      </c>
      <c r="D127" s="153">
        <f t="shared" ref="D127:L127" si="109">D126*(1-$M$77)</f>
        <v>4.0000000000000008E-2</v>
      </c>
      <c r="E127" s="5">
        <f t="shared" si="109"/>
        <v>4.0000000000000008E-2</v>
      </c>
      <c r="F127" s="153">
        <f t="shared" si="109"/>
        <v>4.0000000000000008E-2</v>
      </c>
      <c r="G127" s="5">
        <f t="shared" si="109"/>
        <v>4.0000000000000008E-2</v>
      </c>
      <c r="H127" s="153">
        <f t="shared" si="109"/>
        <v>4.0000000000000008E-2</v>
      </c>
      <c r="I127" s="5">
        <f t="shared" si="109"/>
        <v>4.0000000000000008E-2</v>
      </c>
      <c r="J127" s="153">
        <f t="shared" si="109"/>
        <v>4.0000000000000008E-2</v>
      </c>
      <c r="K127" s="5">
        <f t="shared" si="109"/>
        <v>4.0000000000000008E-2</v>
      </c>
      <c r="L127" s="153">
        <f t="shared" si="109"/>
        <v>4.0000000000000008E-2</v>
      </c>
      <c r="M127" s="146" t="s">
        <v>229</v>
      </c>
    </row>
    <row r="128" spans="1:13" x14ac:dyDescent="0.25">
      <c r="A128" s="141" t="s">
        <v>112</v>
      </c>
      <c r="B128" s="68"/>
      <c r="C128" s="1">
        <f>C115*C127+C116*C113</f>
        <v>5.4408255565300045E-2</v>
      </c>
      <c r="D128" s="154">
        <f t="shared" ref="D128" si="110">D115*D127+D116*D113</f>
        <v>5.4654602636797958E-2</v>
      </c>
      <c r="E128" s="1">
        <f t="shared" ref="E128" si="111">E115*E127+E116*E113</f>
        <v>5.5730045665128292E-2</v>
      </c>
      <c r="F128" s="154">
        <f t="shared" ref="F128" si="112">F115*F127+F116*F113</f>
        <v>5.7666654214314474E-2</v>
      </c>
      <c r="G128" s="1">
        <f t="shared" ref="G128" si="113">G115*G127+G116*G113</f>
        <v>6.1150010803855119E-2</v>
      </c>
      <c r="H128" s="154">
        <f t="shared" ref="H128" si="114">H115*H127+H116*H113</f>
        <v>6.4890950395601804E-2</v>
      </c>
      <c r="I128" s="1">
        <f t="shared" ref="I128" si="115">I115*I127+I116*I113</f>
        <v>6.8653038628958732E-2</v>
      </c>
      <c r="J128" s="154">
        <f t="shared" ref="J128" si="116">J115*J127+J116*J113</f>
        <v>7.2241703052577322E-2</v>
      </c>
      <c r="K128" s="1">
        <f t="shared" ref="K128" si="117">K115*K127+K116*K113</f>
        <v>7.552419598653301E-2</v>
      </c>
      <c r="L128" s="154">
        <f t="shared" ref="L128" si="118">L115*L127+L116*L113</f>
        <v>7.8429944453801081E-2</v>
      </c>
      <c r="M128" s="147">
        <f>AVERAGE(C128:L128)</f>
        <v>6.4334940140286775E-2</v>
      </c>
    </row>
    <row r="129" spans="1:14" x14ac:dyDescent="0.25">
      <c r="B129" s="68"/>
      <c r="D129" s="68"/>
      <c r="F129" s="68"/>
      <c r="G129" s="47"/>
      <c r="H129" s="68"/>
      <c r="I129" s="47"/>
      <c r="J129" s="68"/>
      <c r="L129" s="68"/>
    </row>
    <row r="130" spans="1:14" x14ac:dyDescent="0.25">
      <c r="A130" s="104" t="s">
        <v>199</v>
      </c>
      <c r="B130" s="155">
        <v>0</v>
      </c>
      <c r="C130" s="123">
        <v>1</v>
      </c>
      <c r="D130" s="155">
        <v>2</v>
      </c>
      <c r="E130" s="123">
        <v>3</v>
      </c>
      <c r="F130" s="155">
        <v>4</v>
      </c>
      <c r="G130" s="123">
        <v>5</v>
      </c>
      <c r="H130" s="155">
        <v>6</v>
      </c>
      <c r="I130" s="124">
        <v>7</v>
      </c>
      <c r="J130" s="155">
        <v>8</v>
      </c>
      <c r="K130" s="123">
        <v>9</v>
      </c>
      <c r="L130" s="155">
        <v>10</v>
      </c>
    </row>
    <row r="131" spans="1:14" x14ac:dyDescent="0.25">
      <c r="A131" s="103"/>
      <c r="B131" s="156"/>
      <c r="C131" s="103"/>
      <c r="D131" s="156"/>
      <c r="E131" s="103"/>
      <c r="F131" s="156"/>
      <c r="G131" s="103"/>
      <c r="H131" s="156"/>
      <c r="I131" s="105"/>
      <c r="J131" s="156"/>
      <c r="K131" s="47"/>
      <c r="L131" s="156"/>
    </row>
    <row r="132" spans="1:14" x14ac:dyDescent="0.25">
      <c r="A132" s="104" t="s">
        <v>200</v>
      </c>
      <c r="B132" s="156"/>
      <c r="C132" s="103"/>
      <c r="D132" s="156"/>
      <c r="E132" s="103"/>
      <c r="F132" s="156"/>
      <c r="G132" s="103"/>
      <c r="H132" s="156"/>
      <c r="I132" s="105"/>
      <c r="J132" s="156"/>
      <c r="K132" s="47"/>
      <c r="L132" s="156"/>
    </row>
    <row r="133" spans="1:14" x14ac:dyDescent="0.25">
      <c r="A133" s="106" t="s">
        <v>201</v>
      </c>
      <c r="B133" s="68"/>
      <c r="C133" s="125">
        <f t="shared" ref="C133:L133" si="119">C62-SUM(C65:C69)</f>
        <v>9164.0999999999985</v>
      </c>
      <c r="D133" s="157">
        <f t="shared" si="119"/>
        <v>14106.508499999996</v>
      </c>
      <c r="E133" s="125">
        <f t="shared" si="119"/>
        <v>19923.232682760005</v>
      </c>
      <c r="F133" s="157">
        <f t="shared" si="119"/>
        <v>26756.53217807506</v>
      </c>
      <c r="G133" s="125">
        <f t="shared" si="119"/>
        <v>34771.593017757026</v>
      </c>
      <c r="H133" s="157">
        <f t="shared" si="119"/>
        <v>44160.232013593224</v>
      </c>
      <c r="I133" s="125">
        <f t="shared" si="119"/>
        <v>55145.202308594264</v>
      </c>
      <c r="J133" s="157">
        <f t="shared" si="119"/>
        <v>67985.198094872118</v>
      </c>
      <c r="K133" s="125">
        <f t="shared" si="119"/>
        <v>82980.672531590637</v>
      </c>
      <c r="L133" s="157">
        <f t="shared" si="119"/>
        <v>100480.60157246514</v>
      </c>
    </row>
    <row r="134" spans="1:14" x14ac:dyDescent="0.25">
      <c r="A134" s="106" t="s">
        <v>202</v>
      </c>
      <c r="B134" s="68"/>
      <c r="C134" s="128">
        <f t="shared" ref="C134:L134" si="120">-C70-C72-C71</f>
        <v>-5661.6666666666661</v>
      </c>
      <c r="D134" s="158">
        <f t="shared" si="120"/>
        <v>-5661.6666666666661</v>
      </c>
      <c r="E134" s="128">
        <f t="shared" si="120"/>
        <v>-5661.6666666666661</v>
      </c>
      <c r="F134" s="158">
        <f t="shared" si="120"/>
        <v>-5661.6666666666661</v>
      </c>
      <c r="G134" s="128">
        <f t="shared" si="120"/>
        <v>-5661.6666666666661</v>
      </c>
      <c r="H134" s="158">
        <f t="shared" si="120"/>
        <v>-5661.6666666666661</v>
      </c>
      <c r="I134" s="128">
        <f t="shared" si="120"/>
        <v>-5661.6666666666661</v>
      </c>
      <c r="J134" s="158">
        <f t="shared" si="120"/>
        <v>-5661.6666666666661</v>
      </c>
      <c r="K134" s="128">
        <f t="shared" si="120"/>
        <v>-5661.6666666666661</v>
      </c>
      <c r="L134" s="158">
        <f t="shared" si="120"/>
        <v>-5661.6666666666661</v>
      </c>
    </row>
    <row r="135" spans="1:14" x14ac:dyDescent="0.25">
      <c r="A135" s="106" t="s">
        <v>203</v>
      </c>
      <c r="B135" s="68"/>
      <c r="C135" s="125">
        <f>SUM(C133:C134)</f>
        <v>3502.4333333333325</v>
      </c>
      <c r="D135" s="157">
        <f t="shared" ref="D135:L135" si="121">SUM(D133:D134)</f>
        <v>8444.8418333333302</v>
      </c>
      <c r="E135" s="125">
        <f t="shared" si="121"/>
        <v>14261.566016093338</v>
      </c>
      <c r="F135" s="157">
        <f t="shared" si="121"/>
        <v>21094.865511408396</v>
      </c>
      <c r="G135" s="125">
        <f t="shared" si="121"/>
        <v>29109.926351090362</v>
      </c>
      <c r="H135" s="157">
        <f t="shared" si="121"/>
        <v>38498.56534692656</v>
      </c>
      <c r="I135" s="125">
        <f t="shared" si="121"/>
        <v>49483.535641927599</v>
      </c>
      <c r="J135" s="157">
        <f t="shared" si="121"/>
        <v>62323.531428205453</v>
      </c>
      <c r="K135" s="125">
        <f t="shared" si="121"/>
        <v>77319.005864923965</v>
      </c>
      <c r="L135" s="157">
        <f t="shared" si="121"/>
        <v>94818.934905798465</v>
      </c>
    </row>
    <row r="136" spans="1:14" x14ac:dyDescent="0.25">
      <c r="A136" s="106" t="s">
        <v>204</v>
      </c>
      <c r="B136" s="68"/>
      <c r="C136" s="126">
        <f>-C135*$M$77</f>
        <v>-700.48666666666657</v>
      </c>
      <c r="D136" s="159">
        <f t="shared" ref="D136:L136" si="122">-D135*$M$77</f>
        <v>-1688.968366666666</v>
      </c>
      <c r="E136" s="126">
        <f t="shared" si="122"/>
        <v>-2852.3132032186677</v>
      </c>
      <c r="F136" s="159">
        <f t="shared" si="122"/>
        <v>-4218.9731022816795</v>
      </c>
      <c r="G136" s="126">
        <f t="shared" si="122"/>
        <v>-5821.9852702180724</v>
      </c>
      <c r="H136" s="159">
        <f t="shared" si="122"/>
        <v>-7699.7130693853123</v>
      </c>
      <c r="I136" s="126">
        <f t="shared" si="122"/>
        <v>-9896.7071283855203</v>
      </c>
      <c r="J136" s="159">
        <f t="shared" si="122"/>
        <v>-12464.706285641092</v>
      </c>
      <c r="K136" s="126">
        <f t="shared" si="122"/>
        <v>-15463.801172984793</v>
      </c>
      <c r="L136" s="159">
        <f t="shared" si="122"/>
        <v>-18963.786981159694</v>
      </c>
    </row>
    <row r="137" spans="1:14" x14ac:dyDescent="0.25">
      <c r="A137" s="106" t="s">
        <v>205</v>
      </c>
      <c r="B137" s="68"/>
      <c r="C137" s="128">
        <f>-C134</f>
        <v>5661.6666666666661</v>
      </c>
      <c r="D137" s="158">
        <f t="shared" ref="D137:L137" si="123">-D134</f>
        <v>5661.6666666666661</v>
      </c>
      <c r="E137" s="128">
        <f t="shared" si="123"/>
        <v>5661.6666666666661</v>
      </c>
      <c r="F137" s="158">
        <f t="shared" si="123"/>
        <v>5661.6666666666661</v>
      </c>
      <c r="G137" s="128">
        <f t="shared" si="123"/>
        <v>5661.6666666666661</v>
      </c>
      <c r="H137" s="158">
        <f t="shared" si="123"/>
        <v>5661.6666666666661</v>
      </c>
      <c r="I137" s="128">
        <f t="shared" si="123"/>
        <v>5661.6666666666661</v>
      </c>
      <c r="J137" s="158">
        <f t="shared" si="123"/>
        <v>5661.6666666666661</v>
      </c>
      <c r="K137" s="128">
        <f t="shared" si="123"/>
        <v>5661.6666666666661</v>
      </c>
      <c r="L137" s="158">
        <f t="shared" si="123"/>
        <v>5661.6666666666661</v>
      </c>
    </row>
    <row r="138" spans="1:14" x14ac:dyDescent="0.25">
      <c r="A138" s="120" t="s">
        <v>206</v>
      </c>
      <c r="B138" s="68"/>
      <c r="C138" s="127">
        <f>SUM(C135:C137)</f>
        <v>8463.613333333331</v>
      </c>
      <c r="D138" s="160">
        <f t="shared" ref="D138:L138" si="124">SUM(D135:D137)</f>
        <v>12417.54013333333</v>
      </c>
      <c r="E138" s="127">
        <f t="shared" si="124"/>
        <v>17070.919479541335</v>
      </c>
      <c r="F138" s="160">
        <f t="shared" si="124"/>
        <v>22537.559075793382</v>
      </c>
      <c r="G138" s="127">
        <f t="shared" si="124"/>
        <v>28949.607747538954</v>
      </c>
      <c r="H138" s="160">
        <f t="shared" si="124"/>
        <v>36460.518944207914</v>
      </c>
      <c r="I138" s="127">
        <f t="shared" si="124"/>
        <v>45248.495180208745</v>
      </c>
      <c r="J138" s="160">
        <f t="shared" si="124"/>
        <v>55520.491809231025</v>
      </c>
      <c r="K138" s="127">
        <f t="shared" si="124"/>
        <v>67516.871358605844</v>
      </c>
      <c r="L138" s="160">
        <f t="shared" si="124"/>
        <v>81516.814591305447</v>
      </c>
    </row>
    <row r="139" spans="1:14" x14ac:dyDescent="0.25">
      <c r="A139" s="103"/>
      <c r="B139" s="156"/>
      <c r="C139" s="103"/>
      <c r="D139" s="156"/>
      <c r="E139" s="103"/>
      <c r="F139" s="156"/>
      <c r="G139" s="103"/>
      <c r="H139" s="156"/>
      <c r="I139" s="105"/>
      <c r="J139" s="156"/>
      <c r="K139" s="47"/>
      <c r="L139" s="156"/>
    </row>
    <row r="140" spans="1:14" x14ac:dyDescent="0.25">
      <c r="A140" s="104" t="s">
        <v>207</v>
      </c>
      <c r="B140" s="156"/>
      <c r="C140" s="103"/>
      <c r="D140" s="156"/>
      <c r="E140" s="103"/>
      <c r="F140" s="156"/>
      <c r="G140" s="103"/>
      <c r="H140" s="156"/>
      <c r="I140" s="105"/>
      <c r="J140" s="156"/>
      <c r="K140" s="47"/>
      <c r="L140" s="156"/>
    </row>
    <row r="141" spans="1:14" x14ac:dyDescent="0.25">
      <c r="A141" s="106" t="s">
        <v>117</v>
      </c>
      <c r="B141" s="165">
        <f>-C89</f>
        <v>-52000</v>
      </c>
      <c r="C141" s="102"/>
      <c r="D141" s="156"/>
      <c r="E141" s="103"/>
      <c r="F141" s="156"/>
      <c r="G141" s="103"/>
      <c r="H141" s="156"/>
      <c r="I141" s="105"/>
      <c r="J141" s="156"/>
      <c r="K141" s="47"/>
      <c r="L141" s="156"/>
    </row>
    <row r="142" spans="1:14" x14ac:dyDescent="0.25">
      <c r="A142" s="106" t="s">
        <v>118</v>
      </c>
      <c r="B142" s="68"/>
      <c r="C142" s="103"/>
      <c r="D142" s="156"/>
      <c r="E142" s="103"/>
      <c r="F142" s="156"/>
      <c r="G142" s="102"/>
      <c r="H142" s="156"/>
      <c r="I142" s="121"/>
      <c r="J142" s="156"/>
      <c r="K142" s="47"/>
      <c r="L142" s="159">
        <f>N142*N143</f>
        <v>27866.666666666668</v>
      </c>
      <c r="M142" s="146" t="s">
        <v>208</v>
      </c>
      <c r="N142" s="130">
        <f>SUM(L89:L90)</f>
        <v>25333.333333333332</v>
      </c>
    </row>
    <row r="143" spans="1:14" x14ac:dyDescent="0.25">
      <c r="A143" s="106" t="s">
        <v>209</v>
      </c>
      <c r="B143" s="68"/>
      <c r="C143" s="103"/>
      <c r="D143" s="156"/>
      <c r="E143" s="103"/>
      <c r="F143" s="156"/>
      <c r="G143" s="119"/>
      <c r="H143" s="156"/>
      <c r="I143" s="122"/>
      <c r="J143" s="156"/>
      <c r="K143" s="47"/>
      <c r="L143" s="159">
        <f>L142*-M77</f>
        <v>-5573.3333333333339</v>
      </c>
      <c r="M143" s="146" t="s">
        <v>214</v>
      </c>
      <c r="N143" s="37">
        <v>1.1000000000000001</v>
      </c>
    </row>
    <row r="144" spans="1:14" x14ac:dyDescent="0.25">
      <c r="A144" s="103"/>
      <c r="B144" s="156"/>
      <c r="C144" s="103"/>
      <c r="D144" s="156"/>
      <c r="E144" s="103"/>
      <c r="F144" s="156"/>
      <c r="G144" s="103"/>
      <c r="H144" s="156"/>
      <c r="I144" s="105"/>
      <c r="J144" s="156"/>
      <c r="K144" s="47"/>
      <c r="L144" s="156"/>
    </row>
    <row r="145" spans="1:13" x14ac:dyDescent="0.25">
      <c r="A145" s="104" t="s">
        <v>210</v>
      </c>
      <c r="B145" s="156"/>
      <c r="C145" s="103"/>
      <c r="D145" s="156"/>
      <c r="E145" s="103"/>
      <c r="F145" s="156"/>
      <c r="G145" s="103"/>
      <c r="H145" s="156"/>
      <c r="I145" s="105"/>
      <c r="J145" s="156"/>
      <c r="K145" s="47"/>
      <c r="L145" s="156"/>
    </row>
    <row r="146" spans="1:13" x14ac:dyDescent="0.25">
      <c r="A146" s="131" t="s">
        <v>215</v>
      </c>
      <c r="B146" s="68"/>
      <c r="C146" s="126">
        <f t="shared" ref="C146:L146" si="125">-(C84-B84)</f>
        <v>0</v>
      </c>
      <c r="D146" s="159">
        <f t="shared" si="125"/>
        <v>0</v>
      </c>
      <c r="E146" s="126">
        <f t="shared" si="125"/>
        <v>0</v>
      </c>
      <c r="F146" s="159">
        <f t="shared" si="125"/>
        <v>0</v>
      </c>
      <c r="G146" s="126">
        <f t="shared" si="125"/>
        <v>0</v>
      </c>
      <c r="H146" s="159">
        <f t="shared" si="125"/>
        <v>0</v>
      </c>
      <c r="I146" s="126">
        <f t="shared" si="125"/>
        <v>0</v>
      </c>
      <c r="J146" s="159">
        <f t="shared" si="125"/>
        <v>0</v>
      </c>
      <c r="K146" s="126">
        <f t="shared" si="125"/>
        <v>0</v>
      </c>
      <c r="L146" s="159">
        <f t="shared" si="125"/>
        <v>0</v>
      </c>
    </row>
    <row r="147" spans="1:13" x14ac:dyDescent="0.25">
      <c r="A147" s="131" t="s">
        <v>216</v>
      </c>
      <c r="B147" s="68"/>
      <c r="C147" s="125">
        <f t="shared" ref="C147:L147" si="126">-(C85-B85)</f>
        <v>-591.45205479452056</v>
      </c>
      <c r="D147" s="157">
        <f t="shared" si="126"/>
        <v>-92.683068493150586</v>
      </c>
      <c r="E147" s="125">
        <f t="shared" si="126"/>
        <v>-107.28035950684944</v>
      </c>
      <c r="F147" s="157">
        <f t="shared" si="126"/>
        <v>-124.18874249350688</v>
      </c>
      <c r="G147" s="125">
        <f t="shared" si="126"/>
        <v>-143.77609587824963</v>
      </c>
      <c r="H147" s="157">
        <f t="shared" si="126"/>
        <v>-166.46918066832632</v>
      </c>
      <c r="I147" s="125">
        <f t="shared" si="126"/>
        <v>-192.76311809183085</v>
      </c>
      <c r="J147" s="157">
        <f t="shared" si="126"/>
        <v>-223.23240135839342</v>
      </c>
      <c r="K147" s="125">
        <f t="shared" si="126"/>
        <v>-258.54369126624761</v>
      </c>
      <c r="L147" s="157">
        <f t="shared" si="126"/>
        <v>-299.47068625697079</v>
      </c>
    </row>
    <row r="148" spans="1:13" x14ac:dyDescent="0.25">
      <c r="A148" s="131" t="s">
        <v>217</v>
      </c>
      <c r="B148" s="68"/>
      <c r="C148" s="125">
        <f t="shared" ref="C148:L148" si="127">C96-B96</f>
        <v>335.29315068493156</v>
      </c>
      <c r="D148" s="157">
        <f t="shared" si="127"/>
        <v>13.902460273972565</v>
      </c>
      <c r="E148" s="125">
        <f t="shared" si="127"/>
        <v>16.092053926027404</v>
      </c>
      <c r="F148" s="157">
        <f t="shared" si="127"/>
        <v>18.628311374026055</v>
      </c>
      <c r="G148" s="125">
        <f t="shared" si="127"/>
        <v>21.566414381737445</v>
      </c>
      <c r="H148" s="157">
        <f t="shared" si="127"/>
        <v>24.970377100248925</v>
      </c>
      <c r="I148" s="125">
        <f t="shared" si="127"/>
        <v>28.914467713774684</v>
      </c>
      <c r="J148" s="157">
        <f t="shared" si="127"/>
        <v>33.484860203759013</v>
      </c>
      <c r="K148" s="125">
        <f t="shared" si="127"/>
        <v>38.781553689937141</v>
      </c>
      <c r="L148" s="157">
        <f t="shared" si="127"/>
        <v>44.920602938545585</v>
      </c>
    </row>
    <row r="149" spans="1:13" x14ac:dyDescent="0.25">
      <c r="A149" s="131" t="s">
        <v>218</v>
      </c>
      <c r="B149" s="68"/>
      <c r="C149" s="125">
        <f t="shared" ref="C149:L149" si="128">-(C136-B136)</f>
        <v>700.48666666666657</v>
      </c>
      <c r="D149" s="157">
        <f t="shared" si="128"/>
        <v>988.48169999999948</v>
      </c>
      <c r="E149" s="125">
        <f t="shared" si="128"/>
        <v>1163.3448365520017</v>
      </c>
      <c r="F149" s="157">
        <f t="shared" si="128"/>
        <v>1366.6598990630118</v>
      </c>
      <c r="G149" s="125">
        <f t="shared" si="128"/>
        <v>1603.0121679363929</v>
      </c>
      <c r="H149" s="157">
        <f t="shared" si="128"/>
        <v>1877.7277991672399</v>
      </c>
      <c r="I149" s="125">
        <f t="shared" si="128"/>
        <v>2196.9940590002079</v>
      </c>
      <c r="J149" s="157">
        <f t="shared" si="128"/>
        <v>2567.9991572555718</v>
      </c>
      <c r="K149" s="125">
        <f t="shared" si="128"/>
        <v>2999.094887343701</v>
      </c>
      <c r="L149" s="157">
        <f t="shared" si="128"/>
        <v>3499.9858081749007</v>
      </c>
    </row>
    <row r="150" spans="1:13" x14ac:dyDescent="0.25">
      <c r="A150" s="103"/>
      <c r="B150" s="156"/>
      <c r="C150" s="103"/>
      <c r="D150" s="156"/>
      <c r="E150" s="103"/>
      <c r="F150" s="156"/>
      <c r="G150" s="103"/>
      <c r="H150" s="156"/>
      <c r="I150" s="105"/>
      <c r="J150" s="156"/>
      <c r="K150" s="47"/>
      <c r="L150" s="156"/>
    </row>
    <row r="151" spans="1:13" x14ac:dyDescent="0.25">
      <c r="A151" s="104" t="s">
        <v>211</v>
      </c>
      <c r="B151" s="156"/>
      <c r="C151" s="103"/>
      <c r="D151" s="156"/>
      <c r="E151" s="103"/>
      <c r="F151" s="156"/>
      <c r="G151" s="103"/>
      <c r="H151" s="156"/>
      <c r="I151" s="105"/>
      <c r="J151" s="156"/>
      <c r="K151" s="47"/>
      <c r="L151" s="156"/>
    </row>
    <row r="152" spans="1:13" x14ac:dyDescent="0.25">
      <c r="A152" s="106" t="s">
        <v>10</v>
      </c>
      <c r="B152" s="68"/>
      <c r="C152" s="103"/>
      <c r="D152" s="156"/>
      <c r="E152" s="103"/>
      <c r="F152" s="156"/>
      <c r="G152" s="102"/>
      <c r="H152" s="156"/>
      <c r="I152" s="105"/>
      <c r="J152" s="156"/>
      <c r="K152" s="47"/>
      <c r="L152" s="159">
        <f>L84</f>
        <v>0</v>
      </c>
    </row>
    <row r="153" spans="1:13" x14ac:dyDescent="0.25">
      <c r="A153" s="106" t="s">
        <v>19</v>
      </c>
      <c r="B153" s="68"/>
      <c r="C153" s="103"/>
      <c r="D153" s="156"/>
      <c r="E153" s="103"/>
      <c r="F153" s="156"/>
      <c r="G153" s="102"/>
      <c r="H153" s="156"/>
      <c r="I153" s="105"/>
      <c r="J153" s="156"/>
      <c r="K153" s="47"/>
      <c r="L153" s="159">
        <f>L85</f>
        <v>2199.8593988080461</v>
      </c>
    </row>
    <row r="154" spans="1:13" x14ac:dyDescent="0.25">
      <c r="A154" s="106" t="s">
        <v>14</v>
      </c>
      <c r="B154" s="68"/>
      <c r="C154" s="103"/>
      <c r="D154" s="156"/>
      <c r="E154" s="103"/>
      <c r="F154" s="156"/>
      <c r="G154" s="102"/>
      <c r="H154" s="156"/>
      <c r="I154" s="105"/>
      <c r="J154" s="156"/>
      <c r="K154" s="47"/>
      <c r="L154" s="159">
        <f>-L96</f>
        <v>-576.55425228696038</v>
      </c>
    </row>
    <row r="155" spans="1:13" x14ac:dyDescent="0.25">
      <c r="A155" s="106" t="s">
        <v>80</v>
      </c>
      <c r="B155" s="68"/>
      <c r="C155" s="103"/>
      <c r="D155" s="156"/>
      <c r="E155" s="103"/>
      <c r="F155" s="156"/>
      <c r="G155" s="102"/>
      <c r="H155" s="156"/>
      <c r="I155" s="105"/>
      <c r="J155" s="156"/>
      <c r="K155" s="47"/>
      <c r="L155" s="159">
        <f>L136</f>
        <v>-18963.786981159694</v>
      </c>
    </row>
    <row r="156" spans="1:13" x14ac:dyDescent="0.25">
      <c r="A156" s="103"/>
      <c r="B156" s="156"/>
      <c r="C156" s="103"/>
      <c r="D156" s="156"/>
      <c r="E156" s="103"/>
      <c r="F156" s="156"/>
      <c r="G156" s="103"/>
      <c r="H156" s="156"/>
      <c r="I156" s="105"/>
      <c r="J156" s="156"/>
      <c r="K156" s="47"/>
      <c r="L156" s="156"/>
    </row>
    <row r="157" spans="1:13" x14ac:dyDescent="0.25">
      <c r="A157" s="104" t="s">
        <v>124</v>
      </c>
      <c r="B157" s="159">
        <f t="shared" ref="B157:L157" si="129">SUM(B138:B156)</f>
        <v>-52000</v>
      </c>
      <c r="C157" s="126">
        <f t="shared" si="129"/>
        <v>8907.9410958904082</v>
      </c>
      <c r="D157" s="159">
        <f t="shared" si="129"/>
        <v>13327.241225114152</v>
      </c>
      <c r="E157" s="126">
        <f t="shared" si="129"/>
        <v>18143.076010512512</v>
      </c>
      <c r="F157" s="159">
        <f t="shared" si="129"/>
        <v>23798.65854373691</v>
      </c>
      <c r="G157" s="126">
        <f t="shared" si="129"/>
        <v>30430.410233978837</v>
      </c>
      <c r="H157" s="159">
        <f t="shared" si="129"/>
        <v>38196.747939807072</v>
      </c>
      <c r="I157" s="126">
        <f t="shared" si="129"/>
        <v>47281.640588830895</v>
      </c>
      <c r="J157" s="159">
        <f t="shared" si="129"/>
        <v>57898.743425331966</v>
      </c>
      <c r="K157" s="126">
        <f t="shared" si="129"/>
        <v>70296.204108373247</v>
      </c>
      <c r="L157" s="159">
        <f t="shared" si="129"/>
        <v>89715.101814856636</v>
      </c>
    </row>
    <row r="158" spans="1:13" x14ac:dyDescent="0.25">
      <c r="A158" s="104" t="s">
        <v>212</v>
      </c>
      <c r="B158" s="159">
        <f>-PV(WACC!$F$17,Forecast!B130,,Forecast!B157)</f>
        <v>-52000</v>
      </c>
      <c r="C158" s="126">
        <f>-PV(WACC!$F$17,Forecast!C130,,Forecast!C157)</f>
        <v>8320.0572465929254</v>
      </c>
      <c r="D158" s="159">
        <f>-PV(WACC!$F$17,Forecast!D130,,Forecast!D157)</f>
        <v>11626.211370733052</v>
      </c>
      <c r="E158" s="126">
        <f>-PV(WACC!$F$17,Forecast!E130,,Forecast!E157)</f>
        <v>14782.839229516772</v>
      </c>
      <c r="F158" s="159">
        <f>-PV(WACC!$F$17,Forecast!F130,,Forecast!F157)</f>
        <v>18111.248503189596</v>
      </c>
      <c r="G158" s="126">
        <f>-PV(WACC!$F$17,Forecast!G130,,Forecast!G157)</f>
        <v>21629.809608100804</v>
      </c>
      <c r="H158" s="159">
        <f>-PV(WACC!$F$17,Forecast!H130,,Forecast!H157)</f>
        <v>25358.30705193026</v>
      </c>
      <c r="I158" s="126">
        <f>-PV(WACC!$F$17,Forecast!I130,,Forecast!I157)</f>
        <v>29318.070356708005</v>
      </c>
      <c r="J158" s="159">
        <f>-PV(WACC!$F$17,Forecast!J130,,Forecast!J157)</f>
        <v>33532.116132359712</v>
      </c>
      <c r="K158" s="126">
        <f>-PV(WACC!$F$17,Forecast!K130,,Forecast!K157)</f>
        <v>38025.30231462339</v>
      </c>
      <c r="L158" s="159">
        <f>-PV(WACC!$F$17,Forecast!L130,,Forecast!L157)</f>
        <v>45326.828570244033</v>
      </c>
    </row>
    <row r="159" spans="1:13" x14ac:dyDescent="0.25">
      <c r="A159" s="104" t="s">
        <v>213</v>
      </c>
      <c r="B159" s="157">
        <f>SUM(B158)</f>
        <v>-52000</v>
      </c>
      <c r="C159" s="125">
        <f>SUM(B158:C158)</f>
        <v>-43679.942753407071</v>
      </c>
      <c r="D159" s="157">
        <f>SUM(B158:D158)</f>
        <v>-32053.731382674021</v>
      </c>
      <c r="E159" s="125">
        <f>SUM(B158:E158)</f>
        <v>-17270.892153157249</v>
      </c>
      <c r="F159" s="157">
        <f>SUM(B158:F158)</f>
        <v>840.35635003234711</v>
      </c>
      <c r="G159" s="125">
        <f>SUM(B158:G158)</f>
        <v>22470.165958133151</v>
      </c>
      <c r="H159" s="157">
        <f>SUM(B158:H158)</f>
        <v>47828.473010063411</v>
      </c>
      <c r="I159" s="129">
        <f>SUM(B158:I158)</f>
        <v>77146.543366771424</v>
      </c>
      <c r="J159" s="157">
        <f>SUM(B158:J158)</f>
        <v>110678.65949913114</v>
      </c>
      <c r="K159" s="129">
        <f>SUM(B158:K158)</f>
        <v>148703.96181375452</v>
      </c>
      <c r="L159" s="157">
        <f>SUM(B158:L158)</f>
        <v>194030.79038399854</v>
      </c>
      <c r="M159" s="146" t="s">
        <v>230</v>
      </c>
    </row>
    <row r="160" spans="1:13" x14ac:dyDescent="0.25">
      <c r="A160" s="104" t="s">
        <v>127</v>
      </c>
      <c r="B160" s="161"/>
      <c r="C160" s="134">
        <f>IRR(B157:C157)</f>
        <v>-0.82869344046364601</v>
      </c>
      <c r="D160" s="161">
        <f>IRR(B157:D157)</f>
        <v>-0.4008980033981977</v>
      </c>
      <c r="E160" s="134">
        <f>IRR(B157:E157)</f>
        <v>-0.10576645207220281</v>
      </c>
      <c r="F160" s="161">
        <f>IRR(B157:F157)</f>
        <v>7.6796393943326047E-2</v>
      </c>
      <c r="G160" s="134">
        <f>IRR(B157:G157)</f>
        <v>0.19198931923412532</v>
      </c>
      <c r="H160" s="161">
        <f>IRR(B157:H157)</f>
        <v>0.26728149380860788</v>
      </c>
      <c r="I160" s="145">
        <f>IRR(B157:I157)</f>
        <v>0.31814790644516511</v>
      </c>
      <c r="J160" s="161">
        <f>IRR(B157:J157)</f>
        <v>0.35349096438428584</v>
      </c>
      <c r="K160" s="145">
        <f>IRR(B157:K157)</f>
        <v>0.37862620044031114</v>
      </c>
      <c r="L160" s="161">
        <f>IRR(B157:L157)</f>
        <v>0.39782451036267319</v>
      </c>
      <c r="M160" s="147">
        <f>AVERAGE(B160:L160)</f>
        <v>6.487988926844479E-2</v>
      </c>
    </row>
    <row r="161" spans="1:16" x14ac:dyDescent="0.25">
      <c r="A161" s="104"/>
      <c r="B161" s="125"/>
      <c r="C161" s="132"/>
      <c r="D161" s="103"/>
      <c r="E161" s="103"/>
      <c r="F161" s="103"/>
      <c r="G161" s="103"/>
      <c r="H161" s="47"/>
      <c r="I161" s="47"/>
      <c r="J161" s="47"/>
      <c r="K161" s="47"/>
      <c r="L161" s="47"/>
      <c r="M161" s="1"/>
    </row>
    <row r="162" spans="1:16" x14ac:dyDescent="0.25">
      <c r="A162" s="104" t="s">
        <v>231</v>
      </c>
      <c r="B162" s="134"/>
      <c r="C162" s="133"/>
      <c r="D162" s="103"/>
      <c r="E162" s="103"/>
      <c r="F162" s="103"/>
      <c r="G162" s="103"/>
      <c r="H162" s="47"/>
      <c r="I162" s="47"/>
      <c r="J162" s="47"/>
      <c r="K162" s="47"/>
      <c r="L162" s="47"/>
    </row>
    <row r="163" spans="1:16" x14ac:dyDescent="0.25">
      <c r="A163" s="166" t="s">
        <v>232</v>
      </c>
      <c r="B163" s="47"/>
      <c r="C163" s="47"/>
      <c r="D163" s="47"/>
      <c r="E163" s="47"/>
      <c r="F163" s="47"/>
      <c r="G163" s="47"/>
      <c r="H163" s="167"/>
      <c r="I163" s="47"/>
      <c r="J163" s="47"/>
      <c r="K163" s="47"/>
      <c r="L163" s="47"/>
    </row>
    <row r="164" spans="1:16" x14ac:dyDescent="0.25">
      <c r="A164" s="104" t="s">
        <v>200</v>
      </c>
      <c r="B164" s="169">
        <v>0.4</v>
      </c>
      <c r="C164" s="184" t="s">
        <v>255</v>
      </c>
      <c r="D164" s="47"/>
      <c r="E164" s="47"/>
      <c r="F164" s="47"/>
      <c r="G164" s="47"/>
      <c r="H164" s="47"/>
      <c r="I164" s="47"/>
      <c r="J164" s="47"/>
      <c r="K164" s="47"/>
      <c r="L164" s="47"/>
    </row>
    <row r="165" spans="1:16" x14ac:dyDescent="0.25">
      <c r="A165" s="104" t="s">
        <v>207</v>
      </c>
      <c r="B165" s="169">
        <v>0.2</v>
      </c>
      <c r="C165" s="185" t="s">
        <v>255</v>
      </c>
      <c r="D165" s="129"/>
      <c r="E165" s="129"/>
      <c r="F165" s="129"/>
      <c r="G165" s="129"/>
      <c r="H165" s="129"/>
      <c r="I165" s="129"/>
      <c r="J165" s="129"/>
      <c r="K165" s="129"/>
      <c r="L165" s="129"/>
    </row>
    <row r="166" spans="1:16" x14ac:dyDescent="0.25">
      <c r="A166" s="104" t="s">
        <v>210</v>
      </c>
      <c r="B166" s="169">
        <v>0.2</v>
      </c>
      <c r="C166" s="184" t="s">
        <v>255</v>
      </c>
      <c r="D166" s="47"/>
      <c r="E166" s="47"/>
      <c r="F166" s="47"/>
      <c r="G166" s="47"/>
      <c r="H166" s="47"/>
      <c r="I166" s="47"/>
      <c r="J166" s="47"/>
      <c r="K166" s="47"/>
      <c r="L166" s="47"/>
    </row>
    <row r="167" spans="1:16" x14ac:dyDescent="0.25">
      <c r="A167" s="104" t="s">
        <v>233</v>
      </c>
      <c r="B167" s="169">
        <v>0.2</v>
      </c>
      <c r="C167" s="184" t="s">
        <v>255</v>
      </c>
      <c r="D167" s="47"/>
      <c r="E167" s="47"/>
      <c r="F167" s="47"/>
      <c r="G167" s="47"/>
      <c r="H167" s="47"/>
      <c r="I167" s="47"/>
      <c r="J167" s="47"/>
      <c r="K167" s="47"/>
      <c r="L167" s="47"/>
      <c r="M167" s="1"/>
    </row>
    <row r="168" spans="1:16" x14ac:dyDescent="0.25">
      <c r="A168" s="104"/>
      <c r="B168" s="169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1"/>
      <c r="P168">
        <v>300</v>
      </c>
    </row>
    <row r="169" spans="1:16" x14ac:dyDescent="0.25">
      <c r="A169" s="104"/>
      <c r="B169" s="170">
        <v>0</v>
      </c>
      <c r="C169" s="171">
        <v>1</v>
      </c>
      <c r="D169" s="171">
        <v>2</v>
      </c>
      <c r="E169" s="171">
        <v>3</v>
      </c>
      <c r="F169" s="171">
        <v>4</v>
      </c>
      <c r="G169" s="171">
        <v>5</v>
      </c>
      <c r="H169" s="171">
        <v>6</v>
      </c>
      <c r="I169" s="171">
        <v>7</v>
      </c>
      <c r="J169" s="171">
        <v>8</v>
      </c>
      <c r="K169" s="171">
        <v>9</v>
      </c>
      <c r="L169" s="171">
        <v>10</v>
      </c>
      <c r="M169" s="1"/>
    </row>
    <row r="170" spans="1:16" x14ac:dyDescent="0.25">
      <c r="A170" s="104" t="s">
        <v>200</v>
      </c>
      <c r="B170" s="50"/>
      <c r="C170" s="50">
        <f t="shared" ref="C170:L170" si="130">C138-(C138*$B$164)</f>
        <v>5078.1679999999978</v>
      </c>
      <c r="D170" s="50">
        <f t="shared" si="130"/>
        <v>7450.5240799999974</v>
      </c>
      <c r="E170" s="50">
        <f t="shared" si="130"/>
        <v>10242.551687724801</v>
      </c>
      <c r="F170" s="50">
        <f t="shared" si="130"/>
        <v>13522.535445476029</v>
      </c>
      <c r="G170" s="50">
        <f t="shared" si="130"/>
        <v>17369.764648523371</v>
      </c>
      <c r="H170" s="50">
        <f t="shared" si="130"/>
        <v>21876.311366524747</v>
      </c>
      <c r="I170" s="50">
        <f t="shared" si="130"/>
        <v>27149.097108125246</v>
      </c>
      <c r="J170" s="50">
        <f t="shared" si="130"/>
        <v>33312.295085538615</v>
      </c>
      <c r="K170" s="50">
        <f t="shared" si="130"/>
        <v>40510.1228151635</v>
      </c>
      <c r="L170" s="50">
        <f t="shared" si="130"/>
        <v>48910.088754783268</v>
      </c>
      <c r="M170" s="47"/>
    </row>
    <row r="171" spans="1:16" x14ac:dyDescent="0.25">
      <c r="A171" s="168" t="s">
        <v>207</v>
      </c>
      <c r="B171" s="50">
        <f>B141</f>
        <v>-52000</v>
      </c>
      <c r="C171" s="50"/>
      <c r="D171" s="50"/>
      <c r="E171" s="50"/>
      <c r="F171" s="50"/>
      <c r="G171" s="50"/>
      <c r="H171" s="50"/>
      <c r="I171" s="50"/>
      <c r="J171" s="50"/>
      <c r="K171" s="50"/>
      <c r="L171" s="50">
        <f>SUM(L142:L143)-(SUM(L142:L143)*$B$165)</f>
        <v>17834.666666666668</v>
      </c>
    </row>
    <row r="172" spans="1:16" x14ac:dyDescent="0.25">
      <c r="A172" s="168" t="s">
        <v>210</v>
      </c>
      <c r="B172" s="50"/>
      <c r="C172" s="50">
        <f>SUM(C146:C149)-(SUM(C146:C149)*$B$166)</f>
        <v>355.46221004566206</v>
      </c>
      <c r="D172" s="50">
        <f t="shared" ref="D172:L172" si="131">SUM(D146:D149)-(SUM(D146:D149)*$B$166)</f>
        <v>727.76087342465712</v>
      </c>
      <c r="E172" s="50">
        <f t="shared" si="131"/>
        <v>857.72522477694361</v>
      </c>
      <c r="F172" s="50">
        <f t="shared" si="131"/>
        <v>1008.8795743548247</v>
      </c>
      <c r="G172" s="50">
        <f t="shared" si="131"/>
        <v>1184.6419891519047</v>
      </c>
      <c r="H172" s="50">
        <f t="shared" si="131"/>
        <v>1388.98319647933</v>
      </c>
      <c r="I172" s="50">
        <f t="shared" si="131"/>
        <v>1626.5163268977215</v>
      </c>
      <c r="J172" s="50">
        <f t="shared" si="131"/>
        <v>1902.60129288075</v>
      </c>
      <c r="K172" s="50">
        <f t="shared" si="131"/>
        <v>2223.4661998139122</v>
      </c>
      <c r="L172" s="50">
        <f t="shared" si="131"/>
        <v>2596.3485798851807</v>
      </c>
    </row>
    <row r="173" spans="1:16" x14ac:dyDescent="0.25">
      <c r="A173" s="168" t="s">
        <v>211</v>
      </c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>
        <f>SUM(L152:L155)-(SUM(L152:L155)*L167)</f>
        <v>-17340.481834638609</v>
      </c>
    </row>
    <row r="174" spans="1:16" x14ac:dyDescent="0.25">
      <c r="A174" s="104" t="s">
        <v>124</v>
      </c>
      <c r="B174" s="50">
        <f t="shared" ref="B174:L174" si="132">SUM(B170:B173)</f>
        <v>-52000</v>
      </c>
      <c r="C174" s="50">
        <f t="shared" si="132"/>
        <v>5433.6302100456596</v>
      </c>
      <c r="D174" s="50">
        <f t="shared" si="132"/>
        <v>8178.2849534246543</v>
      </c>
      <c r="E174" s="50">
        <f t="shared" si="132"/>
        <v>11100.276912501744</v>
      </c>
      <c r="F174" s="50">
        <f t="shared" si="132"/>
        <v>14531.415019830854</v>
      </c>
      <c r="G174" s="50">
        <f t="shared" si="132"/>
        <v>18554.406637675274</v>
      </c>
      <c r="H174" s="50">
        <f t="shared" si="132"/>
        <v>23265.294563004078</v>
      </c>
      <c r="I174" s="50">
        <f t="shared" si="132"/>
        <v>28775.613435022969</v>
      </c>
      <c r="J174" s="50">
        <f t="shared" si="132"/>
        <v>35214.896378419362</v>
      </c>
      <c r="K174" s="50">
        <f t="shared" si="132"/>
        <v>42733.589014977413</v>
      </c>
      <c r="L174" s="50">
        <f t="shared" si="132"/>
        <v>52000.622166696507</v>
      </c>
      <c r="M174" s="186"/>
    </row>
    <row r="175" spans="1:16" x14ac:dyDescent="0.25">
      <c r="A175" s="104" t="s">
        <v>212</v>
      </c>
      <c r="B175" s="50">
        <f>-PV(C128,B169,,B174)</f>
        <v>-52000</v>
      </c>
      <c r="C175" s="50">
        <f t="shared" ref="C175:L175" si="133">-PV(C128,C169,,C174)</f>
        <v>5153.2508223131526</v>
      </c>
      <c r="D175" s="50">
        <f t="shared" si="133"/>
        <v>7352.6134416711411</v>
      </c>
      <c r="E175" s="50">
        <f t="shared" si="133"/>
        <v>9433.5502743213819</v>
      </c>
      <c r="F175" s="50">
        <f t="shared" si="133"/>
        <v>11612.150540407585</v>
      </c>
      <c r="G175" s="50">
        <f t="shared" si="133"/>
        <v>13789.964755898829</v>
      </c>
      <c r="H175" s="50">
        <f t="shared" si="133"/>
        <v>15954.299385862909</v>
      </c>
      <c r="I175" s="50">
        <f t="shared" si="133"/>
        <v>18078.713225411295</v>
      </c>
      <c r="J175" s="50">
        <f t="shared" si="133"/>
        <v>20155.095476181159</v>
      </c>
      <c r="K175" s="50">
        <f t="shared" si="133"/>
        <v>22191.553352543644</v>
      </c>
      <c r="L175" s="50">
        <f t="shared" si="133"/>
        <v>24439.322195703884</v>
      </c>
    </row>
    <row r="176" spans="1:16" x14ac:dyDescent="0.25">
      <c r="A176" s="104" t="s">
        <v>213</v>
      </c>
      <c r="B176" s="129">
        <f>SUM(B175)</f>
        <v>-52000</v>
      </c>
      <c r="C176" s="129">
        <f>SUM(B175:C175)</f>
        <v>-46846.749177686848</v>
      </c>
      <c r="D176" s="129">
        <f>SUM(B175:D175)</f>
        <v>-39494.135736015705</v>
      </c>
      <c r="E176" s="129">
        <f>SUM(B175:E175)</f>
        <v>-30060.585461694325</v>
      </c>
      <c r="F176" s="129">
        <f>SUM(B175:F175)</f>
        <v>-18448.434921286738</v>
      </c>
      <c r="G176" s="129">
        <f>SUM(B175:G175)</f>
        <v>-4658.4701653879092</v>
      </c>
      <c r="H176" s="129">
        <f>SUM(B175:H175)</f>
        <v>11295.829220475</v>
      </c>
      <c r="I176" s="129">
        <f>SUM(B175:I175)</f>
        <v>29374.542445886294</v>
      </c>
      <c r="J176" s="129">
        <f>SUM(B175:J175)</f>
        <v>49529.637922067457</v>
      </c>
      <c r="K176" s="129">
        <f>SUM(B175:K175)</f>
        <v>71721.191274611105</v>
      </c>
      <c r="L176" s="129">
        <f>SUM(B175:L175)</f>
        <v>96160.513470314996</v>
      </c>
    </row>
    <row r="177" spans="1:14" x14ac:dyDescent="0.25">
      <c r="A177" s="104" t="s">
        <v>127</v>
      </c>
      <c r="B177" s="47"/>
      <c r="C177" s="145">
        <f>IRR(B174:C174)</f>
        <v>-0.89550711134527572</v>
      </c>
      <c r="D177" s="145">
        <f>IRR(B174:D174)</f>
        <v>-0.54774805372593494</v>
      </c>
      <c r="E177" s="145">
        <f>IRR(B174:E174)</f>
        <v>-0.27394748142229197</v>
      </c>
      <c r="F177" s="145">
        <f>IRR(B174:F174)</f>
        <v>-9.1361809868254928E-2</v>
      </c>
      <c r="G177" s="145">
        <f>IRR(B174:G174)</f>
        <v>3.0330840829146721E-2</v>
      </c>
      <c r="H177" s="145">
        <f>IRR(B174:H174)</f>
        <v>0.113572093220905</v>
      </c>
      <c r="I177" s="145">
        <f>IRR(B174:I174)</f>
        <v>0.17214996877200273</v>
      </c>
      <c r="J177" s="145">
        <f>IRR(B174:J174)</f>
        <v>0.21444420910668205</v>
      </c>
      <c r="K177" s="145">
        <f>IRR(B174:K174)</f>
        <v>0.24566596189150514</v>
      </c>
      <c r="L177" s="145">
        <f>IRR(B174:L174)</f>
        <v>0.26935509445008976</v>
      </c>
    </row>
    <row r="178" spans="1:14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</row>
    <row r="179" spans="1:14" x14ac:dyDescent="0.25">
      <c r="A179" s="104" t="s">
        <v>234</v>
      </c>
      <c r="B179" s="169">
        <v>0.8</v>
      </c>
      <c r="C179" s="47"/>
      <c r="D179" s="47"/>
      <c r="E179" s="47"/>
      <c r="F179" s="47"/>
      <c r="G179" s="47"/>
      <c r="H179" s="47"/>
      <c r="I179" s="47"/>
      <c r="J179" s="47"/>
      <c r="K179" s="47"/>
      <c r="L179" s="47"/>
    </row>
    <row r="180" spans="1:14" x14ac:dyDescent="0.25">
      <c r="A180" s="104" t="s">
        <v>235</v>
      </c>
      <c r="B180" s="169">
        <v>0.2</v>
      </c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N180" s="186"/>
    </row>
    <row r="181" spans="1:14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N181" s="20"/>
    </row>
    <row r="182" spans="1:14" x14ac:dyDescent="0.25">
      <c r="A182" s="104" t="s">
        <v>236</v>
      </c>
      <c r="B182" s="129">
        <f>SUM(B158:L158)</f>
        <v>194030.79038399854</v>
      </c>
      <c r="C182" s="145">
        <f>B179</f>
        <v>0.8</v>
      </c>
      <c r="D182" s="129">
        <f>B182*C182</f>
        <v>155224.63230719883</v>
      </c>
      <c r="E182" s="47"/>
      <c r="F182" s="47"/>
      <c r="G182" s="47"/>
      <c r="H182" s="47"/>
      <c r="I182" s="47"/>
      <c r="J182" s="47"/>
      <c r="K182" s="47"/>
      <c r="L182" s="47"/>
    </row>
    <row r="183" spans="1:14" x14ac:dyDescent="0.25">
      <c r="A183" s="104" t="s">
        <v>237</v>
      </c>
      <c r="B183" s="173">
        <f>SUM(B175:L175)</f>
        <v>96160.513470314996</v>
      </c>
      <c r="C183" s="145">
        <f>B180</f>
        <v>0.2</v>
      </c>
      <c r="D183" s="172">
        <f>B183*C183</f>
        <v>19232.102694063</v>
      </c>
      <c r="E183" s="47"/>
      <c r="F183" s="47"/>
      <c r="G183" s="47"/>
      <c r="H183" s="47"/>
      <c r="I183" s="47"/>
      <c r="J183" s="47"/>
      <c r="K183" s="47"/>
      <c r="L183" s="47"/>
    </row>
    <row r="184" spans="1:14" x14ac:dyDescent="0.25">
      <c r="A184" s="104" t="s">
        <v>238</v>
      </c>
      <c r="B184" s="129"/>
      <c r="C184" s="174"/>
      <c r="D184" s="129">
        <f>SUM(D182:D183)</f>
        <v>174456.73500126184</v>
      </c>
      <c r="E184" s="47"/>
      <c r="F184" s="47"/>
      <c r="G184" s="47"/>
      <c r="H184" s="47"/>
      <c r="I184" s="47"/>
      <c r="J184" s="47"/>
      <c r="K184" s="47"/>
      <c r="L184" s="47"/>
    </row>
    <row r="185" spans="1:14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</row>
    <row r="186" spans="1:14" x14ac:dyDescent="0.25">
      <c r="A186" s="104" t="s">
        <v>240</v>
      </c>
      <c r="B186" s="129">
        <f>AVERAGE(B175,B158)</f>
        <v>-52000</v>
      </c>
      <c r="C186" s="129">
        <f>AVERAGE(B175:C175,B158:C158)</f>
        <v>-22631.672982773478</v>
      </c>
      <c r="D186" s="129">
        <f>AVERAGE(B175:D175,B158:D158)</f>
        <v>-11924.644519781621</v>
      </c>
      <c r="E186" s="129">
        <f>AVERAGE(B175:E175,B158:E158)</f>
        <v>-5916.4347018564467</v>
      </c>
      <c r="F186" s="129">
        <f>AVERAGE(B158:F158,B175:F175)</f>
        <v>-1760.8078571254387</v>
      </c>
      <c r="G186" s="129">
        <f>AVERAGE(B175:G175,B158:G158)</f>
        <v>1484.3079827287695</v>
      </c>
      <c r="H186" s="129">
        <f>AVERAGE(B175:H175,B158:H158)</f>
        <v>4223.1644450384574</v>
      </c>
      <c r="I186" s="129">
        <f>AVERAGE(B158:I158,B175:I175)</f>
        <v>6657.5678632911076</v>
      </c>
      <c r="J186" s="129">
        <f>AVERAGE(B158:J158,B175:J175)</f>
        <v>8900.4609678443667</v>
      </c>
      <c r="K186" s="129">
        <f>AVERAGE(B175:K175,B158:K158)</f>
        <v>11021.257654418281</v>
      </c>
      <c r="L186" s="129">
        <f>AVERAGE(B175:L175,B158:L158)</f>
        <v>13190.513811559706</v>
      </c>
    </row>
    <row r="187" spans="1:14" x14ac:dyDescent="0.25">
      <c r="A187" s="104" t="s">
        <v>239</v>
      </c>
      <c r="B187" s="50">
        <f>_xlfn.STDEV.P(B158,B1899)</f>
        <v>0</v>
      </c>
      <c r="C187" s="50">
        <f>_xlfn.STDEV.P(B158:C158,B175:C175)</f>
        <v>29389.661696876759</v>
      </c>
      <c r="D187" s="50">
        <f>_xlfn.STDEV.P(B158:D158,B175:D175)</f>
        <v>28401.367867131896</v>
      </c>
      <c r="E187" s="50">
        <f>_xlfn.STDEV.P(B158:E158,B175:E175)</f>
        <v>26740.65180511009</v>
      </c>
      <c r="F187" s="50">
        <f>_xlfn.STDEV.P(B158:F158,B175:F175)</f>
        <v>25362.153275634893</v>
      </c>
      <c r="G187" s="50">
        <f>_xlfn.STDEV.P(B158:G158,B175:G175)</f>
        <v>24315.575221562613</v>
      </c>
      <c r="H187" s="50">
        <f>_xlfn.STDEV.P(B158:H158,B175:H175)</f>
        <v>23557.370967995725</v>
      </c>
      <c r="I187" s="50">
        <f>_xlfn.STDEV.P(B158:I158,B175:I175)</f>
        <v>23043.716051790539</v>
      </c>
      <c r="J187" s="50">
        <f>_xlfn.STDEV.P(B158:J158)</f>
        <v>24010.879916197864</v>
      </c>
      <c r="K187" s="50">
        <f>_xlfn.STDEV.P(B158:K158,B175:K175)</f>
        <v>22632.97802528632</v>
      </c>
      <c r="L187" s="16">
        <f>_xlfn.STDEV.P(B175:L175,B158:L158)</f>
        <v>22861.664764503814</v>
      </c>
      <c r="N187" s="1"/>
    </row>
    <row r="188" spans="1:14" x14ac:dyDescent="0.25">
      <c r="A188" s="47"/>
      <c r="B188" s="129">
        <f>AVERAGE(B187:L187)</f>
        <v>22756.001781099134</v>
      </c>
      <c r="C188" s="47"/>
      <c r="D188" s="47"/>
      <c r="E188" s="47"/>
      <c r="F188" s="47"/>
      <c r="G188" s="47"/>
      <c r="H188" s="47"/>
      <c r="I188" s="47"/>
      <c r="J188" s="47"/>
      <c r="K188" s="47"/>
      <c r="L188" s="47"/>
    </row>
    <row r="189" spans="1:14" x14ac:dyDescent="0.25">
      <c r="A189" s="104" t="s">
        <v>241</v>
      </c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</row>
    <row r="190" spans="1:14" x14ac:dyDescent="0.25">
      <c r="A190" s="175" t="s">
        <v>242</v>
      </c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</row>
    <row r="191" spans="1:14" x14ac:dyDescent="0.25">
      <c r="A191" s="104" t="s">
        <v>200</v>
      </c>
      <c r="B191" s="167">
        <v>0.15</v>
      </c>
      <c r="C191" s="47"/>
      <c r="D191" s="47"/>
      <c r="E191" s="47"/>
      <c r="F191" s="47"/>
      <c r="G191" s="47"/>
      <c r="H191" s="47"/>
      <c r="I191" s="47"/>
      <c r="J191" s="47"/>
      <c r="K191" s="47"/>
      <c r="L191" s="47"/>
    </row>
    <row r="192" spans="1:14" x14ac:dyDescent="0.25">
      <c r="A192" s="168" t="s">
        <v>207</v>
      </c>
      <c r="B192" s="167">
        <v>0</v>
      </c>
      <c r="C192" s="47"/>
      <c r="D192" s="47"/>
      <c r="E192" s="47"/>
      <c r="F192" s="47"/>
      <c r="G192" s="47"/>
      <c r="H192" s="47"/>
      <c r="I192" s="47"/>
      <c r="J192" s="47"/>
      <c r="K192" s="47"/>
      <c r="L192" s="47"/>
    </row>
    <row r="193" spans="1:15" x14ac:dyDescent="0.25">
      <c r="A193" s="168" t="s">
        <v>210</v>
      </c>
      <c r="B193" s="167">
        <v>0.15</v>
      </c>
      <c r="C193" s="47"/>
      <c r="D193" s="47"/>
      <c r="E193" s="47"/>
      <c r="F193" s="47"/>
      <c r="G193" s="47"/>
      <c r="H193" s="47"/>
      <c r="I193" s="47"/>
      <c r="J193" s="47"/>
      <c r="K193" s="47"/>
      <c r="L193" s="47"/>
    </row>
    <row r="194" spans="1:15" x14ac:dyDescent="0.25">
      <c r="A194" s="168" t="s">
        <v>211</v>
      </c>
      <c r="B194" s="167">
        <v>0.15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</row>
    <row r="195" spans="1:15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</row>
    <row r="196" spans="1:15" x14ac:dyDescent="0.25">
      <c r="A196" s="104"/>
      <c r="B196" s="170">
        <v>0</v>
      </c>
      <c r="C196" s="171">
        <v>1</v>
      </c>
      <c r="D196" s="171">
        <v>2</v>
      </c>
      <c r="E196" s="171">
        <v>3</v>
      </c>
      <c r="F196" s="171">
        <v>4</v>
      </c>
      <c r="G196" s="171">
        <v>5</v>
      </c>
      <c r="H196" s="171">
        <v>6</v>
      </c>
      <c r="I196" s="171">
        <v>7</v>
      </c>
      <c r="J196" s="171">
        <v>8</v>
      </c>
      <c r="K196" s="171">
        <v>9</v>
      </c>
      <c r="L196" s="171">
        <v>10</v>
      </c>
      <c r="N196" t="s">
        <v>243</v>
      </c>
      <c r="O196" s="176">
        <v>25000</v>
      </c>
    </row>
    <row r="197" spans="1:15" x14ac:dyDescent="0.25">
      <c r="A197" s="104" t="s">
        <v>200</v>
      </c>
      <c r="B197" s="50"/>
      <c r="C197" s="50"/>
      <c r="D197" s="50"/>
      <c r="E197" s="50"/>
      <c r="F197" s="50"/>
      <c r="G197" s="50"/>
      <c r="H197" s="50"/>
      <c r="I197" s="50">
        <f>I138*(1+$B$191)</f>
        <v>52035.769457240051</v>
      </c>
      <c r="J197" s="50">
        <f>J138*(1+$B$191)</f>
        <v>63848.565580615672</v>
      </c>
      <c r="K197" s="50">
        <f>K138*(1+$B$191)</f>
        <v>77644.402062396708</v>
      </c>
      <c r="L197" s="50">
        <f>L138*(1+$B$191)</f>
        <v>93744.336780001264</v>
      </c>
      <c r="N197" t="s">
        <v>244</v>
      </c>
      <c r="O197" s="17">
        <v>30</v>
      </c>
    </row>
    <row r="198" spans="1:15" x14ac:dyDescent="0.25">
      <c r="A198" s="168" t="s">
        <v>207</v>
      </c>
      <c r="B198" s="50"/>
      <c r="C198" s="50"/>
      <c r="D198" s="50"/>
      <c r="E198" s="50"/>
      <c r="F198" s="50"/>
      <c r="G198" s="50"/>
      <c r="H198" s="50">
        <v>-25000</v>
      </c>
      <c r="I198" s="50"/>
      <c r="J198" s="50"/>
      <c r="K198" s="50"/>
      <c r="L198" s="50"/>
      <c r="N198" t="s">
        <v>111</v>
      </c>
      <c r="O198" s="16">
        <f>O196/O197</f>
        <v>833.33333333333337</v>
      </c>
    </row>
    <row r="199" spans="1:15" x14ac:dyDescent="0.25">
      <c r="A199" s="168" t="s">
        <v>210</v>
      </c>
      <c r="B199" s="50"/>
      <c r="C199" s="50"/>
      <c r="D199" s="50"/>
      <c r="E199" s="50"/>
      <c r="F199" s="50"/>
      <c r="G199" s="50"/>
      <c r="H199" s="50"/>
      <c r="I199" s="50">
        <f>SUM(I146:I149)*(1+$B$193)</f>
        <v>2338.1172199154744</v>
      </c>
      <c r="J199" s="50">
        <f t="shared" ref="J199:L199" si="134">SUM(J146:J149)*(1+$B$193)</f>
        <v>2734.989358516078</v>
      </c>
      <c r="K199" s="50">
        <f t="shared" si="134"/>
        <v>3196.2326622324986</v>
      </c>
      <c r="L199" s="50">
        <f t="shared" si="134"/>
        <v>3732.2510835849466</v>
      </c>
    </row>
    <row r="200" spans="1:15" x14ac:dyDescent="0.25">
      <c r="A200" s="168" t="s">
        <v>211</v>
      </c>
      <c r="B200" s="50"/>
      <c r="C200" s="50"/>
      <c r="D200" s="50"/>
      <c r="E200" s="50"/>
      <c r="F200" s="50"/>
      <c r="G200" s="50"/>
      <c r="H200" s="49"/>
      <c r="I200" s="183"/>
      <c r="J200" s="49"/>
      <c r="K200" s="49"/>
      <c r="L200" s="49">
        <f>SUM(L152:L155)*(1+B194)</f>
        <v>-19941.5541098344</v>
      </c>
    </row>
    <row r="201" spans="1:15" x14ac:dyDescent="0.25">
      <c r="A201" s="104" t="s">
        <v>124</v>
      </c>
      <c r="B201" s="50"/>
      <c r="C201" s="50"/>
      <c r="D201" s="50"/>
      <c r="E201" s="50"/>
      <c r="F201" s="50"/>
      <c r="G201" s="50"/>
      <c r="H201" s="50">
        <f>SUM(H197:H200)</f>
        <v>-25000</v>
      </c>
      <c r="I201" s="50">
        <f>SUM(I197:I200)</f>
        <v>54373.886677155526</v>
      </c>
      <c r="J201" s="50">
        <f>SUM(J197:J200)</f>
        <v>66583.554939131747</v>
      </c>
      <c r="K201" s="50">
        <f>SUM(K197:K200)</f>
        <v>80840.634724629213</v>
      </c>
      <c r="L201" s="50">
        <f>SUM(L197:L200)</f>
        <v>77535.033753751821</v>
      </c>
    </row>
    <row r="202" spans="1:15" x14ac:dyDescent="0.25">
      <c r="A202" s="104" t="s">
        <v>212</v>
      </c>
      <c r="B202" s="50"/>
      <c r="C202" s="50"/>
      <c r="D202" s="50"/>
      <c r="E202" s="50"/>
      <c r="F202" s="50"/>
      <c r="G202" s="50"/>
      <c r="H202" s="50"/>
      <c r="I202" s="50">
        <f>-PV(I128,I196,,I201)</f>
        <v>34161.214543940165</v>
      </c>
      <c r="J202" s="50">
        <f>-PV(J128,J196,,J201)</f>
        <v>38108.813171580608</v>
      </c>
      <c r="K202" s="50">
        <f>-PV(K128,K196,,K201)</f>
        <v>41980.542704155778</v>
      </c>
      <c r="L202" s="50">
        <f>-PV(L128,L196,,L201)</f>
        <v>36440.019223006464</v>
      </c>
    </row>
    <row r="203" spans="1:15" x14ac:dyDescent="0.25">
      <c r="A203" s="104" t="s">
        <v>213</v>
      </c>
      <c r="B203" s="129"/>
      <c r="C203" s="129"/>
      <c r="D203" s="129"/>
      <c r="E203" s="129"/>
      <c r="F203" s="129"/>
      <c r="G203" s="129"/>
      <c r="H203" s="129"/>
      <c r="I203" s="129">
        <f>SUM(I202)</f>
        <v>34161.214543940165</v>
      </c>
      <c r="J203" s="129">
        <f>SUM(I202:J202)</f>
        <v>72270.027715520773</v>
      </c>
      <c r="K203" s="129">
        <f>SUM(I202:K202)</f>
        <v>114250.57041967654</v>
      </c>
      <c r="L203" s="129">
        <f>SUM(I202:L202)</f>
        <v>150690.58964268301</v>
      </c>
    </row>
    <row r="204" spans="1:15" x14ac:dyDescent="0.25">
      <c r="A204" s="104" t="s">
        <v>127</v>
      </c>
      <c r="B204" s="47"/>
      <c r="C204" s="145"/>
      <c r="D204" s="145"/>
      <c r="E204" s="145"/>
      <c r="F204" s="145"/>
      <c r="G204" s="145"/>
      <c r="H204" s="145"/>
      <c r="I204" s="145">
        <f>IRR(H201:I201)</f>
        <v>1.174955467086221</v>
      </c>
      <c r="J204" s="143">
        <f>IRR(H201:J201)</f>
        <v>2.0485871181816453</v>
      </c>
      <c r="K204" s="167">
        <f>IRR(H201:K201)</f>
        <v>2.2852570337796241</v>
      </c>
      <c r="L204" s="167">
        <f>IRR(H201:L201)</f>
        <v>2.3436776799528647</v>
      </c>
    </row>
    <row r="205" spans="1:15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145"/>
      <c r="K205" s="47"/>
      <c r="L205" s="47"/>
    </row>
    <row r="206" spans="1:15" x14ac:dyDescent="0.25">
      <c r="A206" s="104" t="s">
        <v>236</v>
      </c>
      <c r="B206" s="129">
        <f>L159</f>
        <v>194030.79038399854</v>
      </c>
      <c r="C206" s="145"/>
      <c r="D206" s="47"/>
      <c r="E206" s="47"/>
      <c r="F206" s="47"/>
      <c r="G206" s="47"/>
      <c r="H206" s="47"/>
      <c r="I206" s="47"/>
      <c r="J206" s="47"/>
      <c r="K206" s="47"/>
      <c r="L206" s="47"/>
    </row>
    <row r="207" spans="1:15" x14ac:dyDescent="0.25">
      <c r="A207" s="104" t="s">
        <v>245</v>
      </c>
      <c r="B207" s="172">
        <f>L203</f>
        <v>150690.58964268301</v>
      </c>
      <c r="C207" s="47"/>
      <c r="D207" s="47"/>
      <c r="E207" s="47"/>
      <c r="F207" s="47"/>
      <c r="G207" s="47"/>
      <c r="H207" s="47"/>
      <c r="I207" s="47"/>
      <c r="J207" s="47"/>
      <c r="K207" s="47"/>
      <c r="L207" s="47"/>
    </row>
    <row r="208" spans="1:15" x14ac:dyDescent="0.25">
      <c r="A208" s="104" t="s">
        <v>246</v>
      </c>
      <c r="B208" s="129">
        <f>SUM(B206:B207)</f>
        <v>344721.38002668158</v>
      </c>
      <c r="C208" s="145">
        <f>B179</f>
        <v>0.8</v>
      </c>
      <c r="D208" s="50">
        <f>B208*C208</f>
        <v>275777.10402134527</v>
      </c>
      <c r="E208" s="47"/>
      <c r="F208" s="47"/>
      <c r="G208" s="47"/>
      <c r="H208" s="47"/>
      <c r="I208" s="47"/>
      <c r="J208" s="47"/>
      <c r="K208" s="47"/>
      <c r="L208" s="47"/>
    </row>
    <row r="209" spans="1:12" x14ac:dyDescent="0.25">
      <c r="A209" s="104" t="s">
        <v>237</v>
      </c>
      <c r="B209" s="129">
        <f>L176</f>
        <v>96160.513470314996</v>
      </c>
      <c r="C209" s="145">
        <f>B180</f>
        <v>0.2</v>
      </c>
      <c r="D209" s="49">
        <f>B209*C209</f>
        <v>19232.102694063</v>
      </c>
      <c r="E209" s="47"/>
      <c r="F209" s="47"/>
      <c r="G209" s="47"/>
      <c r="H209" s="47"/>
      <c r="I209" s="47"/>
      <c r="J209" s="47"/>
      <c r="K209" s="47"/>
      <c r="L209" s="47"/>
    </row>
    <row r="210" spans="1:12" x14ac:dyDescent="0.25">
      <c r="A210" s="104" t="s">
        <v>238</v>
      </c>
      <c r="B210" s="47"/>
      <c r="C210" s="47"/>
      <c r="D210" s="129">
        <f>SUM(D208:D209)</f>
        <v>295009.20671540825</v>
      </c>
      <c r="E210" s="47"/>
      <c r="F210" s="47"/>
      <c r="G210" s="47"/>
      <c r="H210" s="47"/>
      <c r="I210" s="47"/>
      <c r="J210" s="47"/>
      <c r="K210" s="47"/>
      <c r="L210" s="47"/>
    </row>
    <row r="211" spans="1:12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</row>
    <row r="212" spans="1:12" x14ac:dyDescent="0.25">
      <c r="A212" s="104" t="s">
        <v>253</v>
      </c>
      <c r="B212" s="177" t="s">
        <v>247</v>
      </c>
      <c r="C212" s="177" t="s">
        <v>248</v>
      </c>
      <c r="D212" s="177" t="s">
        <v>249</v>
      </c>
      <c r="E212" s="177" t="s">
        <v>250</v>
      </c>
      <c r="F212" s="177" t="s">
        <v>251</v>
      </c>
      <c r="G212" s="178" t="s">
        <v>252</v>
      </c>
      <c r="H212" s="47"/>
      <c r="I212" s="47"/>
      <c r="J212" s="47"/>
      <c r="K212" s="47"/>
      <c r="L212" s="47"/>
    </row>
    <row r="213" spans="1:12" x14ac:dyDescent="0.25">
      <c r="A213" s="47"/>
      <c r="B213" s="179">
        <f>L203</f>
        <v>150690.58964268301</v>
      </c>
      <c r="C213" s="179">
        <f>-H201</f>
        <v>25000</v>
      </c>
      <c r="D213" s="177">
        <v>7</v>
      </c>
      <c r="E213" s="180">
        <f>L186/L187</f>
        <v>0.57697083512658143</v>
      </c>
      <c r="F213" s="181">
        <v>0.02</v>
      </c>
      <c r="G213" s="182">
        <f>(B213*(NORMSDIST((LN(B213/PV(F213,D213,,-C213))+(F213+((E213^2)/2)*D213))/(E213*SQRT(D213)))))-((NORMSDIST(((LN(B213/PV(F213,D213,,-C213))+(F213+((E213^2)/2)*D213))/(E213*SQRT(D213)))-(E213*SQRT(D213))))*PV(F213,D213,,-C213))</f>
        <v>132422.61348930988</v>
      </c>
      <c r="H213" s="47"/>
      <c r="I213" s="47"/>
      <c r="J213" s="47"/>
      <c r="K213" s="47"/>
      <c r="L213" s="47"/>
    </row>
    <row r="214" spans="1:12" x14ac:dyDescent="0.25">
      <c r="A214" s="47"/>
      <c r="B214" s="47"/>
      <c r="C214" s="47"/>
      <c r="D214" s="47"/>
      <c r="E214" s="47" t="s">
        <v>254</v>
      </c>
      <c r="F214" s="47"/>
      <c r="G214" s="47"/>
      <c r="H214" s="47"/>
      <c r="I214" s="47"/>
      <c r="J214" s="47"/>
      <c r="K214" s="47"/>
      <c r="L214" s="47"/>
    </row>
    <row r="215" spans="1:12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</row>
    <row r="216" spans="1:12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</row>
    <row r="217" spans="1:12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129"/>
      <c r="K217" s="47"/>
      <c r="L217" s="47"/>
    </row>
    <row r="218" spans="1:12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</row>
    <row r="219" spans="1:12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</row>
    <row r="220" spans="1:12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</row>
    <row r="221" spans="1:12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</row>
    <row r="222" spans="1:12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</row>
    <row r="223" spans="1:12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</row>
    <row r="224" spans="1:12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</row>
    <row r="225" spans="1:12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</row>
    <row r="226" spans="1:12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</row>
    <row r="227" spans="1:12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</row>
    <row r="228" spans="1:12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</row>
    <row r="229" spans="1:12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</row>
    <row r="230" spans="1:12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</row>
    <row r="231" spans="1:12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</row>
    <row r="232" spans="1:12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</row>
    <row r="233" spans="1:12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</row>
    <row r="234" spans="1:12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</row>
    <row r="235" spans="1:12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</row>
    <row r="236" spans="1:12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</row>
    <row r="237" spans="1:12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</row>
    <row r="238" spans="1:12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</row>
    <row r="239" spans="1:12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</row>
    <row r="240" spans="1:12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</row>
    <row r="241" spans="1:12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</row>
    <row r="242" spans="1:12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</row>
    <row r="243" spans="1:12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</row>
    <row r="244" spans="1:12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</row>
    <row r="245" spans="1:12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</row>
    <row r="246" spans="1:12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</row>
    <row r="247" spans="1:12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</row>
    <row r="248" spans="1:12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</row>
    <row r="249" spans="1:12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</row>
    <row r="250" spans="1:12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</row>
    <row r="251" spans="1:12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</row>
  </sheetData>
  <sortState ref="A1:G11">
    <sortCondition sortBy="icon" ref="B5"/>
  </sortState>
  <pageMargins left="0.7" right="0.7" top="0.75" bottom="0.75" header="0.3" footer="0.3"/>
  <pageSetup scale="85" orientation="landscape" r:id="rId1"/>
  <ignoredErrors>
    <ignoredError sqref="D69:F69 D87:F87 D90:F90 G69:L69 G87:L87 G90:L90" formula="1"/>
    <ignoredError sqref="H20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opLeftCell="C1" workbookViewId="0">
      <selection activeCell="J6" sqref="J6"/>
    </sheetView>
  </sheetViews>
  <sheetFormatPr defaultColWidth="11.5703125" defaultRowHeight="15" x14ac:dyDescent="0.25"/>
  <cols>
    <col min="1" max="1" width="30.140625" customWidth="1"/>
    <col min="2" max="2" width="12.140625" bestFit="1" customWidth="1"/>
    <col min="3" max="4" width="12.7109375" customWidth="1"/>
    <col min="5" max="5" width="12.85546875" customWidth="1"/>
    <col min="6" max="6" width="13.5703125" customWidth="1"/>
    <col min="7" max="7" width="12.42578125" customWidth="1"/>
    <col min="258" max="258" width="30.140625" customWidth="1"/>
    <col min="259" max="260" width="12.7109375" customWidth="1"/>
    <col min="261" max="261" width="12.85546875" customWidth="1"/>
    <col min="262" max="262" width="13.5703125" customWidth="1"/>
    <col min="263" max="263" width="12.42578125" customWidth="1"/>
    <col min="514" max="514" width="30.140625" customWidth="1"/>
    <col min="515" max="516" width="12.7109375" customWidth="1"/>
    <col min="517" max="517" width="12.85546875" customWidth="1"/>
    <col min="518" max="518" width="13.5703125" customWidth="1"/>
    <col min="519" max="519" width="12.42578125" customWidth="1"/>
    <col min="770" max="770" width="30.140625" customWidth="1"/>
    <col min="771" max="772" width="12.7109375" customWidth="1"/>
    <col min="773" max="773" width="12.85546875" customWidth="1"/>
    <col min="774" max="774" width="13.5703125" customWidth="1"/>
    <col min="775" max="775" width="12.42578125" customWidth="1"/>
    <col min="1026" max="1026" width="30.140625" customWidth="1"/>
    <col min="1027" max="1028" width="12.7109375" customWidth="1"/>
    <col min="1029" max="1029" width="12.85546875" customWidth="1"/>
    <col min="1030" max="1030" width="13.5703125" customWidth="1"/>
    <col min="1031" max="1031" width="12.42578125" customWidth="1"/>
    <col min="1282" max="1282" width="30.140625" customWidth="1"/>
    <col min="1283" max="1284" width="12.7109375" customWidth="1"/>
    <col min="1285" max="1285" width="12.85546875" customWidth="1"/>
    <col min="1286" max="1286" width="13.5703125" customWidth="1"/>
    <col min="1287" max="1287" width="12.42578125" customWidth="1"/>
    <col min="1538" max="1538" width="30.140625" customWidth="1"/>
    <col min="1539" max="1540" width="12.7109375" customWidth="1"/>
    <col min="1541" max="1541" width="12.85546875" customWidth="1"/>
    <col min="1542" max="1542" width="13.5703125" customWidth="1"/>
    <col min="1543" max="1543" width="12.42578125" customWidth="1"/>
    <col min="1794" max="1794" width="30.140625" customWidth="1"/>
    <col min="1795" max="1796" width="12.7109375" customWidth="1"/>
    <col min="1797" max="1797" width="12.85546875" customWidth="1"/>
    <col min="1798" max="1798" width="13.5703125" customWidth="1"/>
    <col min="1799" max="1799" width="12.42578125" customWidth="1"/>
    <col min="2050" max="2050" width="30.140625" customWidth="1"/>
    <col min="2051" max="2052" width="12.7109375" customWidth="1"/>
    <col min="2053" max="2053" width="12.85546875" customWidth="1"/>
    <col min="2054" max="2054" width="13.5703125" customWidth="1"/>
    <col min="2055" max="2055" width="12.42578125" customWidth="1"/>
    <col min="2306" max="2306" width="30.140625" customWidth="1"/>
    <col min="2307" max="2308" width="12.7109375" customWidth="1"/>
    <col min="2309" max="2309" width="12.85546875" customWidth="1"/>
    <col min="2310" max="2310" width="13.5703125" customWidth="1"/>
    <col min="2311" max="2311" width="12.42578125" customWidth="1"/>
    <col min="2562" max="2562" width="30.140625" customWidth="1"/>
    <col min="2563" max="2564" width="12.7109375" customWidth="1"/>
    <col min="2565" max="2565" width="12.85546875" customWidth="1"/>
    <col min="2566" max="2566" width="13.5703125" customWidth="1"/>
    <col min="2567" max="2567" width="12.42578125" customWidth="1"/>
    <col min="2818" max="2818" width="30.140625" customWidth="1"/>
    <col min="2819" max="2820" width="12.7109375" customWidth="1"/>
    <col min="2821" max="2821" width="12.85546875" customWidth="1"/>
    <col min="2822" max="2822" width="13.5703125" customWidth="1"/>
    <col min="2823" max="2823" width="12.42578125" customWidth="1"/>
    <col min="3074" max="3074" width="30.140625" customWidth="1"/>
    <col min="3075" max="3076" width="12.7109375" customWidth="1"/>
    <col min="3077" max="3077" width="12.85546875" customWidth="1"/>
    <col min="3078" max="3078" width="13.5703125" customWidth="1"/>
    <col min="3079" max="3079" width="12.42578125" customWidth="1"/>
    <col min="3330" max="3330" width="30.140625" customWidth="1"/>
    <col min="3331" max="3332" width="12.7109375" customWidth="1"/>
    <col min="3333" max="3333" width="12.85546875" customWidth="1"/>
    <col min="3334" max="3334" width="13.5703125" customWidth="1"/>
    <col min="3335" max="3335" width="12.42578125" customWidth="1"/>
    <col min="3586" max="3586" width="30.140625" customWidth="1"/>
    <col min="3587" max="3588" width="12.7109375" customWidth="1"/>
    <col min="3589" max="3589" width="12.85546875" customWidth="1"/>
    <col min="3590" max="3590" width="13.5703125" customWidth="1"/>
    <col min="3591" max="3591" width="12.42578125" customWidth="1"/>
    <col min="3842" max="3842" width="30.140625" customWidth="1"/>
    <col min="3843" max="3844" width="12.7109375" customWidth="1"/>
    <col min="3845" max="3845" width="12.85546875" customWidth="1"/>
    <col min="3846" max="3846" width="13.5703125" customWidth="1"/>
    <col min="3847" max="3847" width="12.42578125" customWidth="1"/>
    <col min="4098" max="4098" width="30.140625" customWidth="1"/>
    <col min="4099" max="4100" width="12.7109375" customWidth="1"/>
    <col min="4101" max="4101" width="12.85546875" customWidth="1"/>
    <col min="4102" max="4102" width="13.5703125" customWidth="1"/>
    <col min="4103" max="4103" width="12.42578125" customWidth="1"/>
    <col min="4354" max="4354" width="30.140625" customWidth="1"/>
    <col min="4355" max="4356" width="12.7109375" customWidth="1"/>
    <col min="4357" max="4357" width="12.85546875" customWidth="1"/>
    <col min="4358" max="4358" width="13.5703125" customWidth="1"/>
    <col min="4359" max="4359" width="12.42578125" customWidth="1"/>
    <col min="4610" max="4610" width="30.140625" customWidth="1"/>
    <col min="4611" max="4612" width="12.7109375" customWidth="1"/>
    <col min="4613" max="4613" width="12.85546875" customWidth="1"/>
    <col min="4614" max="4614" width="13.5703125" customWidth="1"/>
    <col min="4615" max="4615" width="12.42578125" customWidth="1"/>
    <col min="4866" max="4866" width="30.140625" customWidth="1"/>
    <col min="4867" max="4868" width="12.7109375" customWidth="1"/>
    <col min="4869" max="4869" width="12.85546875" customWidth="1"/>
    <col min="4870" max="4870" width="13.5703125" customWidth="1"/>
    <col min="4871" max="4871" width="12.42578125" customWidth="1"/>
    <col min="5122" max="5122" width="30.140625" customWidth="1"/>
    <col min="5123" max="5124" width="12.7109375" customWidth="1"/>
    <col min="5125" max="5125" width="12.85546875" customWidth="1"/>
    <col min="5126" max="5126" width="13.5703125" customWidth="1"/>
    <col min="5127" max="5127" width="12.42578125" customWidth="1"/>
    <col min="5378" max="5378" width="30.140625" customWidth="1"/>
    <col min="5379" max="5380" width="12.7109375" customWidth="1"/>
    <col min="5381" max="5381" width="12.85546875" customWidth="1"/>
    <col min="5382" max="5382" width="13.5703125" customWidth="1"/>
    <col min="5383" max="5383" width="12.42578125" customWidth="1"/>
    <col min="5634" max="5634" width="30.140625" customWidth="1"/>
    <col min="5635" max="5636" width="12.7109375" customWidth="1"/>
    <col min="5637" max="5637" width="12.85546875" customWidth="1"/>
    <col min="5638" max="5638" width="13.5703125" customWidth="1"/>
    <col min="5639" max="5639" width="12.42578125" customWidth="1"/>
    <col min="5890" max="5890" width="30.140625" customWidth="1"/>
    <col min="5891" max="5892" width="12.7109375" customWidth="1"/>
    <col min="5893" max="5893" width="12.85546875" customWidth="1"/>
    <col min="5894" max="5894" width="13.5703125" customWidth="1"/>
    <col min="5895" max="5895" width="12.42578125" customWidth="1"/>
    <col min="6146" max="6146" width="30.140625" customWidth="1"/>
    <col min="6147" max="6148" width="12.7109375" customWidth="1"/>
    <col min="6149" max="6149" width="12.85546875" customWidth="1"/>
    <col min="6150" max="6150" width="13.5703125" customWidth="1"/>
    <col min="6151" max="6151" width="12.42578125" customWidth="1"/>
    <col min="6402" max="6402" width="30.140625" customWidth="1"/>
    <col min="6403" max="6404" width="12.7109375" customWidth="1"/>
    <col min="6405" max="6405" width="12.85546875" customWidth="1"/>
    <col min="6406" max="6406" width="13.5703125" customWidth="1"/>
    <col min="6407" max="6407" width="12.42578125" customWidth="1"/>
    <col min="6658" max="6658" width="30.140625" customWidth="1"/>
    <col min="6659" max="6660" width="12.7109375" customWidth="1"/>
    <col min="6661" max="6661" width="12.85546875" customWidth="1"/>
    <col min="6662" max="6662" width="13.5703125" customWidth="1"/>
    <col min="6663" max="6663" width="12.42578125" customWidth="1"/>
    <col min="6914" max="6914" width="30.140625" customWidth="1"/>
    <col min="6915" max="6916" width="12.7109375" customWidth="1"/>
    <col min="6917" max="6917" width="12.85546875" customWidth="1"/>
    <col min="6918" max="6918" width="13.5703125" customWidth="1"/>
    <col min="6919" max="6919" width="12.42578125" customWidth="1"/>
    <col min="7170" max="7170" width="30.140625" customWidth="1"/>
    <col min="7171" max="7172" width="12.7109375" customWidth="1"/>
    <col min="7173" max="7173" width="12.85546875" customWidth="1"/>
    <col min="7174" max="7174" width="13.5703125" customWidth="1"/>
    <col min="7175" max="7175" width="12.42578125" customWidth="1"/>
    <col min="7426" max="7426" width="30.140625" customWidth="1"/>
    <col min="7427" max="7428" width="12.7109375" customWidth="1"/>
    <col min="7429" max="7429" width="12.85546875" customWidth="1"/>
    <col min="7430" max="7430" width="13.5703125" customWidth="1"/>
    <col min="7431" max="7431" width="12.42578125" customWidth="1"/>
    <col min="7682" max="7682" width="30.140625" customWidth="1"/>
    <col min="7683" max="7684" width="12.7109375" customWidth="1"/>
    <col min="7685" max="7685" width="12.85546875" customWidth="1"/>
    <col min="7686" max="7686" width="13.5703125" customWidth="1"/>
    <col min="7687" max="7687" width="12.42578125" customWidth="1"/>
    <col min="7938" max="7938" width="30.140625" customWidth="1"/>
    <col min="7939" max="7940" width="12.7109375" customWidth="1"/>
    <col min="7941" max="7941" width="12.85546875" customWidth="1"/>
    <col min="7942" max="7942" width="13.5703125" customWidth="1"/>
    <col min="7943" max="7943" width="12.42578125" customWidth="1"/>
    <col min="8194" max="8194" width="30.140625" customWidth="1"/>
    <col min="8195" max="8196" width="12.7109375" customWidth="1"/>
    <col min="8197" max="8197" width="12.85546875" customWidth="1"/>
    <col min="8198" max="8198" width="13.5703125" customWidth="1"/>
    <col min="8199" max="8199" width="12.42578125" customWidth="1"/>
    <col min="8450" max="8450" width="30.140625" customWidth="1"/>
    <col min="8451" max="8452" width="12.7109375" customWidth="1"/>
    <col min="8453" max="8453" width="12.85546875" customWidth="1"/>
    <col min="8454" max="8454" width="13.5703125" customWidth="1"/>
    <col min="8455" max="8455" width="12.42578125" customWidth="1"/>
    <col min="8706" max="8706" width="30.140625" customWidth="1"/>
    <col min="8707" max="8708" width="12.7109375" customWidth="1"/>
    <col min="8709" max="8709" width="12.85546875" customWidth="1"/>
    <col min="8710" max="8710" width="13.5703125" customWidth="1"/>
    <col min="8711" max="8711" width="12.42578125" customWidth="1"/>
    <col min="8962" max="8962" width="30.140625" customWidth="1"/>
    <col min="8963" max="8964" width="12.7109375" customWidth="1"/>
    <col min="8965" max="8965" width="12.85546875" customWidth="1"/>
    <col min="8966" max="8966" width="13.5703125" customWidth="1"/>
    <col min="8967" max="8967" width="12.42578125" customWidth="1"/>
    <col min="9218" max="9218" width="30.140625" customWidth="1"/>
    <col min="9219" max="9220" width="12.7109375" customWidth="1"/>
    <col min="9221" max="9221" width="12.85546875" customWidth="1"/>
    <col min="9222" max="9222" width="13.5703125" customWidth="1"/>
    <col min="9223" max="9223" width="12.42578125" customWidth="1"/>
    <col min="9474" max="9474" width="30.140625" customWidth="1"/>
    <col min="9475" max="9476" width="12.7109375" customWidth="1"/>
    <col min="9477" max="9477" width="12.85546875" customWidth="1"/>
    <col min="9478" max="9478" width="13.5703125" customWidth="1"/>
    <col min="9479" max="9479" width="12.42578125" customWidth="1"/>
    <col min="9730" max="9730" width="30.140625" customWidth="1"/>
    <col min="9731" max="9732" width="12.7109375" customWidth="1"/>
    <col min="9733" max="9733" width="12.85546875" customWidth="1"/>
    <col min="9734" max="9734" width="13.5703125" customWidth="1"/>
    <col min="9735" max="9735" width="12.42578125" customWidth="1"/>
    <col min="9986" max="9986" width="30.140625" customWidth="1"/>
    <col min="9987" max="9988" width="12.7109375" customWidth="1"/>
    <col min="9989" max="9989" width="12.85546875" customWidth="1"/>
    <col min="9990" max="9990" width="13.5703125" customWidth="1"/>
    <col min="9991" max="9991" width="12.42578125" customWidth="1"/>
    <col min="10242" max="10242" width="30.140625" customWidth="1"/>
    <col min="10243" max="10244" width="12.7109375" customWidth="1"/>
    <col min="10245" max="10245" width="12.85546875" customWidth="1"/>
    <col min="10246" max="10246" width="13.5703125" customWidth="1"/>
    <col min="10247" max="10247" width="12.42578125" customWidth="1"/>
    <col min="10498" max="10498" width="30.140625" customWidth="1"/>
    <col min="10499" max="10500" width="12.7109375" customWidth="1"/>
    <col min="10501" max="10501" width="12.85546875" customWidth="1"/>
    <col min="10502" max="10502" width="13.5703125" customWidth="1"/>
    <col min="10503" max="10503" width="12.42578125" customWidth="1"/>
    <col min="10754" max="10754" width="30.140625" customWidth="1"/>
    <col min="10755" max="10756" width="12.7109375" customWidth="1"/>
    <col min="10757" max="10757" width="12.85546875" customWidth="1"/>
    <col min="10758" max="10758" width="13.5703125" customWidth="1"/>
    <col min="10759" max="10759" width="12.42578125" customWidth="1"/>
    <col min="11010" max="11010" width="30.140625" customWidth="1"/>
    <col min="11011" max="11012" width="12.7109375" customWidth="1"/>
    <col min="11013" max="11013" width="12.85546875" customWidth="1"/>
    <col min="11014" max="11014" width="13.5703125" customWidth="1"/>
    <col min="11015" max="11015" width="12.42578125" customWidth="1"/>
    <col min="11266" max="11266" width="30.140625" customWidth="1"/>
    <col min="11267" max="11268" width="12.7109375" customWidth="1"/>
    <col min="11269" max="11269" width="12.85546875" customWidth="1"/>
    <col min="11270" max="11270" width="13.5703125" customWidth="1"/>
    <col min="11271" max="11271" width="12.42578125" customWidth="1"/>
    <col min="11522" max="11522" width="30.140625" customWidth="1"/>
    <col min="11523" max="11524" width="12.7109375" customWidth="1"/>
    <col min="11525" max="11525" width="12.85546875" customWidth="1"/>
    <col min="11526" max="11526" width="13.5703125" customWidth="1"/>
    <col min="11527" max="11527" width="12.42578125" customWidth="1"/>
    <col min="11778" max="11778" width="30.140625" customWidth="1"/>
    <col min="11779" max="11780" width="12.7109375" customWidth="1"/>
    <col min="11781" max="11781" width="12.85546875" customWidth="1"/>
    <col min="11782" max="11782" width="13.5703125" customWidth="1"/>
    <col min="11783" max="11783" width="12.42578125" customWidth="1"/>
    <col min="12034" max="12034" width="30.140625" customWidth="1"/>
    <col min="12035" max="12036" width="12.7109375" customWidth="1"/>
    <col min="12037" max="12037" width="12.85546875" customWidth="1"/>
    <col min="12038" max="12038" width="13.5703125" customWidth="1"/>
    <col min="12039" max="12039" width="12.42578125" customWidth="1"/>
    <col min="12290" max="12290" width="30.140625" customWidth="1"/>
    <col min="12291" max="12292" width="12.7109375" customWidth="1"/>
    <col min="12293" max="12293" width="12.85546875" customWidth="1"/>
    <col min="12294" max="12294" width="13.5703125" customWidth="1"/>
    <col min="12295" max="12295" width="12.42578125" customWidth="1"/>
    <col min="12546" max="12546" width="30.140625" customWidth="1"/>
    <col min="12547" max="12548" width="12.7109375" customWidth="1"/>
    <col min="12549" max="12549" width="12.85546875" customWidth="1"/>
    <col min="12550" max="12550" width="13.5703125" customWidth="1"/>
    <col min="12551" max="12551" width="12.42578125" customWidth="1"/>
    <col min="12802" max="12802" width="30.140625" customWidth="1"/>
    <col min="12803" max="12804" width="12.7109375" customWidth="1"/>
    <col min="12805" max="12805" width="12.85546875" customWidth="1"/>
    <col min="12806" max="12806" width="13.5703125" customWidth="1"/>
    <col min="12807" max="12807" width="12.42578125" customWidth="1"/>
    <col min="13058" max="13058" width="30.140625" customWidth="1"/>
    <col min="13059" max="13060" width="12.7109375" customWidth="1"/>
    <col min="13061" max="13061" width="12.85546875" customWidth="1"/>
    <col min="13062" max="13062" width="13.5703125" customWidth="1"/>
    <col min="13063" max="13063" width="12.42578125" customWidth="1"/>
    <col min="13314" max="13314" width="30.140625" customWidth="1"/>
    <col min="13315" max="13316" width="12.7109375" customWidth="1"/>
    <col min="13317" max="13317" width="12.85546875" customWidth="1"/>
    <col min="13318" max="13318" width="13.5703125" customWidth="1"/>
    <col min="13319" max="13319" width="12.42578125" customWidth="1"/>
    <col min="13570" max="13570" width="30.140625" customWidth="1"/>
    <col min="13571" max="13572" width="12.7109375" customWidth="1"/>
    <col min="13573" max="13573" width="12.85546875" customWidth="1"/>
    <col min="13574" max="13574" width="13.5703125" customWidth="1"/>
    <col min="13575" max="13575" width="12.42578125" customWidth="1"/>
    <col min="13826" max="13826" width="30.140625" customWidth="1"/>
    <col min="13827" max="13828" width="12.7109375" customWidth="1"/>
    <col min="13829" max="13829" width="12.85546875" customWidth="1"/>
    <col min="13830" max="13830" width="13.5703125" customWidth="1"/>
    <col min="13831" max="13831" width="12.42578125" customWidth="1"/>
    <col min="14082" max="14082" width="30.140625" customWidth="1"/>
    <col min="14083" max="14084" width="12.7109375" customWidth="1"/>
    <col min="14085" max="14085" width="12.85546875" customWidth="1"/>
    <col min="14086" max="14086" width="13.5703125" customWidth="1"/>
    <col min="14087" max="14087" width="12.42578125" customWidth="1"/>
    <col min="14338" max="14338" width="30.140625" customWidth="1"/>
    <col min="14339" max="14340" width="12.7109375" customWidth="1"/>
    <col min="14341" max="14341" width="12.85546875" customWidth="1"/>
    <col min="14342" max="14342" width="13.5703125" customWidth="1"/>
    <col min="14343" max="14343" width="12.42578125" customWidth="1"/>
    <col min="14594" max="14594" width="30.140625" customWidth="1"/>
    <col min="14595" max="14596" width="12.7109375" customWidth="1"/>
    <col min="14597" max="14597" width="12.85546875" customWidth="1"/>
    <col min="14598" max="14598" width="13.5703125" customWidth="1"/>
    <col min="14599" max="14599" width="12.42578125" customWidth="1"/>
    <col min="14850" max="14850" width="30.140625" customWidth="1"/>
    <col min="14851" max="14852" width="12.7109375" customWidth="1"/>
    <col min="14853" max="14853" width="12.85546875" customWidth="1"/>
    <col min="14854" max="14854" width="13.5703125" customWidth="1"/>
    <col min="14855" max="14855" width="12.42578125" customWidth="1"/>
    <col min="15106" max="15106" width="30.140625" customWidth="1"/>
    <col min="15107" max="15108" width="12.7109375" customWidth="1"/>
    <col min="15109" max="15109" width="12.85546875" customWidth="1"/>
    <col min="15110" max="15110" width="13.5703125" customWidth="1"/>
    <col min="15111" max="15111" width="12.42578125" customWidth="1"/>
    <col min="15362" max="15362" width="30.140625" customWidth="1"/>
    <col min="15363" max="15364" width="12.7109375" customWidth="1"/>
    <col min="15365" max="15365" width="12.85546875" customWidth="1"/>
    <col min="15366" max="15366" width="13.5703125" customWidth="1"/>
    <col min="15367" max="15367" width="12.42578125" customWidth="1"/>
    <col min="15618" max="15618" width="30.140625" customWidth="1"/>
    <col min="15619" max="15620" width="12.7109375" customWidth="1"/>
    <col min="15621" max="15621" width="12.85546875" customWidth="1"/>
    <col min="15622" max="15622" width="13.5703125" customWidth="1"/>
    <col min="15623" max="15623" width="12.42578125" customWidth="1"/>
    <col min="15874" max="15874" width="30.140625" customWidth="1"/>
    <col min="15875" max="15876" width="12.7109375" customWidth="1"/>
    <col min="15877" max="15877" width="12.85546875" customWidth="1"/>
    <col min="15878" max="15878" width="13.5703125" customWidth="1"/>
    <col min="15879" max="15879" width="12.42578125" customWidth="1"/>
    <col min="16130" max="16130" width="30.140625" customWidth="1"/>
    <col min="16131" max="16132" width="12.7109375" customWidth="1"/>
    <col min="16133" max="16133" width="12.85546875" customWidth="1"/>
    <col min="16134" max="16134" width="13.5703125" customWidth="1"/>
    <col min="16135" max="16135" width="12.42578125" customWidth="1"/>
  </cols>
  <sheetData>
    <row r="1" spans="1:10" x14ac:dyDescent="0.25">
      <c r="C1" s="61" t="s">
        <v>20</v>
      </c>
      <c r="D1" s="61" t="s">
        <v>21</v>
      </c>
      <c r="E1" s="61" t="s">
        <v>22</v>
      </c>
      <c r="F1" s="61" t="s">
        <v>23</v>
      </c>
      <c r="G1" s="61" t="s">
        <v>24</v>
      </c>
      <c r="I1" s="4" t="s">
        <v>25</v>
      </c>
      <c r="J1" s="5">
        <v>0.05</v>
      </c>
    </row>
    <row r="2" spans="1:10" x14ac:dyDescent="0.25">
      <c r="A2" s="6" t="s">
        <v>26</v>
      </c>
      <c r="B2" s="71" t="s">
        <v>44</v>
      </c>
      <c r="C2" s="7">
        <f>J6</f>
        <v>161000</v>
      </c>
      <c r="D2" s="7">
        <f t="shared" ref="D2:D13" si="0">+F2-E2</f>
        <v>193.44947971621048</v>
      </c>
      <c r="E2" s="7">
        <f t="shared" ref="E2:E13" si="1">C2*$J$2</f>
        <v>670.83333333333337</v>
      </c>
      <c r="F2" s="7">
        <f t="shared" ref="F2:F13" si="2">-$J$8</f>
        <v>864.28281304954385</v>
      </c>
      <c r="G2" s="7">
        <f t="shared" ref="G2:G13" si="3">+C2-D2</f>
        <v>160806.55052028378</v>
      </c>
      <c r="I2" s="4" t="s">
        <v>27</v>
      </c>
      <c r="J2" s="5">
        <f>+J1/12</f>
        <v>4.1666666666666666E-3</v>
      </c>
    </row>
    <row r="3" spans="1:10" x14ac:dyDescent="0.25">
      <c r="A3" s="6" t="s">
        <v>28</v>
      </c>
      <c r="B3" s="72"/>
      <c r="C3" s="7">
        <f t="shared" ref="C3:C13" si="4">+G2</f>
        <v>160806.55052028378</v>
      </c>
      <c r="D3" s="7">
        <f t="shared" si="0"/>
        <v>194.25551921502813</v>
      </c>
      <c r="E3" s="7">
        <f t="shared" si="1"/>
        <v>670.02729383451572</v>
      </c>
      <c r="F3" s="7">
        <f t="shared" si="2"/>
        <v>864.28281304954385</v>
      </c>
      <c r="G3" s="7">
        <f t="shared" si="3"/>
        <v>160612.29500106876</v>
      </c>
      <c r="I3" s="4" t="s">
        <v>29</v>
      </c>
      <c r="J3" s="8">
        <v>0</v>
      </c>
    </row>
    <row r="4" spans="1:10" x14ac:dyDescent="0.25">
      <c r="A4" s="6" t="s">
        <v>30</v>
      </c>
      <c r="B4" s="72"/>
      <c r="C4" s="7">
        <f t="shared" si="4"/>
        <v>160612.29500106876</v>
      </c>
      <c r="D4" s="7">
        <f t="shared" si="0"/>
        <v>195.06491721175735</v>
      </c>
      <c r="E4" s="7">
        <f t="shared" si="1"/>
        <v>669.2178958377865</v>
      </c>
      <c r="F4" s="7">
        <f t="shared" si="2"/>
        <v>864.28281304954385</v>
      </c>
      <c r="G4" s="7">
        <f t="shared" si="3"/>
        <v>160417.23008385699</v>
      </c>
      <c r="I4" s="4" t="s">
        <v>31</v>
      </c>
      <c r="J4" s="9">
        <f>12*30</f>
        <v>360</v>
      </c>
    </row>
    <row r="5" spans="1:10" x14ac:dyDescent="0.25">
      <c r="A5" s="6" t="s">
        <v>32</v>
      </c>
      <c r="B5" s="72"/>
      <c r="C5" s="7">
        <f t="shared" si="4"/>
        <v>160417.23008385699</v>
      </c>
      <c r="D5" s="7">
        <f t="shared" si="0"/>
        <v>195.87768770013975</v>
      </c>
      <c r="E5" s="7">
        <f t="shared" si="1"/>
        <v>668.4051253494041</v>
      </c>
      <c r="F5" s="7">
        <f t="shared" si="2"/>
        <v>864.28281304954385</v>
      </c>
      <c r="G5" s="7">
        <f t="shared" si="3"/>
        <v>160221.35239615684</v>
      </c>
      <c r="I5" s="4" t="s">
        <v>33</v>
      </c>
      <c r="J5">
        <v>0</v>
      </c>
    </row>
    <row r="6" spans="1:10" x14ac:dyDescent="0.25">
      <c r="A6" s="6" t="s">
        <v>34</v>
      </c>
      <c r="B6" s="72"/>
      <c r="C6" s="7">
        <f t="shared" si="4"/>
        <v>160221.35239615684</v>
      </c>
      <c r="D6" s="7">
        <f t="shared" si="0"/>
        <v>196.69384473222362</v>
      </c>
      <c r="E6" s="7">
        <f t="shared" si="1"/>
        <v>667.58896831732022</v>
      </c>
      <c r="F6" s="7">
        <f t="shared" si="2"/>
        <v>864.28281304954385</v>
      </c>
      <c r="G6" s="7">
        <f t="shared" si="3"/>
        <v>160024.65855142463</v>
      </c>
      <c r="I6" s="4" t="s">
        <v>35</v>
      </c>
      <c r="J6" s="8">
        <v>161000</v>
      </c>
    </row>
    <row r="7" spans="1:10" x14ac:dyDescent="0.25">
      <c r="A7" s="6" t="s">
        <v>36</v>
      </c>
      <c r="B7" s="72"/>
      <c r="C7" s="7">
        <f t="shared" si="4"/>
        <v>160024.65855142463</v>
      </c>
      <c r="D7" s="7">
        <f t="shared" si="0"/>
        <v>197.51340241860794</v>
      </c>
      <c r="E7" s="7">
        <f t="shared" si="1"/>
        <v>666.76941063093591</v>
      </c>
      <c r="F7" s="7">
        <f t="shared" si="2"/>
        <v>864.28281304954385</v>
      </c>
      <c r="G7" s="7">
        <f t="shared" si="3"/>
        <v>159827.14514900601</v>
      </c>
      <c r="I7" s="4"/>
    </row>
    <row r="8" spans="1:10" x14ac:dyDescent="0.25">
      <c r="A8" s="6" t="s">
        <v>37</v>
      </c>
      <c r="B8" s="72"/>
      <c r="C8" s="7">
        <f t="shared" si="4"/>
        <v>159827.14514900601</v>
      </c>
      <c r="D8" s="7">
        <f t="shared" si="0"/>
        <v>198.33637492868547</v>
      </c>
      <c r="E8" s="7">
        <f t="shared" si="1"/>
        <v>665.94643812085837</v>
      </c>
      <c r="F8" s="7">
        <f t="shared" si="2"/>
        <v>864.28281304954385</v>
      </c>
      <c r="G8" s="7">
        <f t="shared" si="3"/>
        <v>159628.80877407733</v>
      </c>
      <c r="I8" s="4" t="s">
        <v>23</v>
      </c>
      <c r="J8" s="8">
        <f>PMT(J2,J4,J6,J3,J5)</f>
        <v>-864.28281304954385</v>
      </c>
    </row>
    <row r="9" spans="1:10" x14ac:dyDescent="0.25">
      <c r="A9" s="6" t="s">
        <v>38</v>
      </c>
      <c r="B9" s="72"/>
      <c r="C9" s="7">
        <f t="shared" si="4"/>
        <v>159628.80877407733</v>
      </c>
      <c r="D9" s="7">
        <f t="shared" si="0"/>
        <v>199.16277649088829</v>
      </c>
      <c r="E9" s="7">
        <f t="shared" si="1"/>
        <v>665.12003655865556</v>
      </c>
      <c r="F9" s="7">
        <f t="shared" si="2"/>
        <v>864.28281304954385</v>
      </c>
      <c r="G9" s="7">
        <f t="shared" si="3"/>
        <v>159429.64599758646</v>
      </c>
    </row>
    <row r="10" spans="1:10" x14ac:dyDescent="0.25">
      <c r="A10" s="6" t="s">
        <v>39</v>
      </c>
      <c r="B10" s="72"/>
      <c r="C10" s="7">
        <f t="shared" si="4"/>
        <v>159429.64599758646</v>
      </c>
      <c r="D10" s="7">
        <f t="shared" si="0"/>
        <v>199.99262139293364</v>
      </c>
      <c r="E10" s="7">
        <f t="shared" si="1"/>
        <v>664.2901916566102</v>
      </c>
      <c r="F10" s="7">
        <f t="shared" si="2"/>
        <v>864.28281304954385</v>
      </c>
      <c r="G10" s="7">
        <f t="shared" si="3"/>
        <v>159229.65337619351</v>
      </c>
    </row>
    <row r="11" spans="1:10" x14ac:dyDescent="0.25">
      <c r="A11" s="6" t="s">
        <v>40</v>
      </c>
      <c r="B11" s="72"/>
      <c r="C11" s="7">
        <f t="shared" si="4"/>
        <v>159229.65337619351</v>
      </c>
      <c r="D11" s="7">
        <f t="shared" si="0"/>
        <v>200.82592398207089</v>
      </c>
      <c r="E11" s="7">
        <f t="shared" si="1"/>
        <v>663.45688906747296</v>
      </c>
      <c r="F11" s="7">
        <f t="shared" si="2"/>
        <v>864.28281304954385</v>
      </c>
      <c r="G11" s="7">
        <f t="shared" si="3"/>
        <v>159028.82745221144</v>
      </c>
    </row>
    <row r="12" spans="1:10" x14ac:dyDescent="0.25">
      <c r="A12" s="6" t="s">
        <v>41</v>
      </c>
      <c r="B12" s="72"/>
      <c r="C12" s="7">
        <f t="shared" si="4"/>
        <v>159028.82745221144</v>
      </c>
      <c r="D12" s="7">
        <f t="shared" si="0"/>
        <v>201.66269866532957</v>
      </c>
      <c r="E12" s="7">
        <f t="shared" si="1"/>
        <v>662.62011438421428</v>
      </c>
      <c r="F12" s="7">
        <f t="shared" si="2"/>
        <v>864.28281304954385</v>
      </c>
      <c r="G12" s="7">
        <f t="shared" si="3"/>
        <v>158827.16475354609</v>
      </c>
    </row>
    <row r="13" spans="1:10" x14ac:dyDescent="0.25">
      <c r="A13" s="6" t="s">
        <v>42</v>
      </c>
      <c r="B13" s="72"/>
      <c r="C13" s="7">
        <f t="shared" si="4"/>
        <v>158827.16475354609</v>
      </c>
      <c r="D13" s="7">
        <f t="shared" si="0"/>
        <v>202.50295990976849</v>
      </c>
      <c r="E13" s="7">
        <f t="shared" si="1"/>
        <v>661.77985313977535</v>
      </c>
      <c r="F13" s="7">
        <f t="shared" si="2"/>
        <v>864.28281304954385</v>
      </c>
      <c r="G13" s="10">
        <f t="shared" si="3"/>
        <v>158624.66179363633</v>
      </c>
    </row>
    <row r="14" spans="1:10" x14ac:dyDescent="0.25">
      <c r="A14" s="11" t="s">
        <v>43</v>
      </c>
      <c r="B14" s="11"/>
      <c r="C14" s="11"/>
      <c r="D14" s="10">
        <f>SUM(D2:D13)</f>
        <v>2375.3382063636436</v>
      </c>
      <c r="E14" s="10">
        <f>SUM(E2:E13)</f>
        <v>7996.0555502308835</v>
      </c>
      <c r="F14" s="7"/>
      <c r="G14" s="7"/>
    </row>
    <row r="15" spans="1:10" x14ac:dyDescent="0.25">
      <c r="A15" s="6"/>
      <c r="B15" s="72"/>
      <c r="C15" s="6"/>
      <c r="D15" s="7"/>
      <c r="E15" s="7"/>
      <c r="F15" s="7"/>
      <c r="G15" s="7"/>
    </row>
    <row r="16" spans="1:10" x14ac:dyDescent="0.25">
      <c r="A16" s="6" t="s">
        <v>44</v>
      </c>
      <c r="B16" s="71" t="s">
        <v>56</v>
      </c>
      <c r="C16" s="7">
        <f>+G13</f>
        <v>158624.66179363633</v>
      </c>
      <c r="D16" s="7">
        <f t="shared" ref="D16:D27" si="5">+F16-E16</f>
        <v>203.34672224272583</v>
      </c>
      <c r="E16" s="7">
        <f t="shared" ref="E16:E27" si="6">C16*$J$2</f>
        <v>660.93609080681802</v>
      </c>
      <c r="F16" s="7">
        <f t="shared" ref="F16:F27" si="7">-$J$8</f>
        <v>864.28281304954385</v>
      </c>
      <c r="G16" s="7">
        <f t="shared" ref="G16:G27" si="8">+C16-D16</f>
        <v>158421.31507139362</v>
      </c>
    </row>
    <row r="17" spans="1:7" x14ac:dyDescent="0.25">
      <c r="A17" s="6" t="s">
        <v>45</v>
      </c>
      <c r="B17" s="72"/>
      <c r="C17" s="7">
        <f t="shared" ref="C17:C27" si="9">+G16</f>
        <v>158421.31507139362</v>
      </c>
      <c r="D17" s="7">
        <f t="shared" si="5"/>
        <v>204.1940002520704</v>
      </c>
      <c r="E17" s="7">
        <f t="shared" si="6"/>
        <v>660.08881279747345</v>
      </c>
      <c r="F17" s="7">
        <f t="shared" si="7"/>
        <v>864.28281304954385</v>
      </c>
      <c r="G17" s="7">
        <f t="shared" si="8"/>
        <v>158217.12107114156</v>
      </c>
    </row>
    <row r="18" spans="1:7" x14ac:dyDescent="0.25">
      <c r="A18" s="6" t="s">
        <v>46</v>
      </c>
      <c r="B18" s="72"/>
      <c r="C18" s="7">
        <f t="shared" si="9"/>
        <v>158217.12107114156</v>
      </c>
      <c r="D18" s="7">
        <f t="shared" si="5"/>
        <v>205.044808586454</v>
      </c>
      <c r="E18" s="7">
        <f t="shared" si="6"/>
        <v>659.23800446308985</v>
      </c>
      <c r="F18" s="7">
        <f t="shared" si="7"/>
        <v>864.28281304954385</v>
      </c>
      <c r="G18" s="7">
        <f t="shared" si="8"/>
        <v>158012.07626255511</v>
      </c>
    </row>
    <row r="19" spans="1:7" x14ac:dyDescent="0.25">
      <c r="A19" s="6" t="s">
        <v>47</v>
      </c>
      <c r="B19" s="72"/>
      <c r="C19" s="7">
        <f t="shared" si="9"/>
        <v>158012.07626255511</v>
      </c>
      <c r="D19" s="7">
        <f t="shared" si="5"/>
        <v>205.89916195556418</v>
      </c>
      <c r="E19" s="7">
        <f t="shared" si="6"/>
        <v>658.38365109397967</v>
      </c>
      <c r="F19" s="7">
        <f t="shared" si="7"/>
        <v>864.28281304954385</v>
      </c>
      <c r="G19" s="7">
        <f t="shared" si="8"/>
        <v>157806.17710059954</v>
      </c>
    </row>
    <row r="20" spans="1:7" x14ac:dyDescent="0.25">
      <c r="A20" s="6" t="s">
        <v>48</v>
      </c>
      <c r="B20" s="72"/>
      <c r="C20" s="7">
        <f t="shared" si="9"/>
        <v>157806.17710059954</v>
      </c>
      <c r="D20" s="7">
        <f t="shared" si="5"/>
        <v>206.75707513037912</v>
      </c>
      <c r="E20" s="7">
        <f t="shared" si="6"/>
        <v>657.52573791916473</v>
      </c>
      <c r="F20" s="7">
        <f t="shared" si="7"/>
        <v>864.28281304954385</v>
      </c>
      <c r="G20" s="7">
        <f t="shared" si="8"/>
        <v>157599.42002546915</v>
      </c>
    </row>
    <row r="21" spans="1:7" x14ac:dyDescent="0.25">
      <c r="A21" s="6" t="s">
        <v>49</v>
      </c>
      <c r="B21" s="72"/>
      <c r="C21" s="7">
        <f t="shared" si="9"/>
        <v>157599.42002546915</v>
      </c>
      <c r="D21" s="7">
        <f t="shared" si="5"/>
        <v>207.61856294342238</v>
      </c>
      <c r="E21" s="7">
        <f t="shared" si="6"/>
        <v>656.66425010612147</v>
      </c>
      <c r="F21" s="7">
        <f t="shared" si="7"/>
        <v>864.28281304954385</v>
      </c>
      <c r="G21" s="7">
        <f t="shared" si="8"/>
        <v>157391.80146252573</v>
      </c>
    </row>
    <row r="22" spans="1:7" x14ac:dyDescent="0.25">
      <c r="A22" s="6" t="s">
        <v>50</v>
      </c>
      <c r="B22" s="72"/>
      <c r="C22" s="7">
        <f t="shared" si="9"/>
        <v>157391.80146252573</v>
      </c>
      <c r="D22" s="7">
        <f t="shared" si="5"/>
        <v>208.48364028901995</v>
      </c>
      <c r="E22" s="7">
        <f t="shared" si="6"/>
        <v>655.7991727605239</v>
      </c>
      <c r="F22" s="7">
        <f t="shared" si="7"/>
        <v>864.28281304954385</v>
      </c>
      <c r="G22" s="7">
        <f t="shared" si="8"/>
        <v>157183.31782223671</v>
      </c>
    </row>
    <row r="23" spans="1:7" x14ac:dyDescent="0.25">
      <c r="A23" s="6" t="s">
        <v>51</v>
      </c>
      <c r="B23" s="72"/>
      <c r="C23" s="7">
        <f t="shared" si="9"/>
        <v>157183.31782223671</v>
      </c>
      <c r="D23" s="7">
        <f t="shared" si="5"/>
        <v>209.35232212355754</v>
      </c>
      <c r="E23" s="7">
        <f t="shared" si="6"/>
        <v>654.93049092598631</v>
      </c>
      <c r="F23" s="7">
        <f t="shared" si="7"/>
        <v>864.28281304954385</v>
      </c>
      <c r="G23" s="7">
        <f t="shared" si="8"/>
        <v>156973.96550011315</v>
      </c>
    </row>
    <row r="24" spans="1:7" x14ac:dyDescent="0.25">
      <c r="A24" s="6" t="s">
        <v>52</v>
      </c>
      <c r="B24" s="72"/>
      <c r="C24" s="7">
        <f t="shared" si="9"/>
        <v>156973.96550011315</v>
      </c>
      <c r="D24" s="7">
        <f t="shared" si="5"/>
        <v>210.22462346573911</v>
      </c>
      <c r="E24" s="7">
        <f t="shared" si="6"/>
        <v>654.05818958380473</v>
      </c>
      <c r="F24" s="7">
        <f t="shared" si="7"/>
        <v>864.28281304954385</v>
      </c>
      <c r="G24" s="7">
        <f t="shared" si="8"/>
        <v>156763.74087664741</v>
      </c>
    </row>
    <row r="25" spans="1:7" x14ac:dyDescent="0.25">
      <c r="A25" s="6" t="s">
        <v>53</v>
      </c>
      <c r="B25" s="72"/>
      <c r="C25" s="7">
        <f t="shared" si="9"/>
        <v>156763.74087664741</v>
      </c>
      <c r="D25" s="7">
        <f t="shared" si="5"/>
        <v>211.10055939684628</v>
      </c>
      <c r="E25" s="7">
        <f t="shared" si="6"/>
        <v>653.18225365269757</v>
      </c>
      <c r="F25" s="7">
        <f t="shared" si="7"/>
        <v>864.28281304954385</v>
      </c>
      <c r="G25" s="7">
        <f t="shared" si="8"/>
        <v>156552.64031725057</v>
      </c>
    </row>
    <row r="26" spans="1:7" x14ac:dyDescent="0.25">
      <c r="A26" s="6" t="s">
        <v>54</v>
      </c>
      <c r="B26" s="72"/>
      <c r="C26" s="7">
        <f t="shared" si="9"/>
        <v>156552.64031725057</v>
      </c>
      <c r="D26" s="7">
        <f t="shared" si="5"/>
        <v>211.9801450609998</v>
      </c>
      <c r="E26" s="7">
        <f t="shared" si="6"/>
        <v>652.30266798854404</v>
      </c>
      <c r="F26" s="7">
        <f t="shared" si="7"/>
        <v>864.28281304954385</v>
      </c>
      <c r="G26" s="7">
        <f t="shared" si="8"/>
        <v>156340.66017218956</v>
      </c>
    </row>
    <row r="27" spans="1:7" x14ac:dyDescent="0.25">
      <c r="A27" s="6" t="s">
        <v>55</v>
      </c>
      <c r="B27" s="72"/>
      <c r="C27" s="7">
        <f t="shared" si="9"/>
        <v>156340.66017218956</v>
      </c>
      <c r="D27" s="7">
        <f t="shared" si="5"/>
        <v>212.86339566542074</v>
      </c>
      <c r="E27" s="7">
        <f t="shared" si="6"/>
        <v>651.41941738412311</v>
      </c>
      <c r="F27" s="7">
        <f t="shared" si="7"/>
        <v>864.28281304954385</v>
      </c>
      <c r="G27" s="10">
        <f t="shared" si="8"/>
        <v>156127.79677652413</v>
      </c>
    </row>
    <row r="28" spans="1:7" x14ac:dyDescent="0.25">
      <c r="A28" s="11" t="s">
        <v>43</v>
      </c>
      <c r="B28" s="11"/>
      <c r="C28" s="11"/>
      <c r="D28" s="10">
        <f>SUM(D16:D27)</f>
        <v>2496.8650171121994</v>
      </c>
      <c r="E28" s="10">
        <f>SUM(E16:E27)</f>
        <v>7874.5287394823281</v>
      </c>
      <c r="F28" s="7"/>
      <c r="G28" s="7"/>
    </row>
    <row r="29" spans="1:7" x14ac:dyDescent="0.25">
      <c r="A29" s="6"/>
      <c r="B29" s="72"/>
      <c r="C29" s="6"/>
      <c r="D29" s="7"/>
      <c r="E29" s="7"/>
      <c r="F29" s="7"/>
      <c r="G29" s="7"/>
    </row>
    <row r="30" spans="1:7" x14ac:dyDescent="0.25">
      <c r="A30" s="6" t="s">
        <v>56</v>
      </c>
      <c r="B30" s="71" t="s">
        <v>68</v>
      </c>
      <c r="C30" s="7">
        <f>+G27</f>
        <v>156127.79677652413</v>
      </c>
      <c r="D30" s="7">
        <f t="shared" ref="D30:D41" si="10">+F30-E30</f>
        <v>213.75032648069327</v>
      </c>
      <c r="E30" s="7">
        <f t="shared" ref="E30:E41" si="11">C30*$J$2</f>
        <v>650.53248656885057</v>
      </c>
      <c r="F30" s="7">
        <f t="shared" ref="F30:F41" si="12">-$J$8</f>
        <v>864.28281304954385</v>
      </c>
      <c r="G30" s="7">
        <f t="shared" ref="G30:G41" si="13">+C30-D30</f>
        <v>155914.04645004345</v>
      </c>
    </row>
    <row r="31" spans="1:7" x14ac:dyDescent="0.25">
      <c r="A31" s="6" t="s">
        <v>57</v>
      </c>
      <c r="B31" s="72"/>
      <c r="C31" s="7">
        <f t="shared" ref="C31:C41" si="14">+G30</f>
        <v>155914.04645004345</v>
      </c>
      <c r="D31" s="7">
        <f t="shared" si="10"/>
        <v>214.6409528410295</v>
      </c>
      <c r="E31" s="7">
        <f t="shared" si="11"/>
        <v>649.64186020851434</v>
      </c>
      <c r="F31" s="7">
        <f t="shared" si="12"/>
        <v>864.28281304954385</v>
      </c>
      <c r="G31" s="7">
        <f t="shared" si="13"/>
        <v>155699.40549720242</v>
      </c>
    </row>
    <row r="32" spans="1:7" x14ac:dyDescent="0.25">
      <c r="A32" s="6" t="s">
        <v>58</v>
      </c>
      <c r="B32" s="72"/>
      <c r="C32" s="7">
        <f t="shared" si="14"/>
        <v>155699.40549720242</v>
      </c>
      <c r="D32" s="7">
        <f t="shared" si="10"/>
        <v>215.53529014453375</v>
      </c>
      <c r="E32" s="7">
        <f t="shared" si="11"/>
        <v>648.7475229050101</v>
      </c>
      <c r="F32" s="7">
        <f t="shared" si="12"/>
        <v>864.28281304954385</v>
      </c>
      <c r="G32" s="7">
        <f t="shared" si="13"/>
        <v>155483.87020705789</v>
      </c>
    </row>
    <row r="33" spans="1:7" x14ac:dyDescent="0.25">
      <c r="A33" s="6" t="s">
        <v>59</v>
      </c>
      <c r="B33" s="72"/>
      <c r="C33" s="7">
        <f t="shared" si="14"/>
        <v>155483.87020705789</v>
      </c>
      <c r="D33" s="7">
        <f t="shared" si="10"/>
        <v>216.43335385346927</v>
      </c>
      <c r="E33" s="7">
        <f t="shared" si="11"/>
        <v>647.84945919607458</v>
      </c>
      <c r="F33" s="7">
        <f t="shared" si="12"/>
        <v>864.28281304954385</v>
      </c>
      <c r="G33" s="7">
        <f t="shared" si="13"/>
        <v>155267.43685320442</v>
      </c>
    </row>
    <row r="34" spans="1:7" x14ac:dyDescent="0.25">
      <c r="A34" s="6" t="s">
        <v>60</v>
      </c>
      <c r="B34" s="72"/>
      <c r="C34" s="7">
        <f t="shared" si="14"/>
        <v>155267.43685320442</v>
      </c>
      <c r="D34" s="7">
        <f t="shared" si="10"/>
        <v>217.33515949452544</v>
      </c>
      <c r="E34" s="7">
        <f t="shared" si="11"/>
        <v>646.94765355501841</v>
      </c>
      <c r="F34" s="7">
        <f t="shared" si="12"/>
        <v>864.28281304954385</v>
      </c>
      <c r="G34" s="7">
        <f t="shared" si="13"/>
        <v>155050.1016937099</v>
      </c>
    </row>
    <row r="35" spans="1:7" x14ac:dyDescent="0.25">
      <c r="A35" s="6" t="s">
        <v>61</v>
      </c>
      <c r="B35" s="72"/>
      <c r="C35" s="7">
        <f t="shared" si="14"/>
        <v>155050.1016937099</v>
      </c>
      <c r="D35" s="7">
        <f t="shared" si="10"/>
        <v>218.24072265908592</v>
      </c>
      <c r="E35" s="7">
        <f t="shared" si="11"/>
        <v>646.04209039045793</v>
      </c>
      <c r="F35" s="7">
        <f t="shared" si="12"/>
        <v>864.28281304954385</v>
      </c>
      <c r="G35" s="7">
        <f t="shared" si="13"/>
        <v>154831.86097105083</v>
      </c>
    </row>
    <row r="36" spans="1:7" x14ac:dyDescent="0.25">
      <c r="A36" s="6" t="s">
        <v>62</v>
      </c>
      <c r="B36" s="72"/>
      <c r="C36" s="7">
        <f t="shared" si="14"/>
        <v>154831.86097105083</v>
      </c>
      <c r="D36" s="7">
        <f t="shared" si="10"/>
        <v>219.15005900349877</v>
      </c>
      <c r="E36" s="7">
        <f t="shared" si="11"/>
        <v>645.13275404604508</v>
      </c>
      <c r="F36" s="7">
        <f t="shared" si="12"/>
        <v>864.28281304954385</v>
      </c>
      <c r="G36" s="7">
        <f t="shared" si="13"/>
        <v>154612.71091204733</v>
      </c>
    </row>
    <row r="37" spans="1:7" x14ac:dyDescent="0.25">
      <c r="A37" s="6" t="s">
        <v>63</v>
      </c>
      <c r="B37" s="72"/>
      <c r="C37" s="7">
        <f t="shared" si="14"/>
        <v>154612.71091204733</v>
      </c>
      <c r="D37" s="7">
        <f t="shared" si="10"/>
        <v>220.06318424934659</v>
      </c>
      <c r="E37" s="7">
        <f t="shared" si="11"/>
        <v>644.21962880019726</v>
      </c>
      <c r="F37" s="7">
        <f t="shared" si="12"/>
        <v>864.28281304954385</v>
      </c>
      <c r="G37" s="7">
        <f t="shared" si="13"/>
        <v>154392.64772779797</v>
      </c>
    </row>
    <row r="38" spans="1:7" x14ac:dyDescent="0.25">
      <c r="A38" s="6" t="s">
        <v>64</v>
      </c>
      <c r="B38" s="72"/>
      <c r="C38" s="7">
        <f t="shared" si="14"/>
        <v>154392.64772779797</v>
      </c>
      <c r="D38" s="7">
        <f t="shared" si="10"/>
        <v>220.98011418371902</v>
      </c>
      <c r="E38" s="7">
        <f t="shared" si="11"/>
        <v>643.30269886582482</v>
      </c>
      <c r="F38" s="7">
        <f t="shared" si="12"/>
        <v>864.28281304954385</v>
      </c>
      <c r="G38" s="7">
        <f t="shared" si="13"/>
        <v>154171.66761361426</v>
      </c>
    </row>
    <row r="39" spans="1:7" x14ac:dyDescent="0.25">
      <c r="A39" s="6" t="s">
        <v>65</v>
      </c>
      <c r="B39" s="72"/>
      <c r="C39" s="7">
        <f t="shared" si="14"/>
        <v>154171.66761361426</v>
      </c>
      <c r="D39" s="7">
        <f t="shared" si="10"/>
        <v>221.90086465948445</v>
      </c>
      <c r="E39" s="7">
        <f t="shared" si="11"/>
        <v>642.38194839005939</v>
      </c>
      <c r="F39" s="7">
        <f t="shared" si="12"/>
        <v>864.28281304954385</v>
      </c>
      <c r="G39" s="7">
        <f t="shared" si="13"/>
        <v>153949.76674895477</v>
      </c>
    </row>
    <row r="40" spans="1:7" x14ac:dyDescent="0.25">
      <c r="A40" s="6" t="s">
        <v>66</v>
      </c>
      <c r="B40" s="72"/>
      <c r="C40" s="7">
        <f t="shared" si="14"/>
        <v>153949.76674895477</v>
      </c>
      <c r="D40" s="7">
        <f t="shared" si="10"/>
        <v>222.8254515955656</v>
      </c>
      <c r="E40" s="7">
        <f t="shared" si="11"/>
        <v>641.45736145397825</v>
      </c>
      <c r="F40" s="7">
        <f t="shared" si="12"/>
        <v>864.28281304954385</v>
      </c>
      <c r="G40" s="7">
        <f t="shared" si="13"/>
        <v>153726.94129735921</v>
      </c>
    </row>
    <row r="41" spans="1:7" x14ac:dyDescent="0.25">
      <c r="A41" s="6" t="s">
        <v>67</v>
      </c>
      <c r="B41" s="72"/>
      <c r="C41" s="7">
        <f t="shared" si="14"/>
        <v>153726.94129735921</v>
      </c>
      <c r="D41" s="7">
        <f t="shared" si="10"/>
        <v>223.75389097721381</v>
      </c>
      <c r="E41" s="7">
        <f t="shared" si="11"/>
        <v>640.52892207233003</v>
      </c>
      <c r="F41" s="7">
        <f t="shared" si="12"/>
        <v>864.28281304954385</v>
      </c>
      <c r="G41" s="10">
        <f t="shared" si="13"/>
        <v>153503.187406382</v>
      </c>
    </row>
    <row r="42" spans="1:7" x14ac:dyDescent="0.25">
      <c r="A42" s="11" t="s">
        <v>43</v>
      </c>
      <c r="B42" s="11"/>
      <c r="C42" s="11"/>
      <c r="D42" s="10">
        <f>SUM(D30:D41)</f>
        <v>2624.6093701421655</v>
      </c>
      <c r="E42" s="10">
        <f>SUM(E30:E41)</f>
        <v>7746.7843864523611</v>
      </c>
      <c r="F42" s="7"/>
      <c r="G42" s="7"/>
    </row>
    <row r="43" spans="1:7" x14ac:dyDescent="0.25">
      <c r="A43" s="6"/>
      <c r="B43" s="72"/>
      <c r="C43" s="6"/>
      <c r="D43" s="7"/>
      <c r="E43" s="7"/>
      <c r="F43" s="7"/>
      <c r="G43" s="7"/>
    </row>
    <row r="44" spans="1:7" x14ac:dyDescent="0.25">
      <c r="A44" s="6" t="s">
        <v>68</v>
      </c>
      <c r="B44" s="71" t="s">
        <v>171</v>
      </c>
      <c r="C44" s="7">
        <f>+G41</f>
        <v>153503.187406382</v>
      </c>
      <c r="D44" s="7">
        <f t="shared" ref="D44:D55" si="15">+F44-E44</f>
        <v>224.6861988562855</v>
      </c>
      <c r="E44" s="7">
        <f t="shared" ref="E44:E55" si="16">C44*$J$2</f>
        <v>639.59661419325835</v>
      </c>
      <c r="F44" s="7">
        <f t="shared" ref="F44:F55" si="17">-$J$8</f>
        <v>864.28281304954385</v>
      </c>
      <c r="G44" s="7">
        <f t="shared" ref="G44:G55" si="18">+C44-D44</f>
        <v>153278.50120752573</v>
      </c>
    </row>
    <row r="45" spans="1:7" x14ac:dyDescent="0.25">
      <c r="A45" s="6" t="s">
        <v>69</v>
      </c>
      <c r="B45" s="72"/>
      <c r="C45" s="7">
        <f t="shared" ref="C45:C55" si="19">+G44</f>
        <v>153278.50120752573</v>
      </c>
      <c r="D45" s="7">
        <f t="shared" si="15"/>
        <v>225.62239135152004</v>
      </c>
      <c r="E45" s="7">
        <f t="shared" si="16"/>
        <v>638.66042169802381</v>
      </c>
      <c r="F45" s="7">
        <f t="shared" si="17"/>
        <v>864.28281304954385</v>
      </c>
      <c r="G45" s="7">
        <f t="shared" si="18"/>
        <v>153052.8788161742</v>
      </c>
    </row>
    <row r="46" spans="1:7" x14ac:dyDescent="0.25">
      <c r="A46" s="6" t="s">
        <v>70</v>
      </c>
      <c r="B46" s="72"/>
      <c r="C46" s="7">
        <f t="shared" si="19"/>
        <v>153052.8788161742</v>
      </c>
      <c r="D46" s="7">
        <f t="shared" si="15"/>
        <v>226.56248464881799</v>
      </c>
      <c r="E46" s="7">
        <f t="shared" si="16"/>
        <v>637.72032840072586</v>
      </c>
      <c r="F46" s="7">
        <f t="shared" si="17"/>
        <v>864.28281304954385</v>
      </c>
      <c r="G46" s="7">
        <f t="shared" si="18"/>
        <v>152826.31633152539</v>
      </c>
    </row>
    <row r="47" spans="1:7" x14ac:dyDescent="0.25">
      <c r="A47" s="6" t="s">
        <v>71</v>
      </c>
      <c r="B47" s="72"/>
      <c r="C47" s="7">
        <f t="shared" si="19"/>
        <v>152826.31633152539</v>
      </c>
      <c r="D47" s="7">
        <f t="shared" si="15"/>
        <v>227.50649500152144</v>
      </c>
      <c r="E47" s="7">
        <f t="shared" si="16"/>
        <v>636.7763180480224</v>
      </c>
      <c r="F47" s="7">
        <f t="shared" si="17"/>
        <v>864.28281304954385</v>
      </c>
      <c r="G47" s="7">
        <f t="shared" si="18"/>
        <v>152598.80983652387</v>
      </c>
    </row>
    <row r="48" spans="1:7" x14ac:dyDescent="0.25">
      <c r="A48" s="6" t="s">
        <v>72</v>
      </c>
      <c r="B48" s="72"/>
      <c r="C48" s="7">
        <f t="shared" si="19"/>
        <v>152598.80983652387</v>
      </c>
      <c r="D48" s="7">
        <f t="shared" si="15"/>
        <v>228.45443873069439</v>
      </c>
      <c r="E48" s="7">
        <f t="shared" si="16"/>
        <v>635.82837431884946</v>
      </c>
      <c r="F48" s="7">
        <f t="shared" si="17"/>
        <v>864.28281304954385</v>
      </c>
      <c r="G48" s="7">
        <f t="shared" si="18"/>
        <v>152370.35539779317</v>
      </c>
    </row>
    <row r="49" spans="1:8" x14ac:dyDescent="0.25">
      <c r="A49" s="6" t="s">
        <v>73</v>
      </c>
      <c r="B49" s="72"/>
      <c r="C49" s="7">
        <f t="shared" si="19"/>
        <v>152370.35539779317</v>
      </c>
      <c r="D49" s="7">
        <f t="shared" si="15"/>
        <v>229.40633222540566</v>
      </c>
      <c r="E49" s="7">
        <f t="shared" si="16"/>
        <v>634.87648082413818</v>
      </c>
      <c r="F49" s="7">
        <f t="shared" si="17"/>
        <v>864.28281304954385</v>
      </c>
      <c r="G49" s="7">
        <f t="shared" si="18"/>
        <v>152140.94906556778</v>
      </c>
    </row>
    <row r="50" spans="1:8" x14ac:dyDescent="0.25">
      <c r="A50" s="6" t="s">
        <v>74</v>
      </c>
      <c r="B50" s="72"/>
      <c r="C50" s="7">
        <f t="shared" si="19"/>
        <v>152140.94906556778</v>
      </c>
      <c r="D50" s="7">
        <f t="shared" si="15"/>
        <v>230.36219194301145</v>
      </c>
      <c r="E50" s="7">
        <f t="shared" si="16"/>
        <v>633.92062110653239</v>
      </c>
      <c r="F50" s="7">
        <f t="shared" si="17"/>
        <v>864.28281304954385</v>
      </c>
      <c r="G50" s="7">
        <f t="shared" si="18"/>
        <v>151910.58687362476</v>
      </c>
    </row>
    <row r="51" spans="1:8" x14ac:dyDescent="0.25">
      <c r="A51" s="6" t="s">
        <v>75</v>
      </c>
      <c r="B51" s="72"/>
      <c r="C51" s="7">
        <f t="shared" si="19"/>
        <v>151910.58687362476</v>
      </c>
      <c r="D51" s="7">
        <f t="shared" si="15"/>
        <v>231.32203440944068</v>
      </c>
      <c r="E51" s="7">
        <f t="shared" si="16"/>
        <v>632.96077864010317</v>
      </c>
      <c r="F51" s="7">
        <f t="shared" si="17"/>
        <v>864.28281304954385</v>
      </c>
      <c r="G51" s="7">
        <f t="shared" si="18"/>
        <v>151679.26483921532</v>
      </c>
    </row>
    <row r="52" spans="1:8" x14ac:dyDescent="0.25">
      <c r="A52" s="6" t="s">
        <v>76</v>
      </c>
      <c r="B52" s="72"/>
      <c r="C52" s="7">
        <f t="shared" si="19"/>
        <v>151679.26483921532</v>
      </c>
      <c r="D52" s="7">
        <f t="shared" si="15"/>
        <v>232.28587621947997</v>
      </c>
      <c r="E52" s="7">
        <f t="shared" si="16"/>
        <v>631.99693683006387</v>
      </c>
      <c r="F52" s="7">
        <f t="shared" si="17"/>
        <v>864.28281304954385</v>
      </c>
      <c r="G52" s="7">
        <f t="shared" si="18"/>
        <v>151446.97896299584</v>
      </c>
    </row>
    <row r="53" spans="1:8" x14ac:dyDescent="0.25">
      <c r="A53" s="6" t="s">
        <v>77</v>
      </c>
      <c r="B53" s="72"/>
      <c r="C53" s="7">
        <f t="shared" si="19"/>
        <v>151446.97896299584</v>
      </c>
      <c r="D53" s="7">
        <f t="shared" si="15"/>
        <v>233.25373403706124</v>
      </c>
      <c r="E53" s="7">
        <f t="shared" si="16"/>
        <v>631.02907901248261</v>
      </c>
      <c r="F53" s="7">
        <f t="shared" si="17"/>
        <v>864.28281304954385</v>
      </c>
      <c r="G53" s="7">
        <f t="shared" si="18"/>
        <v>151213.72522895879</v>
      </c>
    </row>
    <row r="54" spans="1:8" x14ac:dyDescent="0.25">
      <c r="A54" s="6" t="s">
        <v>78</v>
      </c>
      <c r="B54" s="72"/>
      <c r="C54" s="7">
        <f t="shared" si="19"/>
        <v>151213.72522895879</v>
      </c>
      <c r="D54" s="7">
        <f t="shared" si="15"/>
        <v>234.22562459554888</v>
      </c>
      <c r="E54" s="7">
        <f t="shared" si="16"/>
        <v>630.05718845399497</v>
      </c>
      <c r="F54" s="7">
        <f t="shared" si="17"/>
        <v>864.28281304954385</v>
      </c>
      <c r="G54" s="7">
        <f t="shared" si="18"/>
        <v>150979.49960436326</v>
      </c>
    </row>
    <row r="55" spans="1:8" x14ac:dyDescent="0.25">
      <c r="A55" s="6" t="s">
        <v>79</v>
      </c>
      <c r="B55" s="72"/>
      <c r="C55" s="7">
        <f t="shared" si="19"/>
        <v>150979.49960436326</v>
      </c>
      <c r="D55" s="7">
        <f t="shared" si="15"/>
        <v>235.20156469803032</v>
      </c>
      <c r="E55" s="7">
        <f t="shared" si="16"/>
        <v>629.08124835151352</v>
      </c>
      <c r="F55" s="7">
        <f t="shared" si="17"/>
        <v>864.28281304954385</v>
      </c>
      <c r="G55" s="10">
        <f t="shared" si="18"/>
        <v>150744.29803966521</v>
      </c>
      <c r="H55" s="7"/>
    </row>
    <row r="56" spans="1:8" x14ac:dyDescent="0.25">
      <c r="A56" s="11" t="s">
        <v>43</v>
      </c>
      <c r="B56" s="11"/>
      <c r="C56" s="12"/>
      <c r="D56" s="10">
        <f>SUM(D44:D55)</f>
        <v>2758.8893667168181</v>
      </c>
      <c r="E56" s="10">
        <f>SUM(E44:E55)</f>
        <v>7612.5043898777085</v>
      </c>
    </row>
    <row r="57" spans="1:8" x14ac:dyDescent="0.25">
      <c r="B57" s="4"/>
    </row>
    <row r="58" spans="1:8" x14ac:dyDescent="0.25">
      <c r="B58" s="73" t="s">
        <v>172</v>
      </c>
      <c r="C58" s="8">
        <f>G55</f>
        <v>150744.29803966521</v>
      </c>
      <c r="D58" s="7">
        <f t="shared" ref="D58" si="20">+F58-E58</f>
        <v>236.18157121760544</v>
      </c>
      <c r="E58" s="7">
        <f t="shared" ref="E58" si="21">C58*$J$2</f>
        <v>628.10124183193841</v>
      </c>
      <c r="F58" s="7">
        <f t="shared" ref="F58:F69" si="22">-$J$8</f>
        <v>864.28281304954385</v>
      </c>
      <c r="G58" s="7">
        <f t="shared" ref="G58" si="23">+C58-D58</f>
        <v>150508.11646844761</v>
      </c>
    </row>
    <row r="59" spans="1:8" x14ac:dyDescent="0.25">
      <c r="B59" s="4"/>
      <c r="C59" s="8">
        <f>G58</f>
        <v>150508.11646844761</v>
      </c>
      <c r="D59" s="7">
        <f t="shared" ref="D59" si="24">+F59-E59</f>
        <v>237.16566109767882</v>
      </c>
      <c r="E59" s="7">
        <f t="shared" ref="E59" si="25">C59*$J$2</f>
        <v>627.11715195186503</v>
      </c>
      <c r="F59" s="7">
        <f t="shared" si="22"/>
        <v>864.28281304954385</v>
      </c>
      <c r="G59" s="7">
        <f t="shared" ref="G59" si="26">+C59-D59</f>
        <v>150270.95080734993</v>
      </c>
    </row>
    <row r="60" spans="1:8" x14ac:dyDescent="0.25">
      <c r="B60" s="4"/>
      <c r="C60" s="8">
        <f t="shared" ref="C60:C69" si="27">G59</f>
        <v>150270.95080734993</v>
      </c>
      <c r="D60" s="7">
        <f t="shared" ref="D60:D69" si="28">+F60-E60</f>
        <v>238.15385135225245</v>
      </c>
      <c r="E60" s="7">
        <f t="shared" ref="E60:E69" si="29">C60*$J$2</f>
        <v>626.1289616972914</v>
      </c>
      <c r="F60" s="7">
        <f t="shared" si="22"/>
        <v>864.28281304954385</v>
      </c>
      <c r="G60" s="7">
        <f t="shared" ref="G60:G69" si="30">+C60-D60</f>
        <v>150032.79695599768</v>
      </c>
    </row>
    <row r="61" spans="1:8" x14ac:dyDescent="0.25">
      <c r="B61" s="4"/>
      <c r="C61" s="8">
        <f t="shared" si="27"/>
        <v>150032.79695599768</v>
      </c>
      <c r="D61" s="7">
        <f t="shared" si="28"/>
        <v>239.14615906622021</v>
      </c>
      <c r="E61" s="7">
        <f t="shared" si="29"/>
        <v>625.13665398332364</v>
      </c>
      <c r="F61" s="7">
        <f t="shared" si="22"/>
        <v>864.28281304954385</v>
      </c>
      <c r="G61" s="7">
        <f t="shared" si="30"/>
        <v>149793.65079693147</v>
      </c>
    </row>
    <row r="62" spans="1:8" x14ac:dyDescent="0.25">
      <c r="B62" s="4"/>
      <c r="C62" s="8">
        <f t="shared" si="27"/>
        <v>149793.65079693147</v>
      </c>
      <c r="D62" s="7">
        <f t="shared" si="28"/>
        <v>240.14260139566272</v>
      </c>
      <c r="E62" s="7">
        <f t="shared" si="29"/>
        <v>624.14021165388112</v>
      </c>
      <c r="F62" s="7">
        <f t="shared" si="22"/>
        <v>864.28281304954385</v>
      </c>
      <c r="G62" s="7">
        <f t="shared" si="30"/>
        <v>149553.5081955358</v>
      </c>
    </row>
    <row r="63" spans="1:8" x14ac:dyDescent="0.25">
      <c r="B63" s="4"/>
      <c r="C63" s="8">
        <f t="shared" si="27"/>
        <v>149553.5081955358</v>
      </c>
      <c r="D63" s="7">
        <f t="shared" si="28"/>
        <v>241.14319556814462</v>
      </c>
      <c r="E63" s="7">
        <f t="shared" si="29"/>
        <v>623.13961748139923</v>
      </c>
      <c r="F63" s="7">
        <f t="shared" si="22"/>
        <v>864.28281304954385</v>
      </c>
      <c r="G63" s="7">
        <f t="shared" si="30"/>
        <v>149312.36499996766</v>
      </c>
    </row>
    <row r="64" spans="1:8" x14ac:dyDescent="0.25">
      <c r="B64" s="4"/>
      <c r="C64" s="8">
        <f t="shared" si="27"/>
        <v>149312.36499996766</v>
      </c>
      <c r="D64" s="7">
        <f t="shared" si="28"/>
        <v>242.14795888301194</v>
      </c>
      <c r="E64" s="7">
        <f t="shared" si="29"/>
        <v>622.13485416653191</v>
      </c>
      <c r="F64" s="7">
        <f t="shared" si="22"/>
        <v>864.28281304954385</v>
      </c>
      <c r="G64" s="7">
        <f t="shared" si="30"/>
        <v>149070.21704108463</v>
      </c>
    </row>
    <row r="65" spans="2:7" x14ac:dyDescent="0.25">
      <c r="B65" s="4"/>
      <c r="C65" s="8">
        <f t="shared" si="27"/>
        <v>149070.21704108463</v>
      </c>
      <c r="D65" s="7">
        <f t="shared" si="28"/>
        <v>243.15690871169124</v>
      </c>
      <c r="E65" s="7">
        <f t="shared" si="29"/>
        <v>621.1259043378526</v>
      </c>
      <c r="F65" s="7">
        <f t="shared" si="22"/>
        <v>864.28281304954385</v>
      </c>
      <c r="G65" s="7">
        <f t="shared" si="30"/>
        <v>148827.06013237295</v>
      </c>
    </row>
    <row r="66" spans="2:7" x14ac:dyDescent="0.25">
      <c r="B66" s="4"/>
      <c r="C66" s="8">
        <f t="shared" si="27"/>
        <v>148827.06013237295</v>
      </c>
      <c r="D66" s="7">
        <f t="shared" si="28"/>
        <v>244.17006249798987</v>
      </c>
      <c r="E66" s="7">
        <f t="shared" si="29"/>
        <v>620.11275055155397</v>
      </c>
      <c r="F66" s="7">
        <f t="shared" si="22"/>
        <v>864.28281304954385</v>
      </c>
      <c r="G66" s="7">
        <f t="shared" si="30"/>
        <v>148582.89006987496</v>
      </c>
    </row>
    <row r="67" spans="2:7" x14ac:dyDescent="0.25">
      <c r="B67" s="4"/>
      <c r="C67" s="8">
        <f t="shared" si="27"/>
        <v>148582.89006987496</v>
      </c>
      <c r="D67" s="7">
        <f t="shared" si="28"/>
        <v>245.18743775839812</v>
      </c>
      <c r="E67" s="7">
        <f t="shared" si="29"/>
        <v>619.09537529114573</v>
      </c>
      <c r="F67" s="7">
        <f t="shared" si="22"/>
        <v>864.28281304954385</v>
      </c>
      <c r="G67" s="7">
        <f t="shared" si="30"/>
        <v>148337.70263211656</v>
      </c>
    </row>
    <row r="68" spans="2:7" x14ac:dyDescent="0.25">
      <c r="B68" s="4"/>
      <c r="C68" s="8">
        <f t="shared" si="27"/>
        <v>148337.70263211656</v>
      </c>
      <c r="D68" s="7">
        <f t="shared" si="28"/>
        <v>246.20905208239151</v>
      </c>
      <c r="E68" s="7">
        <f t="shared" si="29"/>
        <v>618.07376096715234</v>
      </c>
      <c r="F68" s="7">
        <f t="shared" si="22"/>
        <v>864.28281304954385</v>
      </c>
      <c r="G68" s="7">
        <f t="shared" si="30"/>
        <v>148091.49358003418</v>
      </c>
    </row>
    <row r="69" spans="2:7" x14ac:dyDescent="0.25">
      <c r="B69" s="4"/>
      <c r="C69" s="8">
        <f t="shared" si="27"/>
        <v>148091.49358003418</v>
      </c>
      <c r="D69" s="7">
        <f t="shared" si="28"/>
        <v>247.23492313273482</v>
      </c>
      <c r="E69" s="7">
        <f t="shared" si="29"/>
        <v>617.04788991680903</v>
      </c>
      <c r="F69" s="7">
        <f t="shared" si="22"/>
        <v>864.28281304954385</v>
      </c>
      <c r="G69" s="70">
        <f t="shared" si="30"/>
        <v>147844.25865690145</v>
      </c>
    </row>
    <row r="70" spans="2:7" x14ac:dyDescent="0.25">
      <c r="B70" s="4"/>
      <c r="D70" s="69">
        <f>SUM(D58:D69)</f>
        <v>2900.0393827637822</v>
      </c>
      <c r="E70" s="69">
        <f>SUM(E58:E69)</f>
        <v>7471.3543738307444</v>
      </c>
    </row>
    <row r="71" spans="2:7" x14ac:dyDescent="0.25">
      <c r="B71" s="4"/>
    </row>
    <row r="72" spans="2:7" x14ac:dyDescent="0.25">
      <c r="B72" s="73" t="s">
        <v>173</v>
      </c>
      <c r="C72" s="8">
        <f>G69</f>
        <v>147844.25865690145</v>
      </c>
      <c r="D72" s="7">
        <f t="shared" ref="D72:D83" si="31">+F72-E72</f>
        <v>248.26506864578778</v>
      </c>
      <c r="E72" s="7">
        <f t="shared" ref="E72:E83" si="32">C72*$J$2</f>
        <v>616.01774440375607</v>
      </c>
      <c r="F72" s="7">
        <f t="shared" ref="F72:F83" si="33">-$J$8</f>
        <v>864.28281304954385</v>
      </c>
      <c r="G72" s="7">
        <f t="shared" ref="G72:G83" si="34">+C72-D72</f>
        <v>147595.99358825566</v>
      </c>
    </row>
    <row r="73" spans="2:7" x14ac:dyDescent="0.25">
      <c r="B73" s="4"/>
      <c r="C73" s="8">
        <f>G72</f>
        <v>147595.99358825566</v>
      </c>
      <c r="D73" s="7">
        <f t="shared" si="31"/>
        <v>249.29950643181189</v>
      </c>
      <c r="E73" s="7">
        <f t="shared" si="32"/>
        <v>614.98330661773196</v>
      </c>
      <c r="F73" s="7">
        <f t="shared" si="33"/>
        <v>864.28281304954385</v>
      </c>
      <c r="G73" s="7">
        <f t="shared" si="34"/>
        <v>147346.69408182384</v>
      </c>
    </row>
    <row r="74" spans="2:7" x14ac:dyDescent="0.25">
      <c r="B74" s="4"/>
      <c r="C74" s="8">
        <f t="shared" ref="C74:C83" si="35">G73</f>
        <v>147346.69408182384</v>
      </c>
      <c r="D74" s="7">
        <f t="shared" si="31"/>
        <v>250.33825437527787</v>
      </c>
      <c r="E74" s="7">
        <f t="shared" si="32"/>
        <v>613.94455867426598</v>
      </c>
      <c r="F74" s="7">
        <f t="shared" si="33"/>
        <v>864.28281304954385</v>
      </c>
      <c r="G74" s="7">
        <f t="shared" si="34"/>
        <v>147096.35582744857</v>
      </c>
    </row>
    <row r="75" spans="2:7" x14ac:dyDescent="0.25">
      <c r="B75" s="4"/>
      <c r="C75" s="8">
        <f t="shared" si="35"/>
        <v>147096.35582744857</v>
      </c>
      <c r="D75" s="7">
        <f t="shared" si="31"/>
        <v>251.38133043517485</v>
      </c>
      <c r="E75" s="7">
        <f t="shared" si="32"/>
        <v>612.901482614369</v>
      </c>
      <c r="F75" s="7">
        <f t="shared" si="33"/>
        <v>864.28281304954385</v>
      </c>
      <c r="G75" s="7">
        <f t="shared" si="34"/>
        <v>146844.97449701341</v>
      </c>
    </row>
    <row r="76" spans="2:7" x14ac:dyDescent="0.25">
      <c r="B76" s="4"/>
      <c r="C76" s="8">
        <f t="shared" si="35"/>
        <v>146844.97449701341</v>
      </c>
      <c r="D76" s="7">
        <f t="shared" si="31"/>
        <v>252.42875264532131</v>
      </c>
      <c r="E76" s="7">
        <f t="shared" si="32"/>
        <v>611.85406040422254</v>
      </c>
      <c r="F76" s="7">
        <f t="shared" si="33"/>
        <v>864.28281304954385</v>
      </c>
      <c r="G76" s="7">
        <f t="shared" si="34"/>
        <v>146592.54574436808</v>
      </c>
    </row>
    <row r="77" spans="2:7" x14ac:dyDescent="0.25">
      <c r="B77" s="4"/>
      <c r="C77" s="8">
        <f t="shared" si="35"/>
        <v>146592.54574436808</v>
      </c>
      <c r="D77" s="7">
        <f t="shared" si="31"/>
        <v>253.48053911467684</v>
      </c>
      <c r="E77" s="7">
        <f t="shared" si="32"/>
        <v>610.802273934867</v>
      </c>
      <c r="F77" s="7">
        <f t="shared" si="33"/>
        <v>864.28281304954385</v>
      </c>
      <c r="G77" s="7">
        <f t="shared" si="34"/>
        <v>146339.0652052534</v>
      </c>
    </row>
    <row r="78" spans="2:7" x14ac:dyDescent="0.25">
      <c r="B78" s="4"/>
      <c r="C78" s="8">
        <f t="shared" si="35"/>
        <v>146339.0652052534</v>
      </c>
      <c r="D78" s="7">
        <f t="shared" si="31"/>
        <v>254.53670802765464</v>
      </c>
      <c r="E78" s="7">
        <f t="shared" si="32"/>
        <v>609.74610502188921</v>
      </c>
      <c r="F78" s="7">
        <f t="shared" si="33"/>
        <v>864.28281304954385</v>
      </c>
      <c r="G78" s="7">
        <f t="shared" si="34"/>
        <v>146084.52849722575</v>
      </c>
    </row>
    <row r="79" spans="2:7" x14ac:dyDescent="0.25">
      <c r="B79" s="4"/>
      <c r="C79" s="8">
        <f t="shared" si="35"/>
        <v>146084.52849722575</v>
      </c>
      <c r="D79" s="7">
        <f t="shared" si="31"/>
        <v>255.59727764443653</v>
      </c>
      <c r="E79" s="7">
        <f t="shared" si="32"/>
        <v>608.68553540510732</v>
      </c>
      <c r="F79" s="7">
        <f t="shared" si="33"/>
        <v>864.28281304954385</v>
      </c>
      <c r="G79" s="7">
        <f t="shared" si="34"/>
        <v>145828.93121958131</v>
      </c>
    </row>
    <row r="80" spans="2:7" x14ac:dyDescent="0.25">
      <c r="B80" s="4"/>
      <c r="C80" s="8">
        <f t="shared" si="35"/>
        <v>145828.93121958131</v>
      </c>
      <c r="D80" s="7">
        <f t="shared" si="31"/>
        <v>256.66226630128835</v>
      </c>
      <c r="E80" s="7">
        <f t="shared" si="32"/>
        <v>607.62054674825549</v>
      </c>
      <c r="F80" s="7">
        <f t="shared" si="33"/>
        <v>864.28281304954385</v>
      </c>
      <c r="G80" s="7">
        <f t="shared" si="34"/>
        <v>145572.26895328003</v>
      </c>
    </row>
    <row r="81" spans="2:7" x14ac:dyDescent="0.25">
      <c r="B81" s="4"/>
      <c r="C81" s="8">
        <f t="shared" si="35"/>
        <v>145572.26895328003</v>
      </c>
      <c r="D81" s="7">
        <f t="shared" si="31"/>
        <v>257.73169241087703</v>
      </c>
      <c r="E81" s="7">
        <f t="shared" si="32"/>
        <v>606.55112063866682</v>
      </c>
      <c r="F81" s="7">
        <f t="shared" si="33"/>
        <v>864.28281304954385</v>
      </c>
      <c r="G81" s="7">
        <f t="shared" si="34"/>
        <v>145314.53726086914</v>
      </c>
    </row>
    <row r="82" spans="2:7" x14ac:dyDescent="0.25">
      <c r="B82" s="4"/>
      <c r="C82" s="8">
        <f t="shared" si="35"/>
        <v>145314.53726086914</v>
      </c>
      <c r="D82" s="7">
        <f t="shared" si="31"/>
        <v>258.80557446258911</v>
      </c>
      <c r="E82" s="7">
        <f t="shared" si="32"/>
        <v>605.47723858695474</v>
      </c>
      <c r="F82" s="7">
        <f t="shared" si="33"/>
        <v>864.28281304954385</v>
      </c>
      <c r="G82" s="7">
        <f t="shared" si="34"/>
        <v>145055.73168640654</v>
      </c>
    </row>
    <row r="83" spans="2:7" x14ac:dyDescent="0.25">
      <c r="B83" s="4"/>
      <c r="C83" s="8">
        <f t="shared" si="35"/>
        <v>145055.73168640654</v>
      </c>
      <c r="D83" s="7">
        <f t="shared" si="31"/>
        <v>259.88393102284999</v>
      </c>
      <c r="E83" s="7">
        <f t="shared" si="32"/>
        <v>604.39888202669385</v>
      </c>
      <c r="F83" s="7">
        <f t="shared" si="33"/>
        <v>864.28281304954385</v>
      </c>
      <c r="G83" s="70">
        <f t="shared" si="34"/>
        <v>144795.8477553837</v>
      </c>
    </row>
    <row r="84" spans="2:7" x14ac:dyDescent="0.25">
      <c r="B84" s="4"/>
      <c r="D84" s="69">
        <f>SUM(D72:D83)</f>
        <v>3048.410901517746</v>
      </c>
      <c r="E84" s="69">
        <f>SUM(E72:E83)</f>
        <v>7322.9828550767807</v>
      </c>
    </row>
    <row r="85" spans="2:7" x14ac:dyDescent="0.25">
      <c r="B85" s="4"/>
      <c r="C85" s="6"/>
      <c r="D85" s="7"/>
      <c r="E85" s="7"/>
      <c r="F85" s="7"/>
      <c r="G85" s="7"/>
    </row>
    <row r="86" spans="2:7" x14ac:dyDescent="0.25">
      <c r="B86" s="73" t="s">
        <v>174</v>
      </c>
      <c r="C86" s="8">
        <f>G83</f>
        <v>144795.8477553837</v>
      </c>
      <c r="D86" s="7">
        <f t="shared" ref="D86:D97" si="36">+F86-E86</f>
        <v>260.96678073544513</v>
      </c>
      <c r="E86" s="7">
        <f t="shared" ref="E86:E97" si="37">C86*$J$2</f>
        <v>603.31603231409872</v>
      </c>
      <c r="F86" s="7">
        <f t="shared" ref="F86:F97" si="38">-$J$8</f>
        <v>864.28281304954385</v>
      </c>
      <c r="G86" s="7">
        <f t="shared" ref="G86:G97" si="39">+C86-D86</f>
        <v>144534.88097464826</v>
      </c>
    </row>
    <row r="87" spans="2:7" x14ac:dyDescent="0.25">
      <c r="B87" s="4"/>
      <c r="C87" s="8">
        <f>G86</f>
        <v>144534.88097464826</v>
      </c>
      <c r="D87" s="7">
        <f t="shared" si="36"/>
        <v>262.05414232184273</v>
      </c>
      <c r="E87" s="7">
        <f t="shared" si="37"/>
        <v>602.22867072770111</v>
      </c>
      <c r="F87" s="7">
        <f t="shared" si="38"/>
        <v>864.28281304954385</v>
      </c>
      <c r="G87" s="7">
        <f t="shared" si="39"/>
        <v>144272.82683232642</v>
      </c>
    </row>
    <row r="88" spans="2:7" x14ac:dyDescent="0.25">
      <c r="B88" s="4"/>
      <c r="C88" s="8">
        <f t="shared" ref="C88:C97" si="40">G87</f>
        <v>144272.82683232642</v>
      </c>
      <c r="D88" s="7">
        <f t="shared" si="36"/>
        <v>263.14603458151714</v>
      </c>
      <c r="E88" s="7">
        <f t="shared" si="37"/>
        <v>601.13677846802671</v>
      </c>
      <c r="F88" s="7">
        <f t="shared" si="38"/>
        <v>864.28281304954385</v>
      </c>
      <c r="G88" s="7">
        <f t="shared" si="39"/>
        <v>144009.68079774489</v>
      </c>
    </row>
    <row r="89" spans="2:7" x14ac:dyDescent="0.25">
      <c r="B89" s="4"/>
      <c r="C89" s="8">
        <f t="shared" si="40"/>
        <v>144009.68079774489</v>
      </c>
      <c r="D89" s="7">
        <f t="shared" si="36"/>
        <v>264.24247639227349</v>
      </c>
      <c r="E89" s="7">
        <f t="shared" si="37"/>
        <v>600.04033665727036</v>
      </c>
      <c r="F89" s="7">
        <f t="shared" si="38"/>
        <v>864.28281304954385</v>
      </c>
      <c r="G89" s="7">
        <f t="shared" si="39"/>
        <v>143745.43832135262</v>
      </c>
    </row>
    <row r="90" spans="2:7" x14ac:dyDescent="0.25">
      <c r="B90" s="4"/>
      <c r="C90" s="8">
        <f t="shared" si="40"/>
        <v>143745.43832135262</v>
      </c>
      <c r="D90" s="7">
        <f t="shared" si="36"/>
        <v>265.34348671057467</v>
      </c>
      <c r="E90" s="7">
        <f t="shared" si="37"/>
        <v>598.93932633896918</v>
      </c>
      <c r="F90" s="7">
        <f t="shared" si="38"/>
        <v>864.28281304954385</v>
      </c>
      <c r="G90" s="7">
        <f t="shared" si="39"/>
        <v>143480.09483464205</v>
      </c>
    </row>
    <row r="91" spans="2:7" x14ac:dyDescent="0.25">
      <c r="B91" s="4"/>
      <c r="C91" s="8">
        <f t="shared" si="40"/>
        <v>143480.09483464205</v>
      </c>
      <c r="D91" s="7">
        <f t="shared" si="36"/>
        <v>266.44908457186864</v>
      </c>
      <c r="E91" s="7">
        <f t="shared" si="37"/>
        <v>597.83372847767521</v>
      </c>
      <c r="F91" s="7">
        <f t="shared" si="38"/>
        <v>864.28281304954385</v>
      </c>
      <c r="G91" s="7">
        <f t="shared" si="39"/>
        <v>143213.64575007017</v>
      </c>
    </row>
    <row r="92" spans="2:7" x14ac:dyDescent="0.25">
      <c r="B92" s="4"/>
      <c r="C92" s="8">
        <f t="shared" si="40"/>
        <v>143213.64575007017</v>
      </c>
      <c r="D92" s="7">
        <f t="shared" si="36"/>
        <v>267.55928909091813</v>
      </c>
      <c r="E92" s="7">
        <f t="shared" si="37"/>
        <v>596.72352395862572</v>
      </c>
      <c r="F92" s="7">
        <f t="shared" si="38"/>
        <v>864.28281304954385</v>
      </c>
      <c r="G92" s="7">
        <f t="shared" si="39"/>
        <v>142946.08646097925</v>
      </c>
    </row>
    <row r="93" spans="2:7" x14ac:dyDescent="0.25">
      <c r="B93" s="4"/>
      <c r="C93" s="8">
        <f t="shared" si="40"/>
        <v>142946.08646097925</v>
      </c>
      <c r="D93" s="7">
        <f t="shared" si="36"/>
        <v>268.67411946213031</v>
      </c>
      <c r="E93" s="7">
        <f t="shared" si="37"/>
        <v>595.60869358741354</v>
      </c>
      <c r="F93" s="7">
        <f t="shared" si="38"/>
        <v>864.28281304954385</v>
      </c>
      <c r="G93" s="7">
        <f t="shared" si="39"/>
        <v>142677.41234151711</v>
      </c>
    </row>
    <row r="94" spans="2:7" x14ac:dyDescent="0.25">
      <c r="B94" s="4"/>
      <c r="C94" s="8">
        <f t="shared" si="40"/>
        <v>142677.41234151711</v>
      </c>
      <c r="D94" s="7">
        <f t="shared" si="36"/>
        <v>269.79359495988922</v>
      </c>
      <c r="E94" s="7">
        <f t="shared" si="37"/>
        <v>594.48921808965463</v>
      </c>
      <c r="F94" s="7">
        <f t="shared" si="38"/>
        <v>864.28281304954385</v>
      </c>
      <c r="G94" s="7">
        <f t="shared" si="39"/>
        <v>142407.61874655721</v>
      </c>
    </row>
    <row r="95" spans="2:7" x14ac:dyDescent="0.25">
      <c r="B95" s="4"/>
      <c r="C95" s="8">
        <f t="shared" si="40"/>
        <v>142407.61874655721</v>
      </c>
      <c r="D95" s="7">
        <f t="shared" si="36"/>
        <v>270.91773493888877</v>
      </c>
      <c r="E95" s="7">
        <f t="shared" si="37"/>
        <v>593.36507811065508</v>
      </c>
      <c r="F95" s="7">
        <f t="shared" si="38"/>
        <v>864.28281304954385</v>
      </c>
      <c r="G95" s="7">
        <f t="shared" si="39"/>
        <v>142136.70101161834</v>
      </c>
    </row>
    <row r="96" spans="2:7" x14ac:dyDescent="0.25">
      <c r="B96" s="4"/>
      <c r="C96" s="8">
        <f t="shared" si="40"/>
        <v>142136.70101161834</v>
      </c>
      <c r="D96" s="7">
        <f t="shared" si="36"/>
        <v>272.04655883446742</v>
      </c>
      <c r="E96" s="7">
        <f t="shared" si="37"/>
        <v>592.23625421507643</v>
      </c>
      <c r="F96" s="7">
        <f t="shared" si="38"/>
        <v>864.28281304954385</v>
      </c>
      <c r="G96" s="7">
        <f t="shared" si="39"/>
        <v>141864.65445278387</v>
      </c>
    </row>
    <row r="97" spans="2:7" x14ac:dyDescent="0.25">
      <c r="B97" s="4"/>
      <c r="C97" s="8">
        <f t="shared" si="40"/>
        <v>141864.65445278387</v>
      </c>
      <c r="D97" s="7">
        <f t="shared" si="36"/>
        <v>273.18008616294435</v>
      </c>
      <c r="E97" s="7">
        <f t="shared" si="37"/>
        <v>591.1027268865995</v>
      </c>
      <c r="F97" s="7">
        <f t="shared" si="38"/>
        <v>864.28281304954385</v>
      </c>
      <c r="G97" s="70">
        <f t="shared" si="39"/>
        <v>141591.47436662094</v>
      </c>
    </row>
    <row r="98" spans="2:7" x14ac:dyDescent="0.25">
      <c r="B98" s="4"/>
      <c r="D98" s="69">
        <f>SUM(D86:D97)</f>
        <v>3204.37338876276</v>
      </c>
      <c r="E98" s="69">
        <f>SUM(E86:E97)</f>
        <v>7167.0203678317675</v>
      </c>
    </row>
    <row r="99" spans="2:7" x14ac:dyDescent="0.25">
      <c r="B99" s="4"/>
      <c r="C99" s="6"/>
      <c r="D99" s="7"/>
      <c r="E99" s="7"/>
      <c r="F99" s="7"/>
      <c r="G99" s="7"/>
    </row>
    <row r="100" spans="2:7" x14ac:dyDescent="0.25">
      <c r="B100" s="73" t="s">
        <v>175</v>
      </c>
      <c r="C100" s="8">
        <f>G97</f>
        <v>141591.47436662094</v>
      </c>
      <c r="D100" s="7">
        <f t="shared" ref="D100:D111" si="41">+F100-E100</f>
        <v>274.31833652195655</v>
      </c>
      <c r="E100" s="7">
        <f t="shared" ref="E100:E111" si="42">C100*$J$2</f>
        <v>589.96447652758729</v>
      </c>
      <c r="F100" s="7">
        <f t="shared" ref="F100:F111" si="43">-$J$8</f>
        <v>864.28281304954385</v>
      </c>
      <c r="G100" s="7">
        <f t="shared" ref="G100:G111" si="44">+C100-D100</f>
        <v>141317.15603009899</v>
      </c>
    </row>
    <row r="101" spans="2:7" x14ac:dyDescent="0.25">
      <c r="B101" s="4"/>
      <c r="C101" s="8">
        <f>G100</f>
        <v>141317.15603009899</v>
      </c>
      <c r="D101" s="7">
        <f t="shared" si="41"/>
        <v>275.46132959079807</v>
      </c>
      <c r="E101" s="7">
        <f t="shared" si="42"/>
        <v>588.82148345874577</v>
      </c>
      <c r="F101" s="7">
        <f t="shared" si="43"/>
        <v>864.28281304954385</v>
      </c>
      <c r="G101" s="7">
        <f t="shared" si="44"/>
        <v>141041.6947005082</v>
      </c>
    </row>
    <row r="102" spans="2:7" x14ac:dyDescent="0.25">
      <c r="B102" s="4"/>
      <c r="C102" s="8">
        <f t="shared" ref="C102:C111" si="45">G101</f>
        <v>141041.6947005082</v>
      </c>
      <c r="D102" s="7">
        <f t="shared" si="41"/>
        <v>276.60908513075969</v>
      </c>
      <c r="E102" s="7">
        <f t="shared" si="42"/>
        <v>587.67372791878415</v>
      </c>
      <c r="F102" s="7">
        <f t="shared" si="43"/>
        <v>864.28281304954385</v>
      </c>
      <c r="G102" s="7">
        <f t="shared" si="44"/>
        <v>140765.08561537744</v>
      </c>
    </row>
    <row r="103" spans="2:7" x14ac:dyDescent="0.25">
      <c r="B103" s="4"/>
      <c r="C103" s="8">
        <f t="shared" si="45"/>
        <v>140765.08561537744</v>
      </c>
      <c r="D103" s="7">
        <f t="shared" si="41"/>
        <v>277.76162298547115</v>
      </c>
      <c r="E103" s="7">
        <f t="shared" si="42"/>
        <v>586.5211900640727</v>
      </c>
      <c r="F103" s="7">
        <f t="shared" si="43"/>
        <v>864.28281304954385</v>
      </c>
      <c r="G103" s="7">
        <f t="shared" si="44"/>
        <v>140487.32399239196</v>
      </c>
    </row>
    <row r="104" spans="2:7" x14ac:dyDescent="0.25">
      <c r="B104" s="4"/>
      <c r="C104" s="8">
        <f t="shared" si="45"/>
        <v>140487.32399239196</v>
      </c>
      <c r="D104" s="7">
        <f t="shared" si="41"/>
        <v>278.91896308124399</v>
      </c>
      <c r="E104" s="7">
        <f t="shared" si="42"/>
        <v>585.36384996829986</v>
      </c>
      <c r="F104" s="7">
        <f t="shared" si="43"/>
        <v>864.28281304954385</v>
      </c>
      <c r="G104" s="7">
        <f t="shared" si="44"/>
        <v>140208.40502931073</v>
      </c>
    </row>
    <row r="105" spans="2:7" x14ac:dyDescent="0.25">
      <c r="B105" s="4"/>
      <c r="C105" s="8">
        <f t="shared" si="45"/>
        <v>140208.40502931073</v>
      </c>
      <c r="D105" s="7">
        <f t="shared" si="41"/>
        <v>280.08112542741583</v>
      </c>
      <c r="E105" s="7">
        <f t="shared" si="42"/>
        <v>584.20168762212802</v>
      </c>
      <c r="F105" s="7">
        <f t="shared" si="43"/>
        <v>864.28281304954385</v>
      </c>
      <c r="G105" s="7">
        <f t="shared" si="44"/>
        <v>139928.32390388331</v>
      </c>
    </row>
    <row r="106" spans="2:7" x14ac:dyDescent="0.25">
      <c r="B106" s="4"/>
      <c r="C106" s="8">
        <f t="shared" si="45"/>
        <v>139928.32390388331</v>
      </c>
      <c r="D106" s="7">
        <f t="shared" si="41"/>
        <v>281.24813011669676</v>
      </c>
      <c r="E106" s="7">
        <f t="shared" si="42"/>
        <v>583.03468293284709</v>
      </c>
      <c r="F106" s="7">
        <f t="shared" si="43"/>
        <v>864.28281304954385</v>
      </c>
      <c r="G106" s="7">
        <f t="shared" si="44"/>
        <v>139647.07577376661</v>
      </c>
    </row>
    <row r="107" spans="2:7" x14ac:dyDescent="0.25">
      <c r="B107" s="4"/>
      <c r="C107" s="8">
        <f t="shared" si="45"/>
        <v>139647.07577376661</v>
      </c>
      <c r="D107" s="7">
        <f t="shared" si="41"/>
        <v>282.41999732551631</v>
      </c>
      <c r="E107" s="7">
        <f t="shared" si="42"/>
        <v>581.86281572402754</v>
      </c>
      <c r="F107" s="7">
        <f t="shared" si="43"/>
        <v>864.28281304954385</v>
      </c>
      <c r="G107" s="7">
        <f t="shared" si="44"/>
        <v>139364.6557764411</v>
      </c>
    </row>
    <row r="108" spans="2:7" x14ac:dyDescent="0.25">
      <c r="B108" s="4"/>
      <c r="C108" s="8">
        <f t="shared" si="45"/>
        <v>139364.6557764411</v>
      </c>
      <c r="D108" s="7">
        <f t="shared" si="41"/>
        <v>283.59674731437258</v>
      </c>
      <c r="E108" s="7">
        <f t="shared" si="42"/>
        <v>580.68606573517127</v>
      </c>
      <c r="F108" s="7">
        <f t="shared" si="43"/>
        <v>864.28281304954385</v>
      </c>
      <c r="G108" s="7">
        <f t="shared" si="44"/>
        <v>139081.05902912671</v>
      </c>
    </row>
    <row r="109" spans="2:7" x14ac:dyDescent="0.25">
      <c r="B109" s="4"/>
      <c r="C109" s="8">
        <f t="shared" si="45"/>
        <v>139081.05902912671</v>
      </c>
      <c r="D109" s="7">
        <f t="shared" si="41"/>
        <v>284.77840042818252</v>
      </c>
      <c r="E109" s="7">
        <f t="shared" si="42"/>
        <v>579.50441262136133</v>
      </c>
      <c r="F109" s="7">
        <f t="shared" si="43"/>
        <v>864.28281304954385</v>
      </c>
      <c r="G109" s="7">
        <f t="shared" si="44"/>
        <v>138796.28062869853</v>
      </c>
    </row>
    <row r="110" spans="2:7" x14ac:dyDescent="0.25">
      <c r="B110" s="4"/>
      <c r="C110" s="8">
        <f t="shared" si="45"/>
        <v>138796.28062869853</v>
      </c>
      <c r="D110" s="7">
        <f t="shared" si="41"/>
        <v>285.96497709663333</v>
      </c>
      <c r="E110" s="7">
        <f t="shared" si="42"/>
        <v>578.31783595291051</v>
      </c>
      <c r="F110" s="7">
        <f t="shared" si="43"/>
        <v>864.28281304954385</v>
      </c>
      <c r="G110" s="7">
        <f t="shared" si="44"/>
        <v>138510.31565160191</v>
      </c>
    </row>
    <row r="111" spans="2:7" x14ac:dyDescent="0.25">
      <c r="B111" s="4"/>
      <c r="C111" s="8">
        <f t="shared" si="45"/>
        <v>138510.31565160191</v>
      </c>
      <c r="D111" s="7">
        <f t="shared" si="41"/>
        <v>287.15649783453591</v>
      </c>
      <c r="E111" s="7">
        <f t="shared" si="42"/>
        <v>577.12631521500793</v>
      </c>
      <c r="F111" s="7">
        <f t="shared" si="43"/>
        <v>864.28281304954385</v>
      </c>
      <c r="G111" s="70">
        <f t="shared" si="44"/>
        <v>138223.15915376737</v>
      </c>
    </row>
    <row r="112" spans="2:7" x14ac:dyDescent="0.25">
      <c r="B112" s="4"/>
      <c r="D112" s="69">
        <f>SUM(D100:D111)</f>
        <v>3368.3152128535826</v>
      </c>
      <c r="E112" s="69">
        <f>SUM(E100:E111)</f>
        <v>7003.0785437409431</v>
      </c>
    </row>
    <row r="113" spans="2:7" x14ac:dyDescent="0.25">
      <c r="B113" s="4"/>
    </row>
    <row r="114" spans="2:7" x14ac:dyDescent="0.25">
      <c r="B114" s="73" t="s">
        <v>176</v>
      </c>
      <c r="C114" s="8">
        <f>G111</f>
        <v>138223.15915376737</v>
      </c>
      <c r="D114" s="7">
        <f t="shared" ref="D114:D125" si="46">+F114-E114</f>
        <v>288.35298324217979</v>
      </c>
      <c r="E114" s="7">
        <f t="shared" ref="E114:E125" si="47">C114*$J$2</f>
        <v>575.92982980736406</v>
      </c>
      <c r="F114" s="7">
        <f t="shared" ref="F114:F125" si="48">-$J$8</f>
        <v>864.28281304954385</v>
      </c>
      <c r="G114" s="7">
        <f t="shared" ref="G114:G125" si="49">+C114-D114</f>
        <v>137934.80617052517</v>
      </c>
    </row>
    <row r="115" spans="2:7" x14ac:dyDescent="0.25">
      <c r="B115" s="4"/>
      <c r="C115" s="8">
        <f>G114</f>
        <v>137934.80617052517</v>
      </c>
      <c r="D115" s="7">
        <f t="shared" si="46"/>
        <v>289.55445400568897</v>
      </c>
      <c r="E115" s="7">
        <f t="shared" si="47"/>
        <v>574.72835904385488</v>
      </c>
      <c r="F115" s="7">
        <f t="shared" si="48"/>
        <v>864.28281304954385</v>
      </c>
      <c r="G115" s="7">
        <f t="shared" si="49"/>
        <v>137645.25171651947</v>
      </c>
    </row>
    <row r="116" spans="2:7" x14ac:dyDescent="0.25">
      <c r="B116" s="4"/>
      <c r="C116" s="8">
        <f t="shared" ref="C116:C125" si="50">G115</f>
        <v>137645.25171651947</v>
      </c>
      <c r="D116" s="7">
        <f t="shared" si="46"/>
        <v>290.76093089737935</v>
      </c>
      <c r="E116" s="7">
        <f t="shared" si="47"/>
        <v>573.52188215216449</v>
      </c>
      <c r="F116" s="7">
        <f t="shared" si="48"/>
        <v>864.28281304954385</v>
      </c>
      <c r="G116" s="7">
        <f t="shared" si="49"/>
        <v>137354.4907856221</v>
      </c>
    </row>
    <row r="117" spans="2:7" x14ac:dyDescent="0.25">
      <c r="B117" s="4"/>
      <c r="C117" s="8">
        <f t="shared" si="50"/>
        <v>137354.4907856221</v>
      </c>
      <c r="D117" s="7">
        <f t="shared" si="46"/>
        <v>291.97243477611846</v>
      </c>
      <c r="E117" s="7">
        <f t="shared" si="47"/>
        <v>572.31037827342539</v>
      </c>
      <c r="F117" s="7">
        <f t="shared" si="48"/>
        <v>864.28281304954385</v>
      </c>
      <c r="G117" s="7">
        <f t="shared" si="49"/>
        <v>137062.51835084599</v>
      </c>
    </row>
    <row r="118" spans="2:7" x14ac:dyDescent="0.25">
      <c r="B118" s="4"/>
      <c r="C118" s="8">
        <f t="shared" si="50"/>
        <v>137062.51835084599</v>
      </c>
      <c r="D118" s="7">
        <f t="shared" si="46"/>
        <v>293.18898658768558</v>
      </c>
      <c r="E118" s="7">
        <f t="shared" si="47"/>
        <v>571.09382646185827</v>
      </c>
      <c r="F118" s="7">
        <f t="shared" si="48"/>
        <v>864.28281304954385</v>
      </c>
      <c r="G118" s="7">
        <f t="shared" si="49"/>
        <v>136769.3293642583</v>
      </c>
    </row>
    <row r="119" spans="2:7" x14ac:dyDescent="0.25">
      <c r="B119" s="4"/>
      <c r="C119" s="8">
        <f t="shared" si="50"/>
        <v>136769.3293642583</v>
      </c>
      <c r="D119" s="7">
        <f t="shared" si="46"/>
        <v>294.4106073651343</v>
      </c>
      <c r="E119" s="7">
        <f t="shared" si="47"/>
        <v>569.87220568440955</v>
      </c>
      <c r="F119" s="7">
        <f t="shared" si="48"/>
        <v>864.28281304954385</v>
      </c>
      <c r="G119" s="7">
        <f t="shared" si="49"/>
        <v>136474.91875689317</v>
      </c>
    </row>
    <row r="120" spans="2:7" x14ac:dyDescent="0.25">
      <c r="B120" s="4"/>
      <c r="C120" s="8">
        <f t="shared" si="50"/>
        <v>136474.91875689317</v>
      </c>
      <c r="D120" s="7">
        <f t="shared" si="46"/>
        <v>295.63731822915565</v>
      </c>
      <c r="E120" s="7">
        <f t="shared" si="47"/>
        <v>568.64549482038819</v>
      </c>
      <c r="F120" s="7">
        <f t="shared" si="48"/>
        <v>864.28281304954385</v>
      </c>
      <c r="G120" s="7">
        <f t="shared" si="49"/>
        <v>136179.28143866401</v>
      </c>
    </row>
    <row r="121" spans="2:7" x14ac:dyDescent="0.25">
      <c r="B121" s="4"/>
      <c r="C121" s="8">
        <f t="shared" si="50"/>
        <v>136179.28143866401</v>
      </c>
      <c r="D121" s="7">
        <f t="shared" si="46"/>
        <v>296.86914038844384</v>
      </c>
      <c r="E121" s="7">
        <f t="shared" si="47"/>
        <v>567.41367266110001</v>
      </c>
      <c r="F121" s="7">
        <f t="shared" si="48"/>
        <v>864.28281304954385</v>
      </c>
      <c r="G121" s="7">
        <f t="shared" si="49"/>
        <v>135882.41229827557</v>
      </c>
    </row>
    <row r="122" spans="2:7" x14ac:dyDescent="0.25">
      <c r="B122" s="4"/>
      <c r="C122" s="8">
        <f t="shared" si="50"/>
        <v>135882.41229827557</v>
      </c>
      <c r="D122" s="7">
        <f t="shared" si="46"/>
        <v>298.10609514006228</v>
      </c>
      <c r="E122" s="7">
        <f t="shared" si="47"/>
        <v>566.17671790948157</v>
      </c>
      <c r="F122" s="7">
        <f t="shared" si="48"/>
        <v>864.28281304954385</v>
      </c>
      <c r="G122" s="7">
        <f t="shared" si="49"/>
        <v>135584.30620313549</v>
      </c>
    </row>
    <row r="123" spans="2:7" x14ac:dyDescent="0.25">
      <c r="B123" s="4"/>
      <c r="C123" s="8">
        <f t="shared" si="50"/>
        <v>135584.30620313549</v>
      </c>
      <c r="D123" s="7">
        <f t="shared" si="46"/>
        <v>299.34820386981266</v>
      </c>
      <c r="E123" s="7">
        <f t="shared" si="47"/>
        <v>564.93460917973118</v>
      </c>
      <c r="F123" s="7">
        <f t="shared" si="48"/>
        <v>864.28281304954385</v>
      </c>
      <c r="G123" s="7">
        <f t="shared" si="49"/>
        <v>135284.95799926569</v>
      </c>
    </row>
    <row r="124" spans="2:7" x14ac:dyDescent="0.25">
      <c r="B124" s="4"/>
      <c r="C124" s="8">
        <f t="shared" si="50"/>
        <v>135284.95799926569</v>
      </c>
      <c r="D124" s="7">
        <f t="shared" si="46"/>
        <v>300.59548805260351</v>
      </c>
      <c r="E124" s="7">
        <f t="shared" si="47"/>
        <v>563.68732499694033</v>
      </c>
      <c r="F124" s="7">
        <f t="shared" si="48"/>
        <v>864.28281304954385</v>
      </c>
      <c r="G124" s="7">
        <f t="shared" si="49"/>
        <v>134984.36251121308</v>
      </c>
    </row>
    <row r="125" spans="2:7" x14ac:dyDescent="0.25">
      <c r="B125" s="4"/>
      <c r="C125" s="8">
        <f t="shared" si="50"/>
        <v>134984.36251121308</v>
      </c>
      <c r="D125" s="7">
        <f t="shared" si="46"/>
        <v>301.84796925282262</v>
      </c>
      <c r="E125" s="7">
        <f t="shared" si="47"/>
        <v>562.43484379672122</v>
      </c>
      <c r="F125" s="7">
        <f t="shared" si="48"/>
        <v>864.28281304954385</v>
      </c>
      <c r="G125" s="70">
        <f t="shared" si="49"/>
        <v>134682.51454196026</v>
      </c>
    </row>
    <row r="126" spans="2:7" x14ac:dyDescent="0.25">
      <c r="B126" s="4"/>
      <c r="D126" s="69">
        <f>SUM(D114:D125)</f>
        <v>3540.6446118070871</v>
      </c>
      <c r="E126" s="69">
        <f>SUM(E114:E125)</f>
        <v>6830.749144787439</v>
      </c>
    </row>
    <row r="127" spans="2:7" x14ac:dyDescent="0.25">
      <c r="B127" s="4"/>
    </row>
    <row r="128" spans="2:7" x14ac:dyDescent="0.25">
      <c r="B128" s="73" t="s">
        <v>177</v>
      </c>
      <c r="C128" s="8">
        <f>G125</f>
        <v>134682.51454196026</v>
      </c>
      <c r="D128" s="7">
        <f t="shared" ref="D128:D139" si="51">+F128-E128</f>
        <v>303.10566912470938</v>
      </c>
      <c r="E128" s="7">
        <f t="shared" ref="E128:E139" si="52">C128*$J$2</f>
        <v>561.17714392483447</v>
      </c>
      <c r="F128" s="7">
        <f t="shared" ref="F128:F139" si="53">-$J$8</f>
        <v>864.28281304954385</v>
      </c>
      <c r="G128" s="7">
        <f t="shared" ref="G128:G139" si="54">+C128-D128</f>
        <v>134379.40887283554</v>
      </c>
    </row>
    <row r="129" spans="3:7" x14ac:dyDescent="0.25">
      <c r="C129" s="8">
        <f>G128</f>
        <v>134379.40887283554</v>
      </c>
      <c r="D129" s="7">
        <f t="shared" si="51"/>
        <v>304.36860941272914</v>
      </c>
      <c r="E129" s="7">
        <f t="shared" si="52"/>
        <v>559.9142036368147</v>
      </c>
      <c r="F129" s="7">
        <f t="shared" si="53"/>
        <v>864.28281304954385</v>
      </c>
      <c r="G129" s="7">
        <f t="shared" si="54"/>
        <v>134075.04026342282</v>
      </c>
    </row>
    <row r="130" spans="3:7" x14ac:dyDescent="0.25">
      <c r="C130" s="8">
        <f t="shared" ref="C130:C139" si="55">G129</f>
        <v>134075.04026342282</v>
      </c>
      <c r="D130" s="7">
        <f t="shared" si="51"/>
        <v>305.63681195194874</v>
      </c>
      <c r="E130" s="7">
        <f t="shared" si="52"/>
        <v>558.6460010975951</v>
      </c>
      <c r="F130" s="7">
        <f t="shared" si="53"/>
        <v>864.28281304954385</v>
      </c>
      <c r="G130" s="7">
        <f t="shared" si="54"/>
        <v>133769.40345147086</v>
      </c>
    </row>
    <row r="131" spans="3:7" x14ac:dyDescent="0.25">
      <c r="C131" s="8">
        <f t="shared" si="55"/>
        <v>133769.40345147086</v>
      </c>
      <c r="D131" s="7">
        <f t="shared" si="51"/>
        <v>306.91029866841529</v>
      </c>
      <c r="E131" s="7">
        <f t="shared" si="52"/>
        <v>557.37251438112855</v>
      </c>
      <c r="F131" s="7">
        <f t="shared" si="53"/>
        <v>864.28281304954385</v>
      </c>
      <c r="G131" s="7">
        <f t="shared" si="54"/>
        <v>133462.49315280246</v>
      </c>
    </row>
    <row r="132" spans="3:7" x14ac:dyDescent="0.25">
      <c r="C132" s="8">
        <f t="shared" si="55"/>
        <v>133462.49315280246</v>
      </c>
      <c r="D132" s="7">
        <f t="shared" si="51"/>
        <v>308.18909157953362</v>
      </c>
      <c r="E132" s="7">
        <f t="shared" si="52"/>
        <v>556.09372147001022</v>
      </c>
      <c r="F132" s="7">
        <f t="shared" si="53"/>
        <v>864.28281304954385</v>
      </c>
      <c r="G132" s="7">
        <f t="shared" si="54"/>
        <v>133154.30406122294</v>
      </c>
    </row>
    <row r="133" spans="3:7" x14ac:dyDescent="0.25">
      <c r="C133" s="8">
        <f t="shared" si="55"/>
        <v>133154.30406122294</v>
      </c>
      <c r="D133" s="7">
        <f t="shared" si="51"/>
        <v>309.47321279444827</v>
      </c>
      <c r="E133" s="7">
        <f t="shared" si="52"/>
        <v>554.80960025509557</v>
      </c>
      <c r="F133" s="7">
        <f t="shared" si="53"/>
        <v>864.28281304954385</v>
      </c>
      <c r="G133" s="7">
        <f t="shared" si="54"/>
        <v>132844.83084842848</v>
      </c>
    </row>
    <row r="134" spans="3:7" x14ac:dyDescent="0.25">
      <c r="C134" s="8">
        <f t="shared" si="55"/>
        <v>132844.83084842848</v>
      </c>
      <c r="D134" s="7">
        <f t="shared" si="51"/>
        <v>310.76268451442525</v>
      </c>
      <c r="E134" s="7">
        <f t="shared" si="52"/>
        <v>553.5201285351186</v>
      </c>
      <c r="F134" s="7">
        <f t="shared" si="53"/>
        <v>864.28281304954385</v>
      </c>
      <c r="G134" s="7">
        <f t="shared" si="54"/>
        <v>132534.06816391405</v>
      </c>
    </row>
    <row r="135" spans="3:7" x14ac:dyDescent="0.25">
      <c r="C135" s="8">
        <f t="shared" si="55"/>
        <v>132534.06816391405</v>
      </c>
      <c r="D135" s="7">
        <f t="shared" si="51"/>
        <v>312.05752903323526</v>
      </c>
      <c r="E135" s="7">
        <f t="shared" si="52"/>
        <v>552.22528401630859</v>
      </c>
      <c r="F135" s="7">
        <f t="shared" si="53"/>
        <v>864.28281304954385</v>
      </c>
      <c r="G135" s="7">
        <f t="shared" si="54"/>
        <v>132222.0106348808</v>
      </c>
    </row>
    <row r="136" spans="3:7" x14ac:dyDescent="0.25">
      <c r="C136" s="8">
        <f t="shared" si="55"/>
        <v>132222.0106348808</v>
      </c>
      <c r="D136" s="7">
        <f t="shared" si="51"/>
        <v>313.35776873754048</v>
      </c>
      <c r="E136" s="7">
        <f t="shared" si="52"/>
        <v>550.92504431200337</v>
      </c>
      <c r="F136" s="7">
        <f t="shared" si="53"/>
        <v>864.28281304954385</v>
      </c>
      <c r="G136" s="7">
        <f t="shared" si="54"/>
        <v>131908.65286614327</v>
      </c>
    </row>
    <row r="137" spans="3:7" x14ac:dyDescent="0.25">
      <c r="C137" s="8">
        <f t="shared" si="55"/>
        <v>131908.65286614327</v>
      </c>
      <c r="D137" s="7">
        <f t="shared" si="51"/>
        <v>314.6634261072802</v>
      </c>
      <c r="E137" s="7">
        <f t="shared" si="52"/>
        <v>549.61938694226365</v>
      </c>
      <c r="F137" s="7">
        <f t="shared" si="53"/>
        <v>864.28281304954385</v>
      </c>
      <c r="G137" s="7">
        <f t="shared" si="54"/>
        <v>131593.98944003598</v>
      </c>
    </row>
    <row r="138" spans="3:7" x14ac:dyDescent="0.25">
      <c r="C138" s="8">
        <f t="shared" si="55"/>
        <v>131593.98944003598</v>
      </c>
      <c r="D138" s="7">
        <f t="shared" si="51"/>
        <v>315.97452371606062</v>
      </c>
      <c r="E138" s="7">
        <f t="shared" si="52"/>
        <v>548.30828933348323</v>
      </c>
      <c r="F138" s="7">
        <f t="shared" si="53"/>
        <v>864.28281304954385</v>
      </c>
      <c r="G138" s="7">
        <f t="shared" si="54"/>
        <v>131278.01491631992</v>
      </c>
    </row>
    <row r="139" spans="3:7" x14ac:dyDescent="0.25">
      <c r="C139" s="8">
        <f t="shared" si="55"/>
        <v>131278.01491631992</v>
      </c>
      <c r="D139" s="7">
        <f t="shared" si="51"/>
        <v>317.29108423154412</v>
      </c>
      <c r="E139" s="7">
        <f t="shared" si="52"/>
        <v>546.99172881799973</v>
      </c>
      <c r="F139" s="7">
        <f t="shared" si="53"/>
        <v>864.28281304954385</v>
      </c>
      <c r="G139" s="70">
        <f t="shared" si="54"/>
        <v>130960.72383208838</v>
      </c>
    </row>
    <row r="140" spans="3:7" x14ac:dyDescent="0.25">
      <c r="D140" s="69">
        <f>SUM(D128:D139)</f>
        <v>3721.7907098718706</v>
      </c>
      <c r="E140" s="69">
        <f>SUM(E128:E139)</f>
        <v>6649.6030467226547</v>
      </c>
    </row>
    <row r="141" spans="3:7" x14ac:dyDescent="0.25">
      <c r="C141" s="6"/>
      <c r="D141" s="7"/>
      <c r="E141" s="7"/>
      <c r="F141" s="7"/>
      <c r="G141" s="7"/>
    </row>
    <row r="142" spans="3:7" x14ac:dyDescent="0.25">
      <c r="C142" s="7"/>
      <c r="D142" s="7"/>
      <c r="E142" s="7"/>
      <c r="F142" s="7"/>
      <c r="G142" s="7"/>
    </row>
    <row r="143" spans="3:7" x14ac:dyDescent="0.25">
      <c r="C143" s="7"/>
      <c r="D143" s="7"/>
      <c r="E143" s="7"/>
      <c r="F143" s="7"/>
      <c r="G143" s="7"/>
    </row>
    <row r="144" spans="3:7" x14ac:dyDescent="0.25">
      <c r="C144" s="7"/>
      <c r="D144" s="7"/>
      <c r="E144" s="7"/>
      <c r="F144" s="7"/>
      <c r="G144" s="7"/>
    </row>
    <row r="145" spans="3:7" x14ac:dyDescent="0.25">
      <c r="C145" s="7"/>
      <c r="D145" s="7"/>
      <c r="E145" s="7"/>
      <c r="F145" s="7"/>
      <c r="G145" s="7"/>
    </row>
    <row r="146" spans="3:7" x14ac:dyDescent="0.25">
      <c r="C146" s="7"/>
      <c r="D146" s="7"/>
      <c r="E146" s="7"/>
      <c r="F146" s="7"/>
      <c r="G146" s="7"/>
    </row>
    <row r="147" spans="3:7" x14ac:dyDescent="0.25">
      <c r="C147" s="7"/>
      <c r="D147" s="7"/>
      <c r="E147" s="7"/>
      <c r="F147" s="7"/>
      <c r="G147" s="7"/>
    </row>
    <row r="148" spans="3:7" x14ac:dyDescent="0.25">
      <c r="C148" s="7"/>
      <c r="D148" s="7"/>
      <c r="E148" s="7"/>
      <c r="F148" s="7"/>
      <c r="G148" s="7"/>
    </row>
    <row r="149" spans="3:7" x14ac:dyDescent="0.25">
      <c r="C149" s="7"/>
      <c r="D149" s="7"/>
      <c r="E149" s="7"/>
      <c r="F149" s="7"/>
      <c r="G149" s="7"/>
    </row>
    <row r="150" spans="3:7" x14ac:dyDescent="0.25">
      <c r="C150" s="7"/>
      <c r="D150" s="7"/>
      <c r="E150" s="7"/>
      <c r="F150" s="7"/>
      <c r="G150" s="7"/>
    </row>
    <row r="151" spans="3:7" x14ac:dyDescent="0.25">
      <c r="C151" s="7"/>
      <c r="D151" s="7"/>
      <c r="E151" s="7"/>
      <c r="F151" s="7"/>
      <c r="G151" s="7"/>
    </row>
    <row r="152" spans="3:7" x14ac:dyDescent="0.25">
      <c r="C152" s="7"/>
      <c r="D152" s="7"/>
      <c r="E152" s="7"/>
      <c r="F152" s="7"/>
      <c r="G152" s="7"/>
    </row>
    <row r="153" spans="3:7" x14ac:dyDescent="0.25">
      <c r="C153" s="7"/>
      <c r="D153" s="7"/>
      <c r="E153" s="7"/>
      <c r="F153" s="7"/>
      <c r="G153" s="10"/>
    </row>
    <row r="154" spans="3:7" x14ac:dyDescent="0.25">
      <c r="C154" s="11"/>
      <c r="D154" s="10"/>
      <c r="E154" s="10"/>
      <c r="F154" s="7"/>
      <c r="G154" s="7"/>
    </row>
    <row r="155" spans="3:7" x14ac:dyDescent="0.25">
      <c r="C155" s="6"/>
      <c r="D155" s="7"/>
      <c r="E155" s="7"/>
      <c r="F155" s="7"/>
      <c r="G155" s="7"/>
    </row>
    <row r="156" spans="3:7" x14ac:dyDescent="0.25">
      <c r="C156" s="7"/>
      <c r="D156" s="7"/>
      <c r="E156" s="7"/>
      <c r="F156" s="7"/>
      <c r="G156" s="7"/>
    </row>
    <row r="157" spans="3:7" x14ac:dyDescent="0.25">
      <c r="C157" s="7"/>
      <c r="D157" s="7"/>
      <c r="E157" s="7"/>
      <c r="F157" s="7"/>
      <c r="G157" s="7"/>
    </row>
    <row r="158" spans="3:7" x14ac:dyDescent="0.25">
      <c r="C158" s="7"/>
      <c r="D158" s="7"/>
      <c r="E158" s="7"/>
      <c r="F158" s="7"/>
      <c r="G158" s="7"/>
    </row>
    <row r="159" spans="3:7" x14ac:dyDescent="0.25">
      <c r="C159" s="7"/>
      <c r="D159" s="7"/>
      <c r="E159" s="7"/>
      <c r="F159" s="7"/>
      <c r="G159" s="7"/>
    </row>
    <row r="160" spans="3:7" x14ac:dyDescent="0.25">
      <c r="C160" s="7"/>
      <c r="D160" s="7"/>
      <c r="E160" s="7"/>
      <c r="F160" s="7"/>
      <c r="G160" s="7"/>
    </row>
    <row r="161" spans="3:7" x14ac:dyDescent="0.25">
      <c r="C161" s="7"/>
      <c r="D161" s="7"/>
      <c r="E161" s="7"/>
      <c r="F161" s="7"/>
      <c r="G161" s="7"/>
    </row>
    <row r="162" spans="3:7" x14ac:dyDescent="0.25">
      <c r="C162" s="7"/>
      <c r="D162" s="7"/>
      <c r="E162" s="7"/>
      <c r="F162" s="7"/>
      <c r="G162" s="7"/>
    </row>
    <row r="163" spans="3:7" x14ac:dyDescent="0.25">
      <c r="C163" s="7"/>
      <c r="D163" s="7"/>
      <c r="E163" s="7"/>
      <c r="F163" s="7"/>
      <c r="G163" s="7"/>
    </row>
    <row r="164" spans="3:7" x14ac:dyDescent="0.25">
      <c r="C164" s="7"/>
      <c r="D164" s="7"/>
      <c r="E164" s="7"/>
      <c r="F164" s="7"/>
      <c r="G164" s="7"/>
    </row>
    <row r="165" spans="3:7" x14ac:dyDescent="0.25">
      <c r="C165" s="7"/>
      <c r="D165" s="7"/>
      <c r="E165" s="7"/>
      <c r="F165" s="7"/>
      <c r="G165" s="7"/>
    </row>
    <row r="166" spans="3:7" x14ac:dyDescent="0.25">
      <c r="C166" s="7"/>
      <c r="D166" s="7"/>
      <c r="E166" s="7"/>
      <c r="F166" s="7"/>
      <c r="G166" s="7"/>
    </row>
    <row r="167" spans="3:7" x14ac:dyDescent="0.25">
      <c r="C167" s="7"/>
      <c r="D167" s="7"/>
      <c r="E167" s="7"/>
      <c r="F167" s="7"/>
      <c r="G167" s="10"/>
    </row>
    <row r="168" spans="3:7" x14ac:dyDescent="0.25">
      <c r="C168" s="12"/>
      <c r="D168" s="10"/>
      <c r="E168" s="10"/>
    </row>
    <row r="170" spans="3:7" x14ac:dyDescent="0.25">
      <c r="C170" s="7"/>
      <c r="D170" s="7"/>
      <c r="E170" s="7"/>
      <c r="F170" s="7"/>
      <c r="G170" s="7"/>
    </row>
    <row r="171" spans="3:7" x14ac:dyDescent="0.25">
      <c r="C171" s="7"/>
      <c r="D171" s="7"/>
      <c r="E171" s="7"/>
      <c r="F171" s="7"/>
      <c r="G171" s="7"/>
    </row>
    <row r="172" spans="3:7" x14ac:dyDescent="0.25">
      <c r="C172" s="7"/>
      <c r="D172" s="7"/>
      <c r="E172" s="7"/>
      <c r="F172" s="7"/>
      <c r="G172" s="7"/>
    </row>
    <row r="173" spans="3:7" x14ac:dyDescent="0.25">
      <c r="C173" s="7"/>
      <c r="D173" s="7"/>
      <c r="E173" s="7"/>
      <c r="F173" s="7"/>
      <c r="G173" s="7"/>
    </row>
    <row r="174" spans="3:7" x14ac:dyDescent="0.25">
      <c r="C174" s="7"/>
      <c r="D174" s="7"/>
      <c r="E174" s="7"/>
      <c r="F174" s="7"/>
      <c r="G174" s="7"/>
    </row>
    <row r="175" spans="3:7" x14ac:dyDescent="0.25">
      <c r="C175" s="7"/>
      <c r="D175" s="7"/>
      <c r="E175" s="7"/>
      <c r="F175" s="7"/>
      <c r="G175" s="7"/>
    </row>
    <row r="176" spans="3:7" x14ac:dyDescent="0.25">
      <c r="C176" s="7"/>
      <c r="D176" s="7"/>
      <c r="E176" s="7"/>
      <c r="F176" s="7"/>
      <c r="G176" s="7"/>
    </row>
    <row r="177" spans="3:7" x14ac:dyDescent="0.25">
      <c r="C177" s="7"/>
      <c r="D177" s="7"/>
      <c r="E177" s="7"/>
      <c r="F177" s="7"/>
      <c r="G177" s="7"/>
    </row>
    <row r="178" spans="3:7" x14ac:dyDescent="0.25">
      <c r="C178" s="7"/>
      <c r="D178" s="7"/>
      <c r="E178" s="7"/>
      <c r="F178" s="7"/>
      <c r="G178" s="7"/>
    </row>
    <row r="179" spans="3:7" x14ac:dyDescent="0.25">
      <c r="C179" s="7"/>
      <c r="D179" s="7"/>
      <c r="E179" s="7"/>
      <c r="F179" s="7"/>
      <c r="G179" s="7"/>
    </row>
    <row r="180" spans="3:7" x14ac:dyDescent="0.25">
      <c r="C180" s="7"/>
      <c r="D180" s="7"/>
      <c r="E180" s="7"/>
      <c r="F180" s="7"/>
      <c r="G180" s="7"/>
    </row>
    <row r="181" spans="3:7" x14ac:dyDescent="0.25">
      <c r="C181" s="7"/>
      <c r="D181" s="7"/>
      <c r="E181" s="7"/>
      <c r="F181" s="7"/>
      <c r="G181" s="10"/>
    </row>
    <row r="182" spans="3:7" x14ac:dyDescent="0.25">
      <c r="C182" s="12"/>
      <c r="D182" s="10"/>
      <c r="E182" s="10"/>
    </row>
    <row r="184" spans="3:7" x14ac:dyDescent="0.25">
      <c r="C184" s="7"/>
      <c r="D184" s="7"/>
      <c r="E184" s="7"/>
      <c r="F184" s="7"/>
      <c r="G184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C31" sqref="C31"/>
    </sheetView>
  </sheetViews>
  <sheetFormatPr defaultRowHeight="12.75" x14ac:dyDescent="0.2"/>
  <cols>
    <col min="1" max="1" width="26.85546875" style="22" bestFit="1" customWidth="1"/>
    <col min="2" max="2" width="21.28515625" style="22" customWidth="1"/>
    <col min="3" max="3" width="14" style="22" customWidth="1"/>
    <col min="4" max="5" width="9.140625" style="22"/>
    <col min="6" max="6" width="21.7109375" style="22" bestFit="1" customWidth="1"/>
    <col min="7" max="16384" width="9.140625" style="22"/>
  </cols>
  <sheetData>
    <row r="1" spans="1:7" x14ac:dyDescent="0.2">
      <c r="A1" s="23" t="s">
        <v>112</v>
      </c>
    </row>
    <row r="2" spans="1:7" x14ac:dyDescent="0.2">
      <c r="A2" s="23"/>
    </row>
    <row r="3" spans="1:7" x14ac:dyDescent="0.2">
      <c r="A3" s="74" t="s">
        <v>178</v>
      </c>
    </row>
    <row r="4" spans="1:7" x14ac:dyDescent="0.2">
      <c r="A4" s="74"/>
      <c r="B4" s="22" t="s">
        <v>113</v>
      </c>
      <c r="C4" s="22">
        <v>0.9</v>
      </c>
    </row>
    <row r="5" spans="1:7" x14ac:dyDescent="0.2">
      <c r="A5" s="74"/>
      <c r="B5" s="22" t="s">
        <v>114</v>
      </c>
      <c r="C5" s="75">
        <v>0.11</v>
      </c>
    </row>
    <row r="6" spans="1:7" x14ac:dyDescent="0.2">
      <c r="A6" s="74"/>
      <c r="B6" s="22" t="s">
        <v>179</v>
      </c>
      <c r="C6" s="75">
        <v>0.01</v>
      </c>
    </row>
    <row r="7" spans="1:7" x14ac:dyDescent="0.2">
      <c r="A7" s="74"/>
      <c r="C7" s="75"/>
    </row>
    <row r="8" spans="1:7" s="76" customFormat="1" x14ac:dyDescent="0.2">
      <c r="A8" s="74"/>
      <c r="B8" s="74" t="s">
        <v>192</v>
      </c>
      <c r="C8" s="78">
        <f>+C6+C4*(C5-C6)</f>
        <v>0.1</v>
      </c>
      <c r="D8" s="76" t="s">
        <v>193</v>
      </c>
    </row>
    <row r="9" spans="1:7" s="76" customFormat="1" x14ac:dyDescent="0.2">
      <c r="A9" s="74"/>
      <c r="B9" s="74"/>
      <c r="C9" s="78"/>
    </row>
    <row r="10" spans="1:7" s="76" customFormat="1" x14ac:dyDescent="0.2">
      <c r="A10" s="74" t="s">
        <v>180</v>
      </c>
      <c r="B10" s="74"/>
      <c r="C10" s="78"/>
      <c r="D10" s="87" t="s">
        <v>181</v>
      </c>
      <c r="E10" s="87" t="s">
        <v>25</v>
      </c>
      <c r="F10" s="87" t="s">
        <v>182</v>
      </c>
      <c r="G10" s="76" t="s">
        <v>183</v>
      </c>
    </row>
    <row r="11" spans="1:7" s="76" customFormat="1" x14ac:dyDescent="0.2">
      <c r="A11" s="74"/>
      <c r="B11" s="79" t="s">
        <v>194</v>
      </c>
      <c r="C11" s="80">
        <f>AVERAGE(Forecast!C98:L98)</f>
        <v>145709.792232293</v>
      </c>
      <c r="D11" s="77">
        <f>C11/C13</f>
        <v>1</v>
      </c>
      <c r="E11" s="83">
        <f>Mortgage!J1</f>
        <v>0.05</v>
      </c>
    </row>
    <row r="12" spans="1:7" s="76" customFormat="1" x14ac:dyDescent="0.2">
      <c r="A12" s="74"/>
      <c r="B12" s="79" t="s">
        <v>195</v>
      </c>
      <c r="C12" s="81">
        <f>AVERAGE(Forecast!C99:L99)</f>
        <v>0</v>
      </c>
      <c r="D12" s="77">
        <f>C12/C13</f>
        <v>0</v>
      </c>
      <c r="E12" s="83">
        <f>Forecast!M74</f>
        <v>0.12</v>
      </c>
      <c r="F12" s="83">
        <f>D11*E11+D12*E12</f>
        <v>0.05</v>
      </c>
      <c r="G12" s="86">
        <f>F12*(1-Forecast!M77)</f>
        <v>4.0000000000000008E-2</v>
      </c>
    </row>
    <row r="13" spans="1:7" s="76" customFormat="1" x14ac:dyDescent="0.2">
      <c r="A13" s="74"/>
      <c r="B13" s="79" t="s">
        <v>184</v>
      </c>
      <c r="C13" s="82">
        <f>SUM(C11:C12)</f>
        <v>145709.792232293</v>
      </c>
    </row>
    <row r="14" spans="1:7" s="76" customFormat="1" x14ac:dyDescent="0.2">
      <c r="A14" s="74"/>
      <c r="B14" s="74"/>
      <c r="C14" s="78"/>
    </row>
    <row r="15" spans="1:7" s="76" customFormat="1" x14ac:dyDescent="0.2">
      <c r="A15" s="74" t="s">
        <v>112</v>
      </c>
      <c r="B15" s="74"/>
      <c r="C15" s="78"/>
      <c r="D15" s="87" t="s">
        <v>181</v>
      </c>
      <c r="E15" s="87" t="s">
        <v>25</v>
      </c>
      <c r="F15" s="87" t="s">
        <v>182</v>
      </c>
    </row>
    <row r="16" spans="1:7" s="76" customFormat="1" x14ac:dyDescent="0.2">
      <c r="A16" s="74"/>
      <c r="B16" s="79" t="s">
        <v>196</v>
      </c>
      <c r="C16" s="82">
        <f>C13</f>
        <v>145709.792232293</v>
      </c>
      <c r="D16" s="85">
        <f>C16/C18</f>
        <v>0.4890228278613068</v>
      </c>
      <c r="E16" s="83">
        <f>G12</f>
        <v>4.0000000000000008E-2</v>
      </c>
    </row>
    <row r="17" spans="1:6" s="76" customFormat="1" x14ac:dyDescent="0.2">
      <c r="A17" s="74"/>
      <c r="B17" s="79" t="s">
        <v>197</v>
      </c>
      <c r="C17" s="81">
        <f>AVERAGE(Forecast!C105:L105)</f>
        <v>152251.33336493201</v>
      </c>
      <c r="D17" s="85">
        <f>C17/C18</f>
        <v>0.51097717213869309</v>
      </c>
      <c r="E17" s="84">
        <f>C8</f>
        <v>0.1</v>
      </c>
      <c r="F17" s="86">
        <f>D16*E16+D17*E17</f>
        <v>7.0658630328321592E-2</v>
      </c>
    </row>
    <row r="18" spans="1:6" s="76" customFormat="1" x14ac:dyDescent="0.2">
      <c r="A18" s="74"/>
      <c r="B18" s="79" t="s">
        <v>198</v>
      </c>
      <c r="C18" s="80">
        <f>SUM(C16:C17)</f>
        <v>297961.12559722504</v>
      </c>
    </row>
    <row r="19" spans="1:6" s="76" customFormat="1" x14ac:dyDescent="0.2">
      <c r="A19" s="74"/>
      <c r="B19" s="74"/>
      <c r="C19" s="78"/>
    </row>
    <row r="20" spans="1:6" s="88" customFormat="1" ht="12.75" customHeight="1" thickBot="1" x14ac:dyDescent="0.3">
      <c r="A20" s="107" t="s">
        <v>185</v>
      </c>
      <c r="B20" s="108">
        <f>B21/(1+(1-B22)*(B23/B24))</f>
        <v>0.50973374213152023</v>
      </c>
      <c r="C20" s="89"/>
    </row>
    <row r="21" spans="1:6" s="88" customFormat="1" ht="15.75" thickBot="1" x14ac:dyDescent="0.3">
      <c r="A21" s="109" t="s">
        <v>186</v>
      </c>
      <c r="B21" s="110">
        <f>C4</f>
        <v>0.9</v>
      </c>
      <c r="C21" s="90"/>
    </row>
    <row r="22" spans="1:6" s="88" customFormat="1" ht="15.75" thickBot="1" x14ac:dyDescent="0.3">
      <c r="A22" s="111" t="s">
        <v>115</v>
      </c>
      <c r="B22" s="112">
        <f>Forecast!M77</f>
        <v>0.2</v>
      </c>
    </row>
    <row r="23" spans="1:6" s="88" customFormat="1" ht="15.75" thickBot="1" x14ac:dyDescent="0.3">
      <c r="A23" s="111" t="s">
        <v>187</v>
      </c>
      <c r="B23" s="112">
        <f>D16</f>
        <v>0.4890228278613068</v>
      </c>
      <c r="C23" s="90"/>
    </row>
    <row r="24" spans="1:6" s="88" customFormat="1" ht="15.75" thickBot="1" x14ac:dyDescent="0.3">
      <c r="A24" s="113" t="s">
        <v>188</v>
      </c>
      <c r="B24" s="114">
        <f>D17</f>
        <v>0.51097717213869309</v>
      </c>
      <c r="C24" s="91"/>
    </row>
    <row r="25" spans="1:6" s="88" customFormat="1" ht="15" x14ac:dyDescent="0.25">
      <c r="A25" s="115"/>
      <c r="B25" s="115"/>
      <c r="C25" s="90"/>
      <c r="D25" s="92"/>
    </row>
    <row r="26" spans="1:6" s="88" customFormat="1" ht="15.75" thickBot="1" x14ac:dyDescent="0.3">
      <c r="A26" s="107" t="s">
        <v>189</v>
      </c>
      <c r="B26" s="116">
        <f>+(1+(1-B28)*(B29/B30))*B27</f>
        <v>0.38576914665667106</v>
      </c>
      <c r="C26" s="93"/>
      <c r="D26" s="94"/>
    </row>
    <row r="27" spans="1:6" s="88" customFormat="1" ht="15" x14ac:dyDescent="0.25">
      <c r="A27" s="109" t="s">
        <v>185</v>
      </c>
      <c r="B27" s="117">
        <v>0.21431619258703946</v>
      </c>
    </row>
    <row r="28" spans="1:6" s="88" customFormat="1" ht="15.75" thickBot="1" x14ac:dyDescent="0.3">
      <c r="A28" s="111" t="s">
        <v>115</v>
      </c>
      <c r="B28" s="118">
        <v>0.2</v>
      </c>
    </row>
    <row r="29" spans="1:6" s="88" customFormat="1" ht="15.75" thickBot="1" x14ac:dyDescent="0.3">
      <c r="A29" s="111" t="s">
        <v>190</v>
      </c>
      <c r="B29" s="112">
        <v>0.5</v>
      </c>
      <c r="C29" s="90"/>
    </row>
    <row r="30" spans="1:6" s="88" customFormat="1" ht="15.75" thickBot="1" x14ac:dyDescent="0.3">
      <c r="A30" s="113" t="s">
        <v>191</v>
      </c>
      <c r="B30" s="114">
        <v>0.5</v>
      </c>
      <c r="C30" s="97"/>
    </row>
    <row r="31" spans="1:6" s="88" customFormat="1" x14ac:dyDescent="0.2">
      <c r="B31" s="95"/>
      <c r="C31" s="90"/>
    </row>
    <row r="32" spans="1:6" s="88" customFormat="1" x14ac:dyDescent="0.2">
      <c r="B32" s="95"/>
      <c r="C32" s="90"/>
      <c r="D32" s="98"/>
    </row>
    <row r="33" spans="1:3" s="88" customFormat="1" ht="12.75" customHeight="1" x14ac:dyDescent="0.2">
      <c r="A33" s="92"/>
      <c r="B33" s="96"/>
      <c r="C33" s="90"/>
    </row>
    <row r="34" spans="1:3" s="88" customFormat="1" x14ac:dyDescent="0.2">
      <c r="A34" s="89"/>
      <c r="B34" s="95"/>
      <c r="C34" s="90"/>
    </row>
    <row r="35" spans="1:3" s="88" customFormat="1" x14ac:dyDescent="0.2"/>
    <row r="36" spans="1:3" s="88" customFormat="1" x14ac:dyDescent="0.2">
      <c r="A36" s="99"/>
      <c r="B36" s="100"/>
      <c r="C36" s="101"/>
    </row>
    <row r="37" spans="1:3" s="88" customFormat="1" x14ac:dyDescent="0.2"/>
    <row r="38" spans="1:3" s="88" customFormat="1" x14ac:dyDescent="0.2"/>
    <row r="39" spans="1:3" s="88" customFormat="1" x14ac:dyDescent="0.2"/>
    <row r="40" spans="1:3" s="88" customFormat="1" x14ac:dyDescent="0.2"/>
    <row r="41" spans="1:3" s="88" customFormat="1" x14ac:dyDescent="0.2"/>
    <row r="42" spans="1:3" s="88" customFormat="1" x14ac:dyDescent="0.2"/>
    <row r="43" spans="1:3" s="88" customFormat="1" x14ac:dyDescent="0.2"/>
    <row r="44" spans="1:3" s="88" customFormat="1" x14ac:dyDescent="0.2"/>
    <row r="45" spans="1:3" s="88" customFormat="1" x14ac:dyDescent="0.2"/>
    <row r="46" spans="1:3" s="88" customFormat="1" x14ac:dyDescent="0.2"/>
    <row r="47" spans="1:3" s="88" customFormat="1" x14ac:dyDescent="0.2"/>
    <row r="48" spans="1:3" s="88" customFormat="1" x14ac:dyDescent="0.2"/>
    <row r="49" s="88" customFormat="1" x14ac:dyDescent="0.2"/>
    <row r="50" s="88" customFormat="1" x14ac:dyDescent="0.2"/>
    <row r="51" s="88" customFormat="1" x14ac:dyDescent="0.2"/>
    <row r="52" s="88" customFormat="1" x14ac:dyDescent="0.2"/>
    <row r="53" s="88" customFormat="1" x14ac:dyDescent="0.2"/>
    <row r="54" s="88" customFormat="1" x14ac:dyDescent="0.2"/>
    <row r="55" s="88" customFormat="1" x14ac:dyDescent="0.2"/>
    <row r="56" s="88" customFormat="1" x14ac:dyDescent="0.2"/>
    <row r="57" s="88" customFormat="1" x14ac:dyDescent="0.2"/>
    <row r="58" s="88" customFormat="1" x14ac:dyDescent="0.2"/>
    <row r="59" s="88" customFormat="1" x14ac:dyDescent="0.2"/>
    <row r="60" s="88" customFormat="1" x14ac:dyDescent="0.2"/>
    <row r="61" s="88" customFormat="1" x14ac:dyDescent="0.2"/>
    <row r="62" s="88" customFormat="1" x14ac:dyDescent="0.2"/>
    <row r="63" s="88" customFormat="1" x14ac:dyDescent="0.2"/>
    <row r="64" s="88" customFormat="1" x14ac:dyDescent="0.2"/>
    <row r="65" s="88" customFormat="1" x14ac:dyDescent="0.2"/>
    <row r="66" s="88" customFormat="1" x14ac:dyDescent="0.2"/>
    <row r="67" s="88" customFormat="1" x14ac:dyDescent="0.2"/>
    <row r="68" s="88" customFormat="1" x14ac:dyDescent="0.2"/>
    <row r="69" s="88" customFormat="1" x14ac:dyDescent="0.2"/>
    <row r="70" s="88" customFormat="1" x14ac:dyDescent="0.2"/>
    <row r="71" s="88" customFormat="1" x14ac:dyDescent="0.2"/>
    <row r="72" s="88" customFormat="1" x14ac:dyDescent="0.2"/>
    <row r="73" s="88" customFormat="1" x14ac:dyDescent="0.2"/>
    <row r="74" s="88" customFormat="1" x14ac:dyDescent="0.2"/>
    <row r="75" s="88" customFormat="1" x14ac:dyDescent="0.2"/>
    <row r="76" s="88" customFormat="1" x14ac:dyDescent="0.2"/>
    <row r="77" s="88" customFormat="1" x14ac:dyDescent="0.2"/>
    <row r="78" s="88" customFormat="1" x14ac:dyDescent="0.2"/>
    <row r="79" s="88" customFormat="1" x14ac:dyDescent="0.2"/>
    <row r="80" s="88" customFormat="1" x14ac:dyDescent="0.2"/>
    <row r="81" s="88" customFormat="1" x14ac:dyDescent="0.2"/>
    <row r="82" s="88" customFormat="1" x14ac:dyDescent="0.2"/>
    <row r="83" s="88" customFormat="1" x14ac:dyDescent="0.2"/>
    <row r="84" s="88" customFormat="1" x14ac:dyDescent="0.2"/>
    <row r="85" s="88" customFormat="1" x14ac:dyDescent="0.2"/>
    <row r="86" s="88" customFormat="1" x14ac:dyDescent="0.2"/>
    <row r="87" s="88" customFormat="1" x14ac:dyDescent="0.2"/>
    <row r="88" s="88" customFormat="1" x14ac:dyDescent="0.2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E26" sqref="E26"/>
    </sheetView>
  </sheetViews>
  <sheetFormatPr defaultRowHeight="12.75" x14ac:dyDescent="0.2"/>
  <cols>
    <col min="1" max="1" width="9.140625" style="22"/>
    <col min="2" max="2" width="10.7109375" style="22" bestFit="1" customWidth="1"/>
    <col min="3" max="3" width="16.85546875" style="22" bestFit="1" customWidth="1"/>
    <col min="4" max="4" width="11.28515625" style="22" bestFit="1" customWidth="1"/>
    <col min="5" max="5" width="11.5703125" style="22" bestFit="1" customWidth="1"/>
    <col min="6" max="6" width="9.140625" style="22"/>
    <col min="7" max="7" width="10.5703125" style="22" bestFit="1" customWidth="1"/>
    <col min="8" max="8" width="9.140625" style="22"/>
    <col min="9" max="9" width="12.85546875" style="22" bestFit="1" customWidth="1"/>
    <col min="10" max="10" width="9.140625" style="22"/>
    <col min="11" max="11" width="11.28515625" style="22" bestFit="1" customWidth="1"/>
    <col min="12" max="12" width="9.7109375" style="22" bestFit="1" customWidth="1"/>
    <col min="13" max="16384" width="9.140625" style="22"/>
  </cols>
  <sheetData>
    <row r="1" spans="1:12" ht="15" x14ac:dyDescent="0.25">
      <c r="A1" s="24" t="s">
        <v>139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">
      <c r="A2" s="25"/>
      <c r="B2" s="25"/>
      <c r="C2" s="25" t="s">
        <v>117</v>
      </c>
      <c r="D2" s="26">
        <f>Forecast!C89</f>
        <v>52000</v>
      </c>
      <c r="E2" s="25"/>
      <c r="F2" s="25"/>
      <c r="G2" s="25"/>
      <c r="H2" s="25"/>
    </row>
    <row r="3" spans="1:12" ht="15" x14ac:dyDescent="0.25">
      <c r="A3" s="25"/>
      <c r="B3" s="25"/>
      <c r="C3" s="25" t="s">
        <v>118</v>
      </c>
      <c r="D3" s="25"/>
      <c r="E3" s="27">
        <v>110000</v>
      </c>
      <c r="F3" s="25"/>
      <c r="G3" s="25" t="s">
        <v>119</v>
      </c>
      <c r="H3" s="25" t="s">
        <v>120</v>
      </c>
    </row>
    <row r="4" spans="1:12" ht="15" x14ac:dyDescent="0.25">
      <c r="A4" s="25"/>
      <c r="B4" s="25"/>
      <c r="C4" s="25" t="s">
        <v>121</v>
      </c>
      <c r="D4" s="25"/>
      <c r="E4" s="27">
        <f>H4*-Forecast!M77</f>
        <v>-9466.6666666666679</v>
      </c>
      <c r="F4" s="25"/>
      <c r="G4" s="26">
        <f>Forecast!F89-Forecast!F90</f>
        <v>62666.666666666664</v>
      </c>
      <c r="H4" s="26">
        <f>E3-G4</f>
        <v>47333.333333333336</v>
      </c>
    </row>
    <row r="5" spans="1:12" x14ac:dyDescent="0.2">
      <c r="A5" s="25" t="s">
        <v>122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">
      <c r="A9" s="25" t="s">
        <v>123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25" t="s">
        <v>124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">
      <c r="A14" s="25" t="s">
        <v>125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">
      <c r="A16" s="25" t="s">
        <v>126</v>
      </c>
      <c r="B16" s="29">
        <f>NPV('Free Cash Flows'!C17,Forecast!C78:F78)</f>
        <v>11960.342459120591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4" x14ac:dyDescent="0.2">
      <c r="A17" s="25" t="s">
        <v>127</v>
      </c>
      <c r="B17" s="28">
        <f>IRR(Forecast!C78:F78)</f>
        <v>0.66457395052812829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21" spans="1:14" x14ac:dyDescent="0.2">
      <c r="F21" s="22">
        <f>134300+10780</f>
        <v>145080</v>
      </c>
    </row>
    <row r="22" spans="1:14" x14ac:dyDescent="0.2">
      <c r="F22" s="22">
        <v>166920</v>
      </c>
    </row>
    <row r="23" spans="1:14" x14ac:dyDescent="0.2">
      <c r="F23" s="22">
        <f>SUM(F21:F22)</f>
        <v>312000</v>
      </c>
    </row>
    <row r="27" spans="1:14" x14ac:dyDescent="0.2">
      <c r="F27" s="22">
        <f>190000-F21</f>
        <v>44920</v>
      </c>
    </row>
    <row r="31" spans="1:14" x14ac:dyDescent="0.2">
      <c r="N31" s="22">
        <v>190000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</vt:lpstr>
      <vt:lpstr>Mortgage</vt:lpstr>
      <vt:lpstr>WACC</vt:lpstr>
      <vt:lpstr>Free Cash Flows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2013-12-06T21:06:49Z</dcterms:created>
  <dcterms:modified xsi:type="dcterms:W3CDTF">2019-07-26T22:13:55Z</dcterms:modified>
</cp:coreProperties>
</file>