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autoCompressPictures="0"/>
  <bookViews>
    <workbookView xWindow="0" yWindow="0" windowWidth="15120" windowHeight="8565" tabRatio="500"/>
  </bookViews>
  <sheets>
    <sheet name="Master" sheetId="1" r:id="rId1"/>
    <sheet name="Strong" sheetId="2" r:id="rId2"/>
    <sheet name="Weak" sheetId="3" r:id="rId3"/>
    <sheet name="Weak with Option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25" i="2" l="1"/>
  <c r="C219" i="2"/>
  <c r="M220" i="2"/>
  <c r="C70" i="2"/>
  <c r="C221" i="2"/>
  <c r="C222" i="2"/>
  <c r="C72" i="2"/>
  <c r="M214" i="2"/>
  <c r="M215" i="2"/>
  <c r="M217" i="2"/>
  <c r="C199" i="2"/>
  <c r="C55" i="2"/>
  <c r="C93" i="2"/>
  <c r="C111" i="2"/>
  <c r="C113" i="2"/>
  <c r="M226" i="2"/>
  <c r="C100" i="2"/>
  <c r="M218" i="2"/>
  <c r="M230" i="2"/>
  <c r="C245" i="2"/>
  <c r="M231" i="2"/>
  <c r="C229" i="2"/>
  <c r="M232" i="2"/>
  <c r="M239" i="2"/>
  <c r="C6" i="2"/>
  <c r="C7" i="2"/>
  <c r="C227" i="2"/>
  <c r="M228" i="2"/>
  <c r="C8" i="2"/>
  <c r="C233" i="2"/>
  <c r="C234" i="2"/>
  <c r="C9" i="2"/>
  <c r="C237" i="2"/>
  <c r="M238" i="2"/>
  <c r="C10" i="2"/>
  <c r="M240" i="2"/>
  <c r="C241" i="2"/>
  <c r="C11" i="2"/>
  <c r="C243" i="2"/>
  <c r="M242" i="2"/>
  <c r="C12" i="2"/>
  <c r="M244" i="2"/>
  <c r="C13" i="2"/>
  <c r="C235" i="2"/>
  <c r="M236" i="2"/>
  <c r="C14" i="2"/>
  <c r="C15" i="2"/>
  <c r="M246" i="2"/>
  <c r="C17" i="2"/>
  <c r="C18" i="2"/>
  <c r="C19" i="2"/>
  <c r="C260" i="2"/>
  <c r="C22" i="2"/>
  <c r="C247" i="2"/>
  <c r="C23" i="2"/>
  <c r="M248" i="2"/>
  <c r="C249" i="2"/>
  <c r="C24" i="2"/>
  <c r="M253" i="2"/>
  <c r="C25" i="2"/>
  <c r="M254" i="2"/>
  <c r="O254" i="2"/>
  <c r="C26" i="2"/>
  <c r="C250" i="2"/>
  <c r="C27" i="2"/>
  <c r="M208" i="2"/>
  <c r="M207" i="2"/>
  <c r="C35" i="2"/>
  <c r="C73" i="2"/>
  <c r="C74" i="2"/>
  <c r="C223" i="2"/>
  <c r="M224" i="2"/>
  <c r="C76" i="2"/>
  <c r="M210" i="2"/>
  <c r="M209" i="2"/>
  <c r="C36" i="2"/>
  <c r="C77" i="2"/>
  <c r="C78" i="2"/>
  <c r="C80" i="2"/>
  <c r="M251" i="2"/>
  <c r="C28" i="2"/>
  <c r="M252" i="2"/>
  <c r="C29" i="2"/>
  <c r="C30" i="2"/>
  <c r="C32" i="2"/>
  <c r="C4" i="2"/>
  <c r="C37" i="2"/>
  <c r="C211" i="2"/>
  <c r="C38" i="2"/>
  <c r="C39" i="2"/>
  <c r="C41" i="2"/>
  <c r="C203" i="2"/>
  <c r="C42" i="2"/>
  <c r="C43" i="2"/>
  <c r="C101" i="2"/>
  <c r="C102" i="2"/>
  <c r="C126" i="2"/>
  <c r="C127" i="2"/>
  <c r="C130" i="2"/>
  <c r="C116" i="2"/>
  <c r="C121" i="2"/>
  <c r="C117" i="2"/>
  <c r="C122" i="2"/>
  <c r="C124" i="2"/>
  <c r="C131" i="2"/>
  <c r="C145" i="2"/>
  <c r="C146" i="2"/>
  <c r="C264" i="2"/>
  <c r="C149" i="2"/>
  <c r="C151" i="2"/>
  <c r="C262" i="2"/>
  <c r="C261" i="2"/>
  <c r="C134" i="2"/>
  <c r="C136" i="2"/>
  <c r="D199" i="2"/>
  <c r="D55" i="2"/>
  <c r="D93" i="2"/>
  <c r="D111" i="2"/>
  <c r="D113" i="2"/>
  <c r="D100" i="2"/>
  <c r="D245" i="2"/>
  <c r="M201" i="2"/>
  <c r="D229" i="2"/>
  <c r="D6" i="2"/>
  <c r="D7" i="2"/>
  <c r="D227" i="2"/>
  <c r="D8" i="2"/>
  <c r="D233" i="2"/>
  <c r="M234" i="2"/>
  <c r="D234" i="2"/>
  <c r="D9" i="2"/>
  <c r="D237" i="2"/>
  <c r="D10" i="2"/>
  <c r="D241" i="2"/>
  <c r="D11" i="2"/>
  <c r="D243" i="2"/>
  <c r="D12" i="2"/>
  <c r="D13" i="2"/>
  <c r="D235" i="2"/>
  <c r="D14" i="2"/>
  <c r="D15" i="2"/>
  <c r="D17" i="2"/>
  <c r="D18" i="2"/>
  <c r="D19" i="2"/>
  <c r="D260" i="2"/>
  <c r="D22" i="2"/>
  <c r="M247" i="2"/>
  <c r="D247" i="2"/>
  <c r="D23" i="2"/>
  <c r="D249" i="2"/>
  <c r="D24" i="2"/>
  <c r="D25" i="2"/>
  <c r="D26" i="2"/>
  <c r="D250" i="2"/>
  <c r="D27" i="2"/>
  <c r="D70" i="2"/>
  <c r="D222" i="2"/>
  <c r="D72" i="2"/>
  <c r="D35" i="2"/>
  <c r="D73" i="2"/>
  <c r="D74" i="2"/>
  <c r="D76" i="2"/>
  <c r="D36" i="2"/>
  <c r="D77" i="2"/>
  <c r="D78" i="2"/>
  <c r="D80" i="2"/>
  <c r="D28" i="2"/>
  <c r="D29" i="2"/>
  <c r="D30" i="2"/>
  <c r="D32" i="2"/>
  <c r="D4" i="2"/>
  <c r="D37" i="2"/>
  <c r="M211" i="2"/>
  <c r="D211" i="2"/>
  <c r="D38" i="2"/>
  <c r="D39" i="2"/>
  <c r="D41" i="2"/>
  <c r="M203" i="2"/>
  <c r="D203" i="2"/>
  <c r="D42" i="2"/>
  <c r="D43" i="2"/>
  <c r="D101" i="2"/>
  <c r="D102" i="2"/>
  <c r="D126" i="2"/>
  <c r="D127" i="2"/>
  <c r="D130" i="2"/>
  <c r="D116" i="2"/>
  <c r="D121" i="2"/>
  <c r="D117" i="2"/>
  <c r="D122" i="2"/>
  <c r="D124" i="2"/>
  <c r="D131" i="2"/>
  <c r="D145" i="2"/>
  <c r="D146" i="2"/>
  <c r="M264" i="2"/>
  <c r="D264" i="2"/>
  <c r="D149" i="2"/>
  <c r="D151" i="2"/>
  <c r="M262" i="2"/>
  <c r="D262" i="2"/>
  <c r="M261" i="2"/>
  <c r="D261" i="2"/>
  <c r="D134" i="2"/>
  <c r="D136" i="2"/>
  <c r="E199" i="2"/>
  <c r="E55" i="2"/>
  <c r="E93" i="2"/>
  <c r="E111" i="2"/>
  <c r="E113" i="2"/>
  <c r="E100" i="2"/>
  <c r="E245" i="2"/>
  <c r="E229" i="2"/>
  <c r="E6" i="2"/>
  <c r="E7" i="2"/>
  <c r="E227" i="2"/>
  <c r="E8" i="2"/>
  <c r="E233" i="2"/>
  <c r="E234" i="2"/>
  <c r="E9" i="2"/>
  <c r="E237" i="2"/>
  <c r="E10" i="2"/>
  <c r="E241" i="2"/>
  <c r="E11" i="2"/>
  <c r="E243" i="2"/>
  <c r="E12" i="2"/>
  <c r="E13" i="2"/>
  <c r="E235" i="2"/>
  <c r="E14" i="2"/>
  <c r="E15" i="2"/>
  <c r="E17" i="2"/>
  <c r="E18" i="2"/>
  <c r="E19" i="2"/>
  <c r="E260" i="2"/>
  <c r="E22" i="2"/>
  <c r="E247" i="2"/>
  <c r="E23" i="2"/>
  <c r="E249" i="2"/>
  <c r="E24" i="2"/>
  <c r="E25" i="2"/>
  <c r="E26" i="2"/>
  <c r="E250" i="2"/>
  <c r="E27" i="2"/>
  <c r="E70" i="2"/>
  <c r="E222" i="2"/>
  <c r="E72" i="2"/>
  <c r="E35" i="2"/>
  <c r="E73" i="2"/>
  <c r="E74" i="2"/>
  <c r="E76" i="2"/>
  <c r="E36" i="2"/>
  <c r="E77" i="2"/>
  <c r="E78" i="2"/>
  <c r="E80" i="2"/>
  <c r="E28" i="2"/>
  <c r="E29" i="2"/>
  <c r="E30" i="2"/>
  <c r="E32" i="2"/>
  <c r="E4" i="2"/>
  <c r="E37" i="2"/>
  <c r="E211" i="2"/>
  <c r="E38" i="2"/>
  <c r="E39" i="2"/>
  <c r="E41" i="2"/>
  <c r="E203" i="2"/>
  <c r="E42" i="2"/>
  <c r="E43" i="2"/>
  <c r="E101" i="2"/>
  <c r="E102" i="2"/>
  <c r="E126" i="2"/>
  <c r="E127" i="2"/>
  <c r="E130" i="2"/>
  <c r="E116" i="2"/>
  <c r="E121" i="2"/>
  <c r="E117" i="2"/>
  <c r="E122" i="2"/>
  <c r="E124" i="2"/>
  <c r="E131" i="2"/>
  <c r="E145" i="2"/>
  <c r="E146" i="2"/>
  <c r="E264" i="2"/>
  <c r="E149" i="2"/>
  <c r="E151" i="2"/>
  <c r="E262" i="2"/>
  <c r="E261" i="2"/>
  <c r="E134" i="2"/>
  <c r="E136" i="2"/>
  <c r="F199" i="2"/>
  <c r="F55" i="2"/>
  <c r="F93" i="2"/>
  <c r="F111" i="2"/>
  <c r="F113" i="2"/>
  <c r="F100" i="2"/>
  <c r="F245" i="2"/>
  <c r="F229" i="2"/>
  <c r="F6" i="2"/>
  <c r="F7" i="2"/>
  <c r="F227" i="2"/>
  <c r="F8" i="2"/>
  <c r="F233" i="2"/>
  <c r="F234" i="2"/>
  <c r="F9" i="2"/>
  <c r="F237" i="2"/>
  <c r="F10" i="2"/>
  <c r="F241" i="2"/>
  <c r="F11" i="2"/>
  <c r="F243" i="2"/>
  <c r="F12" i="2"/>
  <c r="F13" i="2"/>
  <c r="F235" i="2"/>
  <c r="F14" i="2"/>
  <c r="F15" i="2"/>
  <c r="F17" i="2"/>
  <c r="F18" i="2"/>
  <c r="F19" i="2"/>
  <c r="F260" i="2"/>
  <c r="F22" i="2"/>
  <c r="F247" i="2"/>
  <c r="F23" i="2"/>
  <c r="F249" i="2"/>
  <c r="F24" i="2"/>
  <c r="F25" i="2"/>
  <c r="F26" i="2"/>
  <c r="F250" i="2"/>
  <c r="F27" i="2"/>
  <c r="F70" i="2"/>
  <c r="F222" i="2"/>
  <c r="F72" i="2"/>
  <c r="F35" i="2"/>
  <c r="F73" i="2"/>
  <c r="F74" i="2"/>
  <c r="F76" i="2"/>
  <c r="F36" i="2"/>
  <c r="F77" i="2"/>
  <c r="F78" i="2"/>
  <c r="F80" i="2"/>
  <c r="F28" i="2"/>
  <c r="F29" i="2"/>
  <c r="F30" i="2"/>
  <c r="F32" i="2"/>
  <c r="F4" i="2"/>
  <c r="F37" i="2"/>
  <c r="F211" i="2"/>
  <c r="F38" i="2"/>
  <c r="F39" i="2"/>
  <c r="F41" i="2"/>
  <c r="F203" i="2"/>
  <c r="F42" i="2"/>
  <c r="F43" i="2"/>
  <c r="F101" i="2"/>
  <c r="F102" i="2"/>
  <c r="F126" i="2"/>
  <c r="F127" i="2"/>
  <c r="F130" i="2"/>
  <c r="F116" i="2"/>
  <c r="F121" i="2"/>
  <c r="F117" i="2"/>
  <c r="F122" i="2"/>
  <c r="F124" i="2"/>
  <c r="F131" i="2"/>
  <c r="F145" i="2"/>
  <c r="F146" i="2"/>
  <c r="F264" i="2"/>
  <c r="F149" i="2"/>
  <c r="F151" i="2"/>
  <c r="F262" i="2"/>
  <c r="F261" i="2"/>
  <c r="F134" i="2"/>
  <c r="F136" i="2"/>
  <c r="G199" i="2"/>
  <c r="G55" i="2"/>
  <c r="G93" i="2"/>
  <c r="G111" i="2"/>
  <c r="G113" i="2"/>
  <c r="G100" i="2"/>
  <c r="G245" i="2"/>
  <c r="G229" i="2"/>
  <c r="G6" i="2"/>
  <c r="G7" i="2"/>
  <c r="G227" i="2"/>
  <c r="G8" i="2"/>
  <c r="G233" i="2"/>
  <c r="G234" i="2"/>
  <c r="G9" i="2"/>
  <c r="G237" i="2"/>
  <c r="G10" i="2"/>
  <c r="G241" i="2"/>
  <c r="G11" i="2"/>
  <c r="G243" i="2"/>
  <c r="G12" i="2"/>
  <c r="G13" i="2"/>
  <c r="G235" i="2"/>
  <c r="G14" i="2"/>
  <c r="G15" i="2"/>
  <c r="G17" i="2"/>
  <c r="G18" i="2"/>
  <c r="G19" i="2"/>
  <c r="G260" i="2"/>
  <c r="G22" i="2"/>
  <c r="G247" i="2"/>
  <c r="G23" i="2"/>
  <c r="G249" i="2"/>
  <c r="G24" i="2"/>
  <c r="G25" i="2"/>
  <c r="G26" i="2"/>
  <c r="G250" i="2"/>
  <c r="G27" i="2"/>
  <c r="G70" i="2"/>
  <c r="G222" i="2"/>
  <c r="G72" i="2"/>
  <c r="G35" i="2"/>
  <c r="G73" i="2"/>
  <c r="G74" i="2"/>
  <c r="G76" i="2"/>
  <c r="G36" i="2"/>
  <c r="G77" i="2"/>
  <c r="G78" i="2"/>
  <c r="G80" i="2"/>
  <c r="G28" i="2"/>
  <c r="G29" i="2"/>
  <c r="G30" i="2"/>
  <c r="G32" i="2"/>
  <c r="G4" i="2"/>
  <c r="G37" i="2"/>
  <c r="G211" i="2"/>
  <c r="G38" i="2"/>
  <c r="G39" i="2"/>
  <c r="G41" i="2"/>
  <c r="G203" i="2"/>
  <c r="G42" i="2"/>
  <c r="G43" i="2"/>
  <c r="G101" i="2"/>
  <c r="G102" i="2"/>
  <c r="G126" i="2"/>
  <c r="G127" i="2"/>
  <c r="G130" i="2"/>
  <c r="G116" i="2"/>
  <c r="G121" i="2"/>
  <c r="G117" i="2"/>
  <c r="G122" i="2"/>
  <c r="G124" i="2"/>
  <c r="G131" i="2"/>
  <c r="G145" i="2"/>
  <c r="G146" i="2"/>
  <c r="G264" i="2"/>
  <c r="G149" i="2"/>
  <c r="G151" i="2"/>
  <c r="G262" i="2"/>
  <c r="G261" i="2"/>
  <c r="G134" i="2"/>
  <c r="G136" i="2"/>
  <c r="H199" i="2"/>
  <c r="H55" i="2"/>
  <c r="H93" i="2"/>
  <c r="H111" i="2"/>
  <c r="H113" i="2"/>
  <c r="H100" i="2"/>
  <c r="H245" i="2"/>
  <c r="H229" i="2"/>
  <c r="H6" i="2"/>
  <c r="H7" i="2"/>
  <c r="H227" i="2"/>
  <c r="H8" i="2"/>
  <c r="H233" i="2"/>
  <c r="H234" i="2"/>
  <c r="H9" i="2"/>
  <c r="H237" i="2"/>
  <c r="H10" i="2"/>
  <c r="H241" i="2"/>
  <c r="H11" i="2"/>
  <c r="H243" i="2"/>
  <c r="H12" i="2"/>
  <c r="H13" i="2"/>
  <c r="H235" i="2"/>
  <c r="H14" i="2"/>
  <c r="H15" i="2"/>
  <c r="H17" i="2"/>
  <c r="H18" i="2"/>
  <c r="H19" i="2"/>
  <c r="H260" i="2"/>
  <c r="H22" i="2"/>
  <c r="H247" i="2"/>
  <c r="H23" i="2"/>
  <c r="H249" i="2"/>
  <c r="H24" i="2"/>
  <c r="H25" i="2"/>
  <c r="H26" i="2"/>
  <c r="H250" i="2"/>
  <c r="H27" i="2"/>
  <c r="H70" i="2"/>
  <c r="H222" i="2"/>
  <c r="H72" i="2"/>
  <c r="H35" i="2"/>
  <c r="H73" i="2"/>
  <c r="H74" i="2"/>
  <c r="H76" i="2"/>
  <c r="H36" i="2"/>
  <c r="H77" i="2"/>
  <c r="H78" i="2"/>
  <c r="H80" i="2"/>
  <c r="H28" i="2"/>
  <c r="H29" i="2"/>
  <c r="H30" i="2"/>
  <c r="H32" i="2"/>
  <c r="H4" i="2"/>
  <c r="H37" i="2"/>
  <c r="H211" i="2"/>
  <c r="H38" i="2"/>
  <c r="H39" i="2"/>
  <c r="H41" i="2"/>
  <c r="H203" i="2"/>
  <c r="H42" i="2"/>
  <c r="H43" i="2"/>
  <c r="H101" i="2"/>
  <c r="H102" i="2"/>
  <c r="H126" i="2"/>
  <c r="H127" i="2"/>
  <c r="H130" i="2"/>
  <c r="H116" i="2"/>
  <c r="H121" i="2"/>
  <c r="H117" i="2"/>
  <c r="H122" i="2"/>
  <c r="H124" i="2"/>
  <c r="H131" i="2"/>
  <c r="H145" i="2"/>
  <c r="H146" i="2"/>
  <c r="H264" i="2"/>
  <c r="H149" i="2"/>
  <c r="H151" i="2"/>
  <c r="H262" i="2"/>
  <c r="H261" i="2"/>
  <c r="H134" i="2"/>
  <c r="H136" i="2"/>
  <c r="I199" i="2"/>
  <c r="I55" i="2"/>
  <c r="I93" i="2"/>
  <c r="I111" i="2"/>
  <c r="I113" i="2"/>
  <c r="I100" i="2"/>
  <c r="I245" i="2"/>
  <c r="I229" i="2"/>
  <c r="I6" i="2"/>
  <c r="I7" i="2"/>
  <c r="I227" i="2"/>
  <c r="I8" i="2"/>
  <c r="I233" i="2"/>
  <c r="I234" i="2"/>
  <c r="I9" i="2"/>
  <c r="I237" i="2"/>
  <c r="I10" i="2"/>
  <c r="I241" i="2"/>
  <c r="I11" i="2"/>
  <c r="I243" i="2"/>
  <c r="I12" i="2"/>
  <c r="I13" i="2"/>
  <c r="I235" i="2"/>
  <c r="I14" i="2"/>
  <c r="I15" i="2"/>
  <c r="I17" i="2"/>
  <c r="I18" i="2"/>
  <c r="I19" i="2"/>
  <c r="I260" i="2"/>
  <c r="I22" i="2"/>
  <c r="I247" i="2"/>
  <c r="I23" i="2"/>
  <c r="I249" i="2"/>
  <c r="I24" i="2"/>
  <c r="I25" i="2"/>
  <c r="I26" i="2"/>
  <c r="I250" i="2"/>
  <c r="I27" i="2"/>
  <c r="I70" i="2"/>
  <c r="I222" i="2"/>
  <c r="I72" i="2"/>
  <c r="I35" i="2"/>
  <c r="I73" i="2"/>
  <c r="I74" i="2"/>
  <c r="I76" i="2"/>
  <c r="I36" i="2"/>
  <c r="I77" i="2"/>
  <c r="I78" i="2"/>
  <c r="I80" i="2"/>
  <c r="I28" i="2"/>
  <c r="I29" i="2"/>
  <c r="I30" i="2"/>
  <c r="I32" i="2"/>
  <c r="I4" i="2"/>
  <c r="I37" i="2"/>
  <c r="I211" i="2"/>
  <c r="I38" i="2"/>
  <c r="I39" i="2"/>
  <c r="I41" i="2"/>
  <c r="I203" i="2"/>
  <c r="I42" i="2"/>
  <c r="I43" i="2"/>
  <c r="I101" i="2"/>
  <c r="I102" i="2"/>
  <c r="I126" i="2"/>
  <c r="I127" i="2"/>
  <c r="I130" i="2"/>
  <c r="I116" i="2"/>
  <c r="I121" i="2"/>
  <c r="I117" i="2"/>
  <c r="I122" i="2"/>
  <c r="I124" i="2"/>
  <c r="I131" i="2"/>
  <c r="I145" i="2"/>
  <c r="I146" i="2"/>
  <c r="I264" i="2"/>
  <c r="I149" i="2"/>
  <c r="I151" i="2"/>
  <c r="I262" i="2"/>
  <c r="I261" i="2"/>
  <c r="I134" i="2"/>
  <c r="I136" i="2"/>
  <c r="J199" i="2"/>
  <c r="J55" i="2"/>
  <c r="J93" i="2"/>
  <c r="J111" i="2"/>
  <c r="J113" i="2"/>
  <c r="J100" i="2"/>
  <c r="J245" i="2"/>
  <c r="J229" i="2"/>
  <c r="J6" i="2"/>
  <c r="J7" i="2"/>
  <c r="J227" i="2"/>
  <c r="J8" i="2"/>
  <c r="J233" i="2"/>
  <c r="J234" i="2"/>
  <c r="J9" i="2"/>
  <c r="J237" i="2"/>
  <c r="J10" i="2"/>
  <c r="J241" i="2"/>
  <c r="J11" i="2"/>
  <c r="J243" i="2"/>
  <c r="J12" i="2"/>
  <c r="J13" i="2"/>
  <c r="J235" i="2"/>
  <c r="J14" i="2"/>
  <c r="J15" i="2"/>
  <c r="J17" i="2"/>
  <c r="J18" i="2"/>
  <c r="J19" i="2"/>
  <c r="J260" i="2"/>
  <c r="J22" i="2"/>
  <c r="J247" i="2"/>
  <c r="J23" i="2"/>
  <c r="J249" i="2"/>
  <c r="J24" i="2"/>
  <c r="J25" i="2"/>
  <c r="J26" i="2"/>
  <c r="J250" i="2"/>
  <c r="J27" i="2"/>
  <c r="J70" i="2"/>
  <c r="J222" i="2"/>
  <c r="J72" i="2"/>
  <c r="J35" i="2"/>
  <c r="J73" i="2"/>
  <c r="J74" i="2"/>
  <c r="J76" i="2"/>
  <c r="J36" i="2"/>
  <c r="J77" i="2"/>
  <c r="J78" i="2"/>
  <c r="J80" i="2"/>
  <c r="J28" i="2"/>
  <c r="J29" i="2"/>
  <c r="J30" i="2"/>
  <c r="J32" i="2"/>
  <c r="J4" i="2"/>
  <c r="J37" i="2"/>
  <c r="J211" i="2"/>
  <c r="J38" i="2"/>
  <c r="J39" i="2"/>
  <c r="J41" i="2"/>
  <c r="J203" i="2"/>
  <c r="J42" i="2"/>
  <c r="J43" i="2"/>
  <c r="J101" i="2"/>
  <c r="J102" i="2"/>
  <c r="J126" i="2"/>
  <c r="J127" i="2"/>
  <c r="J130" i="2"/>
  <c r="J116" i="2"/>
  <c r="J121" i="2"/>
  <c r="J117" i="2"/>
  <c r="J122" i="2"/>
  <c r="J124" i="2"/>
  <c r="J131" i="2"/>
  <c r="J145" i="2"/>
  <c r="J146" i="2"/>
  <c r="J264" i="2"/>
  <c r="J149" i="2"/>
  <c r="J151" i="2"/>
  <c r="J262" i="2"/>
  <c r="J261" i="2"/>
  <c r="J134" i="2"/>
  <c r="J136" i="2"/>
  <c r="K199" i="2"/>
  <c r="K55" i="2"/>
  <c r="K93" i="2"/>
  <c r="K111" i="2"/>
  <c r="K113" i="2"/>
  <c r="K100" i="2"/>
  <c r="K245" i="2"/>
  <c r="K229" i="2"/>
  <c r="K6" i="2"/>
  <c r="K7" i="2"/>
  <c r="K227" i="2"/>
  <c r="K8" i="2"/>
  <c r="K233" i="2"/>
  <c r="K234" i="2"/>
  <c r="K9" i="2"/>
  <c r="K237" i="2"/>
  <c r="K10" i="2"/>
  <c r="K241" i="2"/>
  <c r="K11" i="2"/>
  <c r="K243" i="2"/>
  <c r="K12" i="2"/>
  <c r="K13" i="2"/>
  <c r="K235" i="2"/>
  <c r="K14" i="2"/>
  <c r="K15" i="2"/>
  <c r="K17" i="2"/>
  <c r="K18" i="2"/>
  <c r="K19" i="2"/>
  <c r="K260" i="2"/>
  <c r="K22" i="2"/>
  <c r="K247" i="2"/>
  <c r="K23" i="2"/>
  <c r="K249" i="2"/>
  <c r="K24" i="2"/>
  <c r="K25" i="2"/>
  <c r="K26" i="2"/>
  <c r="K250" i="2"/>
  <c r="K27" i="2"/>
  <c r="K70" i="2"/>
  <c r="K222" i="2"/>
  <c r="K72" i="2"/>
  <c r="K35" i="2"/>
  <c r="K73" i="2"/>
  <c r="K74" i="2"/>
  <c r="K76" i="2"/>
  <c r="K36" i="2"/>
  <c r="K77" i="2"/>
  <c r="K78" i="2"/>
  <c r="K80" i="2"/>
  <c r="K28" i="2"/>
  <c r="K29" i="2"/>
  <c r="K30" i="2"/>
  <c r="K32" i="2"/>
  <c r="K4" i="2"/>
  <c r="K37" i="2"/>
  <c r="K211" i="2"/>
  <c r="K38" i="2"/>
  <c r="K39" i="2"/>
  <c r="K41" i="2"/>
  <c r="K203" i="2"/>
  <c r="K42" i="2"/>
  <c r="K43" i="2"/>
  <c r="K101" i="2"/>
  <c r="K102" i="2"/>
  <c r="K126" i="2"/>
  <c r="K127" i="2"/>
  <c r="K130" i="2"/>
  <c r="K116" i="2"/>
  <c r="K121" i="2"/>
  <c r="K117" i="2"/>
  <c r="K122" i="2"/>
  <c r="K124" i="2"/>
  <c r="K131" i="2"/>
  <c r="K145" i="2"/>
  <c r="K146" i="2"/>
  <c r="K264" i="2"/>
  <c r="K149" i="2"/>
  <c r="K151" i="2"/>
  <c r="K262" i="2"/>
  <c r="K261" i="2"/>
  <c r="K134" i="2"/>
  <c r="K136" i="2"/>
  <c r="L199" i="2"/>
  <c r="L55" i="2"/>
  <c r="L93" i="2"/>
  <c r="L111" i="2"/>
  <c r="L113" i="2"/>
  <c r="L100" i="2"/>
  <c r="L245" i="2"/>
  <c r="L229" i="2"/>
  <c r="L6" i="2"/>
  <c r="L7" i="2"/>
  <c r="L227" i="2"/>
  <c r="L8" i="2"/>
  <c r="L233" i="2"/>
  <c r="L234" i="2"/>
  <c r="L9" i="2"/>
  <c r="L237" i="2"/>
  <c r="L10" i="2"/>
  <c r="L241" i="2"/>
  <c r="L11" i="2"/>
  <c r="L243" i="2"/>
  <c r="L12" i="2"/>
  <c r="L13" i="2"/>
  <c r="L235" i="2"/>
  <c r="L14" i="2"/>
  <c r="L15" i="2"/>
  <c r="L17" i="2"/>
  <c r="L18" i="2"/>
  <c r="L19" i="2"/>
  <c r="L260" i="2"/>
  <c r="L22" i="2"/>
  <c r="L247" i="2"/>
  <c r="L23" i="2"/>
  <c r="L249" i="2"/>
  <c r="L24" i="2"/>
  <c r="L25" i="2"/>
  <c r="L26" i="2"/>
  <c r="L250" i="2"/>
  <c r="L27" i="2"/>
  <c r="L70" i="2"/>
  <c r="L222" i="2"/>
  <c r="L72" i="2"/>
  <c r="L35" i="2"/>
  <c r="L73" i="2"/>
  <c r="L74" i="2"/>
  <c r="L76" i="2"/>
  <c r="L36" i="2"/>
  <c r="L77" i="2"/>
  <c r="L78" i="2"/>
  <c r="L80" i="2"/>
  <c r="L28" i="2"/>
  <c r="L29" i="2"/>
  <c r="L30" i="2"/>
  <c r="L32" i="2"/>
  <c r="L4" i="2"/>
  <c r="L37" i="2"/>
  <c r="L211" i="2"/>
  <c r="L38" i="2"/>
  <c r="L39" i="2"/>
  <c r="L41" i="2"/>
  <c r="L203" i="2"/>
  <c r="L42" i="2"/>
  <c r="L43" i="2"/>
  <c r="L101" i="2"/>
  <c r="L102" i="2"/>
  <c r="L126" i="2"/>
  <c r="L127" i="2"/>
  <c r="L130" i="2"/>
  <c r="L116" i="2"/>
  <c r="L121" i="2"/>
  <c r="L117" i="2"/>
  <c r="L122" i="2"/>
  <c r="L124" i="2"/>
  <c r="L131" i="2"/>
  <c r="L145" i="2"/>
  <c r="L146" i="2"/>
  <c r="L264" i="2"/>
  <c r="L149" i="2"/>
  <c r="L151" i="2"/>
  <c r="L262" i="2"/>
  <c r="L261" i="2"/>
  <c r="L134" i="2"/>
  <c r="L136" i="2"/>
  <c r="L138" i="2"/>
  <c r="B163" i="2"/>
  <c r="B165" i="2"/>
  <c r="B168" i="2"/>
  <c r="B195" i="1"/>
  <c r="B198" i="1"/>
  <c r="B199" i="1"/>
  <c r="C160" i="2"/>
  <c r="C162" i="2"/>
  <c r="C194" i="1"/>
  <c r="M255" i="2"/>
  <c r="C63" i="2"/>
  <c r="C170" i="2"/>
  <c r="M256" i="2"/>
  <c r="C64" i="2"/>
  <c r="C171" i="2"/>
  <c r="M257" i="2"/>
  <c r="C65" i="2"/>
  <c r="C172" i="2"/>
  <c r="M258" i="2"/>
  <c r="C66" i="2"/>
  <c r="C173" i="2"/>
  <c r="M259" i="2"/>
  <c r="C88" i="2"/>
  <c r="C174" i="2"/>
  <c r="C175" i="2"/>
  <c r="C196" i="1"/>
  <c r="C198" i="1"/>
  <c r="C199" i="1"/>
  <c r="D194" i="1"/>
  <c r="D63" i="2"/>
  <c r="D170" i="2"/>
  <c r="D64" i="2"/>
  <c r="D171" i="2"/>
  <c r="D65" i="2"/>
  <c r="D172" i="2"/>
  <c r="D66" i="2"/>
  <c r="D173" i="2"/>
  <c r="D88" i="2"/>
  <c r="D174" i="2"/>
  <c r="D160" i="2"/>
  <c r="D175" i="2"/>
  <c r="D196" i="1"/>
  <c r="D198" i="1"/>
  <c r="D199" i="1"/>
  <c r="E194" i="1"/>
  <c r="E63" i="2"/>
  <c r="E170" i="2"/>
  <c r="E64" i="2"/>
  <c r="E171" i="2"/>
  <c r="E65" i="2"/>
  <c r="E172" i="2"/>
  <c r="E66" i="2"/>
  <c r="E173" i="2"/>
  <c r="E88" i="2"/>
  <c r="E174" i="2"/>
  <c r="E160" i="2"/>
  <c r="E175" i="2"/>
  <c r="E196" i="1"/>
  <c r="E198" i="1"/>
  <c r="E199" i="1"/>
  <c r="F194" i="1"/>
  <c r="F63" i="2"/>
  <c r="F170" i="2"/>
  <c r="F64" i="2"/>
  <c r="F171" i="2"/>
  <c r="F65" i="2"/>
  <c r="F172" i="2"/>
  <c r="F66" i="2"/>
  <c r="F173" i="2"/>
  <c r="F88" i="2"/>
  <c r="F174" i="2"/>
  <c r="F160" i="2"/>
  <c r="F175" i="2"/>
  <c r="F196" i="1"/>
  <c r="F198" i="1"/>
  <c r="F199" i="1"/>
  <c r="G194" i="1"/>
  <c r="G166" i="2"/>
  <c r="G195" i="1"/>
  <c r="G63" i="2"/>
  <c r="G170" i="2"/>
  <c r="G64" i="2"/>
  <c r="G171" i="2"/>
  <c r="G65" i="2"/>
  <c r="G172" i="2"/>
  <c r="G66" i="2"/>
  <c r="G173" i="2"/>
  <c r="G88" i="2"/>
  <c r="G174" i="2"/>
  <c r="G160" i="2"/>
  <c r="G175" i="2"/>
  <c r="G196" i="1"/>
  <c r="G198" i="1"/>
  <c r="G199" i="1"/>
  <c r="H194" i="1"/>
  <c r="H63" i="2"/>
  <c r="H170" i="2"/>
  <c r="H64" i="2"/>
  <c r="H171" i="2"/>
  <c r="H65" i="2"/>
  <c r="H172" i="2"/>
  <c r="H66" i="2"/>
  <c r="H173" i="2"/>
  <c r="H88" i="2"/>
  <c r="H174" i="2"/>
  <c r="H160" i="2"/>
  <c r="H175" i="2"/>
  <c r="H196" i="1"/>
  <c r="H198" i="1"/>
  <c r="H199" i="1"/>
  <c r="I194" i="1"/>
  <c r="I63" i="2"/>
  <c r="I170" i="2"/>
  <c r="I64" i="2"/>
  <c r="I171" i="2"/>
  <c r="I65" i="2"/>
  <c r="I172" i="2"/>
  <c r="I66" i="2"/>
  <c r="I173" i="2"/>
  <c r="I88" i="2"/>
  <c r="I174" i="2"/>
  <c r="I160" i="2"/>
  <c r="I175" i="2"/>
  <c r="I196" i="1"/>
  <c r="I198" i="1"/>
  <c r="I199" i="1"/>
  <c r="J194" i="1"/>
  <c r="J63" i="2"/>
  <c r="J170" i="2"/>
  <c r="J64" i="2"/>
  <c r="J171" i="2"/>
  <c r="J65" i="2"/>
  <c r="J172" i="2"/>
  <c r="J66" i="2"/>
  <c r="J173" i="2"/>
  <c r="J88" i="2"/>
  <c r="J174" i="2"/>
  <c r="J160" i="2"/>
  <c r="J175" i="2"/>
  <c r="J196" i="1"/>
  <c r="J198" i="1"/>
  <c r="J199" i="1"/>
  <c r="K194" i="1"/>
  <c r="K63" i="2"/>
  <c r="K170" i="2"/>
  <c r="K64" i="2"/>
  <c r="K171" i="2"/>
  <c r="K65" i="2"/>
  <c r="K172" i="2"/>
  <c r="K66" i="2"/>
  <c r="K173" i="2"/>
  <c r="K88" i="2"/>
  <c r="K174" i="2"/>
  <c r="K160" i="2"/>
  <c r="K175" i="2"/>
  <c r="K196" i="1"/>
  <c r="K198" i="1"/>
  <c r="K199" i="1"/>
  <c r="L194" i="1"/>
  <c r="M219" i="2"/>
  <c r="D219" i="2"/>
  <c r="E219" i="2"/>
  <c r="F219" i="2"/>
  <c r="G219" i="2"/>
  <c r="H219" i="2"/>
  <c r="I219" i="2"/>
  <c r="J219" i="2"/>
  <c r="K219" i="2"/>
  <c r="L219" i="2"/>
  <c r="L163" i="2"/>
  <c r="C205" i="2"/>
  <c r="M205" i="2"/>
  <c r="D205" i="2"/>
  <c r="E205" i="2"/>
  <c r="F205" i="2"/>
  <c r="G205" i="2"/>
  <c r="H205" i="2"/>
  <c r="I205" i="2"/>
  <c r="J205" i="2"/>
  <c r="K205" i="2"/>
  <c r="L205" i="2"/>
  <c r="L164" i="2"/>
  <c r="M221" i="2"/>
  <c r="D221" i="2"/>
  <c r="E221" i="2"/>
  <c r="F221" i="2"/>
  <c r="G221" i="2"/>
  <c r="H221" i="2"/>
  <c r="I221" i="2"/>
  <c r="J221" i="2"/>
  <c r="K221" i="2"/>
  <c r="L221" i="2"/>
  <c r="L165" i="2"/>
  <c r="L167" i="2"/>
  <c r="M223" i="2"/>
  <c r="D223" i="2"/>
  <c r="E223" i="2"/>
  <c r="F223" i="2"/>
  <c r="G223" i="2"/>
  <c r="H223" i="2"/>
  <c r="I223" i="2"/>
  <c r="J223" i="2"/>
  <c r="K223" i="2"/>
  <c r="L223" i="2"/>
  <c r="L168" i="2"/>
  <c r="L169" i="2"/>
  <c r="L195" i="1"/>
  <c r="L63" i="2"/>
  <c r="L170" i="2"/>
  <c r="L64" i="2"/>
  <c r="L171" i="2"/>
  <c r="L65" i="2"/>
  <c r="L172" i="2"/>
  <c r="L66" i="2"/>
  <c r="L173" i="2"/>
  <c r="L88" i="2"/>
  <c r="L174" i="2"/>
  <c r="L160" i="2"/>
  <c r="L175" i="2"/>
  <c r="L196" i="1"/>
  <c r="L176" i="2"/>
  <c r="L177" i="2"/>
  <c r="L178" i="2"/>
  <c r="L179" i="2"/>
  <c r="L180" i="2"/>
  <c r="L181" i="2"/>
  <c r="L197" i="1"/>
  <c r="L198" i="1"/>
  <c r="L199" i="1"/>
  <c r="L201" i="1"/>
  <c r="B222" i="1"/>
  <c r="M225" i="3"/>
  <c r="C219" i="3"/>
  <c r="M220" i="3"/>
  <c r="C70" i="3"/>
  <c r="C221" i="3"/>
  <c r="C222" i="3"/>
  <c r="C72" i="3"/>
  <c r="M214" i="3"/>
  <c r="M215" i="3"/>
  <c r="M217" i="3"/>
  <c r="C199" i="3"/>
  <c r="C55" i="3"/>
  <c r="C93" i="3"/>
  <c r="C111" i="3"/>
  <c r="C113" i="3"/>
  <c r="M226" i="3"/>
  <c r="C100" i="3"/>
  <c r="M218" i="3"/>
  <c r="M230" i="3"/>
  <c r="C245" i="3"/>
  <c r="M231" i="3"/>
  <c r="C229" i="3"/>
  <c r="M232" i="3"/>
  <c r="M239" i="3"/>
  <c r="C6" i="3"/>
  <c r="C7" i="3"/>
  <c r="C227" i="3"/>
  <c r="M228" i="3"/>
  <c r="C8" i="3"/>
  <c r="C233" i="3"/>
  <c r="C234" i="3"/>
  <c r="C9" i="3"/>
  <c r="C237" i="3"/>
  <c r="M238" i="3"/>
  <c r="C10" i="3"/>
  <c r="M240" i="3"/>
  <c r="C241" i="3"/>
  <c r="C11" i="3"/>
  <c r="C243" i="3"/>
  <c r="M242" i="3"/>
  <c r="C12" i="3"/>
  <c r="M244" i="3"/>
  <c r="C13" i="3"/>
  <c r="C235" i="3"/>
  <c r="M236" i="3"/>
  <c r="C14" i="3"/>
  <c r="C15" i="3"/>
  <c r="M246" i="3"/>
  <c r="C17" i="3"/>
  <c r="C18" i="3"/>
  <c r="C19" i="3"/>
  <c r="C260" i="3"/>
  <c r="C22" i="3"/>
  <c r="C247" i="3"/>
  <c r="C23" i="3"/>
  <c r="M248" i="3"/>
  <c r="C249" i="3"/>
  <c r="C24" i="3"/>
  <c r="M253" i="3"/>
  <c r="C25" i="3"/>
  <c r="M254" i="3"/>
  <c r="O254" i="3"/>
  <c r="C26" i="3"/>
  <c r="C250" i="3"/>
  <c r="C27" i="3"/>
  <c r="M208" i="3"/>
  <c r="M207" i="3"/>
  <c r="C35" i="3"/>
  <c r="C73" i="3"/>
  <c r="C74" i="3"/>
  <c r="C223" i="3"/>
  <c r="M224" i="3"/>
  <c r="C76" i="3"/>
  <c r="M210" i="3"/>
  <c r="M209" i="3"/>
  <c r="C36" i="3"/>
  <c r="C77" i="3"/>
  <c r="C78" i="3"/>
  <c r="C80" i="3"/>
  <c r="M251" i="3"/>
  <c r="C28" i="3"/>
  <c r="M252" i="3"/>
  <c r="C29" i="3"/>
  <c r="C30" i="3"/>
  <c r="C32" i="3"/>
  <c r="C4" i="3"/>
  <c r="C37" i="3"/>
  <c r="C211" i="3"/>
  <c r="C38" i="3"/>
  <c r="C39" i="3"/>
  <c r="C41" i="3"/>
  <c r="C42" i="3"/>
  <c r="C43" i="3"/>
  <c r="C101" i="3"/>
  <c r="C102" i="3"/>
  <c r="C126" i="3"/>
  <c r="C127" i="3"/>
  <c r="C130" i="3"/>
  <c r="C116" i="3"/>
  <c r="C121" i="3"/>
  <c r="C117" i="3"/>
  <c r="C122" i="3"/>
  <c r="C124" i="3"/>
  <c r="C203" i="3"/>
  <c r="C131" i="3"/>
  <c r="C145" i="3"/>
  <c r="C146" i="3"/>
  <c r="C264" i="3"/>
  <c r="C149" i="3"/>
  <c r="C151" i="3"/>
  <c r="C262" i="3"/>
  <c r="C261" i="3"/>
  <c r="C134" i="3"/>
  <c r="C136" i="3"/>
  <c r="D199" i="3"/>
  <c r="D55" i="3"/>
  <c r="D93" i="3"/>
  <c r="D111" i="3"/>
  <c r="D113" i="3"/>
  <c r="D100" i="3"/>
  <c r="D245" i="3"/>
  <c r="M201" i="3"/>
  <c r="D229" i="3"/>
  <c r="D6" i="3"/>
  <c r="D7" i="3"/>
  <c r="D227" i="3"/>
  <c r="D8" i="3"/>
  <c r="D233" i="3"/>
  <c r="M234" i="3"/>
  <c r="D234" i="3"/>
  <c r="D9" i="3"/>
  <c r="D237" i="3"/>
  <c r="D10" i="3"/>
  <c r="D241" i="3"/>
  <c r="D11" i="3"/>
  <c r="D243" i="3"/>
  <c r="D12" i="3"/>
  <c r="D13" i="3"/>
  <c r="D235" i="3"/>
  <c r="D14" i="3"/>
  <c r="D15" i="3"/>
  <c r="D17" i="3"/>
  <c r="D18" i="3"/>
  <c r="D19" i="3"/>
  <c r="D260" i="3"/>
  <c r="D22" i="3"/>
  <c r="M247" i="3"/>
  <c r="D247" i="3"/>
  <c r="D23" i="3"/>
  <c r="D249" i="3"/>
  <c r="D24" i="3"/>
  <c r="D25" i="3"/>
  <c r="D26" i="3"/>
  <c r="D250" i="3"/>
  <c r="D27" i="3"/>
  <c r="D70" i="3"/>
  <c r="D222" i="3"/>
  <c r="D72" i="3"/>
  <c r="D35" i="3"/>
  <c r="D73" i="3"/>
  <c r="D74" i="3"/>
  <c r="D76" i="3"/>
  <c r="D36" i="3"/>
  <c r="D77" i="3"/>
  <c r="D78" i="3"/>
  <c r="D80" i="3"/>
  <c r="D28" i="3"/>
  <c r="D29" i="3"/>
  <c r="D30" i="3"/>
  <c r="D32" i="3"/>
  <c r="D4" i="3"/>
  <c r="D37" i="3"/>
  <c r="M211" i="3"/>
  <c r="D211" i="3"/>
  <c r="D38" i="3"/>
  <c r="D39" i="3"/>
  <c r="D41" i="3"/>
  <c r="D42" i="3"/>
  <c r="D43" i="3"/>
  <c r="D101" i="3"/>
  <c r="D102" i="3"/>
  <c r="D126" i="3"/>
  <c r="D127" i="3"/>
  <c r="D130" i="3"/>
  <c r="D116" i="3"/>
  <c r="D121" i="3"/>
  <c r="D117" i="3"/>
  <c r="D122" i="3"/>
  <c r="D124" i="3"/>
  <c r="M203" i="3"/>
  <c r="D203" i="3"/>
  <c r="D131" i="3"/>
  <c r="D145" i="3"/>
  <c r="D146" i="3"/>
  <c r="M264" i="3"/>
  <c r="D264" i="3"/>
  <c r="D149" i="3"/>
  <c r="D151" i="3"/>
  <c r="M262" i="3"/>
  <c r="D262" i="3"/>
  <c r="M261" i="3"/>
  <c r="D261" i="3"/>
  <c r="D134" i="3"/>
  <c r="D136" i="3"/>
  <c r="E199" i="3"/>
  <c r="E55" i="3"/>
  <c r="E93" i="3"/>
  <c r="E111" i="3"/>
  <c r="E113" i="3"/>
  <c r="E100" i="3"/>
  <c r="E245" i="3"/>
  <c r="E229" i="3"/>
  <c r="E6" i="3"/>
  <c r="E7" i="3"/>
  <c r="E227" i="3"/>
  <c r="E8" i="3"/>
  <c r="E233" i="3"/>
  <c r="E234" i="3"/>
  <c r="E9" i="3"/>
  <c r="E237" i="3"/>
  <c r="E10" i="3"/>
  <c r="E241" i="3"/>
  <c r="E11" i="3"/>
  <c r="E243" i="3"/>
  <c r="E12" i="3"/>
  <c r="E13" i="3"/>
  <c r="E235" i="3"/>
  <c r="E14" i="3"/>
  <c r="E15" i="3"/>
  <c r="E17" i="3"/>
  <c r="E18" i="3"/>
  <c r="E19" i="3"/>
  <c r="E260" i="3"/>
  <c r="E22" i="3"/>
  <c r="E247" i="3"/>
  <c r="E23" i="3"/>
  <c r="E249" i="3"/>
  <c r="E24" i="3"/>
  <c r="E25" i="3"/>
  <c r="E26" i="3"/>
  <c r="E250" i="3"/>
  <c r="E27" i="3"/>
  <c r="E70" i="3"/>
  <c r="E222" i="3"/>
  <c r="E72" i="3"/>
  <c r="E35" i="3"/>
  <c r="E73" i="3"/>
  <c r="E74" i="3"/>
  <c r="E76" i="3"/>
  <c r="E36" i="3"/>
  <c r="E77" i="3"/>
  <c r="E78" i="3"/>
  <c r="E80" i="3"/>
  <c r="E28" i="3"/>
  <c r="E29" i="3"/>
  <c r="E30" i="3"/>
  <c r="E32" i="3"/>
  <c r="E4" i="3"/>
  <c r="E37" i="3"/>
  <c r="E211" i="3"/>
  <c r="E38" i="3"/>
  <c r="E39" i="3"/>
  <c r="E41" i="3"/>
  <c r="E42" i="3"/>
  <c r="E43" i="3"/>
  <c r="E101" i="3"/>
  <c r="E102" i="3"/>
  <c r="E126" i="3"/>
  <c r="E127" i="3"/>
  <c r="E130" i="3"/>
  <c r="E116" i="3"/>
  <c r="E121" i="3"/>
  <c r="E117" i="3"/>
  <c r="E122" i="3"/>
  <c r="E124" i="3"/>
  <c r="E203" i="3"/>
  <c r="E131" i="3"/>
  <c r="E145" i="3"/>
  <c r="E146" i="3"/>
  <c r="E264" i="3"/>
  <c r="E149" i="3"/>
  <c r="E151" i="3"/>
  <c r="E262" i="3"/>
  <c r="E261" i="3"/>
  <c r="E134" i="3"/>
  <c r="E136" i="3"/>
  <c r="F199" i="3"/>
  <c r="F55" i="3"/>
  <c r="F93" i="3"/>
  <c r="F111" i="3"/>
  <c r="F113" i="3"/>
  <c r="F100" i="3"/>
  <c r="F245" i="3"/>
  <c r="F229" i="3"/>
  <c r="F6" i="3"/>
  <c r="F7" i="3"/>
  <c r="F227" i="3"/>
  <c r="F8" i="3"/>
  <c r="F233" i="3"/>
  <c r="F234" i="3"/>
  <c r="F9" i="3"/>
  <c r="F237" i="3"/>
  <c r="F10" i="3"/>
  <c r="F241" i="3"/>
  <c r="F11" i="3"/>
  <c r="F243" i="3"/>
  <c r="F12" i="3"/>
  <c r="F13" i="3"/>
  <c r="F235" i="3"/>
  <c r="F14" i="3"/>
  <c r="F15" i="3"/>
  <c r="F17" i="3"/>
  <c r="F18" i="3"/>
  <c r="F19" i="3"/>
  <c r="F260" i="3"/>
  <c r="F22" i="3"/>
  <c r="F247" i="3"/>
  <c r="F23" i="3"/>
  <c r="F249" i="3"/>
  <c r="F24" i="3"/>
  <c r="F25" i="3"/>
  <c r="F26" i="3"/>
  <c r="F250" i="3"/>
  <c r="F27" i="3"/>
  <c r="F70" i="3"/>
  <c r="F222" i="3"/>
  <c r="F72" i="3"/>
  <c r="F35" i="3"/>
  <c r="F73" i="3"/>
  <c r="F74" i="3"/>
  <c r="F76" i="3"/>
  <c r="F36" i="3"/>
  <c r="F77" i="3"/>
  <c r="F78" i="3"/>
  <c r="F80" i="3"/>
  <c r="F28" i="3"/>
  <c r="F29" i="3"/>
  <c r="F30" i="3"/>
  <c r="F32" i="3"/>
  <c r="F4" i="3"/>
  <c r="F37" i="3"/>
  <c r="F211" i="3"/>
  <c r="F38" i="3"/>
  <c r="F39" i="3"/>
  <c r="F41" i="3"/>
  <c r="F42" i="3"/>
  <c r="F43" i="3"/>
  <c r="F101" i="3"/>
  <c r="F102" i="3"/>
  <c r="F126" i="3"/>
  <c r="F127" i="3"/>
  <c r="F130" i="3"/>
  <c r="F116" i="3"/>
  <c r="F121" i="3"/>
  <c r="F117" i="3"/>
  <c r="F122" i="3"/>
  <c r="F124" i="3"/>
  <c r="F203" i="3"/>
  <c r="F131" i="3"/>
  <c r="F145" i="3"/>
  <c r="F146" i="3"/>
  <c r="F264" i="3"/>
  <c r="F149" i="3"/>
  <c r="F151" i="3"/>
  <c r="F262" i="3"/>
  <c r="F261" i="3"/>
  <c r="F134" i="3"/>
  <c r="F136" i="3"/>
  <c r="G199" i="3"/>
  <c r="G55" i="3"/>
  <c r="G93" i="3"/>
  <c r="G111" i="3"/>
  <c r="G113" i="3"/>
  <c r="G100" i="3"/>
  <c r="G245" i="3"/>
  <c r="G229" i="3"/>
  <c r="G6" i="3"/>
  <c r="G7" i="3"/>
  <c r="G227" i="3"/>
  <c r="G8" i="3"/>
  <c r="G233" i="3"/>
  <c r="G234" i="3"/>
  <c r="G9" i="3"/>
  <c r="G237" i="3"/>
  <c r="G10" i="3"/>
  <c r="G241" i="3"/>
  <c r="G11" i="3"/>
  <c r="G243" i="3"/>
  <c r="G12" i="3"/>
  <c r="G13" i="3"/>
  <c r="G235" i="3"/>
  <c r="G14" i="3"/>
  <c r="G15" i="3"/>
  <c r="G17" i="3"/>
  <c r="G18" i="3"/>
  <c r="G19" i="3"/>
  <c r="G260" i="3"/>
  <c r="G22" i="3"/>
  <c r="G247" i="3"/>
  <c r="G23" i="3"/>
  <c r="G249" i="3"/>
  <c r="G24" i="3"/>
  <c r="G25" i="3"/>
  <c r="G26" i="3"/>
  <c r="G250" i="3"/>
  <c r="G27" i="3"/>
  <c r="G70" i="3"/>
  <c r="G222" i="3"/>
  <c r="G72" i="3"/>
  <c r="G35" i="3"/>
  <c r="G73" i="3"/>
  <c r="G74" i="3"/>
  <c r="G76" i="3"/>
  <c r="G36" i="3"/>
  <c r="G77" i="3"/>
  <c r="G78" i="3"/>
  <c r="G80" i="3"/>
  <c r="G28" i="3"/>
  <c r="G29" i="3"/>
  <c r="G30" i="3"/>
  <c r="G32" i="3"/>
  <c r="G4" i="3"/>
  <c r="G37" i="3"/>
  <c r="G211" i="3"/>
  <c r="G38" i="3"/>
  <c r="G39" i="3"/>
  <c r="G41" i="3"/>
  <c r="G42" i="3"/>
  <c r="G43" i="3"/>
  <c r="G101" i="3"/>
  <c r="G102" i="3"/>
  <c r="G126" i="3"/>
  <c r="G127" i="3"/>
  <c r="G130" i="3"/>
  <c r="G116" i="3"/>
  <c r="G121" i="3"/>
  <c r="G117" i="3"/>
  <c r="G122" i="3"/>
  <c r="G124" i="3"/>
  <c r="G203" i="3"/>
  <c r="G131" i="3"/>
  <c r="G145" i="3"/>
  <c r="G146" i="3"/>
  <c r="G264" i="3"/>
  <c r="G149" i="3"/>
  <c r="G151" i="3"/>
  <c r="G262" i="3"/>
  <c r="G261" i="3"/>
  <c r="G134" i="3"/>
  <c r="G136" i="3"/>
  <c r="H199" i="3"/>
  <c r="H55" i="3"/>
  <c r="H93" i="3"/>
  <c r="H111" i="3"/>
  <c r="H113" i="3"/>
  <c r="H100" i="3"/>
  <c r="H245" i="3"/>
  <c r="H229" i="3"/>
  <c r="H6" i="3"/>
  <c r="H7" i="3"/>
  <c r="H227" i="3"/>
  <c r="H8" i="3"/>
  <c r="H233" i="3"/>
  <c r="H234" i="3"/>
  <c r="H9" i="3"/>
  <c r="H237" i="3"/>
  <c r="H10" i="3"/>
  <c r="H241" i="3"/>
  <c r="H11" i="3"/>
  <c r="H243" i="3"/>
  <c r="H12" i="3"/>
  <c r="H13" i="3"/>
  <c r="H235" i="3"/>
  <c r="H14" i="3"/>
  <c r="H15" i="3"/>
  <c r="H17" i="3"/>
  <c r="H18" i="3"/>
  <c r="H19" i="3"/>
  <c r="H260" i="3"/>
  <c r="H22" i="3"/>
  <c r="H247" i="3"/>
  <c r="H23" i="3"/>
  <c r="H249" i="3"/>
  <c r="H24" i="3"/>
  <c r="H25" i="3"/>
  <c r="H26" i="3"/>
  <c r="H250" i="3"/>
  <c r="H27" i="3"/>
  <c r="H70" i="3"/>
  <c r="H222" i="3"/>
  <c r="H72" i="3"/>
  <c r="H35" i="3"/>
  <c r="H73" i="3"/>
  <c r="H74" i="3"/>
  <c r="H76" i="3"/>
  <c r="H36" i="3"/>
  <c r="H77" i="3"/>
  <c r="H78" i="3"/>
  <c r="H80" i="3"/>
  <c r="H28" i="3"/>
  <c r="H29" i="3"/>
  <c r="H30" i="3"/>
  <c r="H32" i="3"/>
  <c r="H4" i="3"/>
  <c r="H37" i="3"/>
  <c r="H211" i="3"/>
  <c r="H38" i="3"/>
  <c r="H39" i="3"/>
  <c r="H41" i="3"/>
  <c r="H42" i="3"/>
  <c r="H43" i="3"/>
  <c r="H101" i="3"/>
  <c r="H102" i="3"/>
  <c r="H126" i="3"/>
  <c r="H127" i="3"/>
  <c r="H130" i="3"/>
  <c r="H116" i="3"/>
  <c r="H121" i="3"/>
  <c r="H117" i="3"/>
  <c r="H122" i="3"/>
  <c r="H124" i="3"/>
  <c r="H203" i="3"/>
  <c r="H131" i="3"/>
  <c r="H145" i="3"/>
  <c r="H146" i="3"/>
  <c r="H264" i="3"/>
  <c r="H149" i="3"/>
  <c r="H151" i="3"/>
  <c r="H262" i="3"/>
  <c r="H261" i="3"/>
  <c r="H134" i="3"/>
  <c r="H136" i="3"/>
  <c r="I199" i="3"/>
  <c r="I55" i="3"/>
  <c r="I93" i="3"/>
  <c r="I111" i="3"/>
  <c r="I113" i="3"/>
  <c r="I100" i="3"/>
  <c r="I245" i="3"/>
  <c r="I229" i="3"/>
  <c r="I6" i="3"/>
  <c r="I7" i="3"/>
  <c r="I227" i="3"/>
  <c r="I8" i="3"/>
  <c r="I233" i="3"/>
  <c r="I234" i="3"/>
  <c r="I9" i="3"/>
  <c r="I237" i="3"/>
  <c r="I10" i="3"/>
  <c r="I241" i="3"/>
  <c r="I11" i="3"/>
  <c r="I243" i="3"/>
  <c r="I12" i="3"/>
  <c r="I13" i="3"/>
  <c r="I235" i="3"/>
  <c r="I14" i="3"/>
  <c r="I15" i="3"/>
  <c r="I17" i="3"/>
  <c r="I18" i="3"/>
  <c r="I19" i="3"/>
  <c r="I260" i="3"/>
  <c r="I22" i="3"/>
  <c r="I247" i="3"/>
  <c r="I23" i="3"/>
  <c r="I249" i="3"/>
  <c r="I24" i="3"/>
  <c r="I25" i="3"/>
  <c r="I26" i="3"/>
  <c r="I250" i="3"/>
  <c r="I27" i="3"/>
  <c r="I70" i="3"/>
  <c r="I222" i="3"/>
  <c r="I72" i="3"/>
  <c r="I35" i="3"/>
  <c r="I73" i="3"/>
  <c r="I74" i="3"/>
  <c r="I76" i="3"/>
  <c r="I36" i="3"/>
  <c r="I77" i="3"/>
  <c r="I78" i="3"/>
  <c r="I80" i="3"/>
  <c r="I28" i="3"/>
  <c r="I29" i="3"/>
  <c r="I30" i="3"/>
  <c r="I32" i="3"/>
  <c r="I4" i="3"/>
  <c r="I37" i="3"/>
  <c r="I211" i="3"/>
  <c r="I38" i="3"/>
  <c r="I39" i="3"/>
  <c r="I41" i="3"/>
  <c r="I42" i="3"/>
  <c r="I43" i="3"/>
  <c r="I101" i="3"/>
  <c r="I102" i="3"/>
  <c r="I126" i="3"/>
  <c r="I127" i="3"/>
  <c r="I130" i="3"/>
  <c r="I116" i="3"/>
  <c r="I121" i="3"/>
  <c r="I117" i="3"/>
  <c r="I122" i="3"/>
  <c r="I124" i="3"/>
  <c r="I203" i="3"/>
  <c r="I131" i="3"/>
  <c r="I145" i="3"/>
  <c r="I146" i="3"/>
  <c r="I264" i="3"/>
  <c r="I149" i="3"/>
  <c r="I151" i="3"/>
  <c r="I262" i="3"/>
  <c r="I261" i="3"/>
  <c r="I134" i="3"/>
  <c r="I136" i="3"/>
  <c r="J199" i="3"/>
  <c r="J55" i="3"/>
  <c r="J93" i="3"/>
  <c r="J111" i="3"/>
  <c r="J113" i="3"/>
  <c r="J100" i="3"/>
  <c r="J245" i="3"/>
  <c r="J229" i="3"/>
  <c r="J6" i="3"/>
  <c r="J7" i="3"/>
  <c r="J227" i="3"/>
  <c r="J8" i="3"/>
  <c r="J233" i="3"/>
  <c r="J234" i="3"/>
  <c r="J9" i="3"/>
  <c r="J237" i="3"/>
  <c r="J10" i="3"/>
  <c r="J241" i="3"/>
  <c r="J11" i="3"/>
  <c r="J243" i="3"/>
  <c r="J12" i="3"/>
  <c r="J13" i="3"/>
  <c r="J235" i="3"/>
  <c r="J14" i="3"/>
  <c r="J15" i="3"/>
  <c r="J17" i="3"/>
  <c r="J18" i="3"/>
  <c r="J19" i="3"/>
  <c r="J260" i="3"/>
  <c r="J22" i="3"/>
  <c r="J247" i="3"/>
  <c r="J23" i="3"/>
  <c r="J249" i="3"/>
  <c r="J24" i="3"/>
  <c r="J25" i="3"/>
  <c r="J26" i="3"/>
  <c r="J250" i="3"/>
  <c r="J27" i="3"/>
  <c r="J70" i="3"/>
  <c r="J222" i="3"/>
  <c r="J72" i="3"/>
  <c r="J35" i="3"/>
  <c r="J73" i="3"/>
  <c r="J74" i="3"/>
  <c r="J76" i="3"/>
  <c r="J36" i="3"/>
  <c r="J77" i="3"/>
  <c r="J78" i="3"/>
  <c r="J80" i="3"/>
  <c r="J28" i="3"/>
  <c r="J29" i="3"/>
  <c r="J30" i="3"/>
  <c r="J32" i="3"/>
  <c r="J4" i="3"/>
  <c r="J37" i="3"/>
  <c r="J211" i="3"/>
  <c r="J38" i="3"/>
  <c r="J39" i="3"/>
  <c r="J41" i="3"/>
  <c r="J42" i="3"/>
  <c r="J43" i="3"/>
  <c r="J101" i="3"/>
  <c r="J102" i="3"/>
  <c r="J126" i="3"/>
  <c r="J127" i="3"/>
  <c r="J130" i="3"/>
  <c r="J116" i="3"/>
  <c r="J121" i="3"/>
  <c r="J117" i="3"/>
  <c r="J122" i="3"/>
  <c r="J124" i="3"/>
  <c r="J203" i="3"/>
  <c r="J131" i="3"/>
  <c r="J145" i="3"/>
  <c r="J146" i="3"/>
  <c r="J264" i="3"/>
  <c r="J149" i="3"/>
  <c r="J151" i="3"/>
  <c r="J262" i="3"/>
  <c r="J261" i="3"/>
  <c r="J134" i="3"/>
  <c r="J136" i="3"/>
  <c r="K199" i="3"/>
  <c r="K55" i="3"/>
  <c r="K93" i="3"/>
  <c r="K111" i="3"/>
  <c r="K113" i="3"/>
  <c r="K100" i="3"/>
  <c r="K245" i="3"/>
  <c r="K229" i="3"/>
  <c r="K6" i="3"/>
  <c r="K7" i="3"/>
  <c r="K227" i="3"/>
  <c r="K8" i="3"/>
  <c r="K233" i="3"/>
  <c r="K234" i="3"/>
  <c r="K9" i="3"/>
  <c r="K237" i="3"/>
  <c r="K10" i="3"/>
  <c r="K241" i="3"/>
  <c r="K11" i="3"/>
  <c r="K243" i="3"/>
  <c r="K12" i="3"/>
  <c r="K13" i="3"/>
  <c r="K235" i="3"/>
  <c r="K14" i="3"/>
  <c r="K15" i="3"/>
  <c r="K17" i="3"/>
  <c r="K18" i="3"/>
  <c r="K19" i="3"/>
  <c r="K260" i="3"/>
  <c r="K22" i="3"/>
  <c r="K247" i="3"/>
  <c r="K23" i="3"/>
  <c r="K249" i="3"/>
  <c r="K24" i="3"/>
  <c r="K25" i="3"/>
  <c r="K26" i="3"/>
  <c r="K250" i="3"/>
  <c r="K27" i="3"/>
  <c r="K70" i="3"/>
  <c r="K222" i="3"/>
  <c r="K72" i="3"/>
  <c r="K35" i="3"/>
  <c r="K73" i="3"/>
  <c r="K74" i="3"/>
  <c r="K76" i="3"/>
  <c r="K36" i="3"/>
  <c r="K77" i="3"/>
  <c r="K78" i="3"/>
  <c r="K80" i="3"/>
  <c r="K28" i="3"/>
  <c r="K29" i="3"/>
  <c r="K30" i="3"/>
  <c r="K32" i="3"/>
  <c r="K4" i="3"/>
  <c r="K37" i="3"/>
  <c r="K211" i="3"/>
  <c r="K38" i="3"/>
  <c r="K39" i="3"/>
  <c r="K41" i="3"/>
  <c r="K42" i="3"/>
  <c r="K43" i="3"/>
  <c r="K101" i="3"/>
  <c r="K102" i="3"/>
  <c r="K126" i="3"/>
  <c r="K127" i="3"/>
  <c r="K130" i="3"/>
  <c r="K116" i="3"/>
  <c r="K121" i="3"/>
  <c r="K117" i="3"/>
  <c r="K122" i="3"/>
  <c r="K124" i="3"/>
  <c r="K203" i="3"/>
  <c r="K131" i="3"/>
  <c r="K145" i="3"/>
  <c r="K146" i="3"/>
  <c r="K264" i="3"/>
  <c r="K149" i="3"/>
  <c r="K151" i="3"/>
  <c r="K262" i="3"/>
  <c r="K261" i="3"/>
  <c r="K134" i="3"/>
  <c r="K136" i="3"/>
  <c r="L199" i="3"/>
  <c r="L55" i="3"/>
  <c r="L93" i="3"/>
  <c r="L111" i="3"/>
  <c r="L113" i="3"/>
  <c r="L100" i="3"/>
  <c r="L245" i="3"/>
  <c r="L229" i="3"/>
  <c r="L6" i="3"/>
  <c r="L7" i="3"/>
  <c r="L227" i="3"/>
  <c r="L8" i="3"/>
  <c r="L233" i="3"/>
  <c r="L234" i="3"/>
  <c r="L9" i="3"/>
  <c r="L237" i="3"/>
  <c r="L10" i="3"/>
  <c r="L241" i="3"/>
  <c r="L11" i="3"/>
  <c r="L243" i="3"/>
  <c r="L12" i="3"/>
  <c r="L13" i="3"/>
  <c r="L235" i="3"/>
  <c r="L14" i="3"/>
  <c r="L15" i="3"/>
  <c r="L17" i="3"/>
  <c r="L18" i="3"/>
  <c r="L19" i="3"/>
  <c r="L260" i="3"/>
  <c r="L22" i="3"/>
  <c r="L247" i="3"/>
  <c r="L23" i="3"/>
  <c r="L249" i="3"/>
  <c r="L24" i="3"/>
  <c r="L25" i="3"/>
  <c r="L26" i="3"/>
  <c r="L250" i="3"/>
  <c r="L27" i="3"/>
  <c r="L70" i="3"/>
  <c r="L222" i="3"/>
  <c r="L72" i="3"/>
  <c r="L35" i="3"/>
  <c r="L73" i="3"/>
  <c r="L74" i="3"/>
  <c r="L76" i="3"/>
  <c r="L36" i="3"/>
  <c r="L77" i="3"/>
  <c r="L78" i="3"/>
  <c r="L80" i="3"/>
  <c r="L28" i="3"/>
  <c r="L29" i="3"/>
  <c r="L30" i="3"/>
  <c r="L32" i="3"/>
  <c r="L4" i="3"/>
  <c r="L37" i="3"/>
  <c r="L211" i="3"/>
  <c r="L38" i="3"/>
  <c r="L39" i="3"/>
  <c r="L41" i="3"/>
  <c r="L42" i="3"/>
  <c r="L43" i="3"/>
  <c r="L101" i="3"/>
  <c r="L102" i="3"/>
  <c r="L126" i="3"/>
  <c r="L127" i="3"/>
  <c r="L130" i="3"/>
  <c r="L116" i="3"/>
  <c r="L121" i="3"/>
  <c r="L117" i="3"/>
  <c r="L122" i="3"/>
  <c r="L124" i="3"/>
  <c r="L203" i="3"/>
  <c r="L131" i="3"/>
  <c r="L145" i="3"/>
  <c r="L146" i="3"/>
  <c r="L264" i="3"/>
  <c r="L149" i="3"/>
  <c r="L151" i="3"/>
  <c r="L262" i="3"/>
  <c r="L261" i="3"/>
  <c r="L134" i="3"/>
  <c r="L136" i="3"/>
  <c r="L138" i="3"/>
  <c r="B163" i="3"/>
  <c r="B165" i="3"/>
  <c r="B168" i="3"/>
  <c r="B211" i="1"/>
  <c r="B214" i="1"/>
  <c r="B215" i="1"/>
  <c r="C160" i="3"/>
  <c r="C162" i="3"/>
  <c r="C210" i="1"/>
  <c r="M255" i="3"/>
  <c r="C63" i="3"/>
  <c r="C170" i="3"/>
  <c r="M256" i="3"/>
  <c r="C64" i="3"/>
  <c r="C171" i="3"/>
  <c r="M257" i="3"/>
  <c r="C65" i="3"/>
  <c r="C172" i="3"/>
  <c r="M258" i="3"/>
  <c r="C66" i="3"/>
  <c r="C173" i="3"/>
  <c r="M259" i="3"/>
  <c r="C88" i="3"/>
  <c r="C174" i="3"/>
  <c r="C175" i="3"/>
  <c r="C212" i="1"/>
  <c r="C214" i="1"/>
  <c r="C215" i="1"/>
  <c r="D160" i="3"/>
  <c r="D162" i="3"/>
  <c r="D210" i="1"/>
  <c r="D63" i="3"/>
  <c r="D170" i="3"/>
  <c r="D64" i="3"/>
  <c r="D171" i="3"/>
  <c r="D65" i="3"/>
  <c r="D172" i="3"/>
  <c r="D66" i="3"/>
  <c r="D173" i="3"/>
  <c r="D88" i="3"/>
  <c r="D174" i="3"/>
  <c r="D175" i="3"/>
  <c r="D212" i="1"/>
  <c r="D214" i="1"/>
  <c r="D215" i="1"/>
  <c r="E160" i="3"/>
  <c r="E162" i="3"/>
  <c r="E210" i="1"/>
  <c r="E63" i="3"/>
  <c r="E170" i="3"/>
  <c r="E64" i="3"/>
  <c r="E171" i="3"/>
  <c r="E65" i="3"/>
  <c r="E172" i="3"/>
  <c r="E66" i="3"/>
  <c r="E173" i="3"/>
  <c r="E88" i="3"/>
  <c r="E174" i="3"/>
  <c r="E175" i="3"/>
  <c r="E212" i="1"/>
  <c r="E214" i="1"/>
  <c r="E215" i="1"/>
  <c r="F160" i="3"/>
  <c r="F162" i="3"/>
  <c r="F210" i="1"/>
  <c r="F63" i="3"/>
  <c r="F170" i="3"/>
  <c r="F64" i="3"/>
  <c r="F171" i="3"/>
  <c r="F65" i="3"/>
  <c r="F172" i="3"/>
  <c r="F66" i="3"/>
  <c r="F173" i="3"/>
  <c r="F88" i="3"/>
  <c r="F174" i="3"/>
  <c r="F175" i="3"/>
  <c r="F212" i="1"/>
  <c r="F214" i="1"/>
  <c r="F215" i="1"/>
  <c r="G160" i="3"/>
  <c r="G162" i="3"/>
  <c r="G210" i="1"/>
  <c r="G166" i="3"/>
  <c r="G211" i="1"/>
  <c r="G63" i="3"/>
  <c r="G170" i="3"/>
  <c r="G64" i="3"/>
  <c r="G171" i="3"/>
  <c r="G65" i="3"/>
  <c r="G172" i="3"/>
  <c r="G66" i="3"/>
  <c r="G173" i="3"/>
  <c r="G88" i="3"/>
  <c r="G174" i="3"/>
  <c r="G175" i="3"/>
  <c r="G212" i="1"/>
  <c r="G214" i="1"/>
  <c r="G215" i="1"/>
  <c r="H160" i="3"/>
  <c r="H162" i="3"/>
  <c r="H210" i="1"/>
  <c r="H63" i="3"/>
  <c r="H170" i="3"/>
  <c r="H64" i="3"/>
  <c r="H171" i="3"/>
  <c r="H65" i="3"/>
  <c r="H172" i="3"/>
  <c r="H66" i="3"/>
  <c r="H173" i="3"/>
  <c r="H88" i="3"/>
  <c r="H174" i="3"/>
  <c r="H175" i="3"/>
  <c r="H212" i="1"/>
  <c r="H214" i="1"/>
  <c r="H215" i="1"/>
  <c r="I160" i="3"/>
  <c r="I162" i="3"/>
  <c r="I210" i="1"/>
  <c r="I63" i="3"/>
  <c r="I170" i="3"/>
  <c r="I64" i="3"/>
  <c r="I171" i="3"/>
  <c r="I65" i="3"/>
  <c r="I172" i="3"/>
  <c r="I66" i="3"/>
  <c r="I173" i="3"/>
  <c r="I88" i="3"/>
  <c r="I174" i="3"/>
  <c r="I175" i="3"/>
  <c r="I212" i="1"/>
  <c r="I214" i="1"/>
  <c r="I215" i="1"/>
  <c r="J160" i="3"/>
  <c r="J162" i="3"/>
  <c r="J210" i="1"/>
  <c r="J63" i="3"/>
  <c r="J170" i="3"/>
  <c r="J64" i="3"/>
  <c r="J171" i="3"/>
  <c r="J65" i="3"/>
  <c r="J172" i="3"/>
  <c r="J66" i="3"/>
  <c r="J173" i="3"/>
  <c r="J88" i="3"/>
  <c r="J174" i="3"/>
  <c r="J175" i="3"/>
  <c r="J212" i="1"/>
  <c r="J214" i="1"/>
  <c r="J215" i="1"/>
  <c r="K160" i="3"/>
  <c r="K162" i="3"/>
  <c r="K210" i="1"/>
  <c r="K63" i="3"/>
  <c r="K170" i="3"/>
  <c r="K64" i="3"/>
  <c r="K171" i="3"/>
  <c r="K65" i="3"/>
  <c r="K172" i="3"/>
  <c r="K66" i="3"/>
  <c r="K173" i="3"/>
  <c r="K88" i="3"/>
  <c r="K174" i="3"/>
  <c r="K175" i="3"/>
  <c r="K212" i="1"/>
  <c r="K214" i="1"/>
  <c r="K215" i="1"/>
  <c r="L160" i="3"/>
  <c r="L162" i="3"/>
  <c r="L210" i="1"/>
  <c r="M219" i="3"/>
  <c r="D219" i="3"/>
  <c r="E219" i="3"/>
  <c r="F219" i="3"/>
  <c r="G219" i="3"/>
  <c r="H219" i="3"/>
  <c r="I219" i="3"/>
  <c r="J219" i="3"/>
  <c r="K219" i="3"/>
  <c r="L219" i="3"/>
  <c r="L163" i="3"/>
  <c r="C205" i="3"/>
  <c r="M205" i="3"/>
  <c r="D205" i="3"/>
  <c r="E205" i="3"/>
  <c r="F205" i="3"/>
  <c r="G205" i="3"/>
  <c r="H205" i="3"/>
  <c r="I205" i="3"/>
  <c r="J205" i="3"/>
  <c r="K205" i="3"/>
  <c r="L205" i="3"/>
  <c r="L164" i="3"/>
  <c r="M221" i="3"/>
  <c r="D221" i="3"/>
  <c r="E221" i="3"/>
  <c r="F221" i="3"/>
  <c r="G221" i="3"/>
  <c r="H221" i="3"/>
  <c r="I221" i="3"/>
  <c r="J221" i="3"/>
  <c r="K221" i="3"/>
  <c r="L221" i="3"/>
  <c r="L165" i="3"/>
  <c r="L167" i="3"/>
  <c r="M223" i="3"/>
  <c r="D223" i="3"/>
  <c r="E223" i="3"/>
  <c r="F223" i="3"/>
  <c r="G223" i="3"/>
  <c r="H223" i="3"/>
  <c r="I223" i="3"/>
  <c r="J223" i="3"/>
  <c r="K223" i="3"/>
  <c r="L223" i="3"/>
  <c r="L168" i="3"/>
  <c r="L169" i="3"/>
  <c r="L211" i="1"/>
  <c r="L63" i="3"/>
  <c r="L170" i="3"/>
  <c r="L64" i="3"/>
  <c r="L171" i="3"/>
  <c r="L65" i="3"/>
  <c r="L172" i="3"/>
  <c r="L66" i="3"/>
  <c r="L173" i="3"/>
  <c r="L88" i="3"/>
  <c r="L174" i="3"/>
  <c r="L175" i="3"/>
  <c r="L212" i="1"/>
  <c r="L176" i="3"/>
  <c r="L177" i="3"/>
  <c r="L178" i="3"/>
  <c r="L179" i="3"/>
  <c r="L180" i="3"/>
  <c r="L181" i="3"/>
  <c r="L213" i="1"/>
  <c r="L214" i="1"/>
  <c r="L215" i="1"/>
  <c r="B182" i="2"/>
  <c r="B183" i="2"/>
  <c r="C182" i="2"/>
  <c r="C183" i="2"/>
  <c r="D162" i="2"/>
  <c r="D182" i="2"/>
  <c r="D183" i="2"/>
  <c r="E162" i="2"/>
  <c r="E182" i="2"/>
  <c r="E183" i="2"/>
  <c r="F162" i="2"/>
  <c r="F182" i="2"/>
  <c r="F183" i="2"/>
  <c r="G162" i="2"/>
  <c r="G182" i="2"/>
  <c r="G183" i="2"/>
  <c r="H162" i="2"/>
  <c r="H182" i="2"/>
  <c r="H183" i="2"/>
  <c r="I162" i="2"/>
  <c r="I182" i="2"/>
  <c r="I183" i="2"/>
  <c r="J162" i="2"/>
  <c r="J182" i="2"/>
  <c r="J183" i="2"/>
  <c r="K162" i="2"/>
  <c r="K182" i="2"/>
  <c r="K183" i="2"/>
  <c r="L162" i="2"/>
  <c r="L182" i="2"/>
  <c r="L183" i="2"/>
  <c r="M225" i="4"/>
  <c r="C219" i="4"/>
  <c r="M220" i="4"/>
  <c r="C70" i="4"/>
  <c r="C221" i="4"/>
  <c r="C222" i="4"/>
  <c r="C72" i="4"/>
  <c r="M214" i="4"/>
  <c r="M215" i="4"/>
  <c r="M217" i="4"/>
  <c r="C199" i="4"/>
  <c r="C55" i="4"/>
  <c r="C93" i="4"/>
  <c r="C111" i="4"/>
  <c r="C113" i="4"/>
  <c r="M226" i="4"/>
  <c r="C100" i="4"/>
  <c r="M218" i="4"/>
  <c r="M230" i="4"/>
  <c r="C245" i="4"/>
  <c r="M231" i="4"/>
  <c r="C229" i="4"/>
  <c r="M232" i="4"/>
  <c r="M239" i="4"/>
  <c r="C6" i="4"/>
  <c r="C7" i="4"/>
  <c r="C227" i="4"/>
  <c r="M228" i="4"/>
  <c r="C8" i="4"/>
  <c r="C233" i="4"/>
  <c r="C234" i="4"/>
  <c r="C9" i="4"/>
  <c r="C237" i="4"/>
  <c r="M238" i="4"/>
  <c r="C10" i="4"/>
  <c r="M240" i="4"/>
  <c r="C241" i="4"/>
  <c r="C11" i="4"/>
  <c r="C243" i="4"/>
  <c r="M242" i="4"/>
  <c r="C12" i="4"/>
  <c r="M244" i="4"/>
  <c r="C13" i="4"/>
  <c r="C235" i="4"/>
  <c r="M236" i="4"/>
  <c r="C14" i="4"/>
  <c r="C15" i="4"/>
  <c r="M246" i="4"/>
  <c r="C17" i="4"/>
  <c r="C18" i="4"/>
  <c r="C19" i="4"/>
  <c r="C260" i="4"/>
  <c r="C22" i="4"/>
  <c r="C247" i="4"/>
  <c r="C23" i="4"/>
  <c r="M248" i="4"/>
  <c r="C249" i="4"/>
  <c r="C24" i="4"/>
  <c r="M253" i="4"/>
  <c r="C25" i="4"/>
  <c r="M254" i="4"/>
  <c r="O254" i="4"/>
  <c r="C26" i="4"/>
  <c r="C250" i="4"/>
  <c r="C27" i="4"/>
  <c r="M208" i="4"/>
  <c r="M207" i="4"/>
  <c r="C35" i="4"/>
  <c r="C73" i="4"/>
  <c r="C74" i="4"/>
  <c r="C223" i="4"/>
  <c r="M224" i="4"/>
  <c r="C76" i="4"/>
  <c r="M210" i="4"/>
  <c r="M209" i="4"/>
  <c r="C36" i="4"/>
  <c r="C77" i="4"/>
  <c r="C78" i="4"/>
  <c r="C80" i="4"/>
  <c r="M251" i="4"/>
  <c r="C28" i="4"/>
  <c r="M252" i="4"/>
  <c r="C29" i="4"/>
  <c r="C30" i="4"/>
  <c r="C32" i="4"/>
  <c r="C4" i="4"/>
  <c r="C37" i="4"/>
  <c r="C211" i="4"/>
  <c r="C38" i="4"/>
  <c r="C39" i="4"/>
  <c r="C41" i="4"/>
  <c r="C42" i="4"/>
  <c r="C43" i="4"/>
  <c r="C101" i="4"/>
  <c r="C102" i="4"/>
  <c r="C126" i="4"/>
  <c r="C127" i="4"/>
  <c r="C130" i="4"/>
  <c r="C116" i="4"/>
  <c r="C121" i="4"/>
  <c r="C117" i="4"/>
  <c r="C122" i="4"/>
  <c r="C124" i="4"/>
  <c r="C203" i="4"/>
  <c r="C131" i="4"/>
  <c r="C145" i="4"/>
  <c r="C146" i="4"/>
  <c r="C264" i="4"/>
  <c r="C149" i="4"/>
  <c r="C151" i="4"/>
  <c r="C262" i="4"/>
  <c r="C261" i="4"/>
  <c r="C134" i="4"/>
  <c r="C136" i="4"/>
  <c r="D199" i="4"/>
  <c r="D55" i="4"/>
  <c r="D93" i="4"/>
  <c r="D111" i="4"/>
  <c r="D113" i="4"/>
  <c r="D100" i="4"/>
  <c r="D245" i="4"/>
  <c r="M201" i="4"/>
  <c r="D229" i="4"/>
  <c r="D6" i="4"/>
  <c r="D7" i="4"/>
  <c r="D227" i="4"/>
  <c r="D8" i="4"/>
  <c r="D233" i="4"/>
  <c r="M234" i="4"/>
  <c r="D234" i="4"/>
  <c r="D9" i="4"/>
  <c r="D237" i="4"/>
  <c r="D10" i="4"/>
  <c r="D241" i="4"/>
  <c r="D11" i="4"/>
  <c r="D243" i="4"/>
  <c r="D12" i="4"/>
  <c r="D13" i="4"/>
  <c r="D235" i="4"/>
  <c r="D14" i="4"/>
  <c r="D15" i="4"/>
  <c r="D17" i="4"/>
  <c r="D18" i="4"/>
  <c r="D19" i="4"/>
  <c r="D260" i="4"/>
  <c r="D22" i="4"/>
  <c r="M247" i="4"/>
  <c r="D247" i="4"/>
  <c r="D23" i="4"/>
  <c r="D249" i="4"/>
  <c r="D24" i="4"/>
  <c r="D25" i="4"/>
  <c r="D26" i="4"/>
  <c r="D250" i="4"/>
  <c r="D27" i="4"/>
  <c r="D70" i="4"/>
  <c r="D222" i="4"/>
  <c r="D72" i="4"/>
  <c r="D35" i="4"/>
  <c r="D73" i="4"/>
  <c r="D74" i="4"/>
  <c r="D76" i="4"/>
  <c r="D36" i="4"/>
  <c r="D77" i="4"/>
  <c r="D78" i="4"/>
  <c r="D80" i="4"/>
  <c r="D28" i="4"/>
  <c r="D29" i="4"/>
  <c r="D30" i="4"/>
  <c r="D32" i="4"/>
  <c r="D4" i="4"/>
  <c r="D37" i="4"/>
  <c r="M211" i="4"/>
  <c r="D211" i="4"/>
  <c r="D38" i="4"/>
  <c r="D39" i="4"/>
  <c r="D41" i="4"/>
  <c r="D42" i="4"/>
  <c r="D43" i="4"/>
  <c r="D101" i="4"/>
  <c r="D102" i="4"/>
  <c r="D126" i="4"/>
  <c r="D127" i="4"/>
  <c r="D130" i="4"/>
  <c r="D116" i="4"/>
  <c r="D121" i="4"/>
  <c r="D117" i="4"/>
  <c r="D122" i="4"/>
  <c r="D124" i="4"/>
  <c r="M203" i="4"/>
  <c r="D203" i="4"/>
  <c r="D131" i="4"/>
  <c r="D145" i="4"/>
  <c r="D146" i="4"/>
  <c r="M264" i="4"/>
  <c r="D264" i="4"/>
  <c r="D149" i="4"/>
  <c r="D151" i="4"/>
  <c r="M262" i="4"/>
  <c r="D262" i="4"/>
  <c r="M261" i="4"/>
  <c r="D261" i="4"/>
  <c r="D134" i="4"/>
  <c r="D136" i="4"/>
  <c r="E199" i="4"/>
  <c r="E55" i="4"/>
  <c r="E93" i="4"/>
  <c r="E111" i="4"/>
  <c r="E113" i="4"/>
  <c r="E100" i="4"/>
  <c r="E245" i="4"/>
  <c r="E229" i="4"/>
  <c r="E6" i="4"/>
  <c r="E7" i="4"/>
  <c r="E227" i="4"/>
  <c r="E8" i="4"/>
  <c r="E233" i="4"/>
  <c r="E234" i="4"/>
  <c r="E9" i="4"/>
  <c r="E237" i="4"/>
  <c r="E10" i="4"/>
  <c r="E241" i="4"/>
  <c r="E11" i="4"/>
  <c r="E243" i="4"/>
  <c r="E12" i="4"/>
  <c r="E13" i="4"/>
  <c r="E235" i="4"/>
  <c r="E14" i="4"/>
  <c r="E15" i="4"/>
  <c r="E17" i="4"/>
  <c r="E18" i="4"/>
  <c r="E19" i="4"/>
  <c r="E260" i="4"/>
  <c r="E22" i="4"/>
  <c r="E247" i="4"/>
  <c r="E23" i="4"/>
  <c r="E249" i="4"/>
  <c r="E24" i="4"/>
  <c r="E25" i="4"/>
  <c r="E26" i="4"/>
  <c r="E250" i="4"/>
  <c r="E27" i="4"/>
  <c r="E70" i="4"/>
  <c r="E222" i="4"/>
  <c r="E72" i="4"/>
  <c r="E35" i="4"/>
  <c r="E73" i="4"/>
  <c r="E74" i="4"/>
  <c r="E76" i="4"/>
  <c r="E36" i="4"/>
  <c r="E77" i="4"/>
  <c r="E78" i="4"/>
  <c r="E80" i="4"/>
  <c r="E28" i="4"/>
  <c r="E29" i="4"/>
  <c r="E30" i="4"/>
  <c r="E32" i="4"/>
  <c r="E4" i="4"/>
  <c r="E37" i="4"/>
  <c r="E211" i="4"/>
  <c r="E38" i="4"/>
  <c r="E39" i="4"/>
  <c r="E41" i="4"/>
  <c r="E42" i="4"/>
  <c r="E43" i="4"/>
  <c r="E101" i="4"/>
  <c r="E102" i="4"/>
  <c r="E126" i="4"/>
  <c r="E127" i="4"/>
  <c r="E130" i="4"/>
  <c r="E116" i="4"/>
  <c r="E121" i="4"/>
  <c r="E117" i="4"/>
  <c r="E122" i="4"/>
  <c r="E124" i="4"/>
  <c r="E203" i="4"/>
  <c r="E131" i="4"/>
  <c r="E145" i="4"/>
  <c r="E146" i="4"/>
  <c r="E264" i="4"/>
  <c r="E149" i="4"/>
  <c r="E151" i="4"/>
  <c r="E262" i="4"/>
  <c r="E261" i="4"/>
  <c r="E134" i="4"/>
  <c r="E136" i="4"/>
  <c r="F199" i="4"/>
  <c r="F55" i="4"/>
  <c r="F93" i="4"/>
  <c r="F111" i="4"/>
  <c r="F113" i="4"/>
  <c r="F100" i="4"/>
  <c r="F245" i="4"/>
  <c r="F229" i="4"/>
  <c r="F6" i="4"/>
  <c r="F7" i="4"/>
  <c r="F227" i="4"/>
  <c r="F8" i="4"/>
  <c r="F233" i="4"/>
  <c r="F234" i="4"/>
  <c r="F9" i="4"/>
  <c r="F237" i="4"/>
  <c r="F10" i="4"/>
  <c r="F241" i="4"/>
  <c r="F11" i="4"/>
  <c r="F243" i="4"/>
  <c r="F12" i="4"/>
  <c r="F13" i="4"/>
  <c r="F235" i="4"/>
  <c r="F14" i="4"/>
  <c r="F15" i="4"/>
  <c r="F17" i="4"/>
  <c r="F18" i="4"/>
  <c r="F19" i="4"/>
  <c r="F260" i="4"/>
  <c r="F22" i="4"/>
  <c r="F247" i="4"/>
  <c r="F23" i="4"/>
  <c r="F249" i="4"/>
  <c r="F24" i="4"/>
  <c r="F25" i="4"/>
  <c r="F26" i="4"/>
  <c r="F250" i="4"/>
  <c r="F27" i="4"/>
  <c r="F70" i="4"/>
  <c r="F222" i="4"/>
  <c r="F72" i="4"/>
  <c r="F35" i="4"/>
  <c r="F73" i="4"/>
  <c r="F74" i="4"/>
  <c r="F76" i="4"/>
  <c r="F36" i="4"/>
  <c r="F77" i="4"/>
  <c r="F78" i="4"/>
  <c r="F80" i="4"/>
  <c r="F28" i="4"/>
  <c r="F29" i="4"/>
  <c r="F30" i="4"/>
  <c r="F32" i="4"/>
  <c r="F4" i="4"/>
  <c r="F37" i="4"/>
  <c r="F211" i="4"/>
  <c r="F38" i="4"/>
  <c r="F39" i="4"/>
  <c r="F41" i="4"/>
  <c r="F42" i="4"/>
  <c r="F43" i="4"/>
  <c r="F101" i="4"/>
  <c r="F102" i="4"/>
  <c r="F126" i="4"/>
  <c r="F127" i="4"/>
  <c r="F130" i="4"/>
  <c r="F116" i="4"/>
  <c r="F121" i="4"/>
  <c r="F117" i="4"/>
  <c r="F122" i="4"/>
  <c r="F124" i="4"/>
  <c r="F203" i="4"/>
  <c r="F131" i="4"/>
  <c r="F145" i="4"/>
  <c r="F146" i="4"/>
  <c r="F264" i="4"/>
  <c r="F149" i="4"/>
  <c r="F151" i="4"/>
  <c r="F262" i="4"/>
  <c r="F261" i="4"/>
  <c r="F134" i="4"/>
  <c r="F136" i="4"/>
  <c r="G199" i="4"/>
  <c r="G55" i="4"/>
  <c r="G93" i="4"/>
  <c r="G111" i="4"/>
  <c r="G113" i="4"/>
  <c r="G100" i="4"/>
  <c r="G245" i="4"/>
  <c r="G229" i="4"/>
  <c r="G6" i="4"/>
  <c r="G7" i="4"/>
  <c r="G227" i="4"/>
  <c r="G8" i="4"/>
  <c r="G233" i="4"/>
  <c r="G234" i="4"/>
  <c r="G9" i="4"/>
  <c r="G237" i="4"/>
  <c r="G10" i="4"/>
  <c r="G241" i="4"/>
  <c r="G11" i="4"/>
  <c r="G243" i="4"/>
  <c r="G12" i="4"/>
  <c r="G13" i="4"/>
  <c r="G235" i="4"/>
  <c r="G14" i="4"/>
  <c r="G15" i="4"/>
  <c r="G17" i="4"/>
  <c r="G18" i="4"/>
  <c r="G19" i="4"/>
  <c r="G260" i="4"/>
  <c r="G22" i="4"/>
  <c r="G247" i="4"/>
  <c r="G23" i="4"/>
  <c r="G249" i="4"/>
  <c r="G24" i="4"/>
  <c r="G25" i="4"/>
  <c r="G26" i="4"/>
  <c r="G250" i="4"/>
  <c r="G27" i="4"/>
  <c r="G70" i="4"/>
  <c r="G222" i="4"/>
  <c r="G72" i="4"/>
  <c r="G35" i="4"/>
  <c r="G73" i="4"/>
  <c r="G74" i="4"/>
  <c r="G76" i="4"/>
  <c r="G36" i="4"/>
  <c r="G77" i="4"/>
  <c r="G78" i="4"/>
  <c r="G80" i="4"/>
  <c r="G28" i="4"/>
  <c r="G29" i="4"/>
  <c r="G30" i="4"/>
  <c r="G32" i="4"/>
  <c r="G4" i="4"/>
  <c r="G37" i="4"/>
  <c r="G211" i="4"/>
  <c r="G38" i="4"/>
  <c r="G39" i="4"/>
  <c r="G41" i="4"/>
  <c r="G42" i="4"/>
  <c r="G43" i="4"/>
  <c r="G101" i="4"/>
  <c r="G102" i="4"/>
  <c r="G126" i="4"/>
  <c r="G127" i="4"/>
  <c r="G130" i="4"/>
  <c r="G116" i="4"/>
  <c r="G121" i="4"/>
  <c r="G117" i="4"/>
  <c r="G122" i="4"/>
  <c r="G124" i="4"/>
  <c r="G203" i="4"/>
  <c r="G131" i="4"/>
  <c r="G145" i="4"/>
  <c r="G146" i="4"/>
  <c r="G264" i="4"/>
  <c r="G149" i="4"/>
  <c r="G151" i="4"/>
  <c r="G262" i="4"/>
  <c r="G261" i="4"/>
  <c r="G134" i="4"/>
  <c r="G136" i="4"/>
  <c r="H199" i="4"/>
  <c r="H55" i="4"/>
  <c r="H93" i="4"/>
  <c r="H111" i="4"/>
  <c r="H113" i="4"/>
  <c r="H100" i="4"/>
  <c r="H245" i="4"/>
  <c r="H229" i="4"/>
  <c r="H6" i="4"/>
  <c r="H7" i="4"/>
  <c r="H227" i="4"/>
  <c r="H8" i="4"/>
  <c r="H233" i="4"/>
  <c r="H234" i="4"/>
  <c r="H9" i="4"/>
  <c r="H237" i="4"/>
  <c r="H10" i="4"/>
  <c r="H241" i="4"/>
  <c r="H11" i="4"/>
  <c r="H243" i="4"/>
  <c r="H12" i="4"/>
  <c r="H13" i="4"/>
  <c r="H235" i="4"/>
  <c r="H14" i="4"/>
  <c r="H15" i="4"/>
  <c r="H17" i="4"/>
  <c r="H18" i="4"/>
  <c r="H19" i="4"/>
  <c r="H260" i="4"/>
  <c r="H22" i="4"/>
  <c r="H247" i="4"/>
  <c r="H23" i="4"/>
  <c r="H249" i="4"/>
  <c r="H24" i="4"/>
  <c r="H25" i="4"/>
  <c r="H26" i="4"/>
  <c r="H250" i="4"/>
  <c r="H27" i="4"/>
  <c r="H70" i="4"/>
  <c r="H222" i="4"/>
  <c r="H72" i="4"/>
  <c r="H35" i="4"/>
  <c r="H73" i="4"/>
  <c r="H74" i="4"/>
  <c r="H76" i="4"/>
  <c r="H36" i="4"/>
  <c r="H77" i="4"/>
  <c r="H78" i="4"/>
  <c r="H80" i="4"/>
  <c r="H28" i="4"/>
  <c r="H29" i="4"/>
  <c r="H30" i="4"/>
  <c r="H32" i="4"/>
  <c r="H4" i="4"/>
  <c r="H37" i="4"/>
  <c r="H211" i="4"/>
  <c r="H38" i="4"/>
  <c r="H39" i="4"/>
  <c r="H41" i="4"/>
  <c r="H42" i="4"/>
  <c r="H43" i="4"/>
  <c r="H101" i="4"/>
  <c r="H102" i="4"/>
  <c r="H126" i="4"/>
  <c r="H127" i="4"/>
  <c r="H130" i="4"/>
  <c r="H116" i="4"/>
  <c r="H121" i="4"/>
  <c r="H117" i="4"/>
  <c r="H122" i="4"/>
  <c r="H124" i="4"/>
  <c r="H203" i="4"/>
  <c r="H131" i="4"/>
  <c r="H145" i="4"/>
  <c r="H146" i="4"/>
  <c r="H264" i="4"/>
  <c r="H149" i="4"/>
  <c r="H151" i="4"/>
  <c r="H262" i="4"/>
  <c r="H261" i="4"/>
  <c r="H134" i="4"/>
  <c r="H136" i="4"/>
  <c r="I199" i="4"/>
  <c r="I55" i="4"/>
  <c r="I93" i="4"/>
  <c r="I111" i="4"/>
  <c r="I113" i="4"/>
  <c r="I100" i="4"/>
  <c r="I245" i="4"/>
  <c r="I229" i="4"/>
  <c r="I6" i="4"/>
  <c r="I7" i="4"/>
  <c r="I227" i="4"/>
  <c r="I8" i="4"/>
  <c r="I233" i="4"/>
  <c r="I234" i="4"/>
  <c r="I9" i="4"/>
  <c r="I237" i="4"/>
  <c r="I10" i="4"/>
  <c r="I241" i="4"/>
  <c r="I11" i="4"/>
  <c r="I243" i="4"/>
  <c r="I12" i="4"/>
  <c r="I13" i="4"/>
  <c r="I235" i="4"/>
  <c r="I14" i="4"/>
  <c r="I15" i="4"/>
  <c r="I17" i="4"/>
  <c r="I18" i="4"/>
  <c r="I19" i="4"/>
  <c r="I260" i="4"/>
  <c r="I22" i="4"/>
  <c r="I247" i="4"/>
  <c r="I23" i="4"/>
  <c r="I249" i="4"/>
  <c r="I24" i="4"/>
  <c r="I25" i="4"/>
  <c r="I26" i="4"/>
  <c r="I250" i="4"/>
  <c r="I27" i="4"/>
  <c r="I70" i="4"/>
  <c r="I222" i="4"/>
  <c r="I72" i="4"/>
  <c r="I35" i="4"/>
  <c r="I73" i="4"/>
  <c r="I74" i="4"/>
  <c r="I76" i="4"/>
  <c r="I36" i="4"/>
  <c r="I77" i="4"/>
  <c r="I78" i="4"/>
  <c r="I80" i="4"/>
  <c r="I28" i="4"/>
  <c r="I29" i="4"/>
  <c r="I30" i="4"/>
  <c r="I32" i="4"/>
  <c r="I4" i="4"/>
  <c r="I37" i="4"/>
  <c r="I211" i="4"/>
  <c r="I38" i="4"/>
  <c r="I39" i="4"/>
  <c r="I41" i="4"/>
  <c r="I42" i="4"/>
  <c r="I43" i="4"/>
  <c r="I101" i="4"/>
  <c r="I102" i="4"/>
  <c r="I126" i="4"/>
  <c r="I127" i="4"/>
  <c r="I130" i="4"/>
  <c r="I116" i="4"/>
  <c r="I121" i="4"/>
  <c r="I117" i="4"/>
  <c r="I122" i="4"/>
  <c r="I124" i="4"/>
  <c r="I203" i="4"/>
  <c r="I131" i="4"/>
  <c r="I145" i="4"/>
  <c r="I146" i="4"/>
  <c r="I264" i="4"/>
  <c r="I149" i="4"/>
  <c r="I151" i="4"/>
  <c r="I262" i="4"/>
  <c r="I261" i="4"/>
  <c r="I134" i="4"/>
  <c r="I136" i="4"/>
  <c r="J199" i="4"/>
  <c r="J55" i="4"/>
  <c r="J93" i="4"/>
  <c r="J111" i="4"/>
  <c r="J113" i="4"/>
  <c r="J100" i="4"/>
  <c r="J245" i="4"/>
  <c r="J229" i="4"/>
  <c r="J6" i="4"/>
  <c r="J7" i="4"/>
  <c r="J227" i="4"/>
  <c r="J8" i="4"/>
  <c r="J233" i="4"/>
  <c r="J234" i="4"/>
  <c r="J9" i="4"/>
  <c r="J237" i="4"/>
  <c r="J10" i="4"/>
  <c r="J241" i="4"/>
  <c r="J11" i="4"/>
  <c r="J243" i="4"/>
  <c r="J12" i="4"/>
  <c r="J13" i="4"/>
  <c r="J235" i="4"/>
  <c r="J14" i="4"/>
  <c r="J15" i="4"/>
  <c r="J17" i="4"/>
  <c r="J18" i="4"/>
  <c r="J19" i="4"/>
  <c r="J260" i="4"/>
  <c r="J22" i="4"/>
  <c r="J247" i="4"/>
  <c r="J23" i="4"/>
  <c r="J249" i="4"/>
  <c r="J24" i="4"/>
  <c r="J25" i="4"/>
  <c r="J26" i="4"/>
  <c r="J250" i="4"/>
  <c r="J27" i="4"/>
  <c r="J70" i="4"/>
  <c r="J222" i="4"/>
  <c r="J72" i="4"/>
  <c r="J35" i="4"/>
  <c r="J73" i="4"/>
  <c r="J74" i="4"/>
  <c r="J76" i="4"/>
  <c r="J36" i="4"/>
  <c r="J77" i="4"/>
  <c r="J78" i="4"/>
  <c r="J80" i="4"/>
  <c r="J28" i="4"/>
  <c r="J29" i="4"/>
  <c r="J30" i="4"/>
  <c r="J32" i="4"/>
  <c r="J4" i="4"/>
  <c r="J37" i="4"/>
  <c r="J211" i="4"/>
  <c r="J38" i="4"/>
  <c r="J39" i="4"/>
  <c r="J41" i="4"/>
  <c r="J42" i="4"/>
  <c r="J43" i="4"/>
  <c r="J101" i="4"/>
  <c r="J102" i="4"/>
  <c r="J126" i="4"/>
  <c r="J127" i="4"/>
  <c r="J130" i="4"/>
  <c r="J116" i="4"/>
  <c r="J121" i="4"/>
  <c r="J117" i="4"/>
  <c r="J122" i="4"/>
  <c r="J124" i="4"/>
  <c r="J203" i="4"/>
  <c r="J131" i="4"/>
  <c r="J145" i="4"/>
  <c r="J146" i="4"/>
  <c r="J264" i="4"/>
  <c r="J149" i="4"/>
  <c r="J151" i="4"/>
  <c r="J262" i="4"/>
  <c r="J261" i="4"/>
  <c r="J134" i="4"/>
  <c r="J136" i="4"/>
  <c r="K199" i="4"/>
  <c r="K55" i="4"/>
  <c r="K93" i="4"/>
  <c r="K111" i="4"/>
  <c r="K113" i="4"/>
  <c r="K100" i="4"/>
  <c r="K245" i="4"/>
  <c r="K229" i="4"/>
  <c r="K6" i="4"/>
  <c r="K7" i="4"/>
  <c r="K227" i="4"/>
  <c r="K8" i="4"/>
  <c r="K233" i="4"/>
  <c r="K234" i="4"/>
  <c r="K9" i="4"/>
  <c r="K237" i="4"/>
  <c r="K10" i="4"/>
  <c r="K241" i="4"/>
  <c r="K11" i="4"/>
  <c r="K243" i="4"/>
  <c r="K12" i="4"/>
  <c r="K13" i="4"/>
  <c r="K235" i="4"/>
  <c r="K14" i="4"/>
  <c r="K15" i="4"/>
  <c r="K17" i="4"/>
  <c r="K18" i="4"/>
  <c r="K19" i="4"/>
  <c r="K260" i="4"/>
  <c r="K22" i="4"/>
  <c r="K247" i="4"/>
  <c r="K23" i="4"/>
  <c r="K249" i="4"/>
  <c r="K24" i="4"/>
  <c r="K25" i="4"/>
  <c r="K26" i="4"/>
  <c r="K250" i="4"/>
  <c r="K27" i="4"/>
  <c r="K70" i="4"/>
  <c r="K222" i="4"/>
  <c r="K72" i="4"/>
  <c r="K35" i="4"/>
  <c r="K73" i="4"/>
  <c r="K74" i="4"/>
  <c r="K76" i="4"/>
  <c r="K36" i="4"/>
  <c r="K77" i="4"/>
  <c r="K78" i="4"/>
  <c r="K80" i="4"/>
  <c r="K28" i="4"/>
  <c r="K29" i="4"/>
  <c r="K30" i="4"/>
  <c r="K32" i="4"/>
  <c r="K4" i="4"/>
  <c r="K37" i="4"/>
  <c r="K211" i="4"/>
  <c r="K38" i="4"/>
  <c r="K39" i="4"/>
  <c r="K41" i="4"/>
  <c r="K42" i="4"/>
  <c r="K43" i="4"/>
  <c r="K101" i="4"/>
  <c r="K102" i="4"/>
  <c r="K126" i="4"/>
  <c r="K127" i="4"/>
  <c r="K130" i="4"/>
  <c r="K116" i="4"/>
  <c r="K121" i="4"/>
  <c r="K117" i="4"/>
  <c r="K122" i="4"/>
  <c r="K124" i="4"/>
  <c r="K203" i="4"/>
  <c r="K131" i="4"/>
  <c r="K145" i="4"/>
  <c r="K146" i="4"/>
  <c r="K264" i="4"/>
  <c r="K149" i="4"/>
  <c r="K151" i="4"/>
  <c r="K262" i="4"/>
  <c r="K261" i="4"/>
  <c r="K134" i="4"/>
  <c r="K136" i="4"/>
  <c r="L199" i="4"/>
  <c r="L55" i="4"/>
  <c r="L93" i="4"/>
  <c r="L111" i="4"/>
  <c r="L113" i="4"/>
  <c r="L100" i="4"/>
  <c r="L245" i="4"/>
  <c r="L229" i="4"/>
  <c r="L6" i="4"/>
  <c r="L7" i="4"/>
  <c r="L227" i="4"/>
  <c r="L8" i="4"/>
  <c r="L233" i="4"/>
  <c r="L234" i="4"/>
  <c r="L9" i="4"/>
  <c r="L237" i="4"/>
  <c r="L10" i="4"/>
  <c r="L241" i="4"/>
  <c r="L11" i="4"/>
  <c r="L243" i="4"/>
  <c r="L12" i="4"/>
  <c r="L13" i="4"/>
  <c r="L235" i="4"/>
  <c r="L14" i="4"/>
  <c r="L15" i="4"/>
  <c r="L17" i="4"/>
  <c r="L18" i="4"/>
  <c r="L19" i="4"/>
  <c r="L260" i="4"/>
  <c r="L22" i="4"/>
  <c r="L247" i="4"/>
  <c r="L23" i="4"/>
  <c r="L249" i="4"/>
  <c r="L24" i="4"/>
  <c r="L25" i="4"/>
  <c r="L26" i="4"/>
  <c r="L250" i="4"/>
  <c r="L27" i="4"/>
  <c r="L70" i="4"/>
  <c r="L222" i="4"/>
  <c r="L72" i="4"/>
  <c r="L35" i="4"/>
  <c r="L73" i="4"/>
  <c r="L74" i="4"/>
  <c r="L76" i="4"/>
  <c r="L36" i="4"/>
  <c r="L77" i="4"/>
  <c r="L78" i="4"/>
  <c r="L80" i="4"/>
  <c r="L28" i="4"/>
  <c r="L29" i="4"/>
  <c r="L30" i="4"/>
  <c r="L32" i="4"/>
  <c r="L4" i="4"/>
  <c r="L37" i="4"/>
  <c r="L211" i="4"/>
  <c r="L38" i="4"/>
  <c r="L39" i="4"/>
  <c r="L41" i="4"/>
  <c r="L42" i="4"/>
  <c r="L43" i="4"/>
  <c r="L101" i="4"/>
  <c r="L102" i="4"/>
  <c r="L126" i="4"/>
  <c r="L127" i="4"/>
  <c r="L130" i="4"/>
  <c r="L116" i="4"/>
  <c r="L121" i="4"/>
  <c r="L117" i="4"/>
  <c r="L122" i="4"/>
  <c r="L124" i="4"/>
  <c r="L203" i="4"/>
  <c r="L131" i="4"/>
  <c r="L145" i="4"/>
  <c r="L146" i="4"/>
  <c r="L264" i="4"/>
  <c r="L149" i="4"/>
  <c r="L151" i="4"/>
  <c r="L262" i="4"/>
  <c r="L261" i="4"/>
  <c r="L134" i="4"/>
  <c r="L136" i="4"/>
  <c r="L138" i="4"/>
  <c r="B163" i="4"/>
  <c r="B165" i="4"/>
  <c r="B168" i="4"/>
  <c r="B182" i="4"/>
  <c r="B183" i="4"/>
  <c r="C160" i="4"/>
  <c r="C162" i="4"/>
  <c r="M255" i="4"/>
  <c r="C63" i="4"/>
  <c r="C170" i="4"/>
  <c r="M256" i="4"/>
  <c r="C64" i="4"/>
  <c r="C171" i="4"/>
  <c r="M257" i="4"/>
  <c r="C65" i="4"/>
  <c r="C172" i="4"/>
  <c r="M258" i="4"/>
  <c r="C66" i="4"/>
  <c r="C173" i="4"/>
  <c r="M259" i="4"/>
  <c r="C88" i="4"/>
  <c r="C174" i="4"/>
  <c r="C175" i="4"/>
  <c r="C182" i="4"/>
  <c r="C183" i="4"/>
  <c r="D160" i="4"/>
  <c r="D162" i="4"/>
  <c r="D63" i="4"/>
  <c r="D170" i="4"/>
  <c r="D64" i="4"/>
  <c r="D171" i="4"/>
  <c r="D65" i="4"/>
  <c r="D172" i="4"/>
  <c r="D66" i="4"/>
  <c r="D173" i="4"/>
  <c r="D88" i="4"/>
  <c r="D174" i="4"/>
  <c r="D175" i="4"/>
  <c r="D182" i="4"/>
  <c r="D183" i="4"/>
  <c r="E160" i="4"/>
  <c r="E162" i="4"/>
  <c r="E63" i="4"/>
  <c r="E170" i="4"/>
  <c r="E64" i="4"/>
  <c r="E171" i="4"/>
  <c r="E65" i="4"/>
  <c r="E172" i="4"/>
  <c r="E66" i="4"/>
  <c r="E173" i="4"/>
  <c r="E88" i="4"/>
  <c r="E174" i="4"/>
  <c r="E175" i="4"/>
  <c r="E182" i="4"/>
  <c r="E183" i="4"/>
  <c r="F160" i="4"/>
  <c r="F162" i="4"/>
  <c r="F63" i="4"/>
  <c r="F170" i="4"/>
  <c r="F64" i="4"/>
  <c r="F171" i="4"/>
  <c r="F65" i="4"/>
  <c r="F172" i="4"/>
  <c r="F66" i="4"/>
  <c r="F173" i="4"/>
  <c r="F88" i="4"/>
  <c r="F174" i="4"/>
  <c r="F175" i="4"/>
  <c r="F182" i="4"/>
  <c r="F183" i="4"/>
  <c r="G160" i="4"/>
  <c r="G162" i="4"/>
  <c r="M219" i="4"/>
  <c r="D219" i="4"/>
  <c r="E219" i="4"/>
  <c r="F219" i="4"/>
  <c r="G219" i="4"/>
  <c r="G163" i="4"/>
  <c r="C205" i="4"/>
  <c r="M205" i="4"/>
  <c r="D205" i="4"/>
  <c r="E205" i="4"/>
  <c r="F205" i="4"/>
  <c r="G205" i="4"/>
  <c r="G164" i="4"/>
  <c r="M221" i="4"/>
  <c r="D221" i="4"/>
  <c r="E221" i="4"/>
  <c r="F221" i="4"/>
  <c r="G221" i="4"/>
  <c r="G165" i="4"/>
  <c r="G167" i="4"/>
  <c r="G169" i="4"/>
  <c r="G63" i="4"/>
  <c r="G170" i="4"/>
  <c r="G64" i="4"/>
  <c r="G171" i="4"/>
  <c r="G65" i="4"/>
  <c r="G172" i="4"/>
  <c r="G66" i="4"/>
  <c r="G173" i="4"/>
  <c r="G88" i="4"/>
  <c r="G174" i="4"/>
  <c r="G175" i="4"/>
  <c r="G176" i="4"/>
  <c r="G177" i="4"/>
  <c r="G178" i="4"/>
  <c r="G179" i="4"/>
  <c r="M206" i="4"/>
  <c r="G60" i="4"/>
  <c r="G67" i="4"/>
  <c r="G180" i="4"/>
  <c r="G182" i="4"/>
  <c r="G183" i="4"/>
  <c r="B235" i="1"/>
  <c r="B234" i="1"/>
  <c r="L185" i="4"/>
  <c r="D222" i="1"/>
  <c r="L217" i="1"/>
  <c r="B224" i="1"/>
  <c r="D224" i="1"/>
  <c r="D145" i="1"/>
  <c r="D146" i="1"/>
  <c r="D151" i="1"/>
  <c r="D134" i="1"/>
  <c r="D136" i="1"/>
  <c r="E145" i="1"/>
  <c r="E146" i="1"/>
  <c r="E151" i="1"/>
  <c r="E134" i="1"/>
  <c r="E136" i="1"/>
  <c r="F145" i="1"/>
  <c r="F146" i="1"/>
  <c r="F151" i="1"/>
  <c r="F134" i="1"/>
  <c r="F136" i="1"/>
  <c r="G145" i="1"/>
  <c r="G146" i="1"/>
  <c r="G151" i="1"/>
  <c r="G134" i="1"/>
  <c r="G136" i="1"/>
  <c r="H145" i="1"/>
  <c r="H146" i="1"/>
  <c r="H151" i="1"/>
  <c r="H134" i="1"/>
  <c r="H136" i="1"/>
  <c r="I145" i="1"/>
  <c r="I146" i="1"/>
  <c r="I151" i="1"/>
  <c r="I134" i="1"/>
  <c r="I136" i="1"/>
  <c r="J145" i="1"/>
  <c r="J146" i="1"/>
  <c r="J151" i="1"/>
  <c r="J134" i="1"/>
  <c r="J136" i="1"/>
  <c r="K145" i="1"/>
  <c r="K146" i="1"/>
  <c r="K151" i="1"/>
  <c r="K134" i="1"/>
  <c r="K136" i="1"/>
  <c r="L145" i="1"/>
  <c r="L146" i="1"/>
  <c r="L151" i="1"/>
  <c r="L134" i="1"/>
  <c r="L136" i="1"/>
  <c r="L138" i="1"/>
  <c r="B183" i="1"/>
  <c r="C183" i="1"/>
  <c r="D183" i="1"/>
  <c r="E183" i="1"/>
  <c r="F183" i="1"/>
  <c r="G183" i="1"/>
  <c r="H183" i="1"/>
  <c r="I183" i="1"/>
  <c r="J183" i="1"/>
  <c r="K183" i="1"/>
  <c r="L183" i="1"/>
  <c r="L185" i="1"/>
  <c r="B223" i="1"/>
  <c r="D223" i="1"/>
  <c r="D225" i="1"/>
  <c r="B227" i="1"/>
  <c r="D227" i="1"/>
  <c r="D229" i="1"/>
  <c r="B228" i="1"/>
  <c r="D228" i="1"/>
  <c r="D230" i="1"/>
  <c r="E231" i="1"/>
  <c r="H221" i="4"/>
  <c r="I221" i="4"/>
  <c r="J221" i="4"/>
  <c r="K221" i="4"/>
  <c r="L221" i="4"/>
  <c r="M223" i="4"/>
  <c r="D223" i="4"/>
  <c r="E223" i="4"/>
  <c r="F223" i="4"/>
  <c r="G223" i="4"/>
  <c r="H223" i="4"/>
  <c r="I223" i="4"/>
  <c r="J223" i="4"/>
  <c r="K223" i="4"/>
  <c r="L223" i="4"/>
  <c r="G181" i="4"/>
  <c r="L64" i="4"/>
  <c r="H63" i="4"/>
  <c r="H64" i="4"/>
  <c r="H65" i="4"/>
  <c r="H66" i="4"/>
  <c r="H88" i="4"/>
  <c r="H60" i="4"/>
  <c r="H67" i="4"/>
  <c r="H82" i="4"/>
  <c r="H89" i="4"/>
  <c r="H90" i="4"/>
  <c r="H95" i="4"/>
  <c r="H97" i="4"/>
  <c r="H104" i="4"/>
  <c r="H48" i="4"/>
  <c r="I60" i="4"/>
  <c r="I63" i="4"/>
  <c r="I64" i="4"/>
  <c r="I65" i="4"/>
  <c r="I66" i="4"/>
  <c r="I67" i="4"/>
  <c r="I82" i="4"/>
  <c r="I88" i="4"/>
  <c r="I89" i="4"/>
  <c r="I90" i="4"/>
  <c r="I95" i="4"/>
  <c r="I97" i="4"/>
  <c r="I104" i="4"/>
  <c r="I48" i="4"/>
  <c r="J60" i="4"/>
  <c r="J63" i="4"/>
  <c r="J64" i="4"/>
  <c r="J65" i="4"/>
  <c r="J66" i="4"/>
  <c r="J67" i="4"/>
  <c r="J82" i="4"/>
  <c r="J88" i="4"/>
  <c r="J89" i="4"/>
  <c r="J90" i="4"/>
  <c r="J95" i="4"/>
  <c r="J97" i="4"/>
  <c r="J104" i="4"/>
  <c r="J48" i="4"/>
  <c r="K60" i="4"/>
  <c r="K63" i="4"/>
  <c r="K64" i="4"/>
  <c r="K65" i="4"/>
  <c r="K66" i="4"/>
  <c r="K67" i="4"/>
  <c r="K82" i="4"/>
  <c r="K88" i="4"/>
  <c r="K89" i="4"/>
  <c r="K90" i="4"/>
  <c r="K95" i="4"/>
  <c r="K97" i="4"/>
  <c r="K104" i="4"/>
  <c r="K48" i="4"/>
  <c r="H112" i="4"/>
  <c r="I112" i="4"/>
  <c r="J112" i="4"/>
  <c r="K112" i="4"/>
  <c r="H118" i="4"/>
  <c r="I118" i="4"/>
  <c r="J118" i="4"/>
  <c r="K118" i="4"/>
  <c r="H132" i="4"/>
  <c r="I132" i="4"/>
  <c r="J132" i="4"/>
  <c r="K132" i="4"/>
  <c r="H147" i="4"/>
  <c r="I147" i="4"/>
  <c r="J147" i="4"/>
  <c r="K147" i="4"/>
  <c r="C158" i="4"/>
  <c r="D158" i="4"/>
  <c r="E158" i="4"/>
  <c r="F158" i="4"/>
  <c r="G158" i="4"/>
  <c r="H158" i="4"/>
  <c r="I158" i="4"/>
  <c r="J158" i="4"/>
  <c r="K158" i="4"/>
  <c r="C112" i="4"/>
  <c r="D112" i="4"/>
  <c r="E112" i="4"/>
  <c r="F112" i="4"/>
  <c r="G112" i="4"/>
  <c r="L112" i="4"/>
  <c r="H205" i="4"/>
  <c r="I205" i="4"/>
  <c r="J205" i="4"/>
  <c r="K205" i="4"/>
  <c r="H219" i="4"/>
  <c r="I219" i="4"/>
  <c r="J219" i="4"/>
  <c r="K219" i="4"/>
  <c r="L219" i="4"/>
  <c r="A218" i="4"/>
  <c r="L205" i="4"/>
  <c r="A196" i="4"/>
  <c r="A194" i="4"/>
  <c r="A193" i="4"/>
  <c r="L63" i="4"/>
  <c r="L65" i="4"/>
  <c r="L66" i="4"/>
  <c r="L88" i="4"/>
  <c r="L187" i="4"/>
  <c r="L158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57" i="4"/>
  <c r="L147" i="4"/>
  <c r="G147" i="4"/>
  <c r="F147" i="4"/>
  <c r="E147" i="4"/>
  <c r="D147" i="4"/>
  <c r="C147" i="4"/>
  <c r="L132" i="4"/>
  <c r="G132" i="4"/>
  <c r="F132" i="4"/>
  <c r="E132" i="4"/>
  <c r="D132" i="4"/>
  <c r="C132" i="4"/>
  <c r="L118" i="4"/>
  <c r="G118" i="4"/>
  <c r="F118" i="4"/>
  <c r="E118" i="4"/>
  <c r="D118" i="4"/>
  <c r="C118" i="4"/>
  <c r="L89" i="4"/>
  <c r="L90" i="4"/>
  <c r="L95" i="4"/>
  <c r="L97" i="4"/>
  <c r="L104" i="4"/>
  <c r="G89" i="4"/>
  <c r="G90" i="4"/>
  <c r="G95" i="4"/>
  <c r="G97" i="4"/>
  <c r="G104" i="4"/>
  <c r="F89" i="4"/>
  <c r="F90" i="4"/>
  <c r="F95" i="4"/>
  <c r="F97" i="4"/>
  <c r="F104" i="4"/>
  <c r="E89" i="4"/>
  <c r="E90" i="4"/>
  <c r="E95" i="4"/>
  <c r="E97" i="4"/>
  <c r="E104" i="4"/>
  <c r="D89" i="4"/>
  <c r="D90" i="4"/>
  <c r="D95" i="4"/>
  <c r="D97" i="4"/>
  <c r="D104" i="4"/>
  <c r="C89" i="4"/>
  <c r="C90" i="4"/>
  <c r="C95" i="4"/>
  <c r="C97" i="4"/>
  <c r="C104" i="4"/>
  <c r="L60" i="4"/>
  <c r="L67" i="4"/>
  <c r="L82" i="4"/>
  <c r="G82" i="4"/>
  <c r="F60" i="4"/>
  <c r="F67" i="4"/>
  <c r="F82" i="4"/>
  <c r="E60" i="4"/>
  <c r="E67" i="4"/>
  <c r="E82" i="4"/>
  <c r="D60" i="4"/>
  <c r="D67" i="4"/>
  <c r="D82" i="4"/>
  <c r="C60" i="4"/>
  <c r="C67" i="4"/>
  <c r="C82" i="4"/>
  <c r="A52" i="4"/>
  <c r="L48" i="4"/>
  <c r="G48" i="4"/>
  <c r="F48" i="4"/>
  <c r="E48" i="4"/>
  <c r="D48" i="4"/>
  <c r="C48" i="4"/>
  <c r="A1" i="4"/>
  <c r="C112" i="1"/>
  <c r="C113" i="1"/>
  <c r="C38" i="1"/>
  <c r="C39" i="1"/>
  <c r="C41" i="1"/>
  <c r="C42" i="1"/>
  <c r="C43" i="1"/>
  <c r="C101" i="1"/>
  <c r="C102" i="1"/>
  <c r="C126" i="1"/>
  <c r="C127" i="1"/>
  <c r="C130" i="1"/>
  <c r="C116" i="1"/>
  <c r="C117" i="1"/>
  <c r="C124" i="1"/>
  <c r="C131" i="1"/>
  <c r="C145" i="1"/>
  <c r="C146" i="1"/>
  <c r="C151" i="1"/>
  <c r="C134" i="1"/>
  <c r="C136" i="1"/>
  <c r="D38" i="1"/>
  <c r="D39" i="1"/>
  <c r="D41" i="1"/>
  <c r="D42" i="1"/>
  <c r="D43" i="1"/>
  <c r="D101" i="1"/>
  <c r="D102" i="1"/>
  <c r="D126" i="1"/>
  <c r="D112" i="1"/>
  <c r="D113" i="1"/>
  <c r="D127" i="1"/>
  <c r="D130" i="1"/>
  <c r="D131" i="1"/>
  <c r="D116" i="1"/>
  <c r="D117" i="1"/>
  <c r="D124" i="1"/>
  <c r="E38" i="1"/>
  <c r="E39" i="1"/>
  <c r="E41" i="1"/>
  <c r="E42" i="1"/>
  <c r="E43" i="1"/>
  <c r="E101" i="1"/>
  <c r="E102" i="1"/>
  <c r="E126" i="1"/>
  <c r="E112" i="1"/>
  <c r="E113" i="1"/>
  <c r="E127" i="1"/>
  <c r="E130" i="1"/>
  <c r="E131" i="1"/>
  <c r="E116" i="1"/>
  <c r="E117" i="1"/>
  <c r="E124" i="1"/>
  <c r="F38" i="1"/>
  <c r="F39" i="1"/>
  <c r="F41" i="1"/>
  <c r="F42" i="1"/>
  <c r="F43" i="1"/>
  <c r="F101" i="1"/>
  <c r="F102" i="1"/>
  <c r="F126" i="1"/>
  <c r="F112" i="1"/>
  <c r="F113" i="1"/>
  <c r="F127" i="1"/>
  <c r="F130" i="1"/>
  <c r="F131" i="1"/>
  <c r="F116" i="1"/>
  <c r="F117" i="1"/>
  <c r="F124" i="1"/>
  <c r="G38" i="1"/>
  <c r="G39" i="1"/>
  <c r="G41" i="1"/>
  <c r="G42" i="1"/>
  <c r="G43" i="1"/>
  <c r="G101" i="1"/>
  <c r="G102" i="1"/>
  <c r="G126" i="1"/>
  <c r="G112" i="1"/>
  <c r="G113" i="1"/>
  <c r="G127" i="1"/>
  <c r="G130" i="1"/>
  <c r="G131" i="1"/>
  <c r="G116" i="1"/>
  <c r="G117" i="1"/>
  <c r="G124" i="1"/>
  <c r="H38" i="1"/>
  <c r="H39" i="1"/>
  <c r="H41" i="1"/>
  <c r="H42" i="1"/>
  <c r="H43" i="1"/>
  <c r="H101" i="1"/>
  <c r="H102" i="1"/>
  <c r="H126" i="1"/>
  <c r="H112" i="1"/>
  <c r="H113" i="1"/>
  <c r="H127" i="1"/>
  <c r="H130" i="1"/>
  <c r="H131" i="1"/>
  <c r="H116" i="1"/>
  <c r="H117" i="1"/>
  <c r="H124" i="1"/>
  <c r="I38" i="1"/>
  <c r="I39" i="1"/>
  <c r="I41" i="1"/>
  <c r="I42" i="1"/>
  <c r="I43" i="1"/>
  <c r="I101" i="1"/>
  <c r="I102" i="1"/>
  <c r="I126" i="1"/>
  <c r="I112" i="1"/>
  <c r="I113" i="1"/>
  <c r="I127" i="1"/>
  <c r="I130" i="1"/>
  <c r="I131" i="1"/>
  <c r="I116" i="1"/>
  <c r="I117" i="1"/>
  <c r="I124" i="1"/>
  <c r="J38" i="1"/>
  <c r="J39" i="1"/>
  <c r="J41" i="1"/>
  <c r="J42" i="1"/>
  <c r="J43" i="1"/>
  <c r="J101" i="1"/>
  <c r="J102" i="1"/>
  <c r="J126" i="1"/>
  <c r="J112" i="1"/>
  <c r="J113" i="1"/>
  <c r="J127" i="1"/>
  <c r="J130" i="1"/>
  <c r="J131" i="1"/>
  <c r="J116" i="1"/>
  <c r="J117" i="1"/>
  <c r="J124" i="1"/>
  <c r="K38" i="1"/>
  <c r="K39" i="1"/>
  <c r="K41" i="1"/>
  <c r="K42" i="1"/>
  <c r="K43" i="1"/>
  <c r="K101" i="1"/>
  <c r="K102" i="1"/>
  <c r="K126" i="1"/>
  <c r="K112" i="1"/>
  <c r="K113" i="1"/>
  <c r="K127" i="1"/>
  <c r="K130" i="1"/>
  <c r="K131" i="1"/>
  <c r="K116" i="1"/>
  <c r="K117" i="1"/>
  <c r="K124" i="1"/>
  <c r="L38" i="1"/>
  <c r="L39" i="1"/>
  <c r="L41" i="1"/>
  <c r="L42" i="1"/>
  <c r="L43" i="1"/>
  <c r="L101" i="1"/>
  <c r="L102" i="1"/>
  <c r="L126" i="1"/>
  <c r="L112" i="1"/>
  <c r="L113" i="1"/>
  <c r="L127" i="1"/>
  <c r="L130" i="1"/>
  <c r="L131" i="1"/>
  <c r="L116" i="1"/>
  <c r="L117" i="1"/>
  <c r="L124" i="1"/>
  <c r="C100" i="1"/>
  <c r="D290" i="1"/>
  <c r="D12" i="1"/>
  <c r="D276" i="1"/>
  <c r="D6" i="1"/>
  <c r="D7" i="1"/>
  <c r="D274" i="1"/>
  <c r="D8" i="1"/>
  <c r="D284" i="1"/>
  <c r="D10" i="1"/>
  <c r="D13" i="1"/>
  <c r="D282" i="1"/>
  <c r="D14" i="1"/>
  <c r="D280" i="1"/>
  <c r="D9" i="1"/>
  <c r="D288" i="1"/>
  <c r="D11" i="1"/>
  <c r="D15" i="1"/>
  <c r="D60" i="1"/>
  <c r="D64" i="1"/>
  <c r="D65" i="1"/>
  <c r="D18" i="1"/>
  <c r="D66" i="1"/>
  <c r="D63" i="1"/>
  <c r="D67" i="1"/>
  <c r="D72" i="1"/>
  <c r="D35" i="1"/>
  <c r="C72" i="1"/>
  <c r="C35" i="1"/>
  <c r="C73" i="1"/>
  <c r="D73" i="1"/>
  <c r="D74" i="1"/>
  <c r="D36" i="1"/>
  <c r="C36" i="1"/>
  <c r="C77" i="1"/>
  <c r="D77" i="1"/>
  <c r="D78" i="1"/>
  <c r="D80" i="1"/>
  <c r="D82" i="1"/>
  <c r="D17" i="1"/>
  <c r="D88" i="1"/>
  <c r="D19" i="1"/>
  <c r="D25" i="1"/>
  <c r="D26" i="1"/>
  <c r="D28" i="1"/>
  <c r="D29" i="1"/>
  <c r="D307" i="1"/>
  <c r="D22" i="1"/>
  <c r="D296" i="1"/>
  <c r="D24" i="1"/>
  <c r="D297" i="1"/>
  <c r="D27" i="1"/>
  <c r="D30" i="1"/>
  <c r="D32" i="1"/>
  <c r="M261" i="1"/>
  <c r="D37" i="1"/>
  <c r="D89" i="1"/>
  <c r="D90" i="1"/>
  <c r="D93" i="1"/>
  <c r="D95" i="1"/>
  <c r="D97" i="1"/>
  <c r="C12" i="1"/>
  <c r="C6" i="1"/>
  <c r="C7" i="1"/>
  <c r="C8" i="1"/>
  <c r="C10" i="1"/>
  <c r="C13" i="1"/>
  <c r="C14" i="1"/>
  <c r="C15" i="1"/>
  <c r="C17" i="1"/>
  <c r="C18" i="1"/>
  <c r="C19" i="1"/>
  <c r="C25" i="1"/>
  <c r="C26" i="1"/>
  <c r="C74" i="1"/>
  <c r="C78" i="1"/>
  <c r="C80" i="1"/>
  <c r="C28" i="1"/>
  <c r="C29" i="1"/>
  <c r="C30" i="1"/>
  <c r="C32" i="1"/>
  <c r="C37" i="1"/>
  <c r="D100" i="1"/>
  <c r="D104" i="1"/>
  <c r="D106" i="1"/>
  <c r="E290" i="1"/>
  <c r="E12" i="1"/>
  <c r="E276" i="1"/>
  <c r="E6" i="1"/>
  <c r="E7" i="1"/>
  <c r="E274" i="1"/>
  <c r="E8" i="1"/>
  <c r="E284" i="1"/>
  <c r="E10" i="1"/>
  <c r="E13" i="1"/>
  <c r="E282" i="1"/>
  <c r="E14" i="1"/>
  <c r="E280" i="1"/>
  <c r="E9" i="1"/>
  <c r="E288" i="1"/>
  <c r="E11" i="1"/>
  <c r="E15" i="1"/>
  <c r="E60" i="1"/>
  <c r="E64" i="1"/>
  <c r="E65" i="1"/>
  <c r="E18" i="1"/>
  <c r="E66" i="1"/>
  <c r="E63" i="1"/>
  <c r="E67" i="1"/>
  <c r="E72" i="1"/>
  <c r="E35" i="1"/>
  <c r="E73" i="1"/>
  <c r="E74" i="1"/>
  <c r="E36" i="1"/>
  <c r="E77" i="1"/>
  <c r="E78" i="1"/>
  <c r="E80" i="1"/>
  <c r="E82" i="1"/>
  <c r="E17" i="1"/>
  <c r="E88" i="1"/>
  <c r="E19" i="1"/>
  <c r="E25" i="1"/>
  <c r="E26" i="1"/>
  <c r="E28" i="1"/>
  <c r="E29" i="1"/>
  <c r="E307" i="1"/>
  <c r="E22" i="1"/>
  <c r="E296" i="1"/>
  <c r="E24" i="1"/>
  <c r="E297" i="1"/>
  <c r="E27" i="1"/>
  <c r="E30" i="1"/>
  <c r="E32" i="1"/>
  <c r="E37" i="1"/>
  <c r="E89" i="1"/>
  <c r="E90" i="1"/>
  <c r="E93" i="1"/>
  <c r="E95" i="1"/>
  <c r="E97" i="1"/>
  <c r="E100" i="1"/>
  <c r="E104" i="1"/>
  <c r="E106" i="1"/>
  <c r="F290" i="1"/>
  <c r="F12" i="1"/>
  <c r="F276" i="1"/>
  <c r="F6" i="1"/>
  <c r="F7" i="1"/>
  <c r="F274" i="1"/>
  <c r="F8" i="1"/>
  <c r="F284" i="1"/>
  <c r="F10" i="1"/>
  <c r="F13" i="1"/>
  <c r="F282" i="1"/>
  <c r="F14" i="1"/>
  <c r="F280" i="1"/>
  <c r="F9" i="1"/>
  <c r="F288" i="1"/>
  <c r="F11" i="1"/>
  <c r="F15" i="1"/>
  <c r="F60" i="1"/>
  <c r="F64" i="1"/>
  <c r="F65" i="1"/>
  <c r="F18" i="1"/>
  <c r="F66" i="1"/>
  <c r="F63" i="1"/>
  <c r="F67" i="1"/>
  <c r="F72" i="1"/>
  <c r="F35" i="1"/>
  <c r="F73" i="1"/>
  <c r="F74" i="1"/>
  <c r="F36" i="1"/>
  <c r="F77" i="1"/>
  <c r="F78" i="1"/>
  <c r="F80" i="1"/>
  <c r="F82" i="1"/>
  <c r="F17" i="1"/>
  <c r="F88" i="1"/>
  <c r="F19" i="1"/>
  <c r="F25" i="1"/>
  <c r="F26" i="1"/>
  <c r="F28" i="1"/>
  <c r="F29" i="1"/>
  <c r="F307" i="1"/>
  <c r="F22" i="1"/>
  <c r="F296" i="1"/>
  <c r="F24" i="1"/>
  <c r="F297" i="1"/>
  <c r="F27" i="1"/>
  <c r="F30" i="1"/>
  <c r="F32" i="1"/>
  <c r="F37" i="1"/>
  <c r="D250" i="1"/>
  <c r="E250" i="1"/>
  <c r="F250" i="1"/>
  <c r="F89" i="1"/>
  <c r="F90" i="1"/>
  <c r="F93" i="1"/>
  <c r="F95" i="1"/>
  <c r="F97" i="1"/>
  <c r="F100" i="1"/>
  <c r="F104" i="1"/>
  <c r="F106" i="1"/>
  <c r="G290" i="1"/>
  <c r="G12" i="1"/>
  <c r="G276" i="1"/>
  <c r="G6" i="1"/>
  <c r="G7" i="1"/>
  <c r="G274" i="1"/>
  <c r="G8" i="1"/>
  <c r="G284" i="1"/>
  <c r="G10" i="1"/>
  <c r="G13" i="1"/>
  <c r="G282" i="1"/>
  <c r="G14" i="1"/>
  <c r="G280" i="1"/>
  <c r="G9" i="1"/>
  <c r="G288" i="1"/>
  <c r="G11" i="1"/>
  <c r="G15" i="1"/>
  <c r="G60" i="1"/>
  <c r="G64" i="1"/>
  <c r="G65" i="1"/>
  <c r="G18" i="1"/>
  <c r="G66" i="1"/>
  <c r="G63" i="1"/>
  <c r="G67" i="1"/>
  <c r="G72" i="1"/>
  <c r="G35" i="1"/>
  <c r="G73" i="1"/>
  <c r="G74" i="1"/>
  <c r="G36" i="1"/>
  <c r="G77" i="1"/>
  <c r="G78" i="1"/>
  <c r="G80" i="1"/>
  <c r="G82" i="1"/>
  <c r="G17" i="1"/>
  <c r="G88" i="1"/>
  <c r="G19" i="1"/>
  <c r="G25" i="1"/>
  <c r="G26" i="1"/>
  <c r="G28" i="1"/>
  <c r="G29" i="1"/>
  <c r="G307" i="1"/>
  <c r="G22" i="1"/>
  <c r="G296" i="1"/>
  <c r="G24" i="1"/>
  <c r="G297" i="1"/>
  <c r="G27" i="1"/>
  <c r="G30" i="1"/>
  <c r="G32" i="1"/>
  <c r="G37" i="1"/>
  <c r="G250" i="1"/>
  <c r="G89" i="1"/>
  <c r="G90" i="1"/>
  <c r="G93" i="1"/>
  <c r="G95" i="1"/>
  <c r="G97" i="1"/>
  <c r="G100" i="1"/>
  <c r="G104" i="1"/>
  <c r="G106" i="1"/>
  <c r="H290" i="1"/>
  <c r="H12" i="1"/>
  <c r="H276" i="1"/>
  <c r="H6" i="1"/>
  <c r="H7" i="1"/>
  <c r="H274" i="1"/>
  <c r="H8" i="1"/>
  <c r="H284" i="1"/>
  <c r="H10" i="1"/>
  <c r="H13" i="1"/>
  <c r="H282" i="1"/>
  <c r="H14" i="1"/>
  <c r="H280" i="1"/>
  <c r="H9" i="1"/>
  <c r="H288" i="1"/>
  <c r="H11" i="1"/>
  <c r="H15" i="1"/>
  <c r="H60" i="1"/>
  <c r="H64" i="1"/>
  <c r="H65" i="1"/>
  <c r="H18" i="1"/>
  <c r="H66" i="1"/>
  <c r="H63" i="1"/>
  <c r="H67" i="1"/>
  <c r="H72" i="1"/>
  <c r="H35" i="1"/>
  <c r="H73" i="1"/>
  <c r="H74" i="1"/>
  <c r="H36" i="1"/>
  <c r="H77" i="1"/>
  <c r="H78" i="1"/>
  <c r="H80" i="1"/>
  <c r="H82" i="1"/>
  <c r="H17" i="1"/>
  <c r="H88" i="1"/>
  <c r="H19" i="1"/>
  <c r="H25" i="1"/>
  <c r="H26" i="1"/>
  <c r="H28" i="1"/>
  <c r="H29" i="1"/>
  <c r="H307" i="1"/>
  <c r="H22" i="1"/>
  <c r="H296" i="1"/>
  <c r="H24" i="1"/>
  <c r="H297" i="1"/>
  <c r="H27" i="1"/>
  <c r="H30" i="1"/>
  <c r="H32" i="1"/>
  <c r="H37" i="1"/>
  <c r="H89" i="1"/>
  <c r="H90" i="1"/>
  <c r="H93" i="1"/>
  <c r="H95" i="1"/>
  <c r="H97" i="1"/>
  <c r="H100" i="1"/>
  <c r="H104" i="1"/>
  <c r="H106" i="1"/>
  <c r="I290" i="1"/>
  <c r="I12" i="1"/>
  <c r="I276" i="1"/>
  <c r="I6" i="1"/>
  <c r="I7" i="1"/>
  <c r="I274" i="1"/>
  <c r="I8" i="1"/>
  <c r="I284" i="1"/>
  <c r="I10" i="1"/>
  <c r="I13" i="1"/>
  <c r="I282" i="1"/>
  <c r="I14" i="1"/>
  <c r="I280" i="1"/>
  <c r="I9" i="1"/>
  <c r="I288" i="1"/>
  <c r="I11" i="1"/>
  <c r="I15" i="1"/>
  <c r="I60" i="1"/>
  <c r="I64" i="1"/>
  <c r="I65" i="1"/>
  <c r="I18" i="1"/>
  <c r="I66" i="1"/>
  <c r="I63" i="1"/>
  <c r="I67" i="1"/>
  <c r="I72" i="1"/>
  <c r="I35" i="1"/>
  <c r="I73" i="1"/>
  <c r="I74" i="1"/>
  <c r="I36" i="1"/>
  <c r="I77" i="1"/>
  <c r="I78" i="1"/>
  <c r="I80" i="1"/>
  <c r="I82" i="1"/>
  <c r="I17" i="1"/>
  <c r="I88" i="1"/>
  <c r="I19" i="1"/>
  <c r="I25" i="1"/>
  <c r="I26" i="1"/>
  <c r="I28" i="1"/>
  <c r="I29" i="1"/>
  <c r="I307" i="1"/>
  <c r="I22" i="1"/>
  <c r="I296" i="1"/>
  <c r="I24" i="1"/>
  <c r="I297" i="1"/>
  <c r="I27" i="1"/>
  <c r="I30" i="1"/>
  <c r="I32" i="1"/>
  <c r="I37" i="1"/>
  <c r="H250" i="1"/>
  <c r="I250" i="1"/>
  <c r="I89" i="1"/>
  <c r="I90" i="1"/>
  <c r="I93" i="1"/>
  <c r="I95" i="1"/>
  <c r="I97" i="1"/>
  <c r="I100" i="1"/>
  <c r="I104" i="1"/>
  <c r="I106" i="1"/>
  <c r="J290" i="1"/>
  <c r="J12" i="1"/>
  <c r="J276" i="1"/>
  <c r="J6" i="1"/>
  <c r="J7" i="1"/>
  <c r="J274" i="1"/>
  <c r="J8" i="1"/>
  <c r="J284" i="1"/>
  <c r="J10" i="1"/>
  <c r="J13" i="1"/>
  <c r="J282" i="1"/>
  <c r="J14" i="1"/>
  <c r="J280" i="1"/>
  <c r="J9" i="1"/>
  <c r="J288" i="1"/>
  <c r="J11" i="1"/>
  <c r="J15" i="1"/>
  <c r="J60" i="1"/>
  <c r="J64" i="1"/>
  <c r="J65" i="1"/>
  <c r="J18" i="1"/>
  <c r="J66" i="1"/>
  <c r="J63" i="1"/>
  <c r="J67" i="1"/>
  <c r="J72" i="1"/>
  <c r="J35" i="1"/>
  <c r="J73" i="1"/>
  <c r="J74" i="1"/>
  <c r="J36" i="1"/>
  <c r="J77" i="1"/>
  <c r="J78" i="1"/>
  <c r="J80" i="1"/>
  <c r="J82" i="1"/>
  <c r="J17" i="1"/>
  <c r="J88" i="1"/>
  <c r="J19" i="1"/>
  <c r="J25" i="1"/>
  <c r="J26" i="1"/>
  <c r="J28" i="1"/>
  <c r="J29" i="1"/>
  <c r="J307" i="1"/>
  <c r="J22" i="1"/>
  <c r="J296" i="1"/>
  <c r="J24" i="1"/>
  <c r="J297" i="1"/>
  <c r="J27" i="1"/>
  <c r="J30" i="1"/>
  <c r="J32" i="1"/>
  <c r="J37" i="1"/>
  <c r="J250" i="1"/>
  <c r="J89" i="1"/>
  <c r="J90" i="1"/>
  <c r="J93" i="1"/>
  <c r="J95" i="1"/>
  <c r="J97" i="1"/>
  <c r="J100" i="1"/>
  <c r="J104" i="1"/>
  <c r="J106" i="1"/>
  <c r="K290" i="1"/>
  <c r="K12" i="1"/>
  <c r="K276" i="1"/>
  <c r="K6" i="1"/>
  <c r="K7" i="1"/>
  <c r="K274" i="1"/>
  <c r="K8" i="1"/>
  <c r="K284" i="1"/>
  <c r="K10" i="1"/>
  <c r="K13" i="1"/>
  <c r="K282" i="1"/>
  <c r="K14" i="1"/>
  <c r="K280" i="1"/>
  <c r="K9" i="1"/>
  <c r="K288" i="1"/>
  <c r="K11" i="1"/>
  <c r="K15" i="1"/>
  <c r="K60" i="1"/>
  <c r="K64" i="1"/>
  <c r="K65" i="1"/>
  <c r="K18" i="1"/>
  <c r="K66" i="1"/>
  <c r="K63" i="1"/>
  <c r="K67" i="1"/>
  <c r="K72" i="1"/>
  <c r="K35" i="1"/>
  <c r="K73" i="1"/>
  <c r="K74" i="1"/>
  <c r="K36" i="1"/>
  <c r="K77" i="1"/>
  <c r="K78" i="1"/>
  <c r="K80" i="1"/>
  <c r="K82" i="1"/>
  <c r="K17" i="1"/>
  <c r="K88" i="1"/>
  <c r="K19" i="1"/>
  <c r="K25" i="1"/>
  <c r="K26" i="1"/>
  <c r="K28" i="1"/>
  <c r="K29" i="1"/>
  <c r="K307" i="1"/>
  <c r="K22" i="1"/>
  <c r="K296" i="1"/>
  <c r="K24" i="1"/>
  <c r="K297" i="1"/>
  <c r="K27" i="1"/>
  <c r="K30" i="1"/>
  <c r="K32" i="1"/>
  <c r="K37" i="1"/>
  <c r="K250" i="1"/>
  <c r="K89" i="1"/>
  <c r="K90" i="1"/>
  <c r="K93" i="1"/>
  <c r="K95" i="1"/>
  <c r="K97" i="1"/>
  <c r="K100" i="1"/>
  <c r="K104" i="1"/>
  <c r="K106" i="1"/>
  <c r="L290" i="1"/>
  <c r="L12" i="1"/>
  <c r="L276" i="1"/>
  <c r="L6" i="1"/>
  <c r="L7" i="1"/>
  <c r="L274" i="1"/>
  <c r="L8" i="1"/>
  <c r="L284" i="1"/>
  <c r="L10" i="1"/>
  <c r="L13" i="1"/>
  <c r="L282" i="1"/>
  <c r="L14" i="1"/>
  <c r="L280" i="1"/>
  <c r="L9" i="1"/>
  <c r="L288" i="1"/>
  <c r="L11" i="1"/>
  <c r="L15" i="1"/>
  <c r="L60" i="1"/>
  <c r="L64" i="1"/>
  <c r="L65" i="1"/>
  <c r="L18" i="1"/>
  <c r="L66" i="1"/>
  <c r="L63" i="1"/>
  <c r="L67" i="1"/>
  <c r="L72" i="1"/>
  <c r="L35" i="1"/>
  <c r="L73" i="1"/>
  <c r="L74" i="1"/>
  <c r="L36" i="1"/>
  <c r="L77" i="1"/>
  <c r="L78" i="1"/>
  <c r="L80" i="1"/>
  <c r="L82" i="1"/>
  <c r="L17" i="1"/>
  <c r="L88" i="1"/>
  <c r="L19" i="1"/>
  <c r="L25" i="1"/>
  <c r="L26" i="1"/>
  <c r="L28" i="1"/>
  <c r="L29" i="1"/>
  <c r="L307" i="1"/>
  <c r="L22" i="1"/>
  <c r="L296" i="1"/>
  <c r="L24" i="1"/>
  <c r="L297" i="1"/>
  <c r="L27" i="1"/>
  <c r="L30" i="1"/>
  <c r="L32" i="1"/>
  <c r="L37" i="1"/>
  <c r="L250" i="1"/>
  <c r="L89" i="1"/>
  <c r="L90" i="1"/>
  <c r="L93" i="1"/>
  <c r="L95" i="1"/>
  <c r="L97" i="1"/>
  <c r="L100" i="1"/>
  <c r="L104" i="1"/>
  <c r="L106" i="1"/>
  <c r="C60" i="1"/>
  <c r="C64" i="1"/>
  <c r="C65" i="1"/>
  <c r="C66" i="1"/>
  <c r="C63" i="1"/>
  <c r="C67" i="1"/>
  <c r="C82" i="1"/>
  <c r="C88" i="1"/>
  <c r="C89" i="1"/>
  <c r="C90" i="1"/>
  <c r="C93" i="1"/>
  <c r="C95" i="1"/>
  <c r="C97" i="1"/>
  <c r="C104" i="1"/>
  <c r="C106" i="1"/>
  <c r="A218" i="3"/>
  <c r="M206" i="3"/>
  <c r="A196" i="3"/>
  <c r="A194" i="3"/>
  <c r="A193" i="3"/>
  <c r="B182" i="3"/>
  <c r="C182" i="3"/>
  <c r="D182" i="3"/>
  <c r="E182" i="3"/>
  <c r="F182" i="3"/>
  <c r="G182" i="3"/>
  <c r="H182" i="3"/>
  <c r="I182" i="3"/>
  <c r="J182" i="3"/>
  <c r="K182" i="3"/>
  <c r="L182" i="3"/>
  <c r="L187" i="3"/>
  <c r="C112" i="3"/>
  <c r="D112" i="3"/>
  <c r="E112" i="3"/>
  <c r="F112" i="3"/>
  <c r="G112" i="3"/>
  <c r="H112" i="3"/>
  <c r="I112" i="3"/>
  <c r="J112" i="3"/>
  <c r="K112" i="3"/>
  <c r="L112" i="3"/>
  <c r="B183" i="3"/>
  <c r="C158" i="3"/>
  <c r="C183" i="3"/>
  <c r="D158" i="3"/>
  <c r="D183" i="3"/>
  <c r="E158" i="3"/>
  <c r="E183" i="3"/>
  <c r="F158" i="3"/>
  <c r="F183" i="3"/>
  <c r="G158" i="3"/>
  <c r="G183" i="3"/>
  <c r="H158" i="3"/>
  <c r="H183" i="3"/>
  <c r="I158" i="3"/>
  <c r="I183" i="3"/>
  <c r="J158" i="3"/>
  <c r="J183" i="3"/>
  <c r="K158" i="3"/>
  <c r="K183" i="3"/>
  <c r="L158" i="3"/>
  <c r="L183" i="3"/>
  <c r="L185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57" i="3"/>
  <c r="L147" i="3"/>
  <c r="K147" i="3"/>
  <c r="J147" i="3"/>
  <c r="I147" i="3"/>
  <c r="H147" i="3"/>
  <c r="G147" i="3"/>
  <c r="F147" i="3"/>
  <c r="E147" i="3"/>
  <c r="D147" i="3"/>
  <c r="C147" i="3"/>
  <c r="L132" i="3"/>
  <c r="K132" i="3"/>
  <c r="J132" i="3"/>
  <c r="I132" i="3"/>
  <c r="H132" i="3"/>
  <c r="G132" i="3"/>
  <c r="F132" i="3"/>
  <c r="E132" i="3"/>
  <c r="D132" i="3"/>
  <c r="C132" i="3"/>
  <c r="L118" i="3"/>
  <c r="K118" i="3"/>
  <c r="J118" i="3"/>
  <c r="I118" i="3"/>
  <c r="H118" i="3"/>
  <c r="G118" i="3"/>
  <c r="F118" i="3"/>
  <c r="E118" i="3"/>
  <c r="D118" i="3"/>
  <c r="C118" i="3"/>
  <c r="L89" i="3"/>
  <c r="L90" i="3"/>
  <c r="L95" i="3"/>
  <c r="L97" i="3"/>
  <c r="L104" i="3"/>
  <c r="K89" i="3"/>
  <c r="K90" i="3"/>
  <c r="K95" i="3"/>
  <c r="K97" i="3"/>
  <c r="K104" i="3"/>
  <c r="J89" i="3"/>
  <c r="J90" i="3"/>
  <c r="J95" i="3"/>
  <c r="J97" i="3"/>
  <c r="J104" i="3"/>
  <c r="I89" i="3"/>
  <c r="I90" i="3"/>
  <c r="I95" i="3"/>
  <c r="I97" i="3"/>
  <c r="I104" i="3"/>
  <c r="H89" i="3"/>
  <c r="H90" i="3"/>
  <c r="H95" i="3"/>
  <c r="H97" i="3"/>
  <c r="H104" i="3"/>
  <c r="G89" i="3"/>
  <c r="G90" i="3"/>
  <c r="G95" i="3"/>
  <c r="G97" i="3"/>
  <c r="G104" i="3"/>
  <c r="F89" i="3"/>
  <c r="F90" i="3"/>
  <c r="F95" i="3"/>
  <c r="F97" i="3"/>
  <c r="F104" i="3"/>
  <c r="E89" i="3"/>
  <c r="E90" i="3"/>
  <c r="E95" i="3"/>
  <c r="E97" i="3"/>
  <c r="E104" i="3"/>
  <c r="D89" i="3"/>
  <c r="D90" i="3"/>
  <c r="D95" i="3"/>
  <c r="D97" i="3"/>
  <c r="D104" i="3"/>
  <c r="C89" i="3"/>
  <c r="C90" i="3"/>
  <c r="C95" i="3"/>
  <c r="C97" i="3"/>
  <c r="C104" i="3"/>
  <c r="L60" i="3"/>
  <c r="L67" i="3"/>
  <c r="L82" i="3"/>
  <c r="K60" i="3"/>
  <c r="K67" i="3"/>
  <c r="K82" i="3"/>
  <c r="J60" i="3"/>
  <c r="J67" i="3"/>
  <c r="J82" i="3"/>
  <c r="I60" i="3"/>
  <c r="I67" i="3"/>
  <c r="I82" i="3"/>
  <c r="H60" i="3"/>
  <c r="H67" i="3"/>
  <c r="H82" i="3"/>
  <c r="G60" i="3"/>
  <c r="G67" i="3"/>
  <c r="G82" i="3"/>
  <c r="F60" i="3"/>
  <c r="F67" i="3"/>
  <c r="F82" i="3"/>
  <c r="E60" i="3"/>
  <c r="E67" i="3"/>
  <c r="E82" i="3"/>
  <c r="D60" i="3"/>
  <c r="D67" i="3"/>
  <c r="D82" i="3"/>
  <c r="C60" i="3"/>
  <c r="C67" i="3"/>
  <c r="C82" i="3"/>
  <c r="A52" i="3"/>
  <c r="L48" i="3"/>
  <c r="K48" i="3"/>
  <c r="J48" i="3"/>
  <c r="I48" i="3"/>
  <c r="H48" i="3"/>
  <c r="G48" i="3"/>
  <c r="F48" i="3"/>
  <c r="E48" i="3"/>
  <c r="D48" i="3"/>
  <c r="C48" i="3"/>
  <c r="A1" i="3"/>
  <c r="M206" i="2"/>
  <c r="A196" i="2"/>
  <c r="A194" i="2"/>
  <c r="A193" i="2"/>
  <c r="A218" i="2"/>
  <c r="C112" i="2"/>
  <c r="D112" i="2"/>
  <c r="E112" i="2"/>
  <c r="F112" i="2"/>
  <c r="G112" i="2"/>
  <c r="H112" i="2"/>
  <c r="I112" i="2"/>
  <c r="J112" i="2"/>
  <c r="K112" i="2"/>
  <c r="L112" i="2"/>
  <c r="L187" i="2"/>
  <c r="C158" i="2"/>
  <c r="D158" i="2"/>
  <c r="E158" i="2"/>
  <c r="F158" i="2"/>
  <c r="G158" i="2"/>
  <c r="H158" i="2"/>
  <c r="I158" i="2"/>
  <c r="J158" i="2"/>
  <c r="K158" i="2"/>
  <c r="L158" i="2"/>
  <c r="L185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57" i="2"/>
  <c r="L147" i="2"/>
  <c r="K147" i="2"/>
  <c r="J147" i="2"/>
  <c r="I147" i="2"/>
  <c r="H147" i="2"/>
  <c r="G147" i="2"/>
  <c r="F147" i="2"/>
  <c r="E147" i="2"/>
  <c r="D147" i="2"/>
  <c r="C147" i="2"/>
  <c r="L132" i="2"/>
  <c r="K132" i="2"/>
  <c r="J132" i="2"/>
  <c r="I132" i="2"/>
  <c r="H132" i="2"/>
  <c r="G132" i="2"/>
  <c r="F132" i="2"/>
  <c r="E132" i="2"/>
  <c r="D132" i="2"/>
  <c r="C132" i="2"/>
  <c r="L118" i="2"/>
  <c r="K118" i="2"/>
  <c r="J118" i="2"/>
  <c r="I118" i="2"/>
  <c r="H118" i="2"/>
  <c r="G118" i="2"/>
  <c r="F118" i="2"/>
  <c r="E118" i="2"/>
  <c r="D118" i="2"/>
  <c r="C118" i="2"/>
  <c r="L89" i="2"/>
  <c r="L90" i="2"/>
  <c r="L95" i="2"/>
  <c r="L97" i="2"/>
  <c r="L104" i="2"/>
  <c r="K89" i="2"/>
  <c r="K90" i="2"/>
  <c r="K95" i="2"/>
  <c r="K97" i="2"/>
  <c r="K104" i="2"/>
  <c r="J89" i="2"/>
  <c r="J90" i="2"/>
  <c r="J95" i="2"/>
  <c r="J97" i="2"/>
  <c r="J104" i="2"/>
  <c r="I89" i="2"/>
  <c r="I90" i="2"/>
  <c r="I95" i="2"/>
  <c r="I97" i="2"/>
  <c r="I104" i="2"/>
  <c r="H89" i="2"/>
  <c r="H90" i="2"/>
  <c r="H95" i="2"/>
  <c r="H97" i="2"/>
  <c r="H104" i="2"/>
  <c r="G89" i="2"/>
  <c r="G90" i="2"/>
  <c r="G95" i="2"/>
  <c r="G97" i="2"/>
  <c r="G104" i="2"/>
  <c r="F89" i="2"/>
  <c r="F90" i="2"/>
  <c r="F95" i="2"/>
  <c r="F97" i="2"/>
  <c r="F104" i="2"/>
  <c r="E89" i="2"/>
  <c r="E90" i="2"/>
  <c r="E95" i="2"/>
  <c r="E97" i="2"/>
  <c r="E104" i="2"/>
  <c r="D89" i="2"/>
  <c r="D90" i="2"/>
  <c r="D95" i="2"/>
  <c r="D97" i="2"/>
  <c r="D104" i="2"/>
  <c r="C89" i="2"/>
  <c r="C90" i="2"/>
  <c r="C95" i="2"/>
  <c r="C97" i="2"/>
  <c r="C104" i="2"/>
  <c r="L60" i="2"/>
  <c r="L67" i="2"/>
  <c r="L82" i="2"/>
  <c r="K60" i="2"/>
  <c r="K67" i="2"/>
  <c r="K82" i="2"/>
  <c r="J60" i="2"/>
  <c r="J67" i="2"/>
  <c r="J82" i="2"/>
  <c r="I60" i="2"/>
  <c r="I67" i="2"/>
  <c r="I82" i="2"/>
  <c r="H60" i="2"/>
  <c r="H67" i="2"/>
  <c r="H82" i="2"/>
  <c r="G60" i="2"/>
  <c r="G67" i="2"/>
  <c r="G82" i="2"/>
  <c r="F60" i="2"/>
  <c r="F67" i="2"/>
  <c r="F82" i="2"/>
  <c r="E60" i="2"/>
  <c r="E67" i="2"/>
  <c r="E82" i="2"/>
  <c r="D60" i="2"/>
  <c r="D67" i="2"/>
  <c r="D82" i="2"/>
  <c r="C60" i="2"/>
  <c r="C67" i="2"/>
  <c r="C82" i="2"/>
  <c r="A52" i="2"/>
  <c r="L48" i="2"/>
  <c r="K48" i="2"/>
  <c r="J48" i="2"/>
  <c r="I48" i="2"/>
  <c r="H48" i="2"/>
  <c r="G48" i="2"/>
  <c r="F48" i="2"/>
  <c r="E48" i="2"/>
  <c r="D48" i="2"/>
  <c r="C48" i="2"/>
  <c r="A1" i="2"/>
  <c r="C70" i="1"/>
  <c r="D246" i="1"/>
  <c r="D55" i="1"/>
  <c r="C55" i="1"/>
  <c r="D111" i="1"/>
  <c r="D281" i="1"/>
  <c r="D294" i="1"/>
  <c r="D23" i="1"/>
  <c r="D70" i="1"/>
  <c r="D76" i="1"/>
  <c r="C76" i="1"/>
  <c r="D4" i="1"/>
  <c r="C4" i="1"/>
  <c r="D258" i="1"/>
  <c r="C9" i="1"/>
  <c r="C11" i="1"/>
  <c r="C22" i="1"/>
  <c r="C23" i="1"/>
  <c r="C24" i="1"/>
  <c r="C27" i="1"/>
  <c r="D311" i="1"/>
  <c r="D149" i="1"/>
  <c r="D309" i="1"/>
  <c r="D308" i="1"/>
  <c r="D121" i="1"/>
  <c r="D122" i="1"/>
  <c r="E246" i="1"/>
  <c r="E55" i="1"/>
  <c r="E111" i="1"/>
  <c r="E281" i="1"/>
  <c r="E294" i="1"/>
  <c r="E23" i="1"/>
  <c r="E70" i="1"/>
  <c r="E76" i="1"/>
  <c r="E4" i="1"/>
  <c r="E258" i="1"/>
  <c r="E311" i="1"/>
  <c r="E149" i="1"/>
  <c r="E309" i="1"/>
  <c r="E308" i="1"/>
  <c r="E121" i="1"/>
  <c r="E122" i="1"/>
  <c r="F246" i="1"/>
  <c r="F55" i="1"/>
  <c r="F111" i="1"/>
  <c r="F281" i="1"/>
  <c r="F294" i="1"/>
  <c r="F23" i="1"/>
  <c r="F70" i="1"/>
  <c r="F76" i="1"/>
  <c r="F4" i="1"/>
  <c r="F258" i="1"/>
  <c r="F311" i="1"/>
  <c r="F149" i="1"/>
  <c r="F309" i="1"/>
  <c r="F308" i="1"/>
  <c r="F121" i="1"/>
  <c r="F122" i="1"/>
  <c r="G246" i="1"/>
  <c r="G55" i="1"/>
  <c r="G111" i="1"/>
  <c r="G281" i="1"/>
  <c r="G294" i="1"/>
  <c r="G23" i="1"/>
  <c r="G70" i="1"/>
  <c r="G76" i="1"/>
  <c r="G4" i="1"/>
  <c r="G258" i="1"/>
  <c r="G311" i="1"/>
  <c r="G149" i="1"/>
  <c r="G309" i="1"/>
  <c r="G308" i="1"/>
  <c r="G121" i="1"/>
  <c r="G122" i="1"/>
  <c r="H246" i="1"/>
  <c r="H55" i="1"/>
  <c r="H111" i="1"/>
  <c r="H281" i="1"/>
  <c r="H294" i="1"/>
  <c r="H23" i="1"/>
  <c r="H70" i="1"/>
  <c r="H76" i="1"/>
  <c r="H4" i="1"/>
  <c r="H258" i="1"/>
  <c r="H311" i="1"/>
  <c r="H149" i="1"/>
  <c r="H309" i="1"/>
  <c r="H308" i="1"/>
  <c r="H121" i="1"/>
  <c r="H122" i="1"/>
  <c r="I246" i="1"/>
  <c r="I55" i="1"/>
  <c r="I111" i="1"/>
  <c r="I281" i="1"/>
  <c r="I294" i="1"/>
  <c r="I23" i="1"/>
  <c r="I70" i="1"/>
  <c r="I76" i="1"/>
  <c r="I4" i="1"/>
  <c r="I258" i="1"/>
  <c r="I311" i="1"/>
  <c r="I149" i="1"/>
  <c r="I309" i="1"/>
  <c r="I308" i="1"/>
  <c r="I121" i="1"/>
  <c r="I122" i="1"/>
  <c r="J246" i="1"/>
  <c r="J55" i="1"/>
  <c r="J111" i="1"/>
  <c r="J281" i="1"/>
  <c r="J294" i="1"/>
  <c r="J23" i="1"/>
  <c r="J70" i="1"/>
  <c r="J76" i="1"/>
  <c r="J4" i="1"/>
  <c r="J258" i="1"/>
  <c r="J311" i="1"/>
  <c r="J149" i="1"/>
  <c r="J309" i="1"/>
  <c r="J308" i="1"/>
  <c r="J121" i="1"/>
  <c r="J122" i="1"/>
  <c r="K246" i="1"/>
  <c r="K55" i="1"/>
  <c r="K111" i="1"/>
  <c r="K281" i="1"/>
  <c r="K294" i="1"/>
  <c r="K23" i="1"/>
  <c r="K70" i="1"/>
  <c r="K76" i="1"/>
  <c r="K4" i="1"/>
  <c r="K258" i="1"/>
  <c r="K311" i="1"/>
  <c r="K149" i="1"/>
  <c r="K309" i="1"/>
  <c r="K308" i="1"/>
  <c r="K121" i="1"/>
  <c r="K122" i="1"/>
  <c r="L246" i="1"/>
  <c r="L55" i="1"/>
  <c r="L111" i="1"/>
  <c r="L281" i="1"/>
  <c r="L294" i="1"/>
  <c r="L23" i="1"/>
  <c r="L70" i="1"/>
  <c r="L76" i="1"/>
  <c r="L4" i="1"/>
  <c r="L258" i="1"/>
  <c r="L311" i="1"/>
  <c r="L149" i="1"/>
  <c r="L309" i="1"/>
  <c r="L308" i="1"/>
  <c r="L121" i="1"/>
  <c r="L122" i="1"/>
  <c r="C111" i="1"/>
  <c r="C121" i="1"/>
  <c r="C122" i="1"/>
  <c r="C149" i="1"/>
  <c r="C158" i="1"/>
  <c r="C160" i="1"/>
  <c r="C162" i="1"/>
  <c r="C170" i="1"/>
  <c r="C171" i="1"/>
  <c r="C172" i="1"/>
  <c r="C173" i="1"/>
  <c r="C174" i="1"/>
  <c r="C175" i="1"/>
  <c r="C182" i="1"/>
  <c r="D158" i="1"/>
  <c r="D160" i="1"/>
  <c r="D162" i="1"/>
  <c r="D170" i="1"/>
  <c r="D171" i="1"/>
  <c r="D172" i="1"/>
  <c r="D173" i="1"/>
  <c r="D174" i="1"/>
  <c r="D175" i="1"/>
  <c r="D182" i="1"/>
  <c r="E158" i="1"/>
  <c r="E160" i="1"/>
  <c r="E162" i="1"/>
  <c r="E170" i="1"/>
  <c r="E171" i="1"/>
  <c r="E172" i="1"/>
  <c r="E173" i="1"/>
  <c r="E174" i="1"/>
  <c r="E175" i="1"/>
  <c r="E182" i="1"/>
  <c r="F158" i="1"/>
  <c r="F160" i="1"/>
  <c r="F162" i="1"/>
  <c r="F170" i="1"/>
  <c r="F171" i="1"/>
  <c r="F172" i="1"/>
  <c r="F173" i="1"/>
  <c r="F174" i="1"/>
  <c r="F175" i="1"/>
  <c r="F182" i="1"/>
  <c r="G166" i="1"/>
  <c r="G158" i="1"/>
  <c r="G160" i="1"/>
  <c r="G162" i="1"/>
  <c r="G170" i="1"/>
  <c r="G171" i="1"/>
  <c r="G172" i="1"/>
  <c r="G173" i="1"/>
  <c r="G174" i="1"/>
  <c r="G175" i="1"/>
  <c r="G182" i="1"/>
  <c r="H158" i="1"/>
  <c r="H160" i="1"/>
  <c r="H162" i="1"/>
  <c r="H170" i="1"/>
  <c r="H171" i="1"/>
  <c r="H172" i="1"/>
  <c r="H173" i="1"/>
  <c r="H174" i="1"/>
  <c r="H175" i="1"/>
  <c r="H182" i="1"/>
  <c r="I158" i="1"/>
  <c r="I160" i="1"/>
  <c r="I162" i="1"/>
  <c r="I170" i="1"/>
  <c r="I171" i="1"/>
  <c r="I172" i="1"/>
  <c r="I173" i="1"/>
  <c r="I174" i="1"/>
  <c r="I175" i="1"/>
  <c r="I182" i="1"/>
  <c r="J158" i="1"/>
  <c r="J160" i="1"/>
  <c r="J162" i="1"/>
  <c r="J170" i="1"/>
  <c r="J171" i="1"/>
  <c r="J172" i="1"/>
  <c r="J173" i="1"/>
  <c r="J174" i="1"/>
  <c r="J175" i="1"/>
  <c r="J182" i="1"/>
  <c r="K158" i="1"/>
  <c r="K160" i="1"/>
  <c r="K162" i="1"/>
  <c r="K170" i="1"/>
  <c r="K171" i="1"/>
  <c r="K172" i="1"/>
  <c r="K173" i="1"/>
  <c r="K174" i="1"/>
  <c r="K175" i="1"/>
  <c r="K182" i="1"/>
  <c r="D266" i="1"/>
  <c r="E266" i="1"/>
  <c r="F266" i="1"/>
  <c r="G266" i="1"/>
  <c r="H266" i="1"/>
  <c r="I266" i="1"/>
  <c r="J266" i="1"/>
  <c r="K266" i="1"/>
  <c r="L266" i="1"/>
  <c r="L163" i="1"/>
  <c r="D252" i="1"/>
  <c r="E252" i="1"/>
  <c r="F252" i="1"/>
  <c r="G252" i="1"/>
  <c r="H252" i="1"/>
  <c r="I252" i="1"/>
  <c r="J252" i="1"/>
  <c r="K252" i="1"/>
  <c r="L252" i="1"/>
  <c r="L164" i="1"/>
  <c r="D268" i="1"/>
  <c r="E268" i="1"/>
  <c r="F268" i="1"/>
  <c r="G268" i="1"/>
  <c r="H268" i="1"/>
  <c r="I268" i="1"/>
  <c r="J268" i="1"/>
  <c r="K268" i="1"/>
  <c r="L268" i="1"/>
  <c r="L165" i="1"/>
  <c r="L167" i="1"/>
  <c r="D270" i="1"/>
  <c r="E270" i="1"/>
  <c r="F270" i="1"/>
  <c r="G270" i="1"/>
  <c r="H270" i="1"/>
  <c r="I270" i="1"/>
  <c r="J270" i="1"/>
  <c r="K270" i="1"/>
  <c r="L270" i="1"/>
  <c r="L168" i="1"/>
  <c r="L169" i="1"/>
  <c r="L158" i="1"/>
  <c r="L160" i="1"/>
  <c r="L162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B163" i="1"/>
  <c r="B165" i="1"/>
  <c r="B168" i="1"/>
  <c r="B182" i="1"/>
  <c r="L203" i="1"/>
  <c r="A207" i="1"/>
  <c r="A191" i="1"/>
  <c r="A157" i="1"/>
  <c r="L187" i="1"/>
  <c r="G147" i="1"/>
  <c r="H147" i="1"/>
  <c r="I147" i="1"/>
  <c r="J147" i="1"/>
  <c r="K147" i="1"/>
  <c r="L147" i="1"/>
  <c r="F147" i="1"/>
  <c r="E147" i="1"/>
  <c r="D147" i="1"/>
  <c r="C147" i="1"/>
  <c r="A181" i="1"/>
  <c r="A180" i="1"/>
  <c r="A177" i="1"/>
  <c r="A178" i="1"/>
  <c r="A179" i="1"/>
  <c r="A176" i="1"/>
  <c r="A175" i="1"/>
  <c r="A174" i="1"/>
  <c r="A172" i="1"/>
  <c r="A173" i="1"/>
  <c r="A170" i="1"/>
  <c r="D132" i="1"/>
  <c r="E132" i="1"/>
  <c r="F132" i="1"/>
  <c r="G132" i="1"/>
  <c r="H132" i="1"/>
  <c r="I132" i="1"/>
  <c r="J132" i="1"/>
  <c r="K132" i="1"/>
  <c r="L132" i="1"/>
  <c r="C132" i="1"/>
  <c r="D118" i="1"/>
  <c r="E118" i="1"/>
  <c r="F118" i="1"/>
  <c r="G118" i="1"/>
  <c r="H118" i="1"/>
  <c r="I118" i="1"/>
  <c r="J118" i="1"/>
  <c r="K118" i="1"/>
  <c r="L118" i="1"/>
  <c r="C118" i="1"/>
  <c r="A171" i="1"/>
  <c r="G48" i="1"/>
  <c r="H48" i="1"/>
  <c r="I48" i="1"/>
  <c r="J48" i="1"/>
  <c r="K48" i="1"/>
  <c r="L48" i="1"/>
  <c r="C48" i="1"/>
  <c r="A265" i="1"/>
  <c r="A52" i="1"/>
  <c r="A1" i="1"/>
  <c r="F48" i="1"/>
  <c r="E48" i="1"/>
  <c r="D48" i="1"/>
  <c r="L219" i="1"/>
</calcChain>
</file>

<file path=xl/sharedStrings.xml><?xml version="1.0" encoding="utf-8"?>
<sst xmlns="http://schemas.openxmlformats.org/spreadsheetml/2006/main" count="866" uniqueCount="196">
  <si>
    <t>Income Statement</t>
  </si>
  <si>
    <t>Revenues</t>
  </si>
  <si>
    <t>Balance Sheet</t>
  </si>
  <si>
    <t>Assets</t>
  </si>
  <si>
    <t>Current Assets</t>
  </si>
  <si>
    <t>Property, Plant, and Equipment</t>
  </si>
  <si>
    <t>Liabilities and Owner's Equity</t>
  </si>
  <si>
    <t>Liabilities</t>
  </si>
  <si>
    <t>Owner's Equity</t>
  </si>
  <si>
    <t>Mortgage Payable</t>
  </si>
  <si>
    <t>Current Liabilities</t>
  </si>
  <si>
    <t>Income Tax Expense</t>
  </si>
  <si>
    <t>Total Revenues</t>
  </si>
  <si>
    <t>Net Income</t>
  </si>
  <si>
    <t>Total Current Assets</t>
  </si>
  <si>
    <t>Less: Accumulated Depreciation</t>
  </si>
  <si>
    <t>Total Property, Plant, and Equipment</t>
  </si>
  <si>
    <t>Total Assets</t>
  </si>
  <si>
    <t>Total Current Liabilities</t>
  </si>
  <si>
    <t>Retained Earnings</t>
  </si>
  <si>
    <t>Total Owner's Equity</t>
  </si>
  <si>
    <t>Operating Expenses</t>
  </si>
  <si>
    <t>Minimum Cash</t>
  </si>
  <si>
    <t>Extra Cash</t>
  </si>
  <si>
    <t>Taxable Income</t>
  </si>
  <si>
    <t>Total Long-Term Liabilities</t>
  </si>
  <si>
    <t>Total Liabilities</t>
  </si>
  <si>
    <t>Total Liabilities and Owner's Equity</t>
  </si>
  <si>
    <t>Mortgage Interest Expense</t>
  </si>
  <si>
    <t>Long-Term Liabilities</t>
  </si>
  <si>
    <t>Plug Info</t>
  </si>
  <si>
    <t>Discretionary Funds Needed</t>
  </si>
  <si>
    <t>Operating Profit</t>
  </si>
  <si>
    <t>Total Operating Expenses</t>
  </si>
  <si>
    <t>Other Expenses</t>
  </si>
  <si>
    <t>Total Other Expenses</t>
  </si>
  <si>
    <t>Inflation Rate per Year</t>
  </si>
  <si>
    <t>Minimum Cash Required</t>
  </si>
  <si>
    <t>Years</t>
  </si>
  <si>
    <t>Property</t>
  </si>
  <si>
    <t>Buildings</t>
  </si>
  <si>
    <t>Average Useful Life of Buildings</t>
  </si>
  <si>
    <t>Assumptions and Data</t>
  </si>
  <si>
    <t>Company's Website</t>
  </si>
  <si>
    <t>Seller's Website</t>
  </si>
  <si>
    <t>Company's Name</t>
  </si>
  <si>
    <t>Cost of Goods Sold</t>
  </si>
  <si>
    <t>Gross Profit</t>
  </si>
  <si>
    <t>Depreciation Expense—Buildings</t>
  </si>
  <si>
    <t>Depreciation Expense—Equipment</t>
  </si>
  <si>
    <t>Extra Bank Loan</t>
  </si>
  <si>
    <t>Other</t>
  </si>
  <si>
    <t>Income Tax Rate</t>
  </si>
  <si>
    <t>Growth Rate per Year</t>
  </si>
  <si>
    <t>Average Useful Life of Equipment</t>
  </si>
  <si>
    <t>Average Salvage Value of Buildings</t>
  </si>
  <si>
    <t>Average Salvage Value of Equipment</t>
  </si>
  <si>
    <t>of Historical Cost</t>
  </si>
  <si>
    <t>Equipment</t>
  </si>
  <si>
    <t>Mortgage Principle</t>
  </si>
  <si>
    <t>Mortgage Annual Interest Rate</t>
  </si>
  <si>
    <t>Mortgage Term</t>
  </si>
  <si>
    <t>Extra Bank Loan Interest Rate</t>
  </si>
  <si>
    <t>of Revenues</t>
  </si>
  <si>
    <t>Common Stock</t>
  </si>
  <si>
    <t>http://www.loopnet.com/xNet/MainSite/Listing/Profile/Profile.aspx?LID=18148605&amp;SRID=3289558223&amp;StepID=101&amp;jli=y</t>
  </si>
  <si>
    <t>http://timbercreekgolf.com/</t>
  </si>
  <si>
    <t>Timber Creek Golf Course</t>
  </si>
  <si>
    <t>http://www.usinflationcalculator.com/inflation/current-inflation-rates/</t>
  </si>
  <si>
    <t>http://www.sba.gov/sites/default/files/rs343tot.pdf</t>
  </si>
  <si>
    <t>http://smallbusiness.costhelper.com/small-business-line-credit.html</t>
  </si>
  <si>
    <t>http://www.moneycafe.com/library/primerate.htm</t>
  </si>
  <si>
    <t>http://www.commercialloandirect.com/commercial-rates.php#Small_Balance_Commercial_Rates</t>
  </si>
  <si>
    <t>Fair Value of Price per Acre of Land</t>
  </si>
  <si>
    <t>Acres of Land</t>
  </si>
  <si>
    <t>Fair Value of Price per Square Foot of Buildings</t>
  </si>
  <si>
    <t>Square Feet of Buildings</t>
  </si>
  <si>
    <t>Fair Value per Golf Cart</t>
  </si>
  <si>
    <t>Number of Golf Carts</t>
  </si>
  <si>
    <t>Repairs &amp; Maintenance Expense</t>
  </si>
  <si>
    <t>Utilities Expense</t>
  </si>
  <si>
    <t>Golf Cart Rental</t>
  </si>
  <si>
    <t>Dining Revenue</t>
  </si>
  <si>
    <t>Golf Revenue</t>
  </si>
  <si>
    <t>Price per Meal</t>
  </si>
  <si>
    <t>Average Price per Golf Cart Rental</t>
  </si>
  <si>
    <t>Average Price per Person per Golf Game</t>
  </si>
  <si>
    <t>Driving Range Fees</t>
  </si>
  <si>
    <t>Staff Wages</t>
  </si>
  <si>
    <t>Portion of Land and Buildings Funded through Mortgage</t>
  </si>
  <si>
    <t>Portion of Land, Buildings, and Equipment Funded through Common Stock</t>
  </si>
  <si>
    <t>Management Salary</t>
  </si>
  <si>
    <t>Management Salary Expense</t>
  </si>
  <si>
    <t>Advertising Expense</t>
  </si>
  <si>
    <t>Insurance Expense</t>
  </si>
  <si>
    <t>Property Tax Expense</t>
  </si>
  <si>
    <t>Accounts Payable</t>
  </si>
  <si>
    <t>Income Taxes Payable</t>
  </si>
  <si>
    <t>Percentage of People Who Use Golf Carts</t>
  </si>
  <si>
    <t>Weeks Open During Year</t>
  </si>
  <si>
    <t>Percentage of People Who Buy Meals</t>
  </si>
  <si>
    <t>Percentage of People Who Practice at Driving Range</t>
  </si>
  <si>
    <t>Percentage of People Using Gift Certificates</t>
  </si>
  <si>
    <t>Cost of Meals Sold</t>
  </si>
  <si>
    <t>of Golf Revenue</t>
  </si>
  <si>
    <t>Number of Full-Time Equivalent Staff Members</t>
  </si>
  <si>
    <t>Dollars per Hour for Staff Members</t>
  </si>
  <si>
    <t>Insurance</t>
  </si>
  <si>
    <t>of P.P.E.</t>
  </si>
  <si>
    <t>of Lands and Net Buildings</t>
  </si>
  <si>
    <t>Repairs and Maintenance</t>
  </si>
  <si>
    <t>Utilities</t>
  </si>
  <si>
    <t>per Acre</t>
  </si>
  <si>
    <t>Meal Supplies</t>
  </si>
  <si>
    <t>Meal Supplies Days</t>
  </si>
  <si>
    <t>Accounts Payable Days</t>
  </si>
  <si>
    <t>Number of Tee Times per Week</t>
  </si>
  <si>
    <t>Average Number of Players per Tee Time</t>
  </si>
  <si>
    <t>Percentage of Golfers that Have Season Passes</t>
  </si>
  <si>
    <t>Season Pass Fees</t>
  </si>
  <si>
    <t>Price per Season Pass</t>
  </si>
  <si>
    <t>Season Pass Members per Year</t>
  </si>
  <si>
    <t>Golf Club Sales Revenue</t>
  </si>
  <si>
    <t>Apparel Sales Revenue</t>
  </si>
  <si>
    <t>Accessories Sales Revenue</t>
  </si>
  <si>
    <t>of Season Pass Sales</t>
  </si>
  <si>
    <t>Percentage of Members Who Buy Golf Clubs per Year</t>
  </si>
  <si>
    <t>Price per Golf Club Set</t>
  </si>
  <si>
    <t>Percentage of Members Who Buy Apparel per Year</t>
  </si>
  <si>
    <t>Average Price per Apparel Item</t>
  </si>
  <si>
    <t>Markup on All Inventory and Price of Meals</t>
  </si>
  <si>
    <t>Golf Club Inventory</t>
  </si>
  <si>
    <t>Apparel Inventory</t>
  </si>
  <si>
    <t>Accessories Inventory</t>
  </si>
  <si>
    <t>Golf Club Inventory Days</t>
  </si>
  <si>
    <t>Apparel Inventory Days</t>
  </si>
  <si>
    <t>Accessories Inventory Days</t>
  </si>
  <si>
    <t>Weighted Average Cost of Capital</t>
  </si>
  <si>
    <t>Debt Investments</t>
  </si>
  <si>
    <t>Total Debt Investments</t>
  </si>
  <si>
    <t>Proportion of Total Debt Investments</t>
  </si>
  <si>
    <t>Bank Loan</t>
  </si>
  <si>
    <t>Total</t>
  </si>
  <si>
    <t>Rate</t>
  </si>
  <si>
    <t>Weighted Average Debt Investment Rate</t>
  </si>
  <si>
    <t>Total Equity Investments</t>
  </si>
  <si>
    <t>Total Investments</t>
  </si>
  <si>
    <t>Proportion of Total Investments</t>
  </si>
  <si>
    <t>Rate Demanded by Equity Investors</t>
  </si>
  <si>
    <t>WACC</t>
  </si>
  <si>
    <t>Average WACC</t>
  </si>
  <si>
    <t>Free Cash Flows &amp; Internal Rate of Return</t>
  </si>
  <si>
    <t>Year</t>
  </si>
  <si>
    <t>Income Taxes Payable—Operations</t>
  </si>
  <si>
    <t>Cash Operating Net Income</t>
  </si>
  <si>
    <t>Tax on Sale</t>
  </si>
  <si>
    <t>Total Free Cash Flows</t>
  </si>
  <si>
    <t>Present Value of Future Free Cash Flows</t>
  </si>
  <si>
    <t>Net Present Value of Future Free Cash Flows</t>
  </si>
  <si>
    <t>Internal Rate of Return</t>
  </si>
  <si>
    <t xml:space="preserve"> Return on Short-Term Government Treasury Bills </t>
  </si>
  <si>
    <t xml:space="preserve"> Return of the S&amp;P 500 Stock Index </t>
  </si>
  <si>
    <t xml:space="preserve"> http://www.standardandpoors.com/indices/sp-500/en/us/?indexId=spusa-500-usduf--p-us-l-- </t>
  </si>
  <si>
    <t>Cost per Week for Grounds keeping</t>
  </si>
  <si>
    <t>Property Tax</t>
  </si>
  <si>
    <t>of Revenues &amp;</t>
  </si>
  <si>
    <t>Gift Certificate Revenue</t>
  </si>
  <si>
    <t>Grounds keeping Expense</t>
  </si>
  <si>
    <t>Accounts Receivable (None)</t>
  </si>
  <si>
    <t xml:space="preserve"> Unlevered Beta of Similar Publicly Traded Companies </t>
  </si>
  <si>
    <t>Unlevered and Re-levered Beta</t>
  </si>
  <si>
    <t>Planned Changes in Financing Proportions</t>
  </si>
  <si>
    <t>Debt</t>
  </si>
  <si>
    <t>Equity</t>
  </si>
  <si>
    <t>Unlevered Beta</t>
  </si>
  <si>
    <t>Re-levered Beta</t>
  </si>
  <si>
    <t>Capital Expenditure</t>
  </si>
  <si>
    <t>Tax Rate on Capital Gains</t>
  </si>
  <si>
    <t>Extra Bank Loan Interest Expense</t>
  </si>
  <si>
    <t>Number of Tee Times per Week for Strong Market</t>
  </si>
  <si>
    <t>Number of Tee Times per Week for Weak Market</t>
  </si>
  <si>
    <t>Total FCF from Capital Expenditures</t>
  </si>
  <si>
    <t>Total FCF from Changes in Working Capital</t>
  </si>
  <si>
    <t>Total FCF from Liquidation of Working Capital</t>
  </si>
  <si>
    <t>Probability of Weak Market</t>
  </si>
  <si>
    <t>Probability of Strong Market</t>
  </si>
  <si>
    <t>Strong Market</t>
  </si>
  <si>
    <t>Weak Market</t>
  </si>
  <si>
    <t>Total FCF from Operating Net Income</t>
  </si>
  <si>
    <t>DFN</t>
  </si>
  <si>
    <t>Nuetral</t>
  </si>
  <si>
    <t>Weak with Option</t>
  </si>
  <si>
    <t>Option Price</t>
  </si>
  <si>
    <t>Stats:</t>
  </si>
  <si>
    <t>Standard Deviation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</si>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</sst>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_(&quot;$&quot;* #,##0_);_(&quot;$&quot;* \(#,##0\);_(&quot;$&quot;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Lucida Grande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8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43" fontId="0" fillId="2" borderId="0" xfId="1" applyFont="1" applyFill="1"/>
    <xf numFmtId="0" fontId="0" fillId="2" borderId="0" xfId="1" applyNumberFormat="1" applyFont="1" applyFill="1"/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0" xfId="0" applyFill="1"/>
    <xf numFmtId="10" fontId="0" fillId="2" borderId="0" xfId="4" applyNumberFormat="1" applyFont="1" applyFill="1"/>
    <xf numFmtId="10" fontId="0" fillId="0" borderId="0" xfId="4" applyNumberFormat="1" applyFont="1" applyFill="1"/>
    <xf numFmtId="0" fontId="0" fillId="0" borderId="0" xfId="1" applyNumberFormat="1" applyFont="1" applyFill="1"/>
    <xf numFmtId="164" fontId="0" fillId="2" borderId="0" xfId="1" applyNumberFormat="1" applyFont="1" applyFill="1" applyAlignment="1">
      <alignment horizontal="left"/>
    </xf>
    <xf numFmtId="164" fontId="0" fillId="2" borderId="0" xfId="1" applyNumberFormat="1" applyFont="1" applyFill="1" applyAlignment="1">
      <alignment horizontal="left" indent="1"/>
    </xf>
    <xf numFmtId="164" fontId="0" fillId="2" borderId="1" xfId="1" applyNumberFormat="1" applyFont="1" applyFill="1" applyBorder="1"/>
    <xf numFmtId="164" fontId="0" fillId="2" borderId="0" xfId="1" applyNumberFormat="1" applyFont="1" applyFill="1" applyAlignment="1">
      <alignment horizontal="left" indent="2"/>
    </xf>
    <xf numFmtId="164" fontId="0" fillId="2" borderId="0" xfId="1" applyNumberFormat="1" applyFont="1" applyFill="1" applyBorder="1"/>
    <xf numFmtId="164" fontId="0" fillId="2" borderId="2" xfId="1" applyNumberFormat="1" applyFont="1" applyFill="1" applyBorder="1"/>
    <xf numFmtId="164" fontId="0" fillId="2" borderId="0" xfId="1" applyNumberFormat="1" applyFont="1" applyFill="1" applyAlignment="1">
      <alignment horizontal="left" indent="3"/>
    </xf>
    <xf numFmtId="164" fontId="0" fillId="0" borderId="0" xfId="1" applyNumberFormat="1" applyFont="1" applyFill="1" applyAlignment="1">
      <alignment wrapText="1"/>
    </xf>
    <xf numFmtId="164" fontId="0" fillId="2" borderId="0" xfId="1" applyNumberFormat="1" applyFont="1" applyFill="1" applyAlignment="1">
      <alignment horizontal="left" vertical="top"/>
    </xf>
    <xf numFmtId="164" fontId="0" fillId="2" borderId="0" xfId="1" applyNumberFormat="1" applyFont="1" applyFill="1" applyAlignment="1">
      <alignment horizontal="right"/>
    </xf>
    <xf numFmtId="164" fontId="0" fillId="2" borderId="3" xfId="1" applyNumberFormat="1" applyFont="1" applyFill="1" applyBorder="1"/>
    <xf numFmtId="164" fontId="0" fillId="0" borderId="0" xfId="1" applyNumberFormat="1" applyFont="1" applyFill="1" applyBorder="1"/>
    <xf numFmtId="164" fontId="0" fillId="2" borderId="5" xfId="1" applyNumberFormat="1" applyFont="1" applyFill="1" applyBorder="1"/>
    <xf numFmtId="43" fontId="0" fillId="2" borderId="0" xfId="1" applyNumberFormat="1" applyFont="1" applyFill="1"/>
    <xf numFmtId="165" fontId="0" fillId="0" borderId="0" xfId="1" applyNumberFormat="1" applyFont="1" applyFill="1"/>
    <xf numFmtId="43" fontId="0" fillId="0" borderId="0" xfId="1" applyNumberFormat="1" applyFont="1" applyFill="1"/>
    <xf numFmtId="9" fontId="0" fillId="0" borderId="0" xfId="4" applyFont="1" applyFill="1"/>
    <xf numFmtId="166" fontId="0" fillId="2" borderId="0" xfId="1" applyNumberFormat="1" applyFont="1" applyFill="1" applyAlignment="1">
      <alignment horizontal="left" indent="1"/>
    </xf>
    <xf numFmtId="44" fontId="0" fillId="2" borderId="0" xfId="1" applyNumberFormat="1" applyFont="1" applyFill="1"/>
    <xf numFmtId="44" fontId="0" fillId="2" borderId="0" xfId="1" applyNumberFormat="1" applyFont="1" applyFill="1" applyAlignment="1">
      <alignment horizontal="left" indent="1"/>
    </xf>
    <xf numFmtId="44" fontId="0" fillId="2" borderId="0" xfId="1" applyNumberFormat="1" applyFont="1" applyFill="1" applyAlignment="1">
      <alignment horizontal="left" indent="2"/>
    </xf>
    <xf numFmtId="10" fontId="5" fillId="4" borderId="0" xfId="4" applyNumberFormat="1" applyFont="1" applyFill="1"/>
    <xf numFmtId="44" fontId="5" fillId="4" borderId="0" xfId="0" applyNumberFormat="1" applyFont="1" applyFill="1" applyAlignment="1">
      <alignment horizontal="left" indent="2"/>
    </xf>
    <xf numFmtId="10" fontId="0" fillId="2" borderId="3" xfId="4" applyNumberFormat="1" applyFont="1" applyFill="1" applyBorder="1"/>
    <xf numFmtId="44" fontId="5" fillId="4" borderId="0" xfId="0" applyNumberFormat="1" applyFont="1" applyFill="1"/>
    <xf numFmtId="43" fontId="5" fillId="4" borderId="0" xfId="0" applyNumberFormat="1" applyFont="1" applyFill="1"/>
    <xf numFmtId="10" fontId="5" fillId="4" borderId="0" xfId="0" applyNumberFormat="1" applyFont="1" applyFill="1"/>
    <xf numFmtId="9" fontId="5" fillId="4" borderId="0" xfId="0" applyNumberFormat="1" applyFont="1" applyFill="1"/>
    <xf numFmtId="164" fontId="5" fillId="4" borderId="1" xfId="0" applyNumberFormat="1" applyFont="1" applyFill="1" applyBorder="1"/>
    <xf numFmtId="164" fontId="5" fillId="4" borderId="0" xfId="0" applyNumberFormat="1" applyFont="1" applyFill="1"/>
    <xf numFmtId="44" fontId="5" fillId="4" borderId="0" xfId="0" applyNumberFormat="1" applyFont="1" applyFill="1" applyAlignment="1">
      <alignment horizontal="left" indent="1"/>
    </xf>
    <xf numFmtId="10" fontId="5" fillId="5" borderId="0" xfId="0" applyNumberFormat="1" applyFont="1" applyFill="1"/>
    <xf numFmtId="44" fontId="5" fillId="4" borderId="0" xfId="0" applyNumberFormat="1" applyFont="1" applyFill="1" applyAlignment="1">
      <alignment horizontal="right"/>
    </xf>
    <xf numFmtId="0" fontId="5" fillId="4" borderId="0" xfId="0" applyNumberFormat="1" applyFont="1" applyFill="1" applyAlignment="1">
      <alignment horizontal="right"/>
    </xf>
    <xf numFmtId="0" fontId="5" fillId="4" borderId="0" xfId="0" applyNumberFormat="1" applyFont="1" applyFill="1"/>
    <xf numFmtId="164" fontId="5" fillId="4" borderId="0" xfId="1" applyNumberFormat="1" applyFont="1" applyFill="1"/>
    <xf numFmtId="164" fontId="6" fillId="2" borderId="1" xfId="1" applyNumberFormat="1" applyFont="1" applyFill="1" applyBorder="1"/>
    <xf numFmtId="10" fontId="0" fillId="2" borderId="0" xfId="1" applyNumberFormat="1" applyFont="1" applyFill="1"/>
    <xf numFmtId="9" fontId="0" fillId="2" borderId="0" xfId="1" applyNumberFormat="1" applyFont="1" applyFill="1"/>
    <xf numFmtId="10" fontId="5" fillId="0" borderId="0" xfId="0" applyNumberFormat="1" applyFont="1"/>
    <xf numFmtId="43" fontId="5" fillId="0" borderId="0" xfId="0" applyNumberFormat="1" applyFont="1"/>
    <xf numFmtId="44" fontId="5" fillId="2" borderId="0" xfId="0" applyNumberFormat="1" applyFont="1" applyFill="1" applyAlignment="1"/>
    <xf numFmtId="10" fontId="5" fillId="2" borderId="0" xfId="4" applyNumberFormat="1" applyFont="1" applyFill="1"/>
    <xf numFmtId="2" fontId="5" fillId="4" borderId="0" xfId="0" applyNumberFormat="1" applyFont="1" applyFill="1"/>
    <xf numFmtId="10" fontId="5" fillId="4" borderId="3" xfId="4" applyNumberFormat="1" applyFont="1" applyFill="1" applyBorder="1"/>
    <xf numFmtId="164" fontId="0" fillId="2" borderId="0" xfId="1" applyNumberFormat="1" applyFont="1" applyFill="1" applyAlignment="1">
      <alignment horizontal="left" indent="2"/>
    </xf>
    <xf numFmtId="164" fontId="0" fillId="2" borderId="0" xfId="1" applyNumberFormat="1" applyFont="1" applyFill="1" applyAlignment="1">
      <alignment vertical="top"/>
    </xf>
    <xf numFmtId="10" fontId="0" fillId="0" borderId="0" xfId="4" applyNumberFormat="1" applyFont="1" applyFill="1" applyAlignment="1">
      <alignment vertical="top"/>
    </xf>
    <xf numFmtId="10" fontId="0" fillId="2" borderId="0" xfId="4" applyNumberFormat="1" applyFont="1" applyFill="1" applyAlignment="1">
      <alignment vertical="top"/>
    </xf>
    <xf numFmtId="164" fontId="0" fillId="2" borderId="0" xfId="1" applyNumberFormat="1" applyFont="1" applyFill="1" applyAlignment="1">
      <alignment vertical="top" wrapText="1"/>
    </xf>
    <xf numFmtId="0" fontId="0" fillId="2" borderId="0" xfId="4" applyNumberFormat="1" applyFont="1" applyFill="1"/>
    <xf numFmtId="164" fontId="0" fillId="2" borderId="0" xfId="4" applyNumberFormat="1" applyFont="1" applyFill="1"/>
    <xf numFmtId="44" fontId="8" fillId="4" borderId="0" xfId="0" applyNumberFormat="1" applyFont="1" applyFill="1"/>
    <xf numFmtId="164" fontId="0" fillId="2" borderId="0" xfId="1" applyNumberFormat="1" applyFont="1" applyFill="1" applyAlignment="1">
      <alignment horizontal="left" indent="2"/>
    </xf>
    <xf numFmtId="164" fontId="0" fillId="2" borderId="0" xfId="1" applyNumberFormat="1" applyFont="1" applyFill="1" applyAlignment="1">
      <alignment horizontal="left" indent="2"/>
    </xf>
    <xf numFmtId="164" fontId="0" fillId="0" borderId="0" xfId="1" applyNumberFormat="1" applyFont="1" applyFill="1" applyAlignment="1"/>
    <xf numFmtId="0" fontId="0" fillId="0" borderId="0" xfId="1" applyNumberFormat="1" applyFont="1" applyFill="1" applyAlignment="1"/>
    <xf numFmtId="0" fontId="0" fillId="0" borderId="0" xfId="4" applyNumberFormat="1" applyFont="1" applyFill="1"/>
    <xf numFmtId="167" fontId="0" fillId="2" borderId="0" xfId="1" applyNumberFormat="1" applyFont="1" applyFill="1"/>
    <xf numFmtId="9" fontId="0" fillId="2" borderId="0" xfId="4" applyFont="1" applyFill="1"/>
    <xf numFmtId="44" fontId="5" fillId="2" borderId="0" xfId="0" applyNumberFormat="1" applyFont="1" applyFill="1" applyAlignment="1">
      <alignment horizontal="left" indent="2"/>
    </xf>
    <xf numFmtId="164" fontId="0" fillId="2" borderId="4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44" fontId="0" fillId="3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left" indent="2"/>
    </xf>
    <xf numFmtId="164" fontId="3" fillId="2" borderId="0" xfId="507" applyNumberFormat="1" applyFill="1" applyAlignment="1">
      <alignment horizontal="left" indent="2"/>
    </xf>
  </cellXfs>
  <cellStyles count="508">
    <cellStyle name="Comma" xfId="1" builtinId="3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/>
    <cellStyle name="Normal" xfId="0" builtinId="0"/>
    <cellStyle name="Per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140</xdr:row>
          <xdr:rowOff>180975</xdr:rowOff>
        </xdr:from>
        <xdr:to>
          <xdr:col>14</xdr:col>
          <xdr:colOff>9525</xdr:colOff>
          <xdr:row>144</xdr:row>
          <xdr:rowOff>28575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Lucida Grande"/>
                </a:rPr>
                <a:t>Push This!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eycafe.com/library/primerate.ht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325"/>
  <sheetViews>
    <sheetView tabSelected="1" workbookViewId="0">
      <selection activeCell="D231" sqref="D231"/>
    </sheetView>
  </sheetViews>
  <sheetFormatPr defaultColWidth="10.875" defaultRowHeight="15.75"/>
  <cols>
    <col min="1" max="1" width="38.625" style="3" customWidth="1"/>
    <col min="2" max="2" width="18.5" style="3" bestFit="1" customWidth="1"/>
    <col min="3" max="3" width="12.5" style="3" bestFit="1" customWidth="1"/>
    <col min="4" max="4" width="13.875" style="3" bestFit="1" customWidth="1"/>
    <col min="5" max="6" width="13.5" style="3" bestFit="1" customWidth="1"/>
    <col min="7" max="7" width="14" style="3" bestFit="1" customWidth="1"/>
    <col min="8" max="11" width="13.5" style="3" bestFit="1" customWidth="1"/>
    <col min="12" max="12" width="14.125" style="3" bestFit="1" customWidth="1"/>
    <col min="13" max="13" width="11.5" style="3" bestFit="1" customWidth="1"/>
    <col min="14" max="14" width="28.625" style="3" bestFit="1" customWidth="1"/>
    <col min="15" max="15" width="10.125" style="3" bestFit="1" customWidth="1"/>
    <col min="16" max="16" width="11.125" style="3" bestFit="1" customWidth="1"/>
    <col min="17" max="16384" width="10.875" style="3"/>
  </cols>
  <sheetData>
    <row r="1" spans="1:12">
      <c r="A1" s="72" t="str">
        <f>A243</f>
        <v>Timber Creek Golf Course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C4" s="2">
        <f>C246</f>
        <v>2014</v>
      </c>
      <c r="D4" s="2">
        <f t="shared" ref="D4:L4" si="0">D246</f>
        <v>2015</v>
      </c>
      <c r="E4" s="2">
        <f t="shared" si="0"/>
        <v>2016</v>
      </c>
      <c r="F4" s="2">
        <f t="shared" si="0"/>
        <v>2017</v>
      </c>
      <c r="G4" s="2">
        <f t="shared" si="0"/>
        <v>2018</v>
      </c>
      <c r="H4" s="2">
        <f t="shared" si="0"/>
        <v>2019</v>
      </c>
      <c r="I4" s="2">
        <f t="shared" si="0"/>
        <v>2020</v>
      </c>
      <c r="J4" s="2">
        <f t="shared" si="0"/>
        <v>2021</v>
      </c>
      <c r="K4" s="2">
        <f t="shared" si="0"/>
        <v>2022</v>
      </c>
      <c r="L4" s="2">
        <f t="shared" si="0"/>
        <v>2023</v>
      </c>
    </row>
    <row r="5" spans="1:12">
      <c r="A5" s="3" t="s">
        <v>1</v>
      </c>
    </row>
    <row r="6" spans="1:12">
      <c r="A6" s="10" t="s">
        <v>83</v>
      </c>
      <c r="B6" s="10"/>
      <c r="C6" s="3">
        <f t="shared" ref="C6:L6" si="1">($M$277*C292*$M$278*C276)*(1-$M$279)*(1-$M$286)</f>
        <v>152775</v>
      </c>
      <c r="D6" s="3">
        <f t="shared" si="1"/>
        <v>154684.6875</v>
      </c>
      <c r="E6" s="3">
        <f t="shared" si="1"/>
        <v>156618.24609375</v>
      </c>
      <c r="F6" s="3">
        <f t="shared" si="1"/>
        <v>158575.97416992186</v>
      </c>
      <c r="G6" s="3">
        <f t="shared" si="1"/>
        <v>160558.17384704589</v>
      </c>
      <c r="H6" s="3">
        <f t="shared" si="1"/>
        <v>162565.15102013393</v>
      </c>
      <c r="I6" s="3">
        <f t="shared" si="1"/>
        <v>164597.21540788558</v>
      </c>
      <c r="J6" s="3">
        <f t="shared" si="1"/>
        <v>166654.68060048416</v>
      </c>
      <c r="K6" s="3">
        <f t="shared" si="1"/>
        <v>168737.8641079902</v>
      </c>
      <c r="L6" s="3">
        <f t="shared" si="1"/>
        <v>170847.08740934011</v>
      </c>
    </row>
    <row r="7" spans="1:12">
      <c r="A7" s="10" t="s">
        <v>166</v>
      </c>
      <c r="B7" s="10"/>
      <c r="C7" s="3">
        <f t="shared" ref="C7:L7" si="2">($M$277*C292*$M$278*C276)*(1-$M$279)*$M$286</f>
        <v>4725</v>
      </c>
      <c r="D7" s="3">
        <f t="shared" si="2"/>
        <v>4784.0625</v>
      </c>
      <c r="E7" s="3">
        <f t="shared" si="2"/>
        <v>4843.86328125</v>
      </c>
      <c r="F7" s="3">
        <f t="shared" si="2"/>
        <v>4904.4115722656252</v>
      </c>
      <c r="G7" s="3">
        <f t="shared" si="2"/>
        <v>4965.7167169189452</v>
      </c>
      <c r="H7" s="3">
        <f t="shared" si="2"/>
        <v>5027.7881758804306</v>
      </c>
      <c r="I7" s="3">
        <f t="shared" si="2"/>
        <v>5090.6355280789357</v>
      </c>
      <c r="J7" s="3">
        <f t="shared" si="2"/>
        <v>5154.2684721799224</v>
      </c>
      <c r="K7" s="3">
        <f t="shared" si="2"/>
        <v>5218.6968280821711</v>
      </c>
      <c r="L7" s="3">
        <f t="shared" si="2"/>
        <v>5283.9305384331992</v>
      </c>
    </row>
    <row r="8" spans="1:12">
      <c r="A8" s="10" t="s">
        <v>81</v>
      </c>
      <c r="B8" s="10"/>
      <c r="C8" s="3">
        <f t="shared" ref="C8:L8" si="3">C274*$M$275*$M$277*C292*$M$278</f>
        <v>56250</v>
      </c>
      <c r="D8" s="3">
        <f t="shared" si="3"/>
        <v>56953.125</v>
      </c>
      <c r="E8" s="3">
        <f t="shared" si="3"/>
        <v>57665.0390625</v>
      </c>
      <c r="F8" s="3">
        <f t="shared" si="3"/>
        <v>58385.85205078125</v>
      </c>
      <c r="G8" s="3">
        <f t="shared" si="3"/>
        <v>59115.675201416016</v>
      </c>
      <c r="H8" s="3">
        <f t="shared" si="3"/>
        <v>59854.621141433709</v>
      </c>
      <c r="I8" s="3">
        <f t="shared" si="3"/>
        <v>60602.803905701621</v>
      </c>
      <c r="J8" s="3">
        <f t="shared" si="3"/>
        <v>61360.338954522893</v>
      </c>
      <c r="K8" s="3">
        <f t="shared" si="3"/>
        <v>62127.343191454427</v>
      </c>
      <c r="L8" s="3">
        <f t="shared" si="3"/>
        <v>62903.934981347615</v>
      </c>
    </row>
    <row r="9" spans="1:12">
      <c r="A9" s="10" t="s">
        <v>119</v>
      </c>
      <c r="B9" s="10"/>
      <c r="C9" s="3">
        <f>C280*C281</f>
        <v>153125</v>
      </c>
      <c r="D9" s="3">
        <f t="shared" ref="D9:L9" si="4">D280*D281</f>
        <v>158139.84375</v>
      </c>
      <c r="E9" s="3">
        <f t="shared" si="4"/>
        <v>163318.92363281251</v>
      </c>
      <c r="F9" s="3">
        <f t="shared" si="4"/>
        <v>168667.61838178712</v>
      </c>
      <c r="G9" s="3">
        <f t="shared" si="4"/>
        <v>174191.48288379065</v>
      </c>
      <c r="H9" s="3">
        <f t="shared" si="4"/>
        <v>179896.25394823478</v>
      </c>
      <c r="I9" s="3">
        <f t="shared" si="4"/>
        <v>185787.85626503945</v>
      </c>
      <c r="J9" s="3">
        <f t="shared" si="4"/>
        <v>191872.40855771946</v>
      </c>
      <c r="K9" s="3">
        <f t="shared" si="4"/>
        <v>198156.22993798481</v>
      </c>
      <c r="L9" s="3">
        <f t="shared" si="4"/>
        <v>204645.84646845382</v>
      </c>
    </row>
    <row r="10" spans="1:12">
      <c r="A10" s="10" t="s">
        <v>87</v>
      </c>
      <c r="B10" s="10"/>
      <c r="C10" s="3">
        <f t="shared" ref="C10:L10" si="5">C284*$M$277*$M$278*$M$285</f>
        <v>2625</v>
      </c>
      <c r="D10" s="3">
        <f t="shared" si="5"/>
        <v>2657.8125</v>
      </c>
      <c r="E10" s="3">
        <f t="shared" si="5"/>
        <v>2691.0351562499995</v>
      </c>
      <c r="F10" s="3">
        <f t="shared" si="5"/>
        <v>2724.6730957031245</v>
      </c>
      <c r="G10" s="3">
        <f t="shared" si="5"/>
        <v>2758.7315093994134</v>
      </c>
      <c r="H10" s="3">
        <f t="shared" si="5"/>
        <v>2793.215653266906</v>
      </c>
      <c r="I10" s="3">
        <f t="shared" si="5"/>
        <v>2828.1308489327421</v>
      </c>
      <c r="J10" s="3">
        <f t="shared" si="5"/>
        <v>2863.4824845444009</v>
      </c>
      <c r="K10" s="3">
        <f t="shared" si="5"/>
        <v>2899.2760156012059</v>
      </c>
      <c r="L10" s="3">
        <f t="shared" si="5"/>
        <v>2935.516965796221</v>
      </c>
    </row>
    <row r="11" spans="1:12">
      <c r="A11" s="10" t="s">
        <v>122</v>
      </c>
      <c r="B11" s="10"/>
      <c r="C11" s="3">
        <f t="shared" ref="C11:L11" si="6">$M$287*C281*C288</f>
        <v>5625</v>
      </c>
      <c r="D11" s="3">
        <f t="shared" si="6"/>
        <v>5809.21875</v>
      </c>
      <c r="E11" s="3">
        <f t="shared" si="6"/>
        <v>5999.4706640625009</v>
      </c>
      <c r="F11" s="3">
        <f t="shared" si="6"/>
        <v>6195.9533283105475</v>
      </c>
      <c r="G11" s="3">
        <f t="shared" si="6"/>
        <v>6398.8707998127175</v>
      </c>
      <c r="H11" s="3">
        <f t="shared" si="6"/>
        <v>6608.4338185065835</v>
      </c>
      <c r="I11" s="3">
        <f t="shared" si="6"/>
        <v>6824.8600260626727</v>
      </c>
      <c r="J11" s="3">
        <f t="shared" si="6"/>
        <v>7048.3741919162258</v>
      </c>
      <c r="K11" s="3">
        <f t="shared" si="6"/>
        <v>7279.2084467014829</v>
      </c>
      <c r="L11" s="3">
        <f t="shared" si="6"/>
        <v>7517.6025233309556</v>
      </c>
    </row>
    <row r="12" spans="1:12">
      <c r="A12" s="10" t="s">
        <v>123</v>
      </c>
      <c r="B12" s="10"/>
      <c r="C12" s="3">
        <f t="shared" ref="C12:L12" si="7">C281*C290*$M$289</f>
        <v>3125</v>
      </c>
      <c r="D12" s="3">
        <f t="shared" si="7"/>
        <v>3227.34375</v>
      </c>
      <c r="E12" s="3">
        <f t="shared" si="7"/>
        <v>3333.0392578125002</v>
      </c>
      <c r="F12" s="3">
        <f t="shared" si="7"/>
        <v>3442.1962935058596</v>
      </c>
      <c r="G12" s="3">
        <f t="shared" si="7"/>
        <v>3554.9282221181761</v>
      </c>
      <c r="H12" s="3">
        <f t="shared" si="7"/>
        <v>3671.352121392546</v>
      </c>
      <c r="I12" s="3">
        <f t="shared" si="7"/>
        <v>3791.5889033681519</v>
      </c>
      <c r="J12" s="3">
        <f t="shared" si="7"/>
        <v>3915.7634399534591</v>
      </c>
      <c r="K12" s="3">
        <f t="shared" si="7"/>
        <v>4044.0046926119344</v>
      </c>
      <c r="L12" s="3">
        <f t="shared" si="7"/>
        <v>4176.4458462949751</v>
      </c>
    </row>
    <row r="13" spans="1:12">
      <c r="A13" s="10" t="s">
        <v>124</v>
      </c>
      <c r="B13" s="10"/>
      <c r="C13" s="3">
        <f t="shared" ref="C13:L13" si="8">C6*$M$291</f>
        <v>12222</v>
      </c>
      <c r="D13" s="3">
        <f t="shared" si="8"/>
        <v>12374.775</v>
      </c>
      <c r="E13" s="3">
        <f t="shared" si="8"/>
        <v>12529.459687500001</v>
      </c>
      <c r="F13" s="3">
        <f t="shared" si="8"/>
        <v>12686.07793359375</v>
      </c>
      <c r="G13" s="3">
        <f t="shared" si="8"/>
        <v>12844.653907763672</v>
      </c>
      <c r="H13" s="3">
        <f t="shared" si="8"/>
        <v>13005.212081610714</v>
      </c>
      <c r="I13" s="3">
        <f t="shared" si="8"/>
        <v>13167.777232630848</v>
      </c>
      <c r="J13" s="3">
        <f t="shared" si="8"/>
        <v>13332.374448038734</v>
      </c>
      <c r="K13" s="3">
        <f t="shared" si="8"/>
        <v>13499.029128639217</v>
      </c>
      <c r="L13" s="3">
        <f t="shared" si="8"/>
        <v>13667.766992747209</v>
      </c>
    </row>
    <row r="14" spans="1:12">
      <c r="A14" s="10" t="s">
        <v>82</v>
      </c>
      <c r="B14" s="10"/>
      <c r="C14" s="3">
        <f t="shared" ref="C14:L14" si="9">C282*C292*$M$277*$M$283*$M$278</f>
        <v>90000</v>
      </c>
      <c r="D14" s="3">
        <f t="shared" si="9"/>
        <v>91125</v>
      </c>
      <c r="E14" s="3">
        <f t="shared" si="9"/>
        <v>92264.0625</v>
      </c>
      <c r="F14" s="3">
        <f t="shared" si="9"/>
        <v>93417.36328125</v>
      </c>
      <c r="G14" s="3">
        <f t="shared" si="9"/>
        <v>94585.080322265625</v>
      </c>
      <c r="H14" s="3">
        <f t="shared" si="9"/>
        <v>95767.393826293934</v>
      </c>
      <c r="I14" s="3">
        <f t="shared" si="9"/>
        <v>96964.486249122594</v>
      </c>
      <c r="J14" s="3">
        <f t="shared" si="9"/>
        <v>98176.542327236632</v>
      </c>
      <c r="K14" s="3">
        <f t="shared" si="9"/>
        <v>99403.749106327072</v>
      </c>
      <c r="L14" s="3">
        <f t="shared" si="9"/>
        <v>100646.29597015618</v>
      </c>
    </row>
    <row r="15" spans="1:12">
      <c r="A15" s="12" t="s">
        <v>12</v>
      </c>
      <c r="B15" s="12"/>
      <c r="C15" s="19">
        <f t="shared" ref="C15:L15" si="10">SUM(C6:C14)</f>
        <v>480472</v>
      </c>
      <c r="D15" s="19">
        <f t="shared" si="10"/>
        <v>489755.86875000002</v>
      </c>
      <c r="E15" s="19">
        <f t="shared" si="10"/>
        <v>499263.13933593751</v>
      </c>
      <c r="F15" s="19">
        <f t="shared" si="10"/>
        <v>509000.12010711915</v>
      </c>
      <c r="G15" s="19">
        <f t="shared" si="10"/>
        <v>518973.31341053109</v>
      </c>
      <c r="H15" s="19">
        <f t="shared" si="10"/>
        <v>529189.42178675358</v>
      </c>
      <c r="I15" s="19">
        <f t="shared" si="10"/>
        <v>539655.35436682263</v>
      </c>
      <c r="J15" s="19">
        <f t="shared" si="10"/>
        <v>550378.23347659584</v>
      </c>
      <c r="K15" s="19">
        <f t="shared" si="10"/>
        <v>561365.40145539248</v>
      </c>
      <c r="L15" s="19">
        <f t="shared" si="10"/>
        <v>572624.42769590032</v>
      </c>
    </row>
    <row r="17" spans="1:12">
      <c r="A17" s="3" t="s">
        <v>46</v>
      </c>
      <c r="C17" s="3">
        <f t="shared" ref="C17:L17" si="11">(C11+C12+C13)/(1+$M$293)</f>
        <v>11984</v>
      </c>
      <c r="D17" s="3">
        <f t="shared" si="11"/>
        <v>12235.050000000001</v>
      </c>
      <c r="E17" s="3">
        <f t="shared" si="11"/>
        <v>12492.554062500001</v>
      </c>
      <c r="F17" s="3">
        <f t="shared" si="11"/>
        <v>12756.701460234375</v>
      </c>
      <c r="G17" s="3">
        <f t="shared" si="11"/>
        <v>13027.687388396895</v>
      </c>
      <c r="H17" s="3">
        <f t="shared" si="11"/>
        <v>13305.713155148482</v>
      </c>
      <c r="I17" s="3">
        <f t="shared" si="11"/>
        <v>13590.986378320955</v>
      </c>
      <c r="J17" s="3">
        <f t="shared" si="11"/>
        <v>13883.721188519095</v>
      </c>
      <c r="K17" s="3">
        <f t="shared" si="11"/>
        <v>14184.138438830078</v>
      </c>
      <c r="L17" s="3">
        <f t="shared" si="11"/>
        <v>14492.465921356081</v>
      </c>
    </row>
    <row r="18" spans="1:12">
      <c r="A18" s="3" t="s">
        <v>103</v>
      </c>
      <c r="C18" s="11">
        <f t="shared" ref="C18:L18" si="12">C14/(1+$M$293)</f>
        <v>51428.571428571428</v>
      </c>
      <c r="D18" s="11">
        <f t="shared" si="12"/>
        <v>52071.428571428572</v>
      </c>
      <c r="E18" s="11">
        <f t="shared" si="12"/>
        <v>52722.321428571428</v>
      </c>
      <c r="F18" s="11">
        <f t="shared" si="12"/>
        <v>53381.350446428572</v>
      </c>
      <c r="G18" s="11">
        <f t="shared" si="12"/>
        <v>54048.617327008928</v>
      </c>
      <c r="H18" s="11">
        <f t="shared" si="12"/>
        <v>54724.225043596532</v>
      </c>
      <c r="I18" s="11">
        <f t="shared" si="12"/>
        <v>55408.277856641485</v>
      </c>
      <c r="J18" s="11">
        <f t="shared" si="12"/>
        <v>56100.881329849501</v>
      </c>
      <c r="K18" s="11">
        <f t="shared" si="12"/>
        <v>56802.14234647261</v>
      </c>
      <c r="L18" s="11">
        <f t="shared" si="12"/>
        <v>57512.169125803528</v>
      </c>
    </row>
    <row r="19" spans="1:12">
      <c r="A19" s="10" t="s">
        <v>47</v>
      </c>
      <c r="C19" s="3">
        <f>C15-SUM(C17:C18)</f>
        <v>417059.42857142858</v>
      </c>
      <c r="D19" s="3">
        <f t="shared" ref="D19:L19" si="13">D15-SUM(D17:D18)</f>
        <v>425449.39017857146</v>
      </c>
      <c r="E19" s="3">
        <f t="shared" si="13"/>
        <v>434048.26384486607</v>
      </c>
      <c r="F19" s="3">
        <f t="shared" si="13"/>
        <v>442862.06820045621</v>
      </c>
      <c r="G19" s="3">
        <f t="shared" si="13"/>
        <v>451897.00869512523</v>
      </c>
      <c r="H19" s="3">
        <f t="shared" si="13"/>
        <v>461159.48358800856</v>
      </c>
      <c r="I19" s="3">
        <f t="shared" si="13"/>
        <v>470656.09013186023</v>
      </c>
      <c r="J19" s="3">
        <f t="shared" si="13"/>
        <v>480393.63095822721</v>
      </c>
      <c r="K19" s="3">
        <f t="shared" si="13"/>
        <v>490379.12067008979</v>
      </c>
      <c r="L19" s="3">
        <f t="shared" si="13"/>
        <v>500619.79264874069</v>
      </c>
    </row>
    <row r="21" spans="1:12">
      <c r="A21" s="3" t="s">
        <v>21</v>
      </c>
    </row>
    <row r="22" spans="1:12">
      <c r="A22" s="10" t="s">
        <v>92</v>
      </c>
      <c r="B22" s="10"/>
      <c r="C22" s="3">
        <f>C307</f>
        <v>40000</v>
      </c>
      <c r="D22" s="3">
        <f t="shared" ref="D22:L22" si="14">D307</f>
        <v>40500</v>
      </c>
      <c r="E22" s="3">
        <f t="shared" si="14"/>
        <v>41006.25</v>
      </c>
      <c r="F22" s="3">
        <f t="shared" si="14"/>
        <v>41518.828125</v>
      </c>
      <c r="G22" s="3">
        <f t="shared" si="14"/>
        <v>42037.8134765625</v>
      </c>
      <c r="H22" s="3">
        <f t="shared" si="14"/>
        <v>42563.286145019527</v>
      </c>
      <c r="I22" s="3">
        <f t="shared" si="14"/>
        <v>43095.327221832267</v>
      </c>
      <c r="J22" s="3">
        <f t="shared" si="14"/>
        <v>43634.018812105169</v>
      </c>
      <c r="K22" s="3">
        <f t="shared" si="14"/>
        <v>44179.444047256482</v>
      </c>
      <c r="L22" s="3">
        <f t="shared" si="14"/>
        <v>44731.687097847185</v>
      </c>
    </row>
    <row r="23" spans="1:12">
      <c r="A23" s="10" t="s">
        <v>93</v>
      </c>
      <c r="B23" s="10"/>
      <c r="C23" s="3">
        <f>C294</f>
        <v>15000</v>
      </c>
      <c r="D23" s="3">
        <f t="shared" ref="D23:L23" si="15">D294</f>
        <v>13500</v>
      </c>
      <c r="E23" s="3">
        <f t="shared" si="15"/>
        <v>12150</v>
      </c>
      <c r="F23" s="3">
        <f t="shared" si="15"/>
        <v>10935</v>
      </c>
      <c r="G23" s="3">
        <f t="shared" si="15"/>
        <v>9841.5</v>
      </c>
      <c r="H23" s="3">
        <f t="shared" si="15"/>
        <v>8857.35</v>
      </c>
      <c r="I23" s="3">
        <f t="shared" si="15"/>
        <v>7971.6150000000007</v>
      </c>
      <c r="J23" s="3">
        <f t="shared" si="15"/>
        <v>7174.4535000000005</v>
      </c>
      <c r="K23" s="3">
        <f t="shared" si="15"/>
        <v>6457.0081500000006</v>
      </c>
      <c r="L23" s="3">
        <f t="shared" si="15"/>
        <v>5811.3073350000004</v>
      </c>
    </row>
    <row r="24" spans="1:12">
      <c r="A24" s="10" t="s">
        <v>88</v>
      </c>
      <c r="B24" s="10"/>
      <c r="C24" s="3">
        <f>$M$295*40*C292*C296</f>
        <v>134400</v>
      </c>
      <c r="D24" s="3">
        <f t="shared" ref="D24:L24" si="16">$M$295*40*D292*D296</f>
        <v>136080</v>
      </c>
      <c r="E24" s="3">
        <f t="shared" si="16"/>
        <v>137781</v>
      </c>
      <c r="F24" s="3">
        <f t="shared" si="16"/>
        <v>139503.26249999998</v>
      </c>
      <c r="G24" s="3">
        <f t="shared" si="16"/>
        <v>141247.05328124997</v>
      </c>
      <c r="H24" s="3">
        <f t="shared" si="16"/>
        <v>143012.64144726557</v>
      </c>
      <c r="I24" s="3">
        <f t="shared" si="16"/>
        <v>144800.29946535639</v>
      </c>
      <c r="J24" s="3">
        <f t="shared" si="16"/>
        <v>146610.30320867334</v>
      </c>
      <c r="K24" s="3">
        <f t="shared" si="16"/>
        <v>148442.93199878174</v>
      </c>
      <c r="L24" s="3">
        <f t="shared" si="16"/>
        <v>150298.46864876652</v>
      </c>
    </row>
    <row r="25" spans="1:12">
      <c r="A25" s="10" t="s">
        <v>79</v>
      </c>
      <c r="B25" s="10"/>
      <c r="C25" s="3">
        <f t="shared" ref="C25:L25" si="17">C15*$M$300</f>
        <v>24023.600000000002</v>
      </c>
      <c r="D25" s="3">
        <f t="shared" si="17"/>
        <v>24487.793437500004</v>
      </c>
      <c r="E25" s="3">
        <f t="shared" si="17"/>
        <v>24963.156966796876</v>
      </c>
      <c r="F25" s="3">
        <f t="shared" si="17"/>
        <v>25450.006005355957</v>
      </c>
      <c r="G25" s="3">
        <f t="shared" si="17"/>
        <v>25948.665670526556</v>
      </c>
      <c r="H25" s="3">
        <f t="shared" si="17"/>
        <v>26459.47108933768</v>
      </c>
      <c r="I25" s="3">
        <f t="shared" si="17"/>
        <v>26982.767718341132</v>
      </c>
      <c r="J25" s="3">
        <f t="shared" si="17"/>
        <v>27518.911673829793</v>
      </c>
      <c r="K25" s="3">
        <f t="shared" si="17"/>
        <v>28068.270072769625</v>
      </c>
      <c r="L25" s="3">
        <f t="shared" si="17"/>
        <v>28631.221384795019</v>
      </c>
    </row>
    <row r="26" spans="1:12">
      <c r="A26" s="10" t="s">
        <v>80</v>
      </c>
      <c r="B26" s="10"/>
      <c r="C26" s="3">
        <f t="shared" ref="C26:L26" si="18">C15*$M$301+$O$301*$M$267</f>
        <v>52509.440000000002</v>
      </c>
      <c r="D26" s="3">
        <f t="shared" si="18"/>
        <v>52695.117375000002</v>
      </c>
      <c r="E26" s="3">
        <f t="shared" si="18"/>
        <v>52885.262786718755</v>
      </c>
      <c r="F26" s="3">
        <f t="shared" si="18"/>
        <v>53080.002402142381</v>
      </c>
      <c r="G26" s="3">
        <f t="shared" si="18"/>
        <v>53279.466268210621</v>
      </c>
      <c r="H26" s="3">
        <f t="shared" si="18"/>
        <v>53483.78843573507</v>
      </c>
      <c r="I26" s="3">
        <f t="shared" si="18"/>
        <v>53693.107087336452</v>
      </c>
      <c r="J26" s="3">
        <f t="shared" si="18"/>
        <v>53907.564669531916</v>
      </c>
      <c r="K26" s="3">
        <f t="shared" si="18"/>
        <v>54127.308029107851</v>
      </c>
      <c r="L26" s="3">
        <f t="shared" si="18"/>
        <v>54352.48855391801</v>
      </c>
    </row>
    <row r="27" spans="1:12">
      <c r="A27" s="10" t="s">
        <v>167</v>
      </c>
      <c r="B27" s="10"/>
      <c r="C27" s="13">
        <f>C292*C297</f>
        <v>15000</v>
      </c>
      <c r="D27" s="13">
        <f t="shared" ref="D27:L27" si="19">D292*D297</f>
        <v>15187.5</v>
      </c>
      <c r="E27" s="13">
        <f t="shared" si="19"/>
        <v>15377.34375</v>
      </c>
      <c r="F27" s="13">
        <f t="shared" si="19"/>
        <v>15569.560546875</v>
      </c>
      <c r="G27" s="13">
        <f t="shared" si="19"/>
        <v>15764.180053710936</v>
      </c>
      <c r="H27" s="13">
        <f t="shared" si="19"/>
        <v>15961.232304382323</v>
      </c>
      <c r="I27" s="13">
        <f t="shared" si="19"/>
        <v>16160.7477081871</v>
      </c>
      <c r="J27" s="13">
        <f t="shared" si="19"/>
        <v>16362.757054539437</v>
      </c>
      <c r="K27" s="13">
        <f t="shared" si="19"/>
        <v>16567.29151772118</v>
      </c>
      <c r="L27" s="13">
        <f t="shared" si="19"/>
        <v>16774.382661692696</v>
      </c>
    </row>
    <row r="28" spans="1:12">
      <c r="A28" s="10" t="s">
        <v>94</v>
      </c>
      <c r="B28" s="10"/>
      <c r="C28" s="13">
        <f t="shared" ref="C28:L28" si="20">C80*$M$298</f>
        <v>31406.04</v>
      </c>
      <c r="D28" s="13">
        <f t="shared" si="20"/>
        <v>30516.080000000002</v>
      </c>
      <c r="E28" s="13">
        <f t="shared" si="20"/>
        <v>29626.12</v>
      </c>
      <c r="F28" s="13">
        <f t="shared" si="20"/>
        <v>28736.16</v>
      </c>
      <c r="G28" s="13">
        <f t="shared" si="20"/>
        <v>27846.2</v>
      </c>
      <c r="H28" s="13">
        <f t="shared" si="20"/>
        <v>31665.4</v>
      </c>
      <c r="I28" s="13">
        <f t="shared" si="20"/>
        <v>30540.600000000002</v>
      </c>
      <c r="J28" s="13">
        <f t="shared" si="20"/>
        <v>29415.8</v>
      </c>
      <c r="K28" s="13">
        <f t="shared" si="20"/>
        <v>28291</v>
      </c>
      <c r="L28" s="13">
        <f t="shared" si="20"/>
        <v>27166.2</v>
      </c>
    </row>
    <row r="29" spans="1:12">
      <c r="A29" s="10" t="s">
        <v>95</v>
      </c>
      <c r="B29" s="10"/>
      <c r="C29" s="13">
        <f t="shared" ref="C29:L29" si="21">(C70+C74)*$M$299</f>
        <v>28148.04</v>
      </c>
      <c r="D29" s="13">
        <f t="shared" si="21"/>
        <v>27600.080000000002</v>
      </c>
      <c r="E29" s="13">
        <f t="shared" si="21"/>
        <v>27052.12</v>
      </c>
      <c r="F29" s="13">
        <f t="shared" si="21"/>
        <v>26504.16</v>
      </c>
      <c r="G29" s="13">
        <f t="shared" si="21"/>
        <v>25956.2</v>
      </c>
      <c r="H29" s="13">
        <f t="shared" si="21"/>
        <v>30117.4</v>
      </c>
      <c r="I29" s="13">
        <f t="shared" si="21"/>
        <v>29334.600000000002</v>
      </c>
      <c r="J29" s="13">
        <f t="shared" si="21"/>
        <v>28551.8</v>
      </c>
      <c r="K29" s="13">
        <f t="shared" si="21"/>
        <v>27769</v>
      </c>
      <c r="L29" s="13">
        <f t="shared" si="21"/>
        <v>26986.2</v>
      </c>
    </row>
    <row r="30" spans="1:12">
      <c r="A30" s="12" t="s">
        <v>33</v>
      </c>
      <c r="B30" s="12"/>
      <c r="C30" s="19">
        <f t="shared" ref="C30:L30" si="22">SUM(C22:C29)</f>
        <v>340487.12</v>
      </c>
      <c r="D30" s="19">
        <f t="shared" si="22"/>
        <v>340566.57081250008</v>
      </c>
      <c r="E30" s="19">
        <f t="shared" si="22"/>
        <v>340841.25350351562</v>
      </c>
      <c r="F30" s="19">
        <f t="shared" si="22"/>
        <v>341296.97957937326</v>
      </c>
      <c r="G30" s="19">
        <f t="shared" si="22"/>
        <v>341921.07875026064</v>
      </c>
      <c r="H30" s="19">
        <f t="shared" si="22"/>
        <v>352120.56942174019</v>
      </c>
      <c r="I30" s="19">
        <f t="shared" si="22"/>
        <v>352579.06420105329</v>
      </c>
      <c r="J30" s="19">
        <f t="shared" si="22"/>
        <v>353175.6089186797</v>
      </c>
      <c r="K30" s="19">
        <f t="shared" si="22"/>
        <v>353902.25381563691</v>
      </c>
      <c r="L30" s="19">
        <f t="shared" si="22"/>
        <v>354751.95568201947</v>
      </c>
    </row>
    <row r="31" spans="1:12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9" t="s">
        <v>32</v>
      </c>
      <c r="B32" s="9"/>
      <c r="C32" s="3">
        <f t="shared" ref="C32:L32" si="23">C19-C30</f>
        <v>76572.308571428584</v>
      </c>
      <c r="D32" s="3">
        <f t="shared" si="23"/>
        <v>84882.819366071373</v>
      </c>
      <c r="E32" s="3">
        <f t="shared" si="23"/>
        <v>93207.010341350455</v>
      </c>
      <c r="F32" s="3">
        <f t="shared" si="23"/>
        <v>101565.08862108295</v>
      </c>
      <c r="G32" s="3">
        <f t="shared" si="23"/>
        <v>109975.92994486459</v>
      </c>
      <c r="H32" s="3">
        <f t="shared" si="23"/>
        <v>109038.91416626837</v>
      </c>
      <c r="I32" s="3">
        <f t="shared" si="23"/>
        <v>118077.02593080694</v>
      </c>
      <c r="J32" s="3">
        <f t="shared" si="23"/>
        <v>127218.0220395475</v>
      </c>
      <c r="K32" s="3">
        <f t="shared" si="23"/>
        <v>136476.86685445288</v>
      </c>
      <c r="L32" s="3">
        <f t="shared" si="23"/>
        <v>145867.83696672122</v>
      </c>
    </row>
    <row r="33" spans="1:12">
      <c r="A33" s="9"/>
      <c r="B33" s="9"/>
    </row>
    <row r="34" spans="1:12">
      <c r="A34" s="9" t="s">
        <v>34</v>
      </c>
      <c r="B34" s="9"/>
    </row>
    <row r="35" spans="1:12">
      <c r="A35" s="10" t="s">
        <v>48</v>
      </c>
      <c r="B35" s="10"/>
      <c r="C35" s="3">
        <f t="shared" ref="C35:L35" si="24">(C72-($M$255*C72))/$M$254</f>
        <v>27398</v>
      </c>
      <c r="D35" s="3">
        <f t="shared" si="24"/>
        <v>27398</v>
      </c>
      <c r="E35" s="3">
        <f t="shared" si="24"/>
        <v>27398</v>
      </c>
      <c r="F35" s="3">
        <f t="shared" si="24"/>
        <v>27398</v>
      </c>
      <c r="G35" s="3">
        <f t="shared" si="24"/>
        <v>27398</v>
      </c>
      <c r="H35" s="3">
        <f t="shared" si="24"/>
        <v>39140</v>
      </c>
      <c r="I35" s="3">
        <f t="shared" si="24"/>
        <v>39140</v>
      </c>
      <c r="J35" s="3">
        <f t="shared" si="24"/>
        <v>39140</v>
      </c>
      <c r="K35" s="3">
        <f t="shared" si="24"/>
        <v>39140</v>
      </c>
      <c r="L35" s="3">
        <f t="shared" si="24"/>
        <v>39140</v>
      </c>
    </row>
    <row r="36" spans="1:12">
      <c r="A36" s="10" t="s">
        <v>49</v>
      </c>
      <c r="B36" s="10"/>
      <c r="C36" s="3">
        <f t="shared" ref="C36:L36" si="25">(C76-($M$257*C76))/$M$256</f>
        <v>17100</v>
      </c>
      <c r="D36" s="3">
        <f t="shared" si="25"/>
        <v>17100</v>
      </c>
      <c r="E36" s="3">
        <f t="shared" si="25"/>
        <v>17100</v>
      </c>
      <c r="F36" s="3">
        <f t="shared" si="25"/>
        <v>17100</v>
      </c>
      <c r="G36" s="3">
        <f t="shared" si="25"/>
        <v>17100</v>
      </c>
      <c r="H36" s="3">
        <f t="shared" si="25"/>
        <v>17100</v>
      </c>
      <c r="I36" s="3">
        <f t="shared" si="25"/>
        <v>17100</v>
      </c>
      <c r="J36" s="3">
        <f t="shared" si="25"/>
        <v>17100</v>
      </c>
      <c r="K36" s="3">
        <f t="shared" si="25"/>
        <v>17100</v>
      </c>
      <c r="L36" s="3">
        <f t="shared" si="25"/>
        <v>17100</v>
      </c>
    </row>
    <row r="37" spans="1:12">
      <c r="A37" s="10" t="s">
        <v>28</v>
      </c>
      <c r="B37" s="10"/>
      <c r="C37" s="13">
        <f t="shared" ref="C37:L37" si="26">-CUMIPMT($M$262/12,$M$264*12,$M$261,(((C4+1)-$C$4)*12)-11,(((C4+1)-$C$4)*12),0)</f>
        <v>57007.406228428692</v>
      </c>
      <c r="D37" s="13">
        <f t="shared" si="26"/>
        <v>56140.988002033526</v>
      </c>
      <c r="E37" s="13">
        <f t="shared" si="26"/>
        <v>55230.242174816653</v>
      </c>
      <c r="F37" s="13">
        <f t="shared" si="26"/>
        <v>54272.900862591501</v>
      </c>
      <c r="G37" s="13">
        <f t="shared" si="26"/>
        <v>53266.580151912312</v>
      </c>
      <c r="H37" s="13">
        <f t="shared" si="26"/>
        <v>52208.77416379709</v>
      </c>
      <c r="I37" s="13">
        <f t="shared" si="26"/>
        <v>51096.848813739227</v>
      </c>
      <c r="J37" s="13">
        <f t="shared" si="26"/>
        <v>49928.035252469592</v>
      </c>
      <c r="K37" s="13">
        <f t="shared" si="26"/>
        <v>48699.4229711355</v>
      </c>
      <c r="L37" s="13">
        <f t="shared" si="26"/>
        <v>47407.952553727533</v>
      </c>
    </row>
    <row r="38" spans="1:12">
      <c r="A38" s="10" t="s">
        <v>178</v>
      </c>
      <c r="B38" s="10"/>
      <c r="C38" s="13">
        <f t="shared" ref="C38:L38" si="27">C94*C258</f>
        <v>9685.7050779157362</v>
      </c>
      <c r="D38" s="13">
        <f t="shared" si="27"/>
        <v>9578.4089297453284</v>
      </c>
      <c r="E38" s="13">
        <f t="shared" si="27"/>
        <v>8430.4716592267232</v>
      </c>
      <c r="F38" s="13">
        <f t="shared" si="27"/>
        <v>6109.1325525662778</v>
      </c>
      <c r="G38" s="13">
        <f t="shared" si="27"/>
        <v>2462.8908063184385</v>
      </c>
      <c r="H38" s="13">
        <f t="shared" si="27"/>
        <v>29277.178874207184</v>
      </c>
      <c r="I38" s="13">
        <f t="shared" si="27"/>
        <v>27496.386944803729</v>
      </c>
      <c r="J38" s="13">
        <f t="shared" si="27"/>
        <v>24367.410184453081</v>
      </c>
      <c r="K38" s="13">
        <f t="shared" si="27"/>
        <v>19709.107583106284</v>
      </c>
      <c r="L38" s="13">
        <f t="shared" si="27"/>
        <v>13608.572989164635</v>
      </c>
    </row>
    <row r="39" spans="1:12">
      <c r="A39" s="12" t="s">
        <v>35</v>
      </c>
      <c r="B39" s="12"/>
      <c r="C39" s="19">
        <f>SUM(C35:C38)</f>
        <v>111191.11130634442</v>
      </c>
      <c r="D39" s="19">
        <f>SUM(D35:D38)</f>
        <v>110217.39693177886</v>
      </c>
      <c r="E39" s="19">
        <f>SUM(E35:E38)</f>
        <v>108158.71383404337</v>
      </c>
      <c r="F39" s="19">
        <f>SUM(F35:F38)</f>
        <v>104880.03341515778</v>
      </c>
      <c r="G39" s="19">
        <f t="shared" ref="G39:L39" si="28">SUM(G35:G38)</f>
        <v>100227.47095823076</v>
      </c>
      <c r="H39" s="19">
        <f t="shared" si="28"/>
        <v>137725.95303800429</v>
      </c>
      <c r="I39" s="19">
        <f t="shared" si="28"/>
        <v>134833.23575854296</v>
      </c>
      <c r="J39" s="19">
        <f t="shared" si="28"/>
        <v>130535.44543692267</v>
      </c>
      <c r="K39" s="19">
        <f t="shared" si="28"/>
        <v>124648.53055424179</v>
      </c>
      <c r="L39" s="19">
        <f t="shared" si="28"/>
        <v>117256.52554289217</v>
      </c>
    </row>
    <row r="40" spans="1:12">
      <c r="A40" s="12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>
      <c r="A41" s="3" t="s">
        <v>24</v>
      </c>
      <c r="C41" s="19">
        <f>C32-C39</f>
        <v>-34618.802734915836</v>
      </c>
      <c r="D41" s="19">
        <f>D32-D39</f>
        <v>-25334.577565707485</v>
      </c>
      <c r="E41" s="19">
        <f>E32-E39</f>
        <v>-14951.703492692919</v>
      </c>
      <c r="F41" s="19">
        <f>F32-F39</f>
        <v>-3314.944794074836</v>
      </c>
      <c r="G41" s="19">
        <f t="shared" ref="G41:L41" si="29">G32-G39</f>
        <v>9748.4589866338356</v>
      </c>
      <c r="H41" s="19">
        <f t="shared" si="29"/>
        <v>-28687.038871735916</v>
      </c>
      <c r="I41" s="19">
        <f t="shared" si="29"/>
        <v>-16756.20982773602</v>
      </c>
      <c r="J41" s="19">
        <f t="shared" si="29"/>
        <v>-3317.4233973751689</v>
      </c>
      <c r="K41" s="19">
        <f t="shared" si="29"/>
        <v>11828.336300211085</v>
      </c>
      <c r="L41" s="19">
        <f t="shared" si="29"/>
        <v>28611.311423829058</v>
      </c>
    </row>
    <row r="42" spans="1:12">
      <c r="A42" s="3" t="s">
        <v>11</v>
      </c>
      <c r="C42" s="3">
        <f t="shared" ref="C42:L42" si="30">IF(C41&gt;0,C250*C41,0)</f>
        <v>0</v>
      </c>
      <c r="D42" s="3">
        <f t="shared" si="30"/>
        <v>0</v>
      </c>
      <c r="E42" s="3">
        <f t="shared" si="30"/>
        <v>0</v>
      </c>
      <c r="F42" s="3">
        <f t="shared" si="30"/>
        <v>0</v>
      </c>
      <c r="G42" s="3">
        <f t="shared" si="30"/>
        <v>1949.6917973267673</v>
      </c>
      <c r="H42" s="3">
        <f t="shared" si="30"/>
        <v>0</v>
      </c>
      <c r="I42" s="3">
        <f t="shared" si="30"/>
        <v>0</v>
      </c>
      <c r="J42" s="3">
        <f t="shared" si="30"/>
        <v>0</v>
      </c>
      <c r="K42" s="3">
        <f t="shared" si="30"/>
        <v>2365.6672600422171</v>
      </c>
      <c r="L42" s="3">
        <f t="shared" si="30"/>
        <v>5722.2622847658122</v>
      </c>
    </row>
    <row r="43" spans="1:12" ht="16.5" thickBot="1">
      <c r="A43" s="3" t="s">
        <v>13</v>
      </c>
      <c r="C43" s="14">
        <f>C41-C42</f>
        <v>-34618.802734915836</v>
      </c>
      <c r="D43" s="14">
        <f>D41-D42</f>
        <v>-25334.577565707485</v>
      </c>
      <c r="E43" s="14">
        <f>E41-E42</f>
        <v>-14951.703492692919</v>
      </c>
      <c r="F43" s="14">
        <f>F41-F42</f>
        <v>-3314.944794074836</v>
      </c>
      <c r="G43" s="14">
        <f t="shared" ref="G43:L43" si="31">G41-G42</f>
        <v>7798.7671893070683</v>
      </c>
      <c r="H43" s="14">
        <f t="shared" si="31"/>
        <v>-28687.038871735916</v>
      </c>
      <c r="I43" s="14">
        <f t="shared" si="31"/>
        <v>-16756.20982773602</v>
      </c>
      <c r="J43" s="14">
        <f t="shared" si="31"/>
        <v>-3317.4233973751689</v>
      </c>
      <c r="K43" s="14">
        <f t="shared" si="31"/>
        <v>9462.6690401688684</v>
      </c>
      <c r="L43" s="14">
        <f t="shared" si="31"/>
        <v>22889.049139063245</v>
      </c>
    </row>
    <row r="44" spans="1:12" ht="16.5" thickTop="1"/>
    <row r="47" spans="1:12">
      <c r="A47" s="72" t="s">
        <v>30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>
      <c r="A48" s="3" t="s">
        <v>31</v>
      </c>
      <c r="C48" s="3">
        <f t="shared" ref="C48:L48" si="32">C82-C104</f>
        <v>0</v>
      </c>
      <c r="D48" s="3">
        <f t="shared" si="32"/>
        <v>0</v>
      </c>
      <c r="E48" s="3">
        <f t="shared" si="32"/>
        <v>0</v>
      </c>
      <c r="F48" s="3">
        <f t="shared" si="32"/>
        <v>0</v>
      </c>
      <c r="G48" s="3">
        <f t="shared" si="32"/>
        <v>0</v>
      </c>
      <c r="H48" s="3">
        <f t="shared" si="32"/>
        <v>0</v>
      </c>
      <c r="I48" s="3">
        <f t="shared" si="32"/>
        <v>0</v>
      </c>
      <c r="J48" s="3">
        <f t="shared" si="32"/>
        <v>0</v>
      </c>
      <c r="K48" s="3">
        <f t="shared" si="32"/>
        <v>0</v>
      </c>
      <c r="L48" s="3">
        <f t="shared" si="32"/>
        <v>0</v>
      </c>
    </row>
    <row r="52" spans="1:12">
      <c r="A52" s="72" t="str">
        <f>A243</f>
        <v>Timber Creek Golf Course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>
      <c r="A53" s="72" t="s">
        <v>2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C55" s="2">
        <f>C246</f>
        <v>2014</v>
      </c>
      <c r="D55" s="2">
        <f t="shared" ref="D55:L55" si="33">D246</f>
        <v>2015</v>
      </c>
      <c r="E55" s="2">
        <f t="shared" si="33"/>
        <v>2016</v>
      </c>
      <c r="F55" s="2">
        <f t="shared" si="33"/>
        <v>2017</v>
      </c>
      <c r="G55" s="2">
        <f t="shared" si="33"/>
        <v>2018</v>
      </c>
      <c r="H55" s="2">
        <f t="shared" si="33"/>
        <v>2019</v>
      </c>
      <c r="I55" s="2">
        <f t="shared" si="33"/>
        <v>2020</v>
      </c>
      <c r="J55" s="2">
        <f t="shared" si="33"/>
        <v>2021</v>
      </c>
      <c r="K55" s="2">
        <f t="shared" si="33"/>
        <v>2022</v>
      </c>
      <c r="L55" s="2">
        <f t="shared" si="33"/>
        <v>2023</v>
      </c>
    </row>
    <row r="57" spans="1:12">
      <c r="A57" s="73" t="s">
        <v>3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9" spans="1:12">
      <c r="A59" s="3" t="s">
        <v>4</v>
      </c>
    </row>
    <row r="60" spans="1:12">
      <c r="A60" s="10" t="s">
        <v>22</v>
      </c>
      <c r="B60" s="10"/>
      <c r="C60" s="3">
        <f t="shared" ref="C60:L60" si="34">C15*$M$253</f>
        <v>14414.16</v>
      </c>
      <c r="D60" s="3">
        <f t="shared" si="34"/>
        <v>14692.676062500001</v>
      </c>
      <c r="E60" s="3">
        <f t="shared" si="34"/>
        <v>14977.894180078125</v>
      </c>
      <c r="F60" s="3">
        <f t="shared" si="34"/>
        <v>15270.003603213574</v>
      </c>
      <c r="G60" s="3">
        <f t="shared" si="34"/>
        <v>15569.199402315931</v>
      </c>
      <c r="H60" s="3">
        <f t="shared" si="34"/>
        <v>15875.682653602607</v>
      </c>
      <c r="I60" s="3">
        <f t="shared" si="34"/>
        <v>16189.660631004679</v>
      </c>
      <c r="J60" s="3">
        <f t="shared" si="34"/>
        <v>16511.347004297873</v>
      </c>
      <c r="K60" s="3">
        <f t="shared" si="34"/>
        <v>16840.962043661773</v>
      </c>
      <c r="L60" s="3">
        <f t="shared" si="34"/>
        <v>17178.732830877008</v>
      </c>
    </row>
    <row r="61" spans="1:12">
      <c r="A61" s="10" t="s">
        <v>23</v>
      </c>
      <c r="B61" s="26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>
      <c r="A62" s="10" t="s">
        <v>168</v>
      </c>
      <c r="B62" s="26"/>
    </row>
    <row r="63" spans="1:12">
      <c r="A63" s="10" t="s">
        <v>131</v>
      </c>
      <c r="B63" s="10"/>
      <c r="C63" s="3">
        <f>(C11/(1+$M$293))/($C$292*7)*$M$302</f>
        <v>4591.8367346938776</v>
      </c>
      <c r="D63" s="3">
        <f t="shared" ref="D63:L63" si="35">(D11/(1+$M$293))/($C$292*7)*$M$302</f>
        <v>4742.2193877551026</v>
      </c>
      <c r="E63" s="3">
        <f t="shared" si="35"/>
        <v>4897.5270727040825</v>
      </c>
      <c r="F63" s="3">
        <f t="shared" si="35"/>
        <v>5057.9210843351402</v>
      </c>
      <c r="G63" s="3">
        <f t="shared" si="35"/>
        <v>5223.567999847116</v>
      </c>
      <c r="H63" s="3">
        <f t="shared" si="35"/>
        <v>5394.6398518421083</v>
      </c>
      <c r="I63" s="3">
        <f t="shared" si="35"/>
        <v>5571.314306989937</v>
      </c>
      <c r="J63" s="3">
        <f t="shared" si="35"/>
        <v>5753.7748505438576</v>
      </c>
      <c r="K63" s="3">
        <f t="shared" si="35"/>
        <v>5942.2109768991695</v>
      </c>
      <c r="L63" s="3">
        <f t="shared" si="35"/>
        <v>6136.818386392616</v>
      </c>
    </row>
    <row r="64" spans="1:12">
      <c r="A64" s="10" t="s">
        <v>132</v>
      </c>
      <c r="B64" s="10"/>
      <c r="C64" s="3">
        <f t="shared" ref="C64:L64" si="36">(C12/(1+$M$293))/($C$292*7)*$M$303</f>
        <v>1700.6802721088438</v>
      </c>
      <c r="D64" s="3">
        <f t="shared" si="36"/>
        <v>1756.3775510204082</v>
      </c>
      <c r="E64" s="3">
        <f t="shared" si="36"/>
        <v>1813.8989158163265</v>
      </c>
      <c r="F64" s="3">
        <f t="shared" si="36"/>
        <v>1873.3041053093114</v>
      </c>
      <c r="G64" s="3">
        <f t="shared" si="36"/>
        <v>1934.6548147581914</v>
      </c>
      <c r="H64" s="3">
        <f t="shared" si="36"/>
        <v>1998.0147599415216</v>
      </c>
      <c r="I64" s="3">
        <f t="shared" si="36"/>
        <v>2063.4497433296065</v>
      </c>
      <c r="J64" s="3">
        <f t="shared" si="36"/>
        <v>2131.0277224236511</v>
      </c>
      <c r="K64" s="3">
        <f t="shared" si="36"/>
        <v>2200.8188803330258</v>
      </c>
      <c r="L64" s="3">
        <f t="shared" si="36"/>
        <v>2272.8956986639319</v>
      </c>
    </row>
    <row r="65" spans="1:13">
      <c r="A65" s="10" t="s">
        <v>133</v>
      </c>
      <c r="B65" s="10"/>
      <c r="C65" s="3">
        <f t="shared" ref="C65:L65" si="37">(C13/(1+$M$293))/($C$292*7)*$M$304</f>
        <v>1164</v>
      </c>
      <c r="D65" s="3">
        <f t="shared" si="37"/>
        <v>1178.5500000000002</v>
      </c>
      <c r="E65" s="3">
        <f t="shared" si="37"/>
        <v>1193.2818750000001</v>
      </c>
      <c r="F65" s="3">
        <f t="shared" si="37"/>
        <v>1208.1978984374998</v>
      </c>
      <c r="G65" s="3">
        <f t="shared" si="37"/>
        <v>1223.3003721679688</v>
      </c>
      <c r="H65" s="3">
        <f t="shared" si="37"/>
        <v>1238.5916268200681</v>
      </c>
      <c r="I65" s="3">
        <f t="shared" si="37"/>
        <v>1254.0740221553187</v>
      </c>
      <c r="J65" s="3">
        <f t="shared" si="37"/>
        <v>1269.7499474322603</v>
      </c>
      <c r="K65" s="3">
        <f t="shared" si="37"/>
        <v>1285.6218217751634</v>
      </c>
      <c r="L65" s="3">
        <f t="shared" si="37"/>
        <v>1301.6920945473532</v>
      </c>
    </row>
    <row r="66" spans="1:13">
      <c r="A66" s="10" t="s">
        <v>113</v>
      </c>
      <c r="B66" s="10"/>
      <c r="C66" s="3">
        <f t="shared" ref="C66:L66" si="38">C18/(7*C292)*$M$305</f>
        <v>1224.4897959183672</v>
      </c>
      <c r="D66" s="3">
        <f t="shared" si="38"/>
        <v>1239.795918367347</v>
      </c>
      <c r="E66" s="3">
        <f t="shared" si="38"/>
        <v>1255.2933673469388</v>
      </c>
      <c r="F66" s="3">
        <f t="shared" si="38"/>
        <v>1270.9845344387757</v>
      </c>
      <c r="G66" s="3">
        <f t="shared" si="38"/>
        <v>1286.8718411192604</v>
      </c>
      <c r="H66" s="3">
        <f t="shared" si="38"/>
        <v>1302.9577391332507</v>
      </c>
      <c r="I66" s="3">
        <f t="shared" si="38"/>
        <v>1319.2447108724164</v>
      </c>
      <c r="J66" s="3">
        <f t="shared" si="38"/>
        <v>1335.7352697583215</v>
      </c>
      <c r="K66" s="3">
        <f t="shared" si="38"/>
        <v>1352.4319606303002</v>
      </c>
      <c r="L66" s="3">
        <f t="shared" si="38"/>
        <v>1369.3373601381793</v>
      </c>
    </row>
    <row r="67" spans="1:13">
      <c r="A67" s="12" t="s">
        <v>14</v>
      </c>
      <c r="B67" s="12"/>
      <c r="C67" s="19">
        <f>SUM(C60:C66)</f>
        <v>23095.166802721091</v>
      </c>
      <c r="D67" s="19">
        <f t="shared" ref="D67:L67" si="39">SUM(D60:D66)</f>
        <v>23609.618919642857</v>
      </c>
      <c r="E67" s="19">
        <f t="shared" si="39"/>
        <v>24137.895410945475</v>
      </c>
      <c r="F67" s="19">
        <f t="shared" si="39"/>
        <v>24680.4112257343</v>
      </c>
      <c r="G67" s="19">
        <f t="shared" si="39"/>
        <v>25237.594430208468</v>
      </c>
      <c r="H67" s="19">
        <f t="shared" si="39"/>
        <v>25809.886631339556</v>
      </c>
      <c r="I67" s="19">
        <f t="shared" si="39"/>
        <v>26397.743414351957</v>
      </c>
      <c r="J67" s="19">
        <f t="shared" si="39"/>
        <v>27001.634794455967</v>
      </c>
      <c r="K67" s="19">
        <f t="shared" si="39"/>
        <v>27622.045683299431</v>
      </c>
      <c r="L67" s="19">
        <f t="shared" si="39"/>
        <v>28259.47637061909</v>
      </c>
    </row>
    <row r="69" spans="1:13">
      <c r="A69" s="3" t="s">
        <v>5</v>
      </c>
    </row>
    <row r="70" spans="1:13">
      <c r="A70" s="10" t="s">
        <v>39</v>
      </c>
      <c r="B70" s="10"/>
      <c r="C70" s="3">
        <f t="shared" ref="C70:L70" si="40">$C$266*$M$267</f>
        <v>858000</v>
      </c>
      <c r="D70" s="3">
        <f t="shared" si="40"/>
        <v>858000</v>
      </c>
      <c r="E70" s="3">
        <f t="shared" si="40"/>
        <v>858000</v>
      </c>
      <c r="F70" s="3">
        <f t="shared" si="40"/>
        <v>858000</v>
      </c>
      <c r="G70" s="3">
        <f t="shared" si="40"/>
        <v>858000</v>
      </c>
      <c r="H70" s="3">
        <f t="shared" si="40"/>
        <v>858000</v>
      </c>
      <c r="I70" s="3">
        <f t="shared" si="40"/>
        <v>858000</v>
      </c>
      <c r="J70" s="3">
        <f t="shared" si="40"/>
        <v>858000</v>
      </c>
      <c r="K70" s="3">
        <f t="shared" si="40"/>
        <v>858000</v>
      </c>
      <c r="L70" s="3">
        <f t="shared" si="40"/>
        <v>858000</v>
      </c>
    </row>
    <row r="71" spans="1:13">
      <c r="A71" s="10"/>
      <c r="B71" s="10"/>
    </row>
    <row r="72" spans="1:13">
      <c r="A72" s="10" t="s">
        <v>40</v>
      </c>
      <c r="B72" s="10"/>
      <c r="C72" s="3">
        <f>$C$268*C269</f>
        <v>576800</v>
      </c>
      <c r="D72" s="3">
        <f t="shared" ref="D72:L72" si="41">$C$268*D269</f>
        <v>576800</v>
      </c>
      <c r="E72" s="3">
        <f t="shared" si="41"/>
        <v>576800</v>
      </c>
      <c r="F72" s="3">
        <f t="shared" si="41"/>
        <v>576800</v>
      </c>
      <c r="G72" s="3">
        <f t="shared" si="41"/>
        <v>576800</v>
      </c>
      <c r="H72" s="3">
        <f t="shared" si="41"/>
        <v>824000</v>
      </c>
      <c r="I72" s="3">
        <f t="shared" si="41"/>
        <v>824000</v>
      </c>
      <c r="J72" s="3">
        <f t="shared" si="41"/>
        <v>824000</v>
      </c>
      <c r="K72" s="3">
        <f t="shared" si="41"/>
        <v>824000</v>
      </c>
      <c r="L72" s="3">
        <f t="shared" si="41"/>
        <v>824000</v>
      </c>
      <c r="M72" s="13"/>
    </row>
    <row r="73" spans="1:13">
      <c r="A73" s="12" t="s">
        <v>15</v>
      </c>
      <c r="B73" s="12"/>
      <c r="C73" s="11">
        <f>C35</f>
        <v>27398</v>
      </c>
      <c r="D73" s="11">
        <f t="shared" ref="D73:L73" si="42">D35+C73</f>
        <v>54796</v>
      </c>
      <c r="E73" s="11">
        <f t="shared" si="42"/>
        <v>82194</v>
      </c>
      <c r="F73" s="11">
        <f t="shared" si="42"/>
        <v>109592</v>
      </c>
      <c r="G73" s="11">
        <f t="shared" si="42"/>
        <v>136990</v>
      </c>
      <c r="H73" s="11">
        <f t="shared" si="42"/>
        <v>176130</v>
      </c>
      <c r="I73" s="11">
        <f t="shared" si="42"/>
        <v>215270</v>
      </c>
      <c r="J73" s="11">
        <f t="shared" si="42"/>
        <v>254410</v>
      </c>
      <c r="K73" s="11">
        <f t="shared" si="42"/>
        <v>293550</v>
      </c>
      <c r="L73" s="11">
        <f t="shared" si="42"/>
        <v>332690</v>
      </c>
    </row>
    <row r="74" spans="1:13">
      <c r="A74" s="12"/>
      <c r="B74" s="12"/>
      <c r="C74" s="13">
        <f t="shared" ref="C74:L74" si="43">C72-C73</f>
        <v>549402</v>
      </c>
      <c r="D74" s="13">
        <f t="shared" si="43"/>
        <v>522004</v>
      </c>
      <c r="E74" s="13">
        <f t="shared" si="43"/>
        <v>494606</v>
      </c>
      <c r="F74" s="13">
        <f t="shared" si="43"/>
        <v>467208</v>
      </c>
      <c r="G74" s="13">
        <f t="shared" si="43"/>
        <v>439810</v>
      </c>
      <c r="H74" s="13">
        <f t="shared" si="43"/>
        <v>647870</v>
      </c>
      <c r="I74" s="13">
        <f t="shared" si="43"/>
        <v>608730</v>
      </c>
      <c r="J74" s="13">
        <f t="shared" si="43"/>
        <v>569590</v>
      </c>
      <c r="K74" s="13">
        <f t="shared" si="43"/>
        <v>530450</v>
      </c>
      <c r="L74" s="13">
        <f t="shared" si="43"/>
        <v>491310</v>
      </c>
    </row>
    <row r="75" spans="1:13">
      <c r="A75" s="12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3">
      <c r="A76" s="10" t="s">
        <v>58</v>
      </c>
      <c r="B76" s="10"/>
      <c r="C76" s="13">
        <f t="shared" ref="C76:L76" si="44">$C$270*$M$271</f>
        <v>180000</v>
      </c>
      <c r="D76" s="13">
        <f t="shared" si="44"/>
        <v>180000</v>
      </c>
      <c r="E76" s="13">
        <f t="shared" si="44"/>
        <v>180000</v>
      </c>
      <c r="F76" s="13">
        <f t="shared" si="44"/>
        <v>180000</v>
      </c>
      <c r="G76" s="13">
        <f t="shared" si="44"/>
        <v>180000</v>
      </c>
      <c r="H76" s="13">
        <f t="shared" si="44"/>
        <v>180000</v>
      </c>
      <c r="I76" s="13">
        <f t="shared" si="44"/>
        <v>180000</v>
      </c>
      <c r="J76" s="13">
        <f t="shared" si="44"/>
        <v>180000</v>
      </c>
      <c r="K76" s="13">
        <f t="shared" si="44"/>
        <v>180000</v>
      </c>
      <c r="L76" s="13">
        <f t="shared" si="44"/>
        <v>180000</v>
      </c>
    </row>
    <row r="77" spans="1:13">
      <c r="A77" s="12" t="s">
        <v>15</v>
      </c>
      <c r="B77" s="12"/>
      <c r="C77" s="11">
        <f>C36</f>
        <v>17100</v>
      </c>
      <c r="D77" s="11">
        <f t="shared" ref="D77:L77" si="45">D36+C77</f>
        <v>34200</v>
      </c>
      <c r="E77" s="11">
        <f t="shared" si="45"/>
        <v>51300</v>
      </c>
      <c r="F77" s="11">
        <f t="shared" si="45"/>
        <v>68400</v>
      </c>
      <c r="G77" s="11">
        <f t="shared" si="45"/>
        <v>85500</v>
      </c>
      <c r="H77" s="11">
        <f t="shared" si="45"/>
        <v>102600</v>
      </c>
      <c r="I77" s="11">
        <f t="shared" si="45"/>
        <v>119700</v>
      </c>
      <c r="J77" s="11">
        <f t="shared" si="45"/>
        <v>136800</v>
      </c>
      <c r="K77" s="11">
        <f t="shared" si="45"/>
        <v>153900</v>
      </c>
      <c r="L77" s="11">
        <f t="shared" si="45"/>
        <v>171000</v>
      </c>
    </row>
    <row r="78" spans="1:13">
      <c r="A78" s="12"/>
      <c r="B78" s="12"/>
      <c r="C78" s="13">
        <f>C76-C77</f>
        <v>162900</v>
      </c>
      <c r="D78" s="13">
        <f>D76-D77</f>
        <v>145800</v>
      </c>
      <c r="E78" s="13">
        <f>E76-E77</f>
        <v>128700</v>
      </c>
      <c r="F78" s="13">
        <f>F76-F77</f>
        <v>111600</v>
      </c>
      <c r="G78" s="13">
        <f t="shared" ref="G78:L78" si="46">G76-G77</f>
        <v>94500</v>
      </c>
      <c r="H78" s="13">
        <f t="shared" si="46"/>
        <v>77400</v>
      </c>
      <c r="I78" s="13">
        <f t="shared" si="46"/>
        <v>60300</v>
      </c>
      <c r="J78" s="13">
        <f t="shared" si="46"/>
        <v>43200</v>
      </c>
      <c r="K78" s="13">
        <f t="shared" si="46"/>
        <v>26100</v>
      </c>
      <c r="L78" s="13">
        <f t="shared" si="46"/>
        <v>9000</v>
      </c>
    </row>
    <row r="79" spans="1:13">
      <c r="A79" s="12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5" t="s">
        <v>16</v>
      </c>
      <c r="B80" s="15"/>
      <c r="C80" s="19">
        <f t="shared" ref="C80:L80" si="47">C70+C74+C78</f>
        <v>1570302</v>
      </c>
      <c r="D80" s="19">
        <f t="shared" si="47"/>
        <v>1525804</v>
      </c>
      <c r="E80" s="19">
        <f t="shared" si="47"/>
        <v>1481306</v>
      </c>
      <c r="F80" s="19">
        <f t="shared" si="47"/>
        <v>1436808</v>
      </c>
      <c r="G80" s="19">
        <f t="shared" si="47"/>
        <v>1392310</v>
      </c>
      <c r="H80" s="19">
        <f t="shared" si="47"/>
        <v>1583270</v>
      </c>
      <c r="I80" s="19">
        <f t="shared" si="47"/>
        <v>1527030</v>
      </c>
      <c r="J80" s="19">
        <f t="shared" si="47"/>
        <v>1470790</v>
      </c>
      <c r="K80" s="19">
        <f t="shared" si="47"/>
        <v>1414550</v>
      </c>
      <c r="L80" s="19">
        <f t="shared" si="47"/>
        <v>1358310</v>
      </c>
    </row>
    <row r="81" spans="1:12">
      <c r="A81" s="15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6.5" thickBot="1">
      <c r="A82" s="3" t="s">
        <v>17</v>
      </c>
      <c r="C82" s="14">
        <f>C67+C80</f>
        <v>1593397.1668027211</v>
      </c>
      <c r="D82" s="14">
        <f t="shared" ref="D82:L82" si="48">D67+D80</f>
        <v>1549413.6189196429</v>
      </c>
      <c r="E82" s="14">
        <f t="shared" si="48"/>
        <v>1505443.8954109454</v>
      </c>
      <c r="F82" s="14">
        <f t="shared" si="48"/>
        <v>1461488.4112257343</v>
      </c>
      <c r="G82" s="14">
        <f t="shared" si="48"/>
        <v>1417547.5944302084</v>
      </c>
      <c r="H82" s="14">
        <f t="shared" si="48"/>
        <v>1609079.8866313396</v>
      </c>
      <c r="I82" s="14">
        <f t="shared" si="48"/>
        <v>1553427.7434143519</v>
      </c>
      <c r="J82" s="14">
        <f t="shared" si="48"/>
        <v>1497791.634794456</v>
      </c>
      <c r="K82" s="14">
        <f t="shared" si="48"/>
        <v>1442172.0456832994</v>
      </c>
      <c r="L82" s="14">
        <f t="shared" si="48"/>
        <v>1386569.4763706191</v>
      </c>
    </row>
    <row r="83" spans="1:12" ht="16.5" thickTop="1"/>
    <row r="84" spans="1:12">
      <c r="A84" s="73" t="s">
        <v>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6" spans="1:12">
      <c r="A86" s="3" t="s">
        <v>7</v>
      </c>
    </row>
    <row r="87" spans="1:12">
      <c r="A87" s="10" t="s">
        <v>10</v>
      </c>
      <c r="B87" s="10"/>
    </row>
    <row r="88" spans="1:12">
      <c r="A88" s="12" t="s">
        <v>96</v>
      </c>
      <c r="B88" s="12"/>
      <c r="C88" s="3">
        <f t="shared" ref="C88:L88" si="49">(C17+C18)/(7*C292)*$M$306</f>
        <v>9058.9387755102052</v>
      </c>
      <c r="D88" s="3">
        <f t="shared" si="49"/>
        <v>9186.6397959183669</v>
      </c>
      <c r="E88" s="3">
        <f t="shared" si="49"/>
        <v>9316.4107844387745</v>
      </c>
      <c r="F88" s="3">
        <f t="shared" si="49"/>
        <v>9448.2931295232775</v>
      </c>
      <c r="G88" s="3">
        <f t="shared" si="49"/>
        <v>9582.3292450579756</v>
      </c>
      <c r="H88" s="3">
        <f t="shared" si="49"/>
        <v>9718.5625998207161</v>
      </c>
      <c r="I88" s="3">
        <f t="shared" si="49"/>
        <v>9857.0377478517767</v>
      </c>
      <c r="J88" s="3">
        <f t="shared" si="49"/>
        <v>9997.8003597669431</v>
      </c>
      <c r="K88" s="3">
        <f t="shared" si="49"/>
        <v>10140.897255043241</v>
      </c>
      <c r="L88" s="3">
        <f t="shared" si="49"/>
        <v>10286.376435308517</v>
      </c>
    </row>
    <row r="89" spans="1:12">
      <c r="A89" s="12" t="s">
        <v>97</v>
      </c>
      <c r="B89" s="12"/>
      <c r="C89" s="11">
        <f t="shared" ref="C89:L89" si="50">C42</f>
        <v>0</v>
      </c>
      <c r="D89" s="11">
        <f t="shared" si="50"/>
        <v>0</v>
      </c>
      <c r="E89" s="11">
        <f t="shared" si="50"/>
        <v>0</v>
      </c>
      <c r="F89" s="11">
        <f t="shared" si="50"/>
        <v>0</v>
      </c>
      <c r="G89" s="11">
        <f t="shared" si="50"/>
        <v>1949.6917973267673</v>
      </c>
      <c r="H89" s="11">
        <f t="shared" si="50"/>
        <v>0</v>
      </c>
      <c r="I89" s="11">
        <f t="shared" si="50"/>
        <v>0</v>
      </c>
      <c r="J89" s="11">
        <f t="shared" si="50"/>
        <v>0</v>
      </c>
      <c r="K89" s="11">
        <f t="shared" si="50"/>
        <v>2365.6672600422171</v>
      </c>
      <c r="L89" s="11">
        <f t="shared" si="50"/>
        <v>5722.2622847658122</v>
      </c>
    </row>
    <row r="90" spans="1:12">
      <c r="A90" s="15" t="s">
        <v>18</v>
      </c>
      <c r="B90" s="15"/>
      <c r="C90" s="3">
        <f t="shared" ref="C90:L90" si="51">SUM(C88:C89)</f>
        <v>9058.9387755102052</v>
      </c>
      <c r="D90" s="3">
        <f t="shared" si="51"/>
        <v>9186.6397959183669</v>
      </c>
      <c r="E90" s="3">
        <f t="shared" si="51"/>
        <v>9316.4107844387745</v>
      </c>
      <c r="F90" s="3">
        <f t="shared" si="51"/>
        <v>9448.2931295232775</v>
      </c>
      <c r="G90" s="3">
        <f t="shared" si="51"/>
        <v>11532.021042384742</v>
      </c>
      <c r="H90" s="3">
        <f t="shared" si="51"/>
        <v>9718.5625998207161</v>
      </c>
      <c r="I90" s="3">
        <f t="shared" si="51"/>
        <v>9857.0377478517767</v>
      </c>
      <c r="J90" s="3">
        <f t="shared" si="51"/>
        <v>9997.8003597669431</v>
      </c>
      <c r="K90" s="3">
        <f t="shared" si="51"/>
        <v>12506.564515085458</v>
      </c>
      <c r="L90" s="3">
        <f t="shared" si="51"/>
        <v>16008.63872007433</v>
      </c>
    </row>
    <row r="92" spans="1:12">
      <c r="A92" s="10" t="s">
        <v>29</v>
      </c>
      <c r="B92" s="10"/>
    </row>
    <row r="93" spans="1:12">
      <c r="A93" s="12" t="s">
        <v>9</v>
      </c>
      <c r="B93" s="12"/>
      <c r="C93" s="3">
        <f t="shared" ref="C93:L93" si="52">$M$261+CUMPRINC($M$262/12,$M$264*12,$M$261,1,((C55+1)-$C$55)*12,0)</f>
        <v>1130905.1664174383</v>
      </c>
      <c r="D93" s="3">
        <f t="shared" si="52"/>
        <v>1113103.9146084813</v>
      </c>
      <c r="E93" s="3">
        <f t="shared" si="52"/>
        <v>1094391.9169723075</v>
      </c>
      <c r="F93" s="3">
        <f t="shared" si="52"/>
        <v>1074722.5780239087</v>
      </c>
      <c r="G93" s="3">
        <f t="shared" si="52"/>
        <v>1054046.9183648303</v>
      </c>
      <c r="H93" s="3">
        <f t="shared" si="52"/>
        <v>1032313.4527176371</v>
      </c>
      <c r="I93" s="3">
        <f t="shared" si="52"/>
        <v>1009468.0617203858</v>
      </c>
      <c r="J93" s="3">
        <f t="shared" si="52"/>
        <v>985453.85716186487</v>
      </c>
      <c r="K93" s="3">
        <f t="shared" si="52"/>
        <v>960211.04032200994</v>
      </c>
      <c r="L93" s="3">
        <f t="shared" si="52"/>
        <v>933676.75306474697</v>
      </c>
    </row>
    <row r="94" spans="1:12">
      <c r="A94" s="12" t="s">
        <v>50</v>
      </c>
      <c r="B94" s="12"/>
      <c r="C94" s="20">
        <v>88051.864344688511</v>
      </c>
      <c r="D94" s="20">
        <v>87076.44481586662</v>
      </c>
      <c r="E94" s="20">
        <v>76640.651447515673</v>
      </c>
      <c r="F94" s="20">
        <v>55537.568659693432</v>
      </c>
      <c r="G94" s="20">
        <v>22389.916421076712</v>
      </c>
      <c r="H94" s="20">
        <v>266156.17158370168</v>
      </c>
      <c r="I94" s="20">
        <v>249967.15404367028</v>
      </c>
      <c r="J94" s="20">
        <v>221521.9107677553</v>
      </c>
      <c r="K94" s="20">
        <v>179173.70530096622</v>
      </c>
      <c r="L94" s="20">
        <v>123714.29990149668</v>
      </c>
    </row>
    <row r="95" spans="1:12">
      <c r="A95" s="15" t="s">
        <v>25</v>
      </c>
      <c r="B95" s="15"/>
      <c r="C95" s="19">
        <f t="shared" ref="C95:L95" si="53">SUM(C93:C94)</f>
        <v>1218957.0307621269</v>
      </c>
      <c r="D95" s="19">
        <f t="shared" si="53"/>
        <v>1200180.359424348</v>
      </c>
      <c r="E95" s="19">
        <f t="shared" si="53"/>
        <v>1171032.5684198232</v>
      </c>
      <c r="F95" s="19">
        <f t="shared" si="53"/>
        <v>1130260.1466836021</v>
      </c>
      <c r="G95" s="19">
        <f t="shared" si="53"/>
        <v>1076436.8347859071</v>
      </c>
      <c r="H95" s="19">
        <f t="shared" si="53"/>
        <v>1298469.6243013388</v>
      </c>
      <c r="I95" s="19">
        <f t="shared" si="53"/>
        <v>1259435.215764056</v>
      </c>
      <c r="J95" s="19">
        <f t="shared" si="53"/>
        <v>1206975.7679296201</v>
      </c>
      <c r="K95" s="19">
        <f t="shared" si="53"/>
        <v>1139384.7456229762</v>
      </c>
      <c r="L95" s="19">
        <f t="shared" si="53"/>
        <v>1057391.0529662436</v>
      </c>
    </row>
    <row r="96" spans="1:12">
      <c r="A96" s="15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3" t="s">
        <v>26</v>
      </c>
      <c r="C97" s="19">
        <f t="shared" ref="C97:L97" si="54">C90+C95</f>
        <v>1228015.9695376372</v>
      </c>
      <c r="D97" s="19">
        <f t="shared" si="54"/>
        <v>1209366.9992202665</v>
      </c>
      <c r="E97" s="19">
        <f t="shared" si="54"/>
        <v>1180348.9792042619</v>
      </c>
      <c r="F97" s="19">
        <f t="shared" si="54"/>
        <v>1139708.4398131254</v>
      </c>
      <c r="G97" s="19">
        <f t="shared" si="54"/>
        <v>1087968.8558282917</v>
      </c>
      <c r="H97" s="19">
        <f t="shared" si="54"/>
        <v>1308188.1869011596</v>
      </c>
      <c r="I97" s="19">
        <f t="shared" si="54"/>
        <v>1269292.2535119078</v>
      </c>
      <c r="J97" s="19">
        <f t="shared" si="54"/>
        <v>1216973.568289387</v>
      </c>
      <c r="K97" s="19">
        <f t="shared" si="54"/>
        <v>1151891.3101380616</v>
      </c>
      <c r="L97" s="19">
        <f t="shared" si="54"/>
        <v>1073399.691686318</v>
      </c>
    </row>
    <row r="99" spans="1:12">
      <c r="A99" s="3" t="s">
        <v>8</v>
      </c>
    </row>
    <row r="100" spans="1:12">
      <c r="A100" s="10" t="s">
        <v>64</v>
      </c>
      <c r="B100" s="10"/>
      <c r="C100" s="3">
        <f>$M$273</f>
        <v>400000</v>
      </c>
      <c r="D100" s="3">
        <f t="shared" ref="D100:L100" si="55">$M$273</f>
        <v>400000</v>
      </c>
      <c r="E100" s="3">
        <f t="shared" si="55"/>
        <v>400000</v>
      </c>
      <c r="F100" s="3">
        <f t="shared" si="55"/>
        <v>400000</v>
      </c>
      <c r="G100" s="3">
        <f t="shared" si="55"/>
        <v>400000</v>
      </c>
      <c r="H100" s="3">
        <f t="shared" si="55"/>
        <v>400000</v>
      </c>
      <c r="I100" s="3">
        <f t="shared" si="55"/>
        <v>400000</v>
      </c>
      <c r="J100" s="3">
        <f t="shared" si="55"/>
        <v>400000</v>
      </c>
      <c r="K100" s="3">
        <f t="shared" si="55"/>
        <v>400000</v>
      </c>
      <c r="L100" s="3">
        <f t="shared" si="55"/>
        <v>400000</v>
      </c>
    </row>
    <row r="101" spans="1:12">
      <c r="A101" s="10" t="s">
        <v>19</v>
      </c>
      <c r="B101" s="10"/>
      <c r="C101" s="11">
        <f>M265+C43</f>
        <v>-34618.802734915836</v>
      </c>
      <c r="D101" s="11">
        <f t="shared" ref="D101:L101" si="56">D43+C101</f>
        <v>-59953.380300623321</v>
      </c>
      <c r="E101" s="11">
        <f t="shared" si="56"/>
        <v>-74905.08379331624</v>
      </c>
      <c r="F101" s="11">
        <f t="shared" si="56"/>
        <v>-78220.028587391076</v>
      </c>
      <c r="G101" s="11">
        <f t="shared" si="56"/>
        <v>-70421.261398084011</v>
      </c>
      <c r="H101" s="11">
        <f t="shared" si="56"/>
        <v>-99108.300269819927</v>
      </c>
      <c r="I101" s="11">
        <f t="shared" si="56"/>
        <v>-115864.51009755595</v>
      </c>
      <c r="J101" s="11">
        <f t="shared" si="56"/>
        <v>-119181.93349493112</v>
      </c>
      <c r="K101" s="11">
        <f t="shared" si="56"/>
        <v>-109719.26445476225</v>
      </c>
      <c r="L101" s="11">
        <f t="shared" si="56"/>
        <v>-86830.215315698995</v>
      </c>
    </row>
    <row r="102" spans="1:12">
      <c r="A102" s="3" t="s">
        <v>20</v>
      </c>
      <c r="C102" s="3">
        <f>SUM(C100:C101)</f>
        <v>365381.19726508413</v>
      </c>
      <c r="D102" s="3">
        <f>SUM(D100:D101)</f>
        <v>340046.61969937669</v>
      </c>
      <c r="E102" s="3">
        <f>SUM(E100:E101)</f>
        <v>325094.91620668373</v>
      </c>
      <c r="F102" s="3">
        <f>SUM(F100:F101)</f>
        <v>321779.97141260892</v>
      </c>
      <c r="G102" s="3">
        <f t="shared" ref="G102:L102" si="57">SUM(G100:G101)</f>
        <v>329578.738601916</v>
      </c>
      <c r="H102" s="3">
        <f t="shared" si="57"/>
        <v>300891.69973018009</v>
      </c>
      <c r="I102" s="3">
        <f t="shared" si="57"/>
        <v>284135.48990244407</v>
      </c>
      <c r="J102" s="3">
        <f t="shared" si="57"/>
        <v>280818.06650506891</v>
      </c>
      <c r="K102" s="3">
        <f t="shared" si="57"/>
        <v>290280.73554523778</v>
      </c>
      <c r="L102" s="3">
        <f t="shared" si="57"/>
        <v>313169.784684301</v>
      </c>
    </row>
    <row r="104" spans="1:12" ht="16.5" thickBot="1">
      <c r="A104" s="3" t="s">
        <v>27</v>
      </c>
      <c r="C104" s="14">
        <f>C97+C102</f>
        <v>1593397.1668027213</v>
      </c>
      <c r="D104" s="14">
        <f>D97+D102</f>
        <v>1549413.6189196431</v>
      </c>
      <c r="E104" s="14">
        <f>E97+E102</f>
        <v>1505443.8954109456</v>
      </c>
      <c r="F104" s="14">
        <f>F97+F102</f>
        <v>1461488.4112257343</v>
      </c>
      <c r="G104" s="14">
        <f t="shared" ref="G104:L104" si="58">G97+G102</f>
        <v>1417547.5944302077</v>
      </c>
      <c r="H104" s="14">
        <f t="shared" si="58"/>
        <v>1609079.8866313398</v>
      </c>
      <c r="I104" s="14">
        <f t="shared" si="58"/>
        <v>1553427.7434143517</v>
      </c>
      <c r="J104" s="14">
        <f t="shared" si="58"/>
        <v>1497791.634794456</v>
      </c>
      <c r="K104" s="14">
        <f t="shared" si="58"/>
        <v>1442172.0456832994</v>
      </c>
      <c r="L104" s="14">
        <f t="shared" si="58"/>
        <v>1386569.4763706191</v>
      </c>
    </row>
    <row r="105" spans="1:12" ht="16.5" thickTop="1"/>
    <row r="106" spans="1:12">
      <c r="A106" s="3" t="s">
        <v>189</v>
      </c>
      <c r="C106" s="3">
        <f>C82-C104</f>
        <v>0</v>
      </c>
      <c r="D106" s="3">
        <f t="shared" ref="D106:L106" si="59">D82-D104</f>
        <v>0</v>
      </c>
      <c r="E106" s="3">
        <f t="shared" si="59"/>
        <v>0</v>
      </c>
      <c r="F106" s="3">
        <f t="shared" si="59"/>
        <v>0</v>
      </c>
      <c r="G106" s="3">
        <f t="shared" si="59"/>
        <v>0</v>
      </c>
      <c r="H106" s="3">
        <f t="shared" si="59"/>
        <v>0</v>
      </c>
      <c r="I106" s="3">
        <f t="shared" si="59"/>
        <v>0</v>
      </c>
      <c r="J106" s="3">
        <f t="shared" si="59"/>
        <v>0</v>
      </c>
      <c r="K106" s="3">
        <f t="shared" si="59"/>
        <v>0</v>
      </c>
      <c r="L106" s="3">
        <f t="shared" si="59"/>
        <v>0</v>
      </c>
    </row>
    <row r="108" spans="1:12">
      <c r="A108" s="75" t="s">
        <v>137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</row>
    <row r="109" spans="1:12">
      <c r="A109" s="27"/>
      <c r="B109" s="27"/>
      <c r="C109" s="1"/>
      <c r="D109" s="1"/>
      <c r="E109" s="1"/>
      <c r="F109" s="1"/>
      <c r="G109" s="6"/>
      <c r="H109" s="1"/>
    </row>
    <row r="110" spans="1:12">
      <c r="A110" s="27" t="s">
        <v>138</v>
      </c>
      <c r="B110" s="27"/>
      <c r="C110" s="1"/>
      <c r="D110" s="1"/>
      <c r="E110" s="1"/>
      <c r="F110" s="1"/>
      <c r="G110" s="6"/>
      <c r="H110" s="1"/>
    </row>
    <row r="111" spans="1:12">
      <c r="A111" s="28" t="s">
        <v>9</v>
      </c>
      <c r="B111" s="28"/>
      <c r="C111" s="3">
        <f>C93</f>
        <v>1130905.1664174383</v>
      </c>
      <c r="D111" s="3">
        <f t="shared" ref="D111:L111" si="60">D93</f>
        <v>1113103.9146084813</v>
      </c>
      <c r="E111" s="3">
        <f t="shared" si="60"/>
        <v>1094391.9169723075</v>
      </c>
      <c r="F111" s="3">
        <f t="shared" si="60"/>
        <v>1074722.5780239087</v>
      </c>
      <c r="G111" s="3">
        <f t="shared" si="60"/>
        <v>1054046.9183648303</v>
      </c>
      <c r="H111" s="3">
        <f t="shared" si="60"/>
        <v>1032313.4527176371</v>
      </c>
      <c r="I111" s="3">
        <f t="shared" si="60"/>
        <v>1009468.0617203858</v>
      </c>
      <c r="J111" s="3">
        <f t="shared" si="60"/>
        <v>985453.85716186487</v>
      </c>
      <c r="K111" s="3">
        <f t="shared" si="60"/>
        <v>960211.04032200994</v>
      </c>
      <c r="L111" s="3">
        <f t="shared" si="60"/>
        <v>933676.75306474697</v>
      </c>
    </row>
    <row r="112" spans="1:12">
      <c r="A112" s="28" t="s">
        <v>50</v>
      </c>
      <c r="B112" s="28"/>
      <c r="C112" s="11">
        <f>C94</f>
        <v>88051.864344688511</v>
      </c>
      <c r="D112" s="11">
        <f t="shared" ref="D112:L112" si="61">D94</f>
        <v>87076.44481586662</v>
      </c>
      <c r="E112" s="11">
        <f t="shared" si="61"/>
        <v>76640.651447515673</v>
      </c>
      <c r="F112" s="11">
        <f t="shared" si="61"/>
        <v>55537.568659693432</v>
      </c>
      <c r="G112" s="11">
        <f t="shared" si="61"/>
        <v>22389.916421076712</v>
      </c>
      <c r="H112" s="11">
        <f t="shared" si="61"/>
        <v>266156.17158370168</v>
      </c>
      <c r="I112" s="11">
        <f t="shared" si="61"/>
        <v>249967.15404367028</v>
      </c>
      <c r="J112" s="11">
        <f t="shared" si="61"/>
        <v>221521.9107677553</v>
      </c>
      <c r="K112" s="11">
        <f t="shared" si="61"/>
        <v>179173.70530096622</v>
      </c>
      <c r="L112" s="11">
        <f t="shared" si="61"/>
        <v>123714.29990149668</v>
      </c>
    </row>
    <row r="113" spans="1:12">
      <c r="A113" s="29" t="s">
        <v>139</v>
      </c>
      <c r="B113" s="29"/>
      <c r="C113" s="3">
        <f>SUM(C111:C112)</f>
        <v>1218957.0307621269</v>
      </c>
      <c r="D113" s="3">
        <f t="shared" ref="D113:L113" si="62">SUM(D111:D112)</f>
        <v>1200180.359424348</v>
      </c>
      <c r="E113" s="3">
        <f t="shared" si="62"/>
        <v>1171032.5684198232</v>
      </c>
      <c r="F113" s="3">
        <f t="shared" si="62"/>
        <v>1130260.1466836021</v>
      </c>
      <c r="G113" s="3">
        <f t="shared" si="62"/>
        <v>1076436.8347859071</v>
      </c>
      <c r="H113" s="3">
        <f t="shared" si="62"/>
        <v>1298469.6243013388</v>
      </c>
      <c r="I113" s="3">
        <f t="shared" si="62"/>
        <v>1259435.215764056</v>
      </c>
      <c r="J113" s="3">
        <f t="shared" si="62"/>
        <v>1206975.7679296201</v>
      </c>
      <c r="K113" s="3">
        <f t="shared" si="62"/>
        <v>1139384.7456229762</v>
      </c>
      <c r="L113" s="3">
        <f t="shared" si="62"/>
        <v>1057391.0529662436</v>
      </c>
    </row>
    <row r="114" spans="1:12">
      <c r="A114" s="27"/>
      <c r="B114" s="27"/>
      <c r="C114" s="1"/>
      <c r="D114" s="1"/>
      <c r="E114" s="1"/>
      <c r="F114" s="1"/>
      <c r="G114" s="6"/>
      <c r="H114" s="1"/>
    </row>
    <row r="115" spans="1:12">
      <c r="A115" s="27" t="s">
        <v>140</v>
      </c>
      <c r="B115" s="27"/>
      <c r="C115" s="1"/>
      <c r="D115" s="1"/>
      <c r="E115" s="1"/>
      <c r="F115" s="1"/>
      <c r="G115" s="6"/>
      <c r="H115" s="1"/>
    </row>
    <row r="116" spans="1:12">
      <c r="A116" s="28" t="s">
        <v>9</v>
      </c>
      <c r="B116" s="28"/>
      <c r="C116" s="6">
        <f>C111/C113</f>
        <v>0.92776458716544252</v>
      </c>
      <c r="D116" s="6">
        <f t="shared" ref="D116:L116" si="63">D111/D113</f>
        <v>0.92744720063771768</v>
      </c>
      <c r="E116" s="6">
        <f t="shared" si="63"/>
        <v>0.93455292917178756</v>
      </c>
      <c r="F116" s="6">
        <f t="shared" si="63"/>
        <v>0.95086302138259826</v>
      </c>
      <c r="G116" s="6">
        <f t="shared" si="63"/>
        <v>0.97919997189103081</v>
      </c>
      <c r="H116" s="6">
        <f t="shared" si="63"/>
        <v>0.79502318221197432</v>
      </c>
      <c r="I116" s="6">
        <f t="shared" si="63"/>
        <v>0.80152440481662746</v>
      </c>
      <c r="J116" s="6">
        <f t="shared" si="63"/>
        <v>0.81646532046973752</v>
      </c>
      <c r="K116" s="6">
        <f t="shared" si="63"/>
        <v>0.84274521316063411</v>
      </c>
      <c r="L116" s="6">
        <f t="shared" si="63"/>
        <v>0.88300042869244322</v>
      </c>
    </row>
    <row r="117" spans="1:12">
      <c r="A117" s="28" t="s">
        <v>141</v>
      </c>
      <c r="B117" s="28"/>
      <c r="C117" s="30">
        <f>C112/C113</f>
        <v>7.2235412834557394E-2</v>
      </c>
      <c r="D117" s="30">
        <f t="shared" ref="D117:L117" si="64">D112/D113</f>
        <v>7.255279936228233E-2</v>
      </c>
      <c r="E117" s="30">
        <f t="shared" si="64"/>
        <v>6.5447070828212411E-2</v>
      </c>
      <c r="F117" s="30">
        <f t="shared" si="64"/>
        <v>4.9136978617401669E-2</v>
      </c>
      <c r="G117" s="30">
        <f t="shared" si="64"/>
        <v>2.080002810896921E-2</v>
      </c>
      <c r="H117" s="30">
        <f t="shared" si="64"/>
        <v>0.20497681778802568</v>
      </c>
      <c r="I117" s="30">
        <f t="shared" si="64"/>
        <v>0.19847559518337257</v>
      </c>
      <c r="J117" s="30">
        <f t="shared" si="64"/>
        <v>0.18353467953026248</v>
      </c>
      <c r="K117" s="30">
        <f t="shared" si="64"/>
        <v>0.15725478683936586</v>
      </c>
      <c r="L117" s="30">
        <f t="shared" si="64"/>
        <v>0.11699957130755689</v>
      </c>
    </row>
    <row r="118" spans="1:12">
      <c r="A118" s="31" t="s">
        <v>142</v>
      </c>
      <c r="B118" s="31"/>
      <c r="C118" s="32">
        <f>SUM(C116:C117)</f>
        <v>0.99999999999999989</v>
      </c>
      <c r="D118" s="32">
        <f t="shared" ref="D118:L118" si="65">SUM(D116:D117)</f>
        <v>1</v>
      </c>
      <c r="E118" s="32">
        <f t="shared" si="65"/>
        <v>1</v>
      </c>
      <c r="F118" s="32">
        <f t="shared" si="65"/>
        <v>0.99999999999999989</v>
      </c>
      <c r="G118" s="32">
        <f t="shared" si="65"/>
        <v>1</v>
      </c>
      <c r="H118" s="32">
        <f t="shared" si="65"/>
        <v>1</v>
      </c>
      <c r="I118" s="32">
        <f t="shared" si="65"/>
        <v>1</v>
      </c>
      <c r="J118" s="32">
        <f t="shared" si="65"/>
        <v>1</v>
      </c>
      <c r="K118" s="32">
        <f t="shared" si="65"/>
        <v>1</v>
      </c>
      <c r="L118" s="32">
        <f t="shared" si="65"/>
        <v>1</v>
      </c>
    </row>
    <row r="119" spans="1:12">
      <c r="A119" s="33"/>
      <c r="B119" s="33"/>
      <c r="C119" s="34"/>
      <c r="D119" s="34"/>
      <c r="E119" s="34"/>
      <c r="F119" s="34"/>
      <c r="G119" s="6"/>
      <c r="H119" s="1"/>
    </row>
    <row r="120" spans="1:12">
      <c r="A120" s="33" t="s">
        <v>143</v>
      </c>
      <c r="B120" s="33"/>
      <c r="C120" s="34"/>
      <c r="D120" s="34"/>
      <c r="E120" s="34"/>
      <c r="F120" s="34"/>
      <c r="G120" s="6"/>
      <c r="H120" s="1"/>
    </row>
    <row r="121" spans="1:12">
      <c r="A121" s="28" t="s">
        <v>9</v>
      </c>
      <c r="B121" s="28"/>
      <c r="C121" s="30">
        <f>$M$262</f>
        <v>0.05</v>
      </c>
      <c r="D121" s="30">
        <f t="shared" ref="D121:L121" si="66">$M$262</f>
        <v>0.05</v>
      </c>
      <c r="E121" s="30">
        <f t="shared" si="66"/>
        <v>0.05</v>
      </c>
      <c r="F121" s="30">
        <f t="shared" si="66"/>
        <v>0.05</v>
      </c>
      <c r="G121" s="30">
        <f t="shared" si="66"/>
        <v>0.05</v>
      </c>
      <c r="H121" s="30">
        <f t="shared" si="66"/>
        <v>0.05</v>
      </c>
      <c r="I121" s="30">
        <f t="shared" si="66"/>
        <v>0.05</v>
      </c>
      <c r="J121" s="30">
        <f t="shared" si="66"/>
        <v>0.05</v>
      </c>
      <c r="K121" s="30">
        <f t="shared" si="66"/>
        <v>0.05</v>
      </c>
      <c r="L121" s="30">
        <f t="shared" si="66"/>
        <v>0.05</v>
      </c>
    </row>
    <row r="122" spans="1:12">
      <c r="A122" s="28" t="s">
        <v>141</v>
      </c>
      <c r="B122" s="28"/>
      <c r="C122" s="30">
        <f>C258</f>
        <v>0.11</v>
      </c>
      <c r="D122" s="30">
        <f t="shared" ref="D122:L122" si="67">D258</f>
        <v>0.11</v>
      </c>
      <c r="E122" s="30">
        <f t="shared" si="67"/>
        <v>0.11</v>
      </c>
      <c r="F122" s="30">
        <f t="shared" si="67"/>
        <v>0.11</v>
      </c>
      <c r="G122" s="30">
        <f t="shared" si="67"/>
        <v>0.11</v>
      </c>
      <c r="H122" s="30">
        <f t="shared" si="67"/>
        <v>0.11</v>
      </c>
      <c r="I122" s="30">
        <f t="shared" si="67"/>
        <v>0.11</v>
      </c>
      <c r="J122" s="30">
        <f t="shared" si="67"/>
        <v>0.11</v>
      </c>
      <c r="K122" s="30">
        <f t="shared" si="67"/>
        <v>0.11</v>
      </c>
      <c r="L122" s="30">
        <f t="shared" si="67"/>
        <v>0.11</v>
      </c>
    </row>
    <row r="123" spans="1:12">
      <c r="A123" s="33"/>
      <c r="B123" s="33"/>
      <c r="C123" s="34"/>
      <c r="D123" s="34"/>
      <c r="E123" s="34"/>
      <c r="F123" s="34"/>
      <c r="G123" s="6"/>
      <c r="H123" s="1"/>
    </row>
    <row r="124" spans="1:12">
      <c r="A124" s="33" t="s">
        <v>144</v>
      </c>
      <c r="B124" s="33"/>
      <c r="C124" s="30">
        <f>C116*C121+C117*C122</f>
        <v>5.4334124770073447E-2</v>
      </c>
      <c r="D124" s="30">
        <f t="shared" ref="D124:L124" si="68">D116*D121+D117*D122</f>
        <v>5.4353167961736941E-2</v>
      </c>
      <c r="E124" s="30">
        <f t="shared" si="68"/>
        <v>5.3926824249692744E-2</v>
      </c>
      <c r="F124" s="30">
        <f t="shared" si="68"/>
        <v>5.2948218717044096E-2</v>
      </c>
      <c r="G124" s="30">
        <f t="shared" si="68"/>
        <v>5.1248001686538161E-2</v>
      </c>
      <c r="H124" s="30">
        <f t="shared" si="68"/>
        <v>6.2298609067281546E-2</v>
      </c>
      <c r="I124" s="30">
        <f t="shared" si="68"/>
        <v>6.1908535711002362E-2</v>
      </c>
      <c r="J124" s="30">
        <f t="shared" si="68"/>
        <v>6.1012080771815747E-2</v>
      </c>
      <c r="K124" s="30">
        <f t="shared" si="68"/>
        <v>5.9435287210361953E-2</v>
      </c>
      <c r="L124" s="30">
        <f t="shared" si="68"/>
        <v>5.7019974278453421E-2</v>
      </c>
    </row>
    <row r="125" spans="1:12">
      <c r="A125" s="33"/>
      <c r="B125" s="33"/>
      <c r="C125" s="34"/>
      <c r="D125" s="34"/>
      <c r="E125" s="36"/>
      <c r="F125" s="34"/>
      <c r="G125" s="6"/>
      <c r="H125" s="1"/>
    </row>
    <row r="126" spans="1:12">
      <c r="A126" s="33" t="s">
        <v>145</v>
      </c>
      <c r="B126" s="33"/>
      <c r="C126" s="37">
        <f>C102</f>
        <v>365381.19726508413</v>
      </c>
      <c r="D126" s="37">
        <f t="shared" ref="D126:L126" si="69">D102</f>
        <v>340046.61969937669</v>
      </c>
      <c r="E126" s="37">
        <f t="shared" si="69"/>
        <v>325094.91620668373</v>
      </c>
      <c r="F126" s="37">
        <f t="shared" si="69"/>
        <v>321779.97141260892</v>
      </c>
      <c r="G126" s="37">
        <f t="shared" si="69"/>
        <v>329578.738601916</v>
      </c>
      <c r="H126" s="37">
        <f t="shared" si="69"/>
        <v>300891.69973018009</v>
      </c>
      <c r="I126" s="37">
        <f t="shared" si="69"/>
        <v>284135.48990244407</v>
      </c>
      <c r="J126" s="37">
        <f t="shared" si="69"/>
        <v>280818.06650506891</v>
      </c>
      <c r="K126" s="37">
        <f t="shared" si="69"/>
        <v>290280.73554523778</v>
      </c>
      <c r="L126" s="37">
        <f t="shared" si="69"/>
        <v>313169.784684301</v>
      </c>
    </row>
    <row r="127" spans="1:12">
      <c r="A127" s="33" t="s">
        <v>146</v>
      </c>
      <c r="B127" s="33"/>
      <c r="C127" s="38">
        <f>C113+C126</f>
        <v>1584338.228027211</v>
      </c>
      <c r="D127" s="38">
        <f t="shared" ref="D127:L127" si="70">D113+D126</f>
        <v>1540226.9791237246</v>
      </c>
      <c r="E127" s="38">
        <f t="shared" si="70"/>
        <v>1496127.4846265069</v>
      </c>
      <c r="F127" s="38">
        <f t="shared" si="70"/>
        <v>1452040.118096211</v>
      </c>
      <c r="G127" s="38">
        <f t="shared" si="70"/>
        <v>1406015.5733878231</v>
      </c>
      <c r="H127" s="38">
        <f t="shared" si="70"/>
        <v>1599361.3240315188</v>
      </c>
      <c r="I127" s="38">
        <f t="shared" si="70"/>
        <v>1543570.7056665001</v>
      </c>
      <c r="J127" s="38">
        <f t="shared" si="70"/>
        <v>1487793.834434689</v>
      </c>
      <c r="K127" s="38">
        <f t="shared" si="70"/>
        <v>1429665.481168214</v>
      </c>
      <c r="L127" s="38">
        <f t="shared" si="70"/>
        <v>1370560.8376505445</v>
      </c>
    </row>
    <row r="128" spans="1:12">
      <c r="A128" s="33"/>
      <c r="B128" s="33"/>
      <c r="C128" s="34"/>
      <c r="D128" s="34"/>
      <c r="E128" s="34"/>
      <c r="F128" s="34"/>
      <c r="G128" s="6"/>
      <c r="H128" s="1"/>
    </row>
    <row r="129" spans="1:12">
      <c r="A129" s="27" t="s">
        <v>147</v>
      </c>
      <c r="B129" s="27"/>
      <c r="C129" s="1"/>
      <c r="D129" s="1"/>
      <c r="E129" s="1"/>
      <c r="F129" s="1"/>
      <c r="G129" s="6"/>
      <c r="H129" s="1"/>
    </row>
    <row r="130" spans="1:12">
      <c r="A130" s="28" t="s">
        <v>139</v>
      </c>
      <c r="B130" s="28"/>
      <c r="C130" s="6">
        <f>C113/C127</f>
        <v>0.76937929616200063</v>
      </c>
      <c r="D130" s="6">
        <f t="shared" ref="D130:L130" si="71">D113/D127</f>
        <v>0.77922304679220844</v>
      </c>
      <c r="E130" s="6">
        <f t="shared" si="71"/>
        <v>0.78270908091241942</v>
      </c>
      <c r="F130" s="6">
        <f t="shared" si="71"/>
        <v>0.77839457229701148</v>
      </c>
      <c r="G130" s="6">
        <f t="shared" si="71"/>
        <v>0.76559382069446835</v>
      </c>
      <c r="H130" s="6">
        <f t="shared" si="71"/>
        <v>0.81186759038806777</v>
      </c>
      <c r="I130" s="6">
        <f t="shared" si="71"/>
        <v>0.81592324286838747</v>
      </c>
      <c r="J130" s="6">
        <f t="shared" si="71"/>
        <v>0.81125202967938748</v>
      </c>
      <c r="K130" s="6">
        <f t="shared" si="71"/>
        <v>0.79695898140588639</v>
      </c>
      <c r="L130" s="6">
        <f t="shared" si="71"/>
        <v>0.77150245645341387</v>
      </c>
    </row>
    <row r="131" spans="1:12">
      <c r="A131" s="39" t="s">
        <v>145</v>
      </c>
      <c r="B131" s="39"/>
      <c r="C131" s="30">
        <f>C126/C127</f>
        <v>0.23062070383799935</v>
      </c>
      <c r="D131" s="30">
        <f t="shared" ref="D131:L131" si="72">D126/D127</f>
        <v>0.22077695320779156</v>
      </c>
      <c r="E131" s="30">
        <f t="shared" si="72"/>
        <v>0.21729091908758055</v>
      </c>
      <c r="F131" s="30">
        <f t="shared" si="72"/>
        <v>0.22160542770298861</v>
      </c>
      <c r="G131" s="30">
        <f t="shared" si="72"/>
        <v>0.2344061793055317</v>
      </c>
      <c r="H131" s="30">
        <f t="shared" si="72"/>
        <v>0.18813240961193231</v>
      </c>
      <c r="I131" s="30">
        <f t="shared" si="72"/>
        <v>0.18407675713161251</v>
      </c>
      <c r="J131" s="30">
        <f t="shared" si="72"/>
        <v>0.18874797032061247</v>
      </c>
      <c r="K131" s="30">
        <f t="shared" si="72"/>
        <v>0.20304101859411366</v>
      </c>
      <c r="L131" s="30">
        <f t="shared" si="72"/>
        <v>0.22849754354658625</v>
      </c>
    </row>
    <row r="132" spans="1:12">
      <c r="A132" s="31" t="s">
        <v>142</v>
      </c>
      <c r="B132" s="31"/>
      <c r="C132" s="32">
        <f>SUM(C130:C131)</f>
        <v>1</v>
      </c>
      <c r="D132" s="32">
        <f t="shared" ref="D132:L132" si="73">SUM(D130:D131)</f>
        <v>1</v>
      </c>
      <c r="E132" s="32">
        <f t="shared" si="73"/>
        <v>1</v>
      </c>
      <c r="F132" s="32">
        <f t="shared" si="73"/>
        <v>1</v>
      </c>
      <c r="G132" s="32">
        <f t="shared" si="73"/>
        <v>1</v>
      </c>
      <c r="H132" s="32">
        <f t="shared" si="73"/>
        <v>1</v>
      </c>
      <c r="I132" s="32">
        <f t="shared" si="73"/>
        <v>1</v>
      </c>
      <c r="J132" s="32">
        <f t="shared" si="73"/>
        <v>1</v>
      </c>
      <c r="K132" s="32">
        <f t="shared" si="73"/>
        <v>1</v>
      </c>
      <c r="L132" s="32">
        <f t="shared" si="73"/>
        <v>1</v>
      </c>
    </row>
    <row r="133" spans="1:12">
      <c r="A133" s="33"/>
      <c r="B133" s="33"/>
      <c r="C133" s="34"/>
      <c r="D133" s="34"/>
      <c r="E133" s="34"/>
      <c r="F133" s="34"/>
      <c r="G133" s="6"/>
      <c r="H133" s="1"/>
    </row>
    <row r="134" spans="1:12">
      <c r="A134" s="33" t="s">
        <v>148</v>
      </c>
      <c r="B134" s="33"/>
      <c r="C134" s="30">
        <f t="shared" ref="C134:L134" si="74">C151*(C309-C308)+C308</f>
        <v>0.1279942509599149</v>
      </c>
      <c r="D134" s="30">
        <f t="shared" si="74"/>
        <v>0.13336894034263219</v>
      </c>
      <c r="E134" s="30">
        <f t="shared" si="74"/>
        <v>0.13538907870947442</v>
      </c>
      <c r="F134" s="30">
        <f t="shared" si="74"/>
        <v>0.13289819090469007</v>
      </c>
      <c r="G134" s="30">
        <f t="shared" si="74"/>
        <v>0.12604755609840257</v>
      </c>
      <c r="H134" s="30">
        <f t="shared" si="74"/>
        <v>0.1552182662830083</v>
      </c>
      <c r="I134" s="30">
        <f t="shared" si="74"/>
        <v>0.15847395562153108</v>
      </c>
      <c r="J134" s="30">
        <f t="shared" si="74"/>
        <v>0.15473635202157757</v>
      </c>
      <c r="K134" s="30">
        <f t="shared" si="74"/>
        <v>0.14436814684782096</v>
      </c>
      <c r="L134" s="30">
        <f t="shared" si="74"/>
        <v>0.12911432762692751</v>
      </c>
    </row>
    <row r="135" spans="1:12">
      <c r="A135" s="33"/>
      <c r="B135" s="33"/>
      <c r="C135" s="34"/>
      <c r="D135" s="34"/>
      <c r="E135" s="34"/>
      <c r="F135" s="34"/>
      <c r="G135" s="6"/>
      <c r="H135" s="1"/>
    </row>
    <row r="136" spans="1:12">
      <c r="A136" s="33" t="s">
        <v>149</v>
      </c>
      <c r="B136" s="33"/>
      <c r="C136" s="30">
        <f t="shared" ref="C136:L136" si="75">C130*C124*(1-C250)+C131*C134</f>
        <v>6.2960964782135045E-2</v>
      </c>
      <c r="D136" s="30">
        <f t="shared" si="75"/>
        <v>6.3327381214960704E-2</v>
      </c>
      <c r="E136" s="30">
        <f t="shared" si="75"/>
        <v>6.3186029383204556E-2</v>
      </c>
      <c r="F136" s="30">
        <f t="shared" si="75"/>
        <v>6.2422645286101003E-2</v>
      </c>
      <c r="G136" s="30">
        <f t="shared" si="75"/>
        <v>6.0934448767148874E-2</v>
      </c>
      <c r="H136" s="30">
        <f t="shared" si="75"/>
        <v>6.9664163753994576E-2</v>
      </c>
      <c r="I136" s="30">
        <f t="shared" si="75"/>
        <v>6.9581462415474055E-2</v>
      </c>
      <c r="J136" s="30">
        <f t="shared" si="75"/>
        <v>6.8803111867767164E-2</v>
      </c>
      <c r="K136" s="30">
        <f t="shared" si="75"/>
        <v>6.7206644352315242E-2</v>
      </c>
      <c r="L136" s="30">
        <f t="shared" si="75"/>
        <v>6.4695146877611909E-2</v>
      </c>
    </row>
    <row r="137" spans="1:12">
      <c r="A137" s="33"/>
      <c r="B137" s="33"/>
      <c r="C137" s="34"/>
      <c r="D137" s="34"/>
      <c r="E137" s="34"/>
      <c r="F137" s="34"/>
      <c r="G137" s="6"/>
      <c r="H137" s="1"/>
    </row>
    <row r="138" spans="1:12">
      <c r="A138" s="33" t="s">
        <v>150</v>
      </c>
      <c r="B138" s="33"/>
      <c r="C138" s="34"/>
      <c r="D138" s="34"/>
      <c r="E138" s="34"/>
      <c r="G138" s="6"/>
      <c r="H138" s="1"/>
      <c r="L138" s="40">
        <f>AVERAGE(C136:L136)</f>
        <v>6.5278199870071302E-2</v>
      </c>
    </row>
    <row r="139" spans="1:12">
      <c r="A139" s="33"/>
      <c r="B139" s="33"/>
      <c r="C139" s="34"/>
      <c r="D139" s="34"/>
      <c r="E139" s="34"/>
      <c r="F139" s="34"/>
      <c r="G139" s="6"/>
      <c r="H139" s="1"/>
    </row>
    <row r="140" spans="1:12">
      <c r="A140" s="33"/>
      <c r="B140" s="33"/>
      <c r="C140" s="34"/>
      <c r="D140" s="34"/>
      <c r="E140" s="34"/>
      <c r="F140" s="34"/>
      <c r="G140" s="6"/>
      <c r="H140" s="1"/>
    </row>
    <row r="141" spans="1:12">
      <c r="A141" s="33"/>
      <c r="B141" s="33"/>
      <c r="C141" s="34"/>
      <c r="D141" s="34"/>
      <c r="E141" s="34"/>
      <c r="F141" s="34"/>
      <c r="G141" s="6"/>
      <c r="H141" s="1"/>
    </row>
    <row r="142" spans="1:12">
      <c r="A142" s="75" t="s">
        <v>170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</row>
    <row r="143" spans="1:12">
      <c r="A143" s="33"/>
      <c r="B143" s="33"/>
      <c r="C143" s="34"/>
      <c r="D143" s="34"/>
      <c r="E143" s="34"/>
      <c r="F143" s="40"/>
      <c r="G143" s="6"/>
      <c r="H143" s="1"/>
    </row>
    <row r="144" spans="1:12">
      <c r="A144" s="33" t="s">
        <v>171</v>
      </c>
      <c r="B144" s="33"/>
      <c r="C144" s="34"/>
      <c r="D144" s="34"/>
      <c r="E144" s="34"/>
      <c r="F144" s="34"/>
      <c r="G144" s="6"/>
      <c r="H144" s="1"/>
    </row>
    <row r="145" spans="1:12">
      <c r="A145" s="39" t="s">
        <v>172</v>
      </c>
      <c r="B145" s="33"/>
      <c r="C145" s="51">
        <f>C130</f>
        <v>0.76937929616200063</v>
      </c>
      <c r="D145" s="51">
        <f t="shared" ref="D145:L146" si="76">D130</f>
        <v>0.77922304679220844</v>
      </c>
      <c r="E145" s="51">
        <f t="shared" si="76"/>
        <v>0.78270908091241942</v>
      </c>
      <c r="F145" s="51">
        <f t="shared" si="76"/>
        <v>0.77839457229701148</v>
      </c>
      <c r="G145" s="51">
        <f t="shared" si="76"/>
        <v>0.76559382069446835</v>
      </c>
      <c r="H145" s="51">
        <f t="shared" si="76"/>
        <v>0.81186759038806777</v>
      </c>
      <c r="I145" s="51">
        <f t="shared" si="76"/>
        <v>0.81592324286838747</v>
      </c>
      <c r="J145" s="51">
        <f t="shared" si="76"/>
        <v>0.81125202967938748</v>
      </c>
      <c r="K145" s="51">
        <f t="shared" si="76"/>
        <v>0.79695898140588639</v>
      </c>
      <c r="L145" s="51">
        <f t="shared" si="76"/>
        <v>0.77150245645341387</v>
      </c>
    </row>
    <row r="146" spans="1:12">
      <c r="A146" s="39" t="s">
        <v>173</v>
      </c>
      <c r="B146" s="33"/>
      <c r="C146" s="51">
        <f>C131</f>
        <v>0.23062070383799935</v>
      </c>
      <c r="D146" s="51">
        <f t="shared" si="76"/>
        <v>0.22077695320779156</v>
      </c>
      <c r="E146" s="51">
        <f t="shared" si="76"/>
        <v>0.21729091908758055</v>
      </c>
      <c r="F146" s="51">
        <f t="shared" si="76"/>
        <v>0.22160542770298861</v>
      </c>
      <c r="G146" s="51">
        <f t="shared" si="76"/>
        <v>0.2344061793055317</v>
      </c>
      <c r="H146" s="51">
        <f t="shared" si="76"/>
        <v>0.18813240961193231</v>
      </c>
      <c r="I146" s="51">
        <f t="shared" si="76"/>
        <v>0.18407675713161251</v>
      </c>
      <c r="J146" s="51">
        <f t="shared" si="76"/>
        <v>0.18874797032061247</v>
      </c>
      <c r="K146" s="51">
        <f t="shared" si="76"/>
        <v>0.20304101859411366</v>
      </c>
      <c r="L146" s="51">
        <f t="shared" si="76"/>
        <v>0.22849754354658625</v>
      </c>
    </row>
    <row r="147" spans="1:12">
      <c r="A147" s="31" t="s">
        <v>142</v>
      </c>
      <c r="B147" s="33"/>
      <c r="C147" s="53">
        <f>SUM(C145:C146)</f>
        <v>1</v>
      </c>
      <c r="D147" s="53">
        <f>SUM(D145:D146)</f>
        <v>1</v>
      </c>
      <c r="E147" s="53">
        <f>SUM(E145:E146)</f>
        <v>1</v>
      </c>
      <c r="F147" s="53">
        <f>SUM(F145:F146)</f>
        <v>1</v>
      </c>
      <c r="G147" s="53">
        <f t="shared" ref="G147:L147" si="77">SUM(G145:G146)</f>
        <v>1</v>
      </c>
      <c r="H147" s="53">
        <f t="shared" si="77"/>
        <v>1</v>
      </c>
      <c r="I147" s="53">
        <f t="shared" si="77"/>
        <v>1</v>
      </c>
      <c r="J147" s="53">
        <f t="shared" si="77"/>
        <v>1</v>
      </c>
      <c r="K147" s="53">
        <f t="shared" si="77"/>
        <v>1</v>
      </c>
      <c r="L147" s="53">
        <f t="shared" si="77"/>
        <v>1</v>
      </c>
    </row>
    <row r="148" spans="1:12">
      <c r="A148" s="33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3" t="s">
        <v>174</v>
      </c>
      <c r="B149" s="33"/>
      <c r="C149" s="34">
        <f>C311</f>
        <v>0.5</v>
      </c>
      <c r="D149" s="34">
        <f t="shared" ref="D149:L149" si="78">D311</f>
        <v>0.5</v>
      </c>
      <c r="E149" s="34">
        <f t="shared" si="78"/>
        <v>0.5</v>
      </c>
      <c r="F149" s="34">
        <f t="shared" si="78"/>
        <v>0.5</v>
      </c>
      <c r="G149" s="34">
        <f t="shared" si="78"/>
        <v>0.5</v>
      </c>
      <c r="H149" s="34">
        <f t="shared" si="78"/>
        <v>0.5</v>
      </c>
      <c r="I149" s="34">
        <f t="shared" si="78"/>
        <v>0.5</v>
      </c>
      <c r="J149" s="34">
        <f t="shared" si="78"/>
        <v>0.5</v>
      </c>
      <c r="K149" s="34">
        <f t="shared" si="78"/>
        <v>0.5</v>
      </c>
      <c r="L149" s="34">
        <f t="shared" si="78"/>
        <v>0.5</v>
      </c>
    </row>
    <row r="150" spans="1:12">
      <c r="A150" s="33"/>
      <c r="B150" s="33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3" t="s">
        <v>175</v>
      </c>
      <c r="B151" s="33"/>
      <c r="C151" s="52">
        <f t="shared" ref="C151:L151" si="79">(1+(1-C250)*(C145/C146))*C149</f>
        <v>1.8344496540994948</v>
      </c>
      <c r="D151" s="52">
        <f t="shared" si="79"/>
        <v>1.9117833142824774</v>
      </c>
      <c r="E151" s="52">
        <f t="shared" si="79"/>
        <v>1.9408500533737323</v>
      </c>
      <c r="F151" s="52">
        <f t="shared" si="79"/>
        <v>1.905009941074677</v>
      </c>
      <c r="G151" s="52">
        <f t="shared" si="79"/>
        <v>1.806439656092123</v>
      </c>
      <c r="H151" s="52">
        <f t="shared" si="79"/>
        <v>2.2261621047914861</v>
      </c>
      <c r="I151" s="52">
        <f t="shared" si="79"/>
        <v>2.273006555705483</v>
      </c>
      <c r="J151" s="52">
        <f t="shared" si="79"/>
        <v>2.2192280866414036</v>
      </c>
      <c r="K151" s="52">
        <f t="shared" si="79"/>
        <v>2.0700452783859129</v>
      </c>
      <c r="L151" s="52">
        <f t="shared" si="79"/>
        <v>1.8505658651356476</v>
      </c>
    </row>
    <row r="152" spans="1:12">
      <c r="A152" s="33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>
      <c r="A153" s="33"/>
      <c r="B153" s="33"/>
      <c r="C153" s="34"/>
      <c r="D153" s="34"/>
      <c r="E153" s="34"/>
      <c r="F153" s="34"/>
      <c r="G153" s="6"/>
      <c r="H153" s="1"/>
    </row>
    <row r="154" spans="1:12">
      <c r="A154" s="33"/>
      <c r="B154" s="33"/>
      <c r="C154" s="34"/>
      <c r="D154" s="34"/>
      <c r="E154" s="34"/>
      <c r="F154" s="34"/>
      <c r="G154" s="6"/>
      <c r="H154" s="1"/>
    </row>
    <row r="155" spans="1:12">
      <c r="A155" s="75" t="s">
        <v>151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</row>
    <row r="156" spans="1:12">
      <c r="A156" s="33"/>
      <c r="B156" s="33"/>
      <c r="C156" s="34"/>
      <c r="D156" s="34"/>
      <c r="E156" s="34"/>
      <c r="F156" s="34"/>
      <c r="G156" s="6"/>
      <c r="H156" s="1"/>
    </row>
    <row r="157" spans="1:12">
      <c r="A157" s="61" t="str">
        <f>"Neutral Market Total FCF (Tee Times = " &amp; $M$277 &amp; ")"</f>
        <v>Neutral Market Total FCF (Tee Times = 375)</v>
      </c>
      <c r="B157" s="33"/>
      <c r="C157" s="34"/>
      <c r="D157" s="34"/>
      <c r="E157" s="34"/>
      <c r="F157" s="34"/>
      <c r="G157" s="6"/>
      <c r="H157" s="1"/>
    </row>
    <row r="158" spans="1:12">
      <c r="A158" s="41" t="s">
        <v>152</v>
      </c>
      <c r="B158" s="42">
        <v>0</v>
      </c>
      <c r="C158" s="43">
        <f>B158+1</f>
        <v>1</v>
      </c>
      <c r="D158" s="43">
        <f t="shared" ref="D158:L158" si="80">C158+1</f>
        <v>2</v>
      </c>
      <c r="E158" s="43">
        <f t="shared" si="80"/>
        <v>3</v>
      </c>
      <c r="F158" s="43">
        <f t="shared" si="80"/>
        <v>4</v>
      </c>
      <c r="G158" s="43">
        <f t="shared" si="80"/>
        <v>5</v>
      </c>
      <c r="H158" s="43">
        <f t="shared" si="80"/>
        <v>6</v>
      </c>
      <c r="I158" s="43">
        <f t="shared" si="80"/>
        <v>7</v>
      </c>
      <c r="J158" s="43">
        <f t="shared" si="80"/>
        <v>8</v>
      </c>
      <c r="K158" s="43">
        <f t="shared" si="80"/>
        <v>9</v>
      </c>
      <c r="L158" s="43">
        <f t="shared" si="80"/>
        <v>10</v>
      </c>
    </row>
    <row r="159" spans="1:12">
      <c r="A159" s="33"/>
      <c r="B159" s="33"/>
      <c r="C159" s="34"/>
      <c r="D159" s="34"/>
      <c r="E159" s="34"/>
      <c r="F159" s="34"/>
      <c r="G159" s="6"/>
      <c r="H159" s="1"/>
    </row>
    <row r="160" spans="1:12">
      <c r="A160" s="33" t="s">
        <v>153</v>
      </c>
      <c r="B160" s="33"/>
      <c r="C160" s="38">
        <f t="shared" ref="C160:L160" si="81">IF((C32-C35-C36)&gt;0,(C32-C35-C36)*C250,0)</f>
        <v>6414.8617142857174</v>
      </c>
      <c r="D160" s="38">
        <f t="shared" si="81"/>
        <v>8076.9638732142748</v>
      </c>
      <c r="E160" s="38">
        <f t="shared" si="81"/>
        <v>9741.8020682700917</v>
      </c>
      <c r="F160" s="38">
        <f t="shared" si="81"/>
        <v>11413.41772421659</v>
      </c>
      <c r="G160" s="38">
        <f t="shared" si="81"/>
        <v>13095.585988972918</v>
      </c>
      <c r="H160" s="38">
        <f t="shared" si="81"/>
        <v>10559.782833253674</v>
      </c>
      <c r="I160" s="38">
        <f t="shared" si="81"/>
        <v>12367.405186161388</v>
      </c>
      <c r="J160" s="38">
        <f t="shared" si="81"/>
        <v>14195.604407909501</v>
      </c>
      <c r="K160" s="38">
        <f t="shared" si="81"/>
        <v>16047.373370890577</v>
      </c>
      <c r="L160" s="38">
        <f t="shared" si="81"/>
        <v>17925.567393344245</v>
      </c>
    </row>
    <row r="161" spans="1:12">
      <c r="A161" s="33"/>
      <c r="B161" s="33"/>
      <c r="C161" s="34"/>
      <c r="D161" s="34"/>
      <c r="E161" s="34"/>
      <c r="F161" s="34"/>
      <c r="G161" s="6"/>
      <c r="H161" s="1"/>
    </row>
    <row r="162" spans="1:12">
      <c r="A162" s="33" t="s">
        <v>154</v>
      </c>
      <c r="B162" s="33"/>
      <c r="C162" s="38">
        <f t="shared" ref="C162:L162" si="82">C32-C160</f>
        <v>70157.446857142873</v>
      </c>
      <c r="D162" s="38">
        <f t="shared" si="82"/>
        <v>76805.855492857096</v>
      </c>
      <c r="E162" s="38">
        <f t="shared" si="82"/>
        <v>83465.208273080367</v>
      </c>
      <c r="F162" s="38">
        <f t="shared" si="82"/>
        <v>90151.670896866359</v>
      </c>
      <c r="G162" s="38">
        <f t="shared" si="82"/>
        <v>96880.343955891673</v>
      </c>
      <c r="H162" s="38">
        <f t="shared" si="82"/>
        <v>98479.131333014695</v>
      </c>
      <c r="I162" s="38">
        <f t="shared" si="82"/>
        <v>105709.62074464555</v>
      </c>
      <c r="J162" s="38">
        <f t="shared" si="82"/>
        <v>113022.417631638</v>
      </c>
      <c r="K162" s="38">
        <f t="shared" si="82"/>
        <v>120429.4934835623</v>
      </c>
      <c r="L162" s="38">
        <f t="shared" si="82"/>
        <v>127942.26957337698</v>
      </c>
    </row>
    <row r="163" spans="1:12">
      <c r="A163" s="33" t="s">
        <v>39</v>
      </c>
      <c r="B163" s="44">
        <f>-C70</f>
        <v>-858000</v>
      </c>
      <c r="C163" s="38"/>
      <c r="D163" s="38"/>
      <c r="E163" s="38"/>
      <c r="G163" s="6"/>
      <c r="H163" s="1"/>
      <c r="L163" s="38">
        <f>L266*M267</f>
        <v>1119495.3917254922</v>
      </c>
    </row>
    <row r="164" spans="1:12">
      <c r="A164" s="27" t="s">
        <v>155</v>
      </c>
      <c r="C164" s="38"/>
      <c r="D164" s="38"/>
      <c r="E164" s="38"/>
      <c r="G164" s="6"/>
      <c r="H164" s="1"/>
      <c r="L164" s="38">
        <f>-IF((L163-L70)&gt;0,(L163-L70)*L252,0)</f>
        <v>-52299.078345098445</v>
      </c>
    </row>
    <row r="165" spans="1:12">
      <c r="A165" s="33" t="s">
        <v>40</v>
      </c>
      <c r="B165" s="44">
        <f>-C72</f>
        <v>-576800</v>
      </c>
      <c r="H165" s="1"/>
      <c r="L165" s="3">
        <f>L268*L269</f>
        <v>1075133.1034752978</v>
      </c>
    </row>
    <row r="166" spans="1:12">
      <c r="A166" s="33" t="s">
        <v>176</v>
      </c>
      <c r="B166" s="44"/>
      <c r="G166" s="3">
        <f>-(H72-G72)</f>
        <v>-247200</v>
      </c>
      <c r="H166" s="1"/>
    </row>
    <row r="167" spans="1:12">
      <c r="A167" s="27" t="s">
        <v>155</v>
      </c>
      <c r="G167" s="6"/>
      <c r="H167" s="1"/>
      <c r="L167" s="3">
        <f>-IF((L165-L74)&gt;0,(L165-L74)*L252,0)</f>
        <v>-116764.62069505957</v>
      </c>
    </row>
    <row r="168" spans="1:12">
      <c r="A168" s="27" t="s">
        <v>58</v>
      </c>
      <c r="B168" s="3">
        <f>-C76</f>
        <v>-180000</v>
      </c>
      <c r="G168" s="6"/>
      <c r="H168" s="1"/>
      <c r="L168" s="22">
        <f>L270*M271</f>
        <v>69735.688020000016</v>
      </c>
    </row>
    <row r="169" spans="1:12">
      <c r="A169" s="27" t="s">
        <v>155</v>
      </c>
      <c r="G169" s="6"/>
      <c r="H169" s="1"/>
      <c r="L169" s="3">
        <f>-IF((L168-L78)&gt;0,(L168-L78)*L252,0)</f>
        <v>-12147.137604000003</v>
      </c>
    </row>
    <row r="170" spans="1:12">
      <c r="A170" s="27" t="str">
        <f>"Change in "&amp;A63</f>
        <v>Change in Golf Club Inventory</v>
      </c>
      <c r="C170" s="3">
        <f>-(C63)</f>
        <v>-4591.8367346938776</v>
      </c>
      <c r="D170" s="3">
        <f t="shared" ref="D170:L170" si="83">-(D63-C63)</f>
        <v>-150.38265306122503</v>
      </c>
      <c r="E170" s="3">
        <f t="shared" si="83"/>
        <v>-155.30768494897984</v>
      </c>
      <c r="F170" s="3">
        <f t="shared" si="83"/>
        <v>-160.39401163105777</v>
      </c>
      <c r="G170" s="3">
        <f t="shared" si="83"/>
        <v>-165.64691551197575</v>
      </c>
      <c r="H170" s="3">
        <f t="shared" si="83"/>
        <v>-171.07185199499236</v>
      </c>
      <c r="I170" s="3">
        <f t="shared" si="83"/>
        <v>-176.67445514782867</v>
      </c>
      <c r="J170" s="3">
        <f t="shared" si="83"/>
        <v>-182.46054355392062</v>
      </c>
      <c r="K170" s="3">
        <f t="shared" si="83"/>
        <v>-188.4361263553119</v>
      </c>
      <c r="L170" s="3">
        <f t="shared" si="83"/>
        <v>-194.60740949344654</v>
      </c>
    </row>
    <row r="171" spans="1:12">
      <c r="A171" s="27" t="str">
        <f>"Change in "&amp;A64</f>
        <v>Change in Apparel Inventory</v>
      </c>
      <c r="C171" s="3">
        <f>-(C64)</f>
        <v>-1700.6802721088438</v>
      </c>
      <c r="D171" s="3">
        <f t="shared" ref="D171:L171" si="84">-(D64-C64)</f>
        <v>-55.697278911564354</v>
      </c>
      <c r="E171" s="3">
        <f t="shared" si="84"/>
        <v>-57.521364795918316</v>
      </c>
      <c r="F171" s="3">
        <f t="shared" si="84"/>
        <v>-59.405189492984846</v>
      </c>
      <c r="G171" s="3">
        <f t="shared" si="84"/>
        <v>-61.350709448880025</v>
      </c>
      <c r="H171" s="3">
        <f t="shared" si="84"/>
        <v>-63.359945183330183</v>
      </c>
      <c r="I171" s="3">
        <f t="shared" si="84"/>
        <v>-65.434983388084902</v>
      </c>
      <c r="J171" s="3">
        <f t="shared" si="84"/>
        <v>-67.577979094044622</v>
      </c>
      <c r="K171" s="3">
        <f t="shared" si="84"/>
        <v>-69.79115790937476</v>
      </c>
      <c r="L171" s="3">
        <f t="shared" si="84"/>
        <v>-72.076818330906008</v>
      </c>
    </row>
    <row r="172" spans="1:12">
      <c r="A172" s="27" t="str">
        <f>"Change in "&amp;A65</f>
        <v>Change in Accessories Inventory</v>
      </c>
      <c r="C172" s="3">
        <f>-(C65)</f>
        <v>-1164</v>
      </c>
      <c r="D172" s="3">
        <f t="shared" ref="D172:L172" si="85">-(D65-C65)</f>
        <v>-14.550000000000182</v>
      </c>
      <c r="E172" s="3">
        <f t="shared" si="85"/>
        <v>-14.731874999999945</v>
      </c>
      <c r="F172" s="3">
        <f t="shared" si="85"/>
        <v>-14.916023437499689</v>
      </c>
      <c r="G172" s="3">
        <f t="shared" si="85"/>
        <v>-15.102473730469001</v>
      </c>
      <c r="H172" s="3">
        <f t="shared" si="85"/>
        <v>-15.291254652099269</v>
      </c>
      <c r="I172" s="3">
        <f t="shared" si="85"/>
        <v>-15.482395335250658</v>
      </c>
      <c r="J172" s="3">
        <f t="shared" si="85"/>
        <v>-15.675925276941598</v>
      </c>
      <c r="K172" s="3">
        <f t="shared" si="85"/>
        <v>-15.871874342903084</v>
      </c>
      <c r="L172" s="3">
        <f t="shared" si="85"/>
        <v>-16.07027277218981</v>
      </c>
    </row>
    <row r="173" spans="1:12">
      <c r="A173" s="27" t="str">
        <f>"Change in "&amp;A66</f>
        <v>Change in Meal Supplies</v>
      </c>
      <c r="C173" s="3">
        <f>-(C66)</f>
        <v>-1224.4897959183672</v>
      </c>
      <c r="D173" s="3">
        <f t="shared" ref="D173:L173" si="86">-(D66-C66)</f>
        <v>-15.30612244897975</v>
      </c>
      <c r="E173" s="3">
        <f t="shared" si="86"/>
        <v>-15.497448979591809</v>
      </c>
      <c r="F173" s="3">
        <f t="shared" si="86"/>
        <v>-15.69116709183686</v>
      </c>
      <c r="G173" s="3">
        <f t="shared" si="86"/>
        <v>-15.887306680484699</v>
      </c>
      <c r="H173" s="3">
        <f t="shared" si="86"/>
        <v>-16.085898013990345</v>
      </c>
      <c r="I173" s="3">
        <f t="shared" si="86"/>
        <v>-16.286971739165665</v>
      </c>
      <c r="J173" s="3">
        <f t="shared" si="86"/>
        <v>-16.490558885905102</v>
      </c>
      <c r="K173" s="3">
        <f t="shared" si="86"/>
        <v>-16.696690871978717</v>
      </c>
      <c r="L173" s="3">
        <f t="shared" si="86"/>
        <v>-16.90539950787911</v>
      </c>
    </row>
    <row r="174" spans="1:12">
      <c r="A174" s="27" t="str">
        <f>"Change in "&amp;A88</f>
        <v>Change in Accounts Payable</v>
      </c>
      <c r="C174" s="3">
        <f>C88</f>
        <v>9058.9387755102052</v>
      </c>
      <c r="D174" s="3">
        <f t="shared" ref="D174:L174" si="87">D88-C88</f>
        <v>127.70102040816164</v>
      </c>
      <c r="E174" s="3">
        <f t="shared" si="87"/>
        <v>129.77098852040763</v>
      </c>
      <c r="F174" s="3">
        <f t="shared" si="87"/>
        <v>131.88234508450296</v>
      </c>
      <c r="G174" s="3">
        <f t="shared" si="87"/>
        <v>134.03611553469818</v>
      </c>
      <c r="H174" s="3">
        <f t="shared" si="87"/>
        <v>136.23335476274042</v>
      </c>
      <c r="I174" s="3">
        <f t="shared" si="87"/>
        <v>138.4751480310606</v>
      </c>
      <c r="J174" s="3">
        <f t="shared" si="87"/>
        <v>140.76261191516642</v>
      </c>
      <c r="K174" s="3">
        <f t="shared" si="87"/>
        <v>143.0968952762978</v>
      </c>
      <c r="L174" s="3">
        <f t="shared" si="87"/>
        <v>145.47918026527623</v>
      </c>
    </row>
    <row r="175" spans="1:12">
      <c r="A175" s="27" t="str">
        <f>"Change in "&amp;A89</f>
        <v>Change in Income Taxes Payable</v>
      </c>
      <c r="C175" s="3">
        <f>C160</f>
        <v>6414.8617142857174</v>
      </c>
      <c r="D175" s="3">
        <f t="shared" ref="D175:L175" si="88">D160-C160</f>
        <v>1662.1021589285574</v>
      </c>
      <c r="E175" s="3">
        <f t="shared" si="88"/>
        <v>1664.8381950558169</v>
      </c>
      <c r="F175" s="3">
        <f t="shared" si="88"/>
        <v>1671.615655946498</v>
      </c>
      <c r="G175" s="3">
        <f t="shared" si="88"/>
        <v>1682.1682647563284</v>
      </c>
      <c r="H175" s="3">
        <f t="shared" si="88"/>
        <v>-2535.8031557192444</v>
      </c>
      <c r="I175" s="3">
        <f t="shared" si="88"/>
        <v>1807.6223529077142</v>
      </c>
      <c r="J175" s="3">
        <f t="shared" si="88"/>
        <v>1828.1992217481129</v>
      </c>
      <c r="K175" s="3">
        <f t="shared" si="88"/>
        <v>1851.7689629810757</v>
      </c>
      <c r="L175" s="3">
        <f t="shared" si="88"/>
        <v>1878.1940224536684</v>
      </c>
    </row>
    <row r="176" spans="1:12">
      <c r="A176" s="27" t="str">
        <f>"Liquidation of "&amp;A63</f>
        <v>Liquidation of Golf Club Inventory</v>
      </c>
      <c r="G176" s="6"/>
      <c r="H176" s="1"/>
      <c r="L176" s="3">
        <f>L63</f>
        <v>6136.818386392616</v>
      </c>
    </row>
    <row r="177" spans="1:12">
      <c r="A177" s="27" t="str">
        <f>"Liquidation of "&amp;A64</f>
        <v>Liquidation of Apparel Inventory</v>
      </c>
      <c r="G177" s="6"/>
      <c r="H177" s="1"/>
      <c r="L177" s="3">
        <f>L64</f>
        <v>2272.8956986639319</v>
      </c>
    </row>
    <row r="178" spans="1:12">
      <c r="A178" s="27" t="str">
        <f>"Liquidation of "&amp;A65</f>
        <v>Liquidation of Accessories Inventory</v>
      </c>
      <c r="G178" s="6"/>
      <c r="H178" s="1"/>
      <c r="L178" s="3">
        <f>L65</f>
        <v>1301.6920945473532</v>
      </c>
    </row>
    <row r="179" spans="1:12">
      <c r="A179" s="27" t="str">
        <f>"Liquidation of "&amp;A66</f>
        <v>Liquidation of Meal Supplies</v>
      </c>
      <c r="G179" s="6"/>
      <c r="H179" s="1"/>
      <c r="L179" s="3">
        <f>L66</f>
        <v>1369.3373601381793</v>
      </c>
    </row>
    <row r="180" spans="1:12">
      <c r="A180" s="27" t="str">
        <f>"Liquidation of "&amp;A88</f>
        <v>Liquidation of Accounts Payable</v>
      </c>
      <c r="G180" s="6"/>
      <c r="H180" s="1"/>
      <c r="L180" s="3">
        <f>-L88</f>
        <v>-10286.376435308517</v>
      </c>
    </row>
    <row r="181" spans="1:12">
      <c r="A181" s="27" t="str">
        <f>"Liquidation of "&amp;A89</f>
        <v>Liquidation of Income Taxes Payable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>
        <f>-L160</f>
        <v>-17925.567393344245</v>
      </c>
    </row>
    <row r="182" spans="1:12">
      <c r="A182" s="28" t="s">
        <v>156</v>
      </c>
      <c r="B182" s="3">
        <f t="shared" ref="B182:L182" si="89">SUM(B162:B181)</f>
        <v>-1614800</v>
      </c>
      <c r="C182" s="3">
        <f t="shared" si="89"/>
        <v>76950.240544217697</v>
      </c>
      <c r="D182" s="3">
        <f t="shared" si="89"/>
        <v>78359.722617772029</v>
      </c>
      <c r="E182" s="3">
        <f t="shared" si="89"/>
        <v>85016.759082932113</v>
      </c>
      <c r="F182" s="19">
        <f t="shared" si="89"/>
        <v>91704.762506243991</v>
      </c>
      <c r="G182" s="19">
        <f t="shared" si="89"/>
        <v>-148761.43906918916</v>
      </c>
      <c r="H182" s="19">
        <f t="shared" si="89"/>
        <v>95813.752582213783</v>
      </c>
      <c r="I182" s="19">
        <f t="shared" si="89"/>
        <v>107381.83943997401</v>
      </c>
      <c r="J182" s="19">
        <f t="shared" si="89"/>
        <v>114709.17445849047</v>
      </c>
      <c r="K182" s="19">
        <f t="shared" si="89"/>
        <v>122133.56349234009</v>
      </c>
      <c r="L182" s="19">
        <f t="shared" si="89"/>
        <v>2195688.4291637125</v>
      </c>
    </row>
    <row r="183" spans="1:12">
      <c r="A183" s="28" t="s">
        <v>157</v>
      </c>
      <c r="B183" s="45">
        <f t="shared" ref="B183:L183" si="90">-PV($L$138,B158,,B182)</f>
        <v>-1614800</v>
      </c>
      <c r="C183" s="45">
        <f t="shared" si="90"/>
        <v>72234.877756442482</v>
      </c>
      <c r="D183" s="45">
        <f t="shared" si="90"/>
        <v>69050.49731377422</v>
      </c>
      <c r="E183" s="45">
        <f t="shared" si="90"/>
        <v>70325.920673343848</v>
      </c>
      <c r="F183" s="45">
        <f t="shared" si="90"/>
        <v>71209.794439068472</v>
      </c>
      <c r="G183" s="45">
        <f t="shared" si="90"/>
        <v>-108436.42047868624</v>
      </c>
      <c r="H183" s="45">
        <f t="shared" si="90"/>
        <v>65561.610332617143</v>
      </c>
      <c r="I183" s="45">
        <f t="shared" si="90"/>
        <v>68974.658977703104</v>
      </c>
      <c r="J183" s="45">
        <f t="shared" si="90"/>
        <v>69166.187469089156</v>
      </c>
      <c r="K183" s="45">
        <f t="shared" si="90"/>
        <v>69130.177553850895</v>
      </c>
      <c r="L183" s="45">
        <f t="shared" si="90"/>
        <v>1166649.2797712495</v>
      </c>
    </row>
    <row r="184" spans="1:12">
      <c r="A184" s="27"/>
      <c r="B184" s="27"/>
      <c r="C184" s="1"/>
      <c r="D184" s="1"/>
      <c r="E184" s="1"/>
      <c r="F184" s="1"/>
      <c r="G184" s="6"/>
      <c r="H184" s="1"/>
    </row>
    <row r="185" spans="1:12">
      <c r="A185" s="27" t="s">
        <v>158</v>
      </c>
      <c r="B185" s="27"/>
      <c r="C185" s="1"/>
      <c r="D185" s="1"/>
      <c r="E185" s="1"/>
      <c r="G185" s="6"/>
      <c r="H185" s="1"/>
      <c r="L185" s="3">
        <f>SUM(B183:L183)</f>
        <v>-933.41619154741056</v>
      </c>
    </row>
    <row r="186" spans="1:12">
      <c r="A186" s="27"/>
      <c r="B186" s="27"/>
      <c r="C186" s="1"/>
      <c r="D186" s="1"/>
      <c r="E186" s="1"/>
      <c r="F186" s="1"/>
      <c r="G186" s="6"/>
      <c r="H186" s="1"/>
    </row>
    <row r="187" spans="1:12">
      <c r="A187" s="27" t="s">
        <v>159</v>
      </c>
      <c r="B187" s="27"/>
      <c r="C187" s="1"/>
      <c r="D187" s="1"/>
      <c r="E187" s="1"/>
      <c r="G187" s="6"/>
      <c r="H187" s="1"/>
      <c r="L187" s="46">
        <f>IRR(B182:L182)</f>
        <v>6.5206597368210328E-2</v>
      </c>
    </row>
    <row r="188" spans="1:12">
      <c r="A188" s="27"/>
      <c r="B188" s="27"/>
      <c r="C188" s="1"/>
      <c r="D188" s="1"/>
      <c r="E188" s="1"/>
      <c r="F188" s="47"/>
      <c r="G188" s="6"/>
      <c r="H188" s="1"/>
    </row>
    <row r="189" spans="1:12">
      <c r="A189" s="27"/>
      <c r="B189" s="27"/>
      <c r="C189" s="1"/>
      <c r="D189" s="1"/>
      <c r="E189" s="1"/>
      <c r="F189" s="1"/>
      <c r="G189" s="6"/>
      <c r="H189" s="1"/>
    </row>
    <row r="190" spans="1:12">
      <c r="A190" s="27"/>
      <c r="B190" s="27"/>
      <c r="C190" s="1"/>
      <c r="D190" s="1"/>
      <c r="E190" s="1"/>
      <c r="F190" s="1"/>
      <c r="G190" s="6"/>
      <c r="H190" s="1"/>
    </row>
    <row r="191" spans="1:12">
      <c r="A191" s="61" t="str">
        <f>"Strong Market Total FCF (Tee Times = " &amp; $M$312 &amp; ")"</f>
        <v>Strong Market Total FCF (Tee Times = 450)</v>
      </c>
      <c r="B191" s="27"/>
      <c r="C191" s="1"/>
      <c r="D191" s="1"/>
      <c r="E191" s="1"/>
      <c r="F191" s="1"/>
      <c r="G191" s="6"/>
      <c r="H191" s="1"/>
    </row>
    <row r="192" spans="1:12">
      <c r="A192" s="27" t="s">
        <v>152</v>
      </c>
      <c r="B192" s="2">
        <v>0</v>
      </c>
      <c r="C192" s="2">
        <v>1</v>
      </c>
      <c r="D192" s="2">
        <v>2</v>
      </c>
      <c r="E192" s="2">
        <v>3</v>
      </c>
      <c r="F192" s="2">
        <v>4</v>
      </c>
      <c r="G192" s="59">
        <v>5</v>
      </c>
      <c r="H192" s="2">
        <v>6</v>
      </c>
      <c r="I192" s="2">
        <v>7</v>
      </c>
      <c r="J192" s="2">
        <v>8</v>
      </c>
      <c r="K192" s="2">
        <v>9</v>
      </c>
      <c r="L192" s="2">
        <v>10</v>
      </c>
    </row>
    <row r="193" spans="1:12">
      <c r="A193" s="27"/>
      <c r="B193" s="27"/>
      <c r="C193" s="1"/>
      <c r="D193" s="1"/>
      <c r="E193" s="1"/>
      <c r="F193" s="1"/>
      <c r="G193" s="6"/>
      <c r="H193" s="1"/>
    </row>
    <row r="194" spans="1:12">
      <c r="A194" s="27" t="s">
        <v>188</v>
      </c>
      <c r="B194" s="27"/>
      <c r="C194" s="3">
        <f>Strong!$C$162</f>
        <v>108218.66902857149</v>
      </c>
      <c r="D194" s="3">
        <f>Strong!$C$162</f>
        <v>108218.66902857149</v>
      </c>
      <c r="E194" s="3">
        <f>Strong!$C$162</f>
        <v>108218.66902857149</v>
      </c>
      <c r="F194" s="3">
        <f>Strong!$C$162</f>
        <v>108218.66902857149</v>
      </c>
      <c r="G194" s="3">
        <f>Strong!$C$162</f>
        <v>108218.66902857149</v>
      </c>
      <c r="H194" s="3">
        <f>Strong!$C$162</f>
        <v>108218.66902857149</v>
      </c>
      <c r="I194" s="3">
        <f>Strong!$C$162</f>
        <v>108218.66902857149</v>
      </c>
      <c r="J194" s="3">
        <f>Strong!$C$162</f>
        <v>108218.66902857149</v>
      </c>
      <c r="K194" s="3">
        <f>Strong!$C$162</f>
        <v>108218.66902857149</v>
      </c>
      <c r="L194" s="3">
        <f>Strong!$C$162</f>
        <v>108218.66902857149</v>
      </c>
    </row>
    <row r="195" spans="1:12">
      <c r="A195" s="27" t="s">
        <v>181</v>
      </c>
      <c r="B195" s="3">
        <f>SUM(Strong!B163:B169)</f>
        <v>-1614800</v>
      </c>
      <c r="G195" s="3">
        <f>SUM(Strong!G163:G169)</f>
        <v>-247200</v>
      </c>
      <c r="L195" s="3">
        <f>SUM(Strong!L163:L169)</f>
        <v>2083153.3465766318</v>
      </c>
    </row>
    <row r="196" spans="1:12">
      <c r="A196" s="27" t="s">
        <v>182</v>
      </c>
      <c r="C196" s="3">
        <f>SUM(Strong!C170:C175)</f>
        <v>17499.33188299321</v>
      </c>
      <c r="D196" s="3">
        <f>SUM(Strong!D170:D175)</f>
        <v>1687.6988523639218</v>
      </c>
      <c r="E196" s="3">
        <f>SUM(Strong!E170:E175)</f>
        <v>1687.0554338938207</v>
      </c>
      <c r="F196" s="3">
        <f>SUM(Strong!F170:F175)</f>
        <v>1690.2900412202468</v>
      </c>
      <c r="G196" s="3">
        <f>SUM(Strong!G170:G175)</f>
        <v>1697.1303871598921</v>
      </c>
      <c r="H196" s="3">
        <f>SUM(Strong!H170:H175)</f>
        <v>-2524.7289209072833</v>
      </c>
      <c r="I196" s="3">
        <f>SUM(Strong!I170:I175)</f>
        <v>1814.6266480957847</v>
      </c>
      <c r="J196" s="3">
        <f>SUM(Strong!J170:J175)</f>
        <v>1830.9448790293923</v>
      </c>
      <c r="K196" s="3">
        <f>SUM(Strong!K170:K175)</f>
        <v>1850.0604116069426</v>
      </c>
      <c r="L196" s="3">
        <f>SUM(Strong!L170:L175)</f>
        <v>1871.8285854789897</v>
      </c>
    </row>
    <row r="197" spans="1:12">
      <c r="A197" s="27" t="s">
        <v>183</v>
      </c>
      <c r="L197" s="3">
        <f>SUM(Strong!$L$176:$L$181)</f>
        <v>-29104.238200934917</v>
      </c>
    </row>
    <row r="198" spans="1:12">
      <c r="A198" s="27" t="s">
        <v>156</v>
      </c>
      <c r="B198" s="19">
        <f>SUM(B194:B197)</f>
        <v>-1614800</v>
      </c>
      <c r="C198" s="19">
        <f t="shared" ref="C198:L198" si="91">SUM(C194:C197)</f>
        <v>125718.0009115647</v>
      </c>
      <c r="D198" s="19">
        <f t="shared" si="91"/>
        <v>109906.3678809354</v>
      </c>
      <c r="E198" s="19">
        <f t="shared" si="91"/>
        <v>109905.72446246531</v>
      </c>
      <c r="F198" s="19">
        <f t="shared" si="91"/>
        <v>109908.95906979173</v>
      </c>
      <c r="G198" s="19">
        <f t="shared" si="91"/>
        <v>-137284.20058426863</v>
      </c>
      <c r="H198" s="19">
        <f t="shared" si="91"/>
        <v>105693.94010766421</v>
      </c>
      <c r="I198" s="19">
        <f t="shared" si="91"/>
        <v>110033.29567666727</v>
      </c>
      <c r="J198" s="19">
        <f t="shared" si="91"/>
        <v>110049.61390760088</v>
      </c>
      <c r="K198" s="19">
        <f t="shared" si="91"/>
        <v>110068.72944017843</v>
      </c>
      <c r="L198" s="19">
        <f t="shared" si="91"/>
        <v>2164139.6059897472</v>
      </c>
    </row>
    <row r="199" spans="1:12">
      <c r="A199" s="27" t="s">
        <v>157</v>
      </c>
      <c r="B199" s="45">
        <f>-PV(Strong!$L$138,B192,,B198)</f>
        <v>-1614800</v>
      </c>
      <c r="C199" s="45">
        <f>-PV(Strong!$L$138,C192,,C198)</f>
        <v>119042.97011071985</v>
      </c>
      <c r="D199" s="45">
        <f>-PV(Strong!$L$138,D192,,D198)</f>
        <v>98545.189878385863</v>
      </c>
      <c r="E199" s="45">
        <f>-PV(Strong!$L$138,E192,,E198)</f>
        <v>93312.360452910798</v>
      </c>
      <c r="F199" s="45">
        <f>-PV(Strong!$L$138,F192,,F198)</f>
        <v>88360.516217539058</v>
      </c>
      <c r="G199" s="45">
        <f>-PV(Strong!$L$138,G192,,G198)</f>
        <v>-104508.59188347528</v>
      </c>
      <c r="H199" s="45">
        <f>-PV(Strong!$L$138,H192,,H198)</f>
        <v>76188.217432490943</v>
      </c>
      <c r="I199" s="45">
        <f>-PV(Strong!$L$138,I192,,I198)</f>
        <v>75104.875912590243</v>
      </c>
      <c r="J199" s="45">
        <f>-PV(Strong!$L$138,J192,,J198)</f>
        <v>71127.709352192294</v>
      </c>
      <c r="K199" s="45">
        <f>-PV(Strong!$L$138,K192,,K198)</f>
        <v>67362.863491824697</v>
      </c>
      <c r="L199" s="45">
        <f>-PV(Strong!$L$138,L192,,L198)</f>
        <v>1254146.1443734269</v>
      </c>
    </row>
    <row r="200" spans="1:12">
      <c r="A200" s="27"/>
      <c r="B200" s="27"/>
      <c r="C200" s="1"/>
      <c r="D200" s="1"/>
      <c r="E200" s="1"/>
      <c r="F200" s="1"/>
      <c r="G200" s="6"/>
      <c r="H200" s="1"/>
    </row>
    <row r="201" spans="1:12">
      <c r="A201" s="27" t="s">
        <v>158</v>
      </c>
      <c r="B201" s="27"/>
      <c r="C201" s="1"/>
      <c r="D201" s="1"/>
      <c r="E201" s="1"/>
      <c r="G201" s="6"/>
      <c r="H201" s="1"/>
      <c r="L201" s="3">
        <f>SUM(B199:L199)</f>
        <v>223882.25533860538</v>
      </c>
    </row>
    <row r="202" spans="1:12">
      <c r="A202" s="27"/>
      <c r="B202" s="27"/>
      <c r="C202" s="1"/>
      <c r="D202" s="1"/>
      <c r="E202" s="1"/>
      <c r="F202" s="1"/>
      <c r="G202" s="6"/>
      <c r="H202" s="1"/>
    </row>
    <row r="203" spans="1:12">
      <c r="A203" s="27" t="s">
        <v>159</v>
      </c>
      <c r="B203" s="27"/>
      <c r="C203" s="1"/>
      <c r="D203" s="1"/>
      <c r="E203" s="1"/>
      <c r="G203" s="6"/>
      <c r="H203" s="1"/>
      <c r="L203" s="46">
        <f>IRR(B198:L198)</f>
        <v>7.3033683374861935E-2</v>
      </c>
    </row>
    <row r="204" spans="1:12">
      <c r="A204" s="27"/>
      <c r="B204" s="27"/>
      <c r="C204" s="1"/>
      <c r="D204" s="1"/>
      <c r="E204" s="1"/>
      <c r="G204" s="6"/>
      <c r="H204" s="1"/>
      <c r="L204" s="46"/>
    </row>
    <row r="205" spans="1:12">
      <c r="A205" s="27"/>
      <c r="B205" s="27"/>
      <c r="C205" s="1"/>
      <c r="D205" s="1"/>
      <c r="E205" s="1"/>
      <c r="G205" s="6"/>
      <c r="H205" s="1"/>
      <c r="L205" s="46"/>
    </row>
    <row r="206" spans="1:12">
      <c r="A206" s="27"/>
      <c r="B206" s="27"/>
      <c r="C206" s="1"/>
      <c r="D206" s="1"/>
      <c r="E206" s="1"/>
      <c r="G206" s="6"/>
      <c r="H206" s="1"/>
      <c r="L206" s="46"/>
    </row>
    <row r="207" spans="1:12">
      <c r="A207" s="61" t="str">
        <f>"Weak Market Total FCF (Tee Times = " &amp; $M$313 &amp; ")"</f>
        <v>Weak Market Total FCF (Tee Times = 300)</v>
      </c>
      <c r="B207" s="27"/>
      <c r="C207" s="1"/>
      <c r="D207" s="1"/>
      <c r="E207" s="1"/>
      <c r="F207" s="1"/>
      <c r="G207" s="6"/>
      <c r="H207" s="1"/>
    </row>
    <row r="208" spans="1:12">
      <c r="A208" s="27" t="s">
        <v>152</v>
      </c>
      <c r="B208" s="2">
        <v>0</v>
      </c>
      <c r="C208" s="2">
        <v>1</v>
      </c>
      <c r="D208" s="2">
        <v>2</v>
      </c>
      <c r="E208" s="2">
        <v>3</v>
      </c>
      <c r="F208" s="2">
        <v>4</v>
      </c>
      <c r="G208" s="59">
        <v>5</v>
      </c>
      <c r="H208" s="2">
        <v>6</v>
      </c>
      <c r="I208" s="2">
        <v>7</v>
      </c>
      <c r="J208" s="2">
        <v>8</v>
      </c>
      <c r="K208" s="2">
        <v>9</v>
      </c>
      <c r="L208" s="2">
        <v>10</v>
      </c>
    </row>
    <row r="209" spans="1:12">
      <c r="A209" s="27"/>
      <c r="B209" s="27"/>
      <c r="C209" s="1"/>
      <c r="D209" s="1"/>
      <c r="E209" s="1"/>
      <c r="F209" s="1"/>
      <c r="G209" s="6"/>
      <c r="H209" s="1"/>
    </row>
    <row r="210" spans="1:12">
      <c r="A210" s="27" t="s">
        <v>188</v>
      </c>
      <c r="B210" s="27"/>
      <c r="C210" s="3">
        <f>Weak!C162</f>
        <v>28995.780857142876</v>
      </c>
      <c r="D210" s="3">
        <f>Weak!D162</f>
        <v>36711.585055357078</v>
      </c>
      <c r="E210" s="3">
        <f>Weak!E162</f>
        <v>44433.635601752205</v>
      </c>
      <c r="F210" s="3">
        <f>Weak!F162</f>
        <v>50645.237357791746</v>
      </c>
      <c r="G210" s="3">
        <f>Weak!G162</f>
        <v>56880.07999757873</v>
      </c>
      <c r="H210" s="3">
        <f>Weak!H162</f>
        <v>57978.864075222795</v>
      </c>
      <c r="I210" s="3">
        <f>Weak!I162</f>
        <v>64703.100146131219</v>
      </c>
      <c r="J210" s="3">
        <f>Weak!J162</f>
        <v>71503.315525642363</v>
      </c>
      <c r="K210" s="3">
        <f>Weak!K162</f>
        <v>78391.402601241687</v>
      </c>
      <c r="L210" s="3">
        <f>Weak!L162</f>
        <v>85378.702555027281</v>
      </c>
    </row>
    <row r="211" spans="1:12">
      <c r="A211" s="27" t="s">
        <v>181</v>
      </c>
      <c r="B211" s="3">
        <f>SUM(Weak!B163:B169)</f>
        <v>-1614800</v>
      </c>
      <c r="G211" s="3">
        <f>SUM(Weak!G163:G169)</f>
        <v>-247200</v>
      </c>
      <c r="L211" s="3">
        <f>SUM(Weak!L163:L169)</f>
        <v>2083153.3465766318</v>
      </c>
    </row>
    <row r="212" spans="1:12">
      <c r="A212" s="27" t="s">
        <v>182</v>
      </c>
      <c r="B212" s="27"/>
      <c r="C212" s="3">
        <f>SUM(Weak!C170:C175)</f>
        <v>-813.30068027211018</v>
      </c>
      <c r="D212" s="3">
        <f>SUM(Weak!D170:D175)</f>
        <v>-123.12544217687071</v>
      </c>
      <c r="E212" s="3">
        <f>SUM(Weak!E170:E175)</f>
        <v>-128.36392346938783</v>
      </c>
      <c r="F212" s="3">
        <f>SUM(Weak!F170:F175)</f>
        <v>1403.0202978854372</v>
      </c>
      <c r="G212" s="3">
        <f>SUM(Weak!G170:G175)</f>
        <v>1419.3035626785904</v>
      </c>
      <c r="H212" s="3">
        <f>SUM(Weak!H170:H175)</f>
        <v>-2806.0285806945844</v>
      </c>
      <c r="I212" s="3">
        <f>SUM(Weak!I170:I175)</f>
        <v>1529.810742561107</v>
      </c>
      <c r="J212" s="3">
        <f>SUM(Weak!J170:J175)</f>
        <v>1542.5687746755757</v>
      </c>
      <c r="K212" s="3">
        <f>SUM(Weak!K170:K175)</f>
        <v>1558.0796059486672</v>
      </c>
      <c r="L212" s="3">
        <f>SUM(Weak!L170:L175)</f>
        <v>1576.1980197500063</v>
      </c>
    </row>
    <row r="213" spans="1:12">
      <c r="A213" s="27" t="s">
        <v>183</v>
      </c>
      <c r="B213" s="27"/>
      <c r="G213" s="60"/>
      <c r="L213" s="3">
        <f>SUM(Weak!L176:L181)</f>
        <v>-5158.162376886432</v>
      </c>
    </row>
    <row r="214" spans="1:12">
      <c r="A214" s="27" t="s">
        <v>156</v>
      </c>
      <c r="B214" s="19">
        <f>SUM(B210:B213)</f>
        <v>-1614800</v>
      </c>
      <c r="C214" s="19">
        <f t="shared" ref="C214:L214" si="92">SUM(C210:C213)</f>
        <v>28182.480176870766</v>
      </c>
      <c r="D214" s="19">
        <f t="shared" si="92"/>
        <v>36588.45961318021</v>
      </c>
      <c r="E214" s="19">
        <f t="shared" si="92"/>
        <v>44305.271678282814</v>
      </c>
      <c r="F214" s="19">
        <f t="shared" si="92"/>
        <v>52048.257655677182</v>
      </c>
      <c r="G214" s="19">
        <f t="shared" si="92"/>
        <v>-188900.61643974268</v>
      </c>
      <c r="H214" s="19">
        <f t="shared" si="92"/>
        <v>55172.835494528212</v>
      </c>
      <c r="I214" s="19">
        <f t="shared" si="92"/>
        <v>66232.91088869232</v>
      </c>
      <c r="J214" s="19">
        <f t="shared" si="92"/>
        <v>73045.884300317935</v>
      </c>
      <c r="K214" s="19">
        <f t="shared" si="92"/>
        <v>79949.482207190347</v>
      </c>
      <c r="L214" s="19">
        <f t="shared" si="92"/>
        <v>2164950.0847745226</v>
      </c>
    </row>
    <row r="215" spans="1:12">
      <c r="A215" s="27" t="s">
        <v>157</v>
      </c>
      <c r="B215" s="45">
        <f>-PV(Weak!$L$138,B208,,B214)</f>
        <v>-1614800</v>
      </c>
      <c r="C215" s="45">
        <f>-PV(Weak!$L$138,C208,,C214)</f>
        <v>25857.855793900828</v>
      </c>
      <c r="D215" s="45">
        <f>-PV(Weak!$L$138,D208,,D214)</f>
        <v>30801.418940266765</v>
      </c>
      <c r="E215" s="45">
        <f>-PV(Weak!$L$138,E208,,E214)</f>
        <v>34221.2052247014</v>
      </c>
      <c r="F215" s="45">
        <f>-PV(Weak!$L$138,F208,,F214)</f>
        <v>36885.815661881985</v>
      </c>
      <c r="G215" s="45">
        <f>-PV(Weak!$L$138,G208,,G214)</f>
        <v>-122828.70407111042</v>
      </c>
      <c r="H215" s="45">
        <f>-PV(Weak!$L$138,H208,,H214)</f>
        <v>32915.851757091121</v>
      </c>
      <c r="I215" s="45">
        <f>-PV(Weak!$L$138,I208,,I214)</f>
        <v>36254.918638293035</v>
      </c>
      <c r="J215" s="45">
        <f>-PV(Weak!$L$138,J208,,J214)</f>
        <v>36686.150420441823</v>
      </c>
      <c r="K215" s="45">
        <f>-PV(Weak!$L$138,K208,,K214)</f>
        <v>36841.33385975592</v>
      </c>
      <c r="L215" s="45">
        <f>-PV(Weak!$L$138,L208,,L214)</f>
        <v>915336.70283000008</v>
      </c>
    </row>
    <row r="216" spans="1:12">
      <c r="A216" s="27"/>
      <c r="B216" s="27"/>
      <c r="C216" s="1"/>
      <c r="D216" s="1"/>
      <c r="E216" s="1"/>
      <c r="F216" s="1"/>
      <c r="G216" s="6"/>
      <c r="H216" s="1"/>
    </row>
    <row r="217" spans="1:12">
      <c r="A217" s="27" t="s">
        <v>158</v>
      </c>
      <c r="B217" s="27"/>
      <c r="C217" s="1"/>
      <c r="D217" s="1"/>
      <c r="E217" s="1"/>
      <c r="G217" s="6"/>
      <c r="H217" s="1"/>
      <c r="L217" s="3">
        <f>SUM(B215:L215)</f>
        <v>-551827.45094477735</v>
      </c>
    </row>
    <row r="218" spans="1:12">
      <c r="A218" s="27"/>
      <c r="B218" s="27"/>
      <c r="C218" s="1"/>
      <c r="D218" s="1"/>
      <c r="E218" s="1"/>
      <c r="F218" s="1"/>
      <c r="G218" s="6"/>
      <c r="H218" s="1"/>
    </row>
    <row r="219" spans="1:12">
      <c r="A219" s="27" t="s">
        <v>159</v>
      </c>
      <c r="B219" s="27"/>
      <c r="C219" s="1"/>
      <c r="D219" s="1"/>
      <c r="E219" s="1"/>
      <c r="G219" s="6"/>
      <c r="H219" s="1"/>
      <c r="L219" s="46">
        <f>IRR(B214:L214)</f>
        <v>4.2725275015869979E-2</v>
      </c>
    </row>
    <row r="220" spans="1: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</row>
    <row r="221" spans="1:12">
      <c r="E221" s="27"/>
      <c r="F221" s="27"/>
      <c r="G221" s="27"/>
      <c r="H221" s="27"/>
      <c r="I221" s="27"/>
      <c r="J221" s="27"/>
      <c r="K221" s="27"/>
      <c r="L221" s="27"/>
    </row>
    <row r="222" spans="1:12">
      <c r="A222" s="27" t="s">
        <v>186</v>
      </c>
      <c r="B222" s="3">
        <f>L201</f>
        <v>223882.25533860538</v>
      </c>
      <c r="C222" s="46">
        <v>0.4</v>
      </c>
      <c r="D222" s="3">
        <f>C222*B222</f>
        <v>89552.902135442157</v>
      </c>
      <c r="E222" s="1"/>
      <c r="H222" s="1"/>
      <c r="L222" s="46"/>
    </row>
    <row r="223" spans="1:12">
      <c r="A223" s="27" t="s">
        <v>190</v>
      </c>
      <c r="B223" s="67">
        <f>L185</f>
        <v>-933.41619154741056</v>
      </c>
      <c r="C223" s="6">
        <v>0.4</v>
      </c>
      <c r="D223" s="3">
        <f t="shared" ref="D223:D224" si="93">C223*B223</f>
        <v>-373.36647661896427</v>
      </c>
      <c r="E223" s="1"/>
      <c r="G223" s="6"/>
      <c r="H223" s="1"/>
      <c r="L223" s="46"/>
    </row>
    <row r="224" spans="1:12">
      <c r="A224" s="27" t="s">
        <v>187</v>
      </c>
      <c r="B224" s="3">
        <f>L217</f>
        <v>-551827.45094477735</v>
      </c>
      <c r="C224" s="46">
        <v>0.2</v>
      </c>
      <c r="D224" s="3">
        <f t="shared" si="93"/>
        <v>-110365.49018895547</v>
      </c>
      <c r="E224" s="1"/>
      <c r="G224" s="6"/>
      <c r="H224" s="1"/>
      <c r="L224" s="46"/>
    </row>
    <row r="225" spans="1:16" ht="16.5" thickBot="1">
      <c r="A225" s="27" t="s">
        <v>142</v>
      </c>
      <c r="B225" s="47"/>
      <c r="C225" s="1"/>
      <c r="D225" s="14">
        <f>SUM(D222:D224)</f>
        <v>-21185.95453013228</v>
      </c>
      <c r="E225" s="1"/>
      <c r="G225" s="6"/>
      <c r="H225" s="1"/>
      <c r="L225" s="46"/>
    </row>
    <row r="226" spans="1:16" ht="16.5" thickTop="1">
      <c r="A226" s="27"/>
      <c r="B226" s="47"/>
      <c r="C226" s="1"/>
      <c r="D226" s="13"/>
      <c r="E226" s="1"/>
      <c r="G226" s="6"/>
      <c r="H226" s="1"/>
      <c r="L226" s="46"/>
    </row>
    <row r="227" spans="1:16">
      <c r="A227" s="27" t="s">
        <v>186</v>
      </c>
      <c r="B227" s="3">
        <f>L201</f>
        <v>223882.25533860538</v>
      </c>
      <c r="C227" s="46">
        <v>0.4</v>
      </c>
      <c r="D227" s="3">
        <f>C227*B227</f>
        <v>89552.902135442157</v>
      </c>
      <c r="E227" s="1"/>
      <c r="G227" s="6"/>
      <c r="H227" s="1"/>
      <c r="L227" s="46"/>
    </row>
    <row r="228" spans="1:16">
      <c r="A228" s="27" t="s">
        <v>190</v>
      </c>
      <c r="B228" s="67">
        <f>L185</f>
        <v>-933.41619154741056</v>
      </c>
      <c r="C228" s="6">
        <v>0.4</v>
      </c>
      <c r="D228" s="3">
        <f t="shared" ref="D228:D229" si="94">C228*B228</f>
        <v>-373.36647661896427</v>
      </c>
      <c r="E228" s="1"/>
      <c r="G228" s="6"/>
      <c r="H228" s="1"/>
      <c r="L228" s="46"/>
    </row>
    <row r="229" spans="1:16">
      <c r="A229" s="27" t="s">
        <v>191</v>
      </c>
      <c r="B229" s="27">
        <v>-272136</v>
      </c>
      <c r="C229" s="68">
        <v>0.2</v>
      </c>
      <c r="D229" s="3">
        <f t="shared" si="94"/>
        <v>-54427.200000000004</v>
      </c>
      <c r="E229" s="1"/>
      <c r="G229" s="6"/>
      <c r="H229" s="1"/>
      <c r="L229" s="46"/>
    </row>
    <row r="230" spans="1:16" ht="16.5" thickBot="1">
      <c r="A230" s="27" t="s">
        <v>142</v>
      </c>
      <c r="B230" s="27"/>
      <c r="C230" s="1"/>
      <c r="D230" s="14">
        <f>SUM(D227:D229)</f>
        <v>34752.335658823191</v>
      </c>
      <c r="E230" s="1"/>
      <c r="G230" s="6"/>
      <c r="H230" s="1"/>
      <c r="L230" s="46"/>
    </row>
    <row r="231" spans="1:16" ht="16.5" thickTop="1">
      <c r="A231" s="27" t="s">
        <v>192</v>
      </c>
      <c r="B231" s="27"/>
      <c r="C231" s="1"/>
      <c r="D231" s="1"/>
      <c r="E231" s="3">
        <f>D230-D225</f>
        <v>55938.290188955471</v>
      </c>
      <c r="G231" s="6"/>
      <c r="H231" s="1"/>
      <c r="L231" s="46"/>
    </row>
    <row r="232" spans="1:16">
      <c r="A232" s="27"/>
      <c r="B232" s="27"/>
      <c r="C232" s="1"/>
      <c r="D232" s="1"/>
      <c r="G232" s="6"/>
      <c r="H232" s="1"/>
      <c r="L232" s="46"/>
    </row>
    <row r="233" spans="1:16">
      <c r="A233" s="27" t="s">
        <v>193</v>
      </c>
      <c r="B233" s="27"/>
      <c r="C233" s="1"/>
      <c r="D233" s="1"/>
      <c r="G233" s="6"/>
      <c r="H233" s="1"/>
      <c r="L233" s="46"/>
    </row>
    <row r="234" spans="1:16">
      <c r="A234" s="27" t="s">
        <v>194</v>
      </c>
      <c r="B234" s="27">
        <f>_xlfn.STDEV.P(C215:L215,Strong!B183:L183,'Weak with Option'!B183:G183)</f>
        <v>575346.31387909816</v>
      </c>
      <c r="C234" s="1"/>
      <c r="D234" s="1"/>
      <c r="G234" s="6"/>
      <c r="H234" s="1"/>
      <c r="L234" s="46"/>
    </row>
    <row r="235" spans="1:16">
      <c r="A235" s="27" t="s">
        <v>195</v>
      </c>
      <c r="B235" s="27">
        <f>AVERAGE(B215:L215,Strong!B183:L183,'Weak with Option'!B183:G183)</f>
        <v>-19367.256084813504</v>
      </c>
      <c r="C235" s="1"/>
      <c r="D235" s="1"/>
      <c r="G235" s="6"/>
      <c r="H235" s="1"/>
      <c r="L235" s="46"/>
    </row>
    <row r="236" spans="1:16">
      <c r="A236" s="27"/>
      <c r="B236" s="27"/>
      <c r="C236" s="1"/>
      <c r="D236" s="1"/>
      <c r="G236" s="6"/>
      <c r="H236" s="1"/>
      <c r="L236" s="46"/>
    </row>
    <row r="237" spans="1:16">
      <c r="A237" s="27"/>
      <c r="B237" s="27"/>
      <c r="C237" s="1"/>
      <c r="D237" s="1"/>
      <c r="G237" s="6"/>
      <c r="H237" s="1"/>
      <c r="L237" s="46"/>
    </row>
    <row r="238" spans="1:16">
      <c r="A238" s="72" t="s">
        <v>42</v>
      </c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</row>
    <row r="240" spans="1:16">
      <c r="A240" s="16" t="s">
        <v>66</v>
      </c>
      <c r="B240" s="17" t="s">
        <v>43</v>
      </c>
    </row>
    <row r="241" spans="1:16" ht="63">
      <c r="A241" s="16" t="s">
        <v>65</v>
      </c>
      <c r="B241" s="17" t="s">
        <v>44</v>
      </c>
    </row>
    <row r="243" spans="1:16">
      <c r="A243" s="4" t="s">
        <v>67</v>
      </c>
      <c r="B243" s="3" t="s">
        <v>45</v>
      </c>
    </row>
    <row r="245" spans="1:16">
      <c r="C245" s="71" t="s">
        <v>38</v>
      </c>
      <c r="D245" s="71"/>
      <c r="E245" s="71"/>
      <c r="F245" s="71"/>
      <c r="G245" s="71"/>
      <c r="H245" s="71"/>
      <c r="I245" s="71"/>
      <c r="J245" s="71"/>
      <c r="K245" s="71"/>
      <c r="L245" s="74"/>
      <c r="M245" s="70" t="s">
        <v>51</v>
      </c>
      <c r="N245" s="71"/>
      <c r="O245" s="71"/>
      <c r="P245" s="71"/>
    </row>
    <row r="246" spans="1:16">
      <c r="C246" s="8">
        <v>2014</v>
      </c>
      <c r="D246" s="2">
        <f>C246+1</f>
        <v>2015</v>
      </c>
      <c r="E246" s="2">
        <f t="shared" ref="E246:F246" si="95">D246+1</f>
        <v>2016</v>
      </c>
      <c r="F246" s="2">
        <f t="shared" si="95"/>
        <v>2017</v>
      </c>
      <c r="G246" s="2">
        <f t="shared" ref="G246" si="96">F246+1</f>
        <v>2018</v>
      </c>
      <c r="H246" s="2">
        <f t="shared" ref="H246" si="97">G246+1</f>
        <v>2019</v>
      </c>
      <c r="I246" s="2">
        <f t="shared" ref="I246" si="98">H246+1</f>
        <v>2020</v>
      </c>
      <c r="J246" s="2">
        <f t="shared" ref="J246" si="99">I246+1</f>
        <v>2021</v>
      </c>
      <c r="K246" s="2">
        <f t="shared" ref="K246" si="100">J246+1</f>
        <v>2022</v>
      </c>
      <c r="L246" s="2">
        <f t="shared" ref="L246" si="101">K246+1</f>
        <v>2023</v>
      </c>
      <c r="M246" s="21"/>
    </row>
    <row r="247" spans="1:16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3"/>
    </row>
    <row r="248" spans="1:16">
      <c r="A248" s="3" t="s">
        <v>36</v>
      </c>
      <c r="M248" s="7">
        <v>1.2500000000000001E-2</v>
      </c>
    </row>
    <row r="249" spans="1:16">
      <c r="A249" s="76" t="s">
        <v>68</v>
      </c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6"/>
    </row>
    <row r="250" spans="1:16">
      <c r="A250" s="3" t="s">
        <v>52</v>
      </c>
      <c r="C250" s="7">
        <v>0.2</v>
      </c>
      <c r="D250" s="6">
        <f>C250*(1+$M250)</f>
        <v>0.2</v>
      </c>
      <c r="E250" s="6">
        <f>D250*(1+$M250)</f>
        <v>0.2</v>
      </c>
      <c r="F250" s="6">
        <f>E250*(1+$M250)</f>
        <v>0.2</v>
      </c>
      <c r="G250" s="6">
        <f t="shared" ref="G250:L250" si="102">F250*(1+$M250)</f>
        <v>0.2</v>
      </c>
      <c r="H250" s="6">
        <f t="shared" si="102"/>
        <v>0.2</v>
      </c>
      <c r="I250" s="6">
        <f t="shared" si="102"/>
        <v>0.2</v>
      </c>
      <c r="J250" s="6">
        <f t="shared" si="102"/>
        <v>0.2</v>
      </c>
      <c r="K250" s="6">
        <f t="shared" si="102"/>
        <v>0.2</v>
      </c>
      <c r="L250" s="6">
        <f t="shared" si="102"/>
        <v>0.2</v>
      </c>
      <c r="M250" s="7">
        <v>0</v>
      </c>
      <c r="N250" s="3" t="s">
        <v>53</v>
      </c>
    </row>
    <row r="251" spans="1:16">
      <c r="A251" s="76" t="s">
        <v>69</v>
      </c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6"/>
    </row>
    <row r="252" spans="1:16">
      <c r="A252" s="54" t="s">
        <v>177</v>
      </c>
      <c r="B252" s="54"/>
      <c r="C252" s="7">
        <v>0.2</v>
      </c>
      <c r="D252" s="6">
        <f>C252*(1+$M252)</f>
        <v>0.2</v>
      </c>
      <c r="E252" s="6">
        <f>D252*(1+$M252)</f>
        <v>0.2</v>
      </c>
      <c r="F252" s="6">
        <f>E252*(1+$M252)</f>
        <v>0.2</v>
      </c>
      <c r="G252" s="6">
        <f t="shared" ref="G252" si="103">F252*(1+$M252)</f>
        <v>0.2</v>
      </c>
      <c r="H252" s="6">
        <f t="shared" ref="H252" si="104">G252*(1+$M252)</f>
        <v>0.2</v>
      </c>
      <c r="I252" s="6">
        <f t="shared" ref="I252" si="105">H252*(1+$M252)</f>
        <v>0.2</v>
      </c>
      <c r="J252" s="6">
        <f t="shared" ref="J252" si="106">I252*(1+$M252)</f>
        <v>0.2</v>
      </c>
      <c r="K252" s="6">
        <f t="shared" ref="K252" si="107">J252*(1+$M252)</f>
        <v>0.2</v>
      </c>
      <c r="L252" s="6">
        <f t="shared" ref="L252" si="108">K252*(1+$M252)</f>
        <v>0.2</v>
      </c>
      <c r="M252" s="7">
        <v>0</v>
      </c>
      <c r="N252" s="3" t="s">
        <v>53</v>
      </c>
    </row>
    <row r="253" spans="1:16">
      <c r="A253" s="3" t="s">
        <v>37</v>
      </c>
      <c r="M253" s="7">
        <v>0.03</v>
      </c>
      <c r="N253" s="1" t="s">
        <v>63</v>
      </c>
      <c r="O253" s="5"/>
      <c r="P253" s="5"/>
    </row>
    <row r="254" spans="1:16">
      <c r="A254" s="3" t="s">
        <v>41</v>
      </c>
      <c r="M254" s="4">
        <v>20</v>
      </c>
      <c r="N254" s="3" t="s">
        <v>38</v>
      </c>
    </row>
    <row r="255" spans="1:16">
      <c r="A255" s="3" t="s">
        <v>55</v>
      </c>
      <c r="M255" s="7">
        <v>0.05</v>
      </c>
      <c r="N255" s="3" t="s">
        <v>57</v>
      </c>
    </row>
    <row r="256" spans="1:16">
      <c r="A256" s="3" t="s">
        <v>54</v>
      </c>
      <c r="M256" s="4">
        <v>10</v>
      </c>
      <c r="N256" s="3" t="s">
        <v>38</v>
      </c>
    </row>
    <row r="257" spans="1:15">
      <c r="A257" s="3" t="s">
        <v>56</v>
      </c>
      <c r="M257" s="7">
        <v>0.05</v>
      </c>
      <c r="N257" s="3" t="s">
        <v>57</v>
      </c>
    </row>
    <row r="258" spans="1:15" s="55" customFormat="1">
      <c r="A258" s="55" t="s">
        <v>62</v>
      </c>
      <c r="C258" s="56">
        <v>0.11</v>
      </c>
      <c r="D258" s="57">
        <f>C258*(1+$M258)</f>
        <v>0.11</v>
      </c>
      <c r="E258" s="57">
        <f>D258*(1+$M258)</f>
        <v>0.11</v>
      </c>
      <c r="F258" s="57">
        <f>E258*(1+$M258)</f>
        <v>0.11</v>
      </c>
      <c r="G258" s="57">
        <f t="shared" ref="G258:L258" si="109">F258*(1+$M258)</f>
        <v>0.11</v>
      </c>
      <c r="H258" s="57">
        <f t="shared" si="109"/>
        <v>0.11</v>
      </c>
      <c r="I258" s="57">
        <f t="shared" si="109"/>
        <v>0.11</v>
      </c>
      <c r="J258" s="57">
        <f t="shared" si="109"/>
        <v>0.11</v>
      </c>
      <c r="K258" s="57">
        <f t="shared" si="109"/>
        <v>0.11</v>
      </c>
      <c r="L258" s="57">
        <f t="shared" si="109"/>
        <v>0.11</v>
      </c>
      <c r="M258" s="56">
        <v>0</v>
      </c>
      <c r="N258" s="58" t="s">
        <v>53</v>
      </c>
    </row>
    <row r="259" spans="1:15">
      <c r="A259" s="76" t="s">
        <v>70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6"/>
    </row>
    <row r="260" spans="1:15">
      <c r="A260" s="77" t="s">
        <v>71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6"/>
    </row>
    <row r="261" spans="1:15">
      <c r="A261" s="3" t="s">
        <v>59</v>
      </c>
      <c r="M261" s="3">
        <f>M272*(C70+C72)</f>
        <v>1147840</v>
      </c>
    </row>
    <row r="262" spans="1:15">
      <c r="A262" s="3" t="s">
        <v>60</v>
      </c>
      <c r="M262" s="7">
        <v>0.05</v>
      </c>
    </row>
    <row r="263" spans="1:15">
      <c r="A263" s="76" t="s">
        <v>72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6"/>
    </row>
    <row r="264" spans="1:15">
      <c r="A264" s="3" t="s">
        <v>61</v>
      </c>
      <c r="M264" s="4">
        <v>30</v>
      </c>
      <c r="N264" s="3" t="s">
        <v>38</v>
      </c>
    </row>
    <row r="265" spans="1:15">
      <c r="A265" s="3" t="str">
        <f>CONCATENATE("Retained Earnings, Beginning of ",C55)</f>
        <v>Retained Earnings, Beginning of 2014</v>
      </c>
      <c r="M265" s="4">
        <v>0</v>
      </c>
      <c r="N265" s="18"/>
      <c r="O265" s="2"/>
    </row>
    <row r="266" spans="1:15">
      <c r="A266" s="3" t="s">
        <v>73</v>
      </c>
      <c r="C266" s="4">
        <v>6000</v>
      </c>
      <c r="D266" s="3">
        <f>C266*(1+$M266)</f>
        <v>6180</v>
      </c>
      <c r="E266" s="3">
        <f t="shared" ref="E266:L266" si="110">D266*(1+$M266)</f>
        <v>6365.4000000000005</v>
      </c>
      <c r="F266" s="3">
        <f t="shared" si="110"/>
        <v>6556.362000000001</v>
      </c>
      <c r="G266" s="3">
        <f t="shared" si="110"/>
        <v>6753.0528600000016</v>
      </c>
      <c r="H266" s="3">
        <f t="shared" si="110"/>
        <v>6955.6444458000014</v>
      </c>
      <c r="I266" s="3">
        <f t="shared" si="110"/>
        <v>7164.3137791740019</v>
      </c>
      <c r="J266" s="3">
        <f t="shared" si="110"/>
        <v>7379.2431925492219</v>
      </c>
      <c r="K266" s="3">
        <f t="shared" si="110"/>
        <v>7600.6204883256987</v>
      </c>
      <c r="L266" s="3">
        <f t="shared" si="110"/>
        <v>7828.6391029754695</v>
      </c>
      <c r="M266" s="7">
        <v>0.03</v>
      </c>
      <c r="N266" s="3" t="s">
        <v>53</v>
      </c>
    </row>
    <row r="267" spans="1:15">
      <c r="A267" s="3" t="s">
        <v>74</v>
      </c>
      <c r="M267" s="4">
        <v>143</v>
      </c>
    </row>
    <row r="268" spans="1:15">
      <c r="A268" s="3" t="s">
        <v>75</v>
      </c>
      <c r="C268" s="4">
        <v>103</v>
      </c>
      <c r="D268" s="22">
        <f>C268*(1+$M268)</f>
        <v>106.09</v>
      </c>
      <c r="E268" s="22">
        <f t="shared" ref="E268:L270" si="111">D268*(1+$M268)</f>
        <v>109.2727</v>
      </c>
      <c r="F268" s="22">
        <f t="shared" si="111"/>
        <v>112.550881</v>
      </c>
      <c r="G268" s="22">
        <f t="shared" si="111"/>
        <v>115.92740743</v>
      </c>
      <c r="H268" s="22">
        <f t="shared" si="111"/>
        <v>119.4052296529</v>
      </c>
      <c r="I268" s="22">
        <f t="shared" si="111"/>
        <v>122.987386542487</v>
      </c>
      <c r="J268" s="22">
        <f t="shared" si="111"/>
        <v>126.67700813876162</v>
      </c>
      <c r="K268" s="22">
        <f t="shared" si="111"/>
        <v>130.47731838292447</v>
      </c>
      <c r="L268" s="22">
        <f t="shared" si="111"/>
        <v>134.39163793441222</v>
      </c>
      <c r="M268" s="7">
        <v>0.03</v>
      </c>
      <c r="N268" s="3" t="s">
        <v>53</v>
      </c>
    </row>
    <row r="269" spans="1:15">
      <c r="A269" s="3" t="s">
        <v>76</v>
      </c>
      <c r="C269" s="4">
        <v>5600</v>
      </c>
      <c r="D269" s="4">
        <v>5600</v>
      </c>
      <c r="E269" s="4">
        <v>5600</v>
      </c>
      <c r="F269" s="4">
        <v>5600</v>
      </c>
      <c r="G269" s="4">
        <v>5600</v>
      </c>
      <c r="H269" s="4">
        <v>8000</v>
      </c>
      <c r="I269" s="4">
        <v>8000</v>
      </c>
      <c r="J269" s="4">
        <v>8000</v>
      </c>
      <c r="K269" s="4">
        <v>8000</v>
      </c>
      <c r="L269" s="4">
        <v>8000</v>
      </c>
    </row>
    <row r="270" spans="1:15">
      <c r="A270" s="3" t="s">
        <v>77</v>
      </c>
      <c r="C270" s="4">
        <v>4000</v>
      </c>
      <c r="D270" s="3">
        <f>C270*(1+$M270)</f>
        <v>3600</v>
      </c>
      <c r="E270" s="3">
        <f t="shared" si="111"/>
        <v>3240</v>
      </c>
      <c r="F270" s="3">
        <f t="shared" si="111"/>
        <v>2916</v>
      </c>
      <c r="G270" s="3">
        <f t="shared" si="111"/>
        <v>2624.4</v>
      </c>
      <c r="H270" s="3">
        <f t="shared" si="111"/>
        <v>2361.96</v>
      </c>
      <c r="I270" s="3">
        <f t="shared" si="111"/>
        <v>2125.7640000000001</v>
      </c>
      <c r="J270" s="3">
        <f t="shared" si="111"/>
        <v>1913.1876000000002</v>
      </c>
      <c r="K270" s="3">
        <f t="shared" si="111"/>
        <v>1721.8688400000003</v>
      </c>
      <c r="L270" s="3">
        <f t="shared" si="111"/>
        <v>1549.6819560000004</v>
      </c>
      <c r="M270" s="7">
        <v>-0.1</v>
      </c>
      <c r="N270" s="3" t="s">
        <v>53</v>
      </c>
    </row>
    <row r="271" spans="1:15">
      <c r="A271" s="3" t="s">
        <v>78</v>
      </c>
      <c r="M271" s="4">
        <v>45</v>
      </c>
    </row>
    <row r="272" spans="1:15">
      <c r="A272" s="3" t="s">
        <v>89</v>
      </c>
      <c r="M272" s="7">
        <v>0.8</v>
      </c>
    </row>
    <row r="273" spans="1:14">
      <c r="A273" s="3" t="s">
        <v>90</v>
      </c>
      <c r="M273" s="4">
        <v>400000</v>
      </c>
    </row>
    <row r="274" spans="1:14">
      <c r="A274" s="3" t="s">
        <v>85</v>
      </c>
      <c r="C274" s="24">
        <v>10</v>
      </c>
      <c r="D274" s="22">
        <f t="shared" ref="D274:L274" si="112">C274*(1+$M$248)</f>
        <v>10.125</v>
      </c>
      <c r="E274" s="22">
        <f t="shared" si="112"/>
        <v>10.2515625</v>
      </c>
      <c r="F274" s="22">
        <f t="shared" si="112"/>
        <v>10.37970703125</v>
      </c>
      <c r="G274" s="22">
        <f t="shared" si="112"/>
        <v>10.509453369140624</v>
      </c>
      <c r="H274" s="22">
        <f t="shared" si="112"/>
        <v>10.640821536254881</v>
      </c>
      <c r="I274" s="22">
        <f t="shared" si="112"/>
        <v>10.773831805458066</v>
      </c>
      <c r="J274" s="22">
        <f t="shared" si="112"/>
        <v>10.908504703026292</v>
      </c>
      <c r="K274" s="22">
        <f t="shared" si="112"/>
        <v>11.04486101181412</v>
      </c>
      <c r="L274" s="22">
        <f t="shared" si="112"/>
        <v>11.182921774461796</v>
      </c>
    </row>
    <row r="275" spans="1:14">
      <c r="A275" s="3" t="s">
        <v>98</v>
      </c>
      <c r="D275" s="22"/>
      <c r="E275" s="22"/>
      <c r="F275" s="22"/>
      <c r="G275" s="22"/>
      <c r="H275" s="22"/>
      <c r="I275" s="22"/>
      <c r="J275" s="22"/>
      <c r="K275" s="22"/>
      <c r="L275" s="22"/>
      <c r="M275" s="25">
        <v>0.25</v>
      </c>
    </row>
    <row r="276" spans="1:14">
      <c r="A276" s="3" t="s">
        <v>86</v>
      </c>
      <c r="C276" s="24">
        <v>20</v>
      </c>
      <c r="D276" s="22">
        <f t="shared" ref="D276:L276" si="113">C276*(1+$M$248)</f>
        <v>20.25</v>
      </c>
      <c r="E276" s="22">
        <f t="shared" si="113"/>
        <v>20.503125000000001</v>
      </c>
      <c r="F276" s="22">
        <f t="shared" si="113"/>
        <v>20.759414062499999</v>
      </c>
      <c r="G276" s="22">
        <f t="shared" si="113"/>
        <v>21.018906738281249</v>
      </c>
      <c r="H276" s="22">
        <f t="shared" si="113"/>
        <v>21.281643072509763</v>
      </c>
      <c r="I276" s="22">
        <f t="shared" si="113"/>
        <v>21.547663610916132</v>
      </c>
      <c r="J276" s="22">
        <f t="shared" si="113"/>
        <v>21.817009406052584</v>
      </c>
      <c r="K276" s="22">
        <f t="shared" si="113"/>
        <v>22.089722023628241</v>
      </c>
      <c r="L276" s="22">
        <f t="shared" si="113"/>
        <v>22.365843548923593</v>
      </c>
    </row>
    <row r="277" spans="1:14">
      <c r="A277" s="3" t="s">
        <v>116</v>
      </c>
      <c r="D277" s="22"/>
      <c r="E277" s="22"/>
      <c r="F277" s="22"/>
      <c r="G277" s="22"/>
      <c r="H277" s="22"/>
      <c r="I277" s="22"/>
      <c r="J277" s="22"/>
      <c r="K277" s="22"/>
      <c r="L277" s="22"/>
      <c r="M277" s="24">
        <v>375</v>
      </c>
    </row>
    <row r="278" spans="1:14">
      <c r="A278" s="3" t="s">
        <v>117</v>
      </c>
      <c r="D278" s="22"/>
      <c r="E278" s="22"/>
      <c r="F278" s="22"/>
      <c r="G278" s="22"/>
      <c r="H278" s="22"/>
      <c r="I278" s="22"/>
      <c r="J278" s="22"/>
      <c r="K278" s="22"/>
      <c r="L278" s="22"/>
      <c r="M278" s="24">
        <v>2</v>
      </c>
    </row>
    <row r="279" spans="1:14">
      <c r="A279" s="3" t="s">
        <v>118</v>
      </c>
      <c r="D279" s="22"/>
      <c r="E279" s="22"/>
      <c r="F279" s="22"/>
      <c r="G279" s="22"/>
      <c r="H279" s="22"/>
      <c r="I279" s="22"/>
      <c r="J279" s="22"/>
      <c r="K279" s="22"/>
      <c r="L279" s="22"/>
      <c r="M279" s="7">
        <v>0.65</v>
      </c>
    </row>
    <row r="280" spans="1:14">
      <c r="A280" s="3" t="s">
        <v>120</v>
      </c>
      <c r="C280" s="4">
        <v>1225</v>
      </c>
      <c r="D280" s="3">
        <f>C280*(1+$M$248)</f>
        <v>1240.3125</v>
      </c>
      <c r="E280" s="3">
        <f t="shared" ref="E280" si="114">D280*(1+$M$248)</f>
        <v>1255.81640625</v>
      </c>
      <c r="F280" s="3">
        <f t="shared" ref="F280" si="115">E280*(1+$M$248)</f>
        <v>1271.514111328125</v>
      </c>
      <c r="G280" s="3">
        <f t="shared" ref="G280" si="116">F280*(1+$M$248)</f>
        <v>1287.4080377197265</v>
      </c>
      <c r="H280" s="3">
        <f t="shared" ref="H280" si="117">G280*(1+$M$248)</f>
        <v>1303.5006381912231</v>
      </c>
      <c r="I280" s="3">
        <f t="shared" ref="I280" si="118">H280*(1+$M$248)</f>
        <v>1319.7943961686133</v>
      </c>
      <c r="J280" s="3">
        <f t="shared" ref="J280" si="119">I280*(1+$M$248)</f>
        <v>1336.2918261207208</v>
      </c>
      <c r="K280" s="3">
        <f t="shared" ref="K280" si="120">J280*(1+$M$248)</f>
        <v>1352.9954739472298</v>
      </c>
      <c r="L280" s="3">
        <f t="shared" ref="L280" si="121">K280*(1+$M$248)</f>
        <v>1369.9079173715702</v>
      </c>
      <c r="M280" s="7"/>
    </row>
    <row r="281" spans="1:14">
      <c r="A281" s="3" t="s">
        <v>121</v>
      </c>
      <c r="C281" s="4">
        <v>125</v>
      </c>
      <c r="D281" s="3">
        <f>C281*(1+$M281)</f>
        <v>127.5</v>
      </c>
      <c r="E281" s="3">
        <f t="shared" ref="E281" si="122">D281*(1+$M281)</f>
        <v>130.05000000000001</v>
      </c>
      <c r="F281" s="3">
        <f t="shared" ref="F281" si="123">E281*(1+$M281)</f>
        <v>132.65100000000001</v>
      </c>
      <c r="G281" s="3">
        <f t="shared" ref="G281" si="124">F281*(1+$M281)</f>
        <v>135.30402000000001</v>
      </c>
      <c r="H281" s="3">
        <f t="shared" ref="H281" si="125">G281*(1+$M281)</f>
        <v>138.0101004</v>
      </c>
      <c r="I281" s="3">
        <f t="shared" ref="I281" si="126">H281*(1+$M281)</f>
        <v>140.77030240799999</v>
      </c>
      <c r="J281" s="3">
        <f t="shared" ref="J281" si="127">I281*(1+$M281)</f>
        <v>143.58570845616001</v>
      </c>
      <c r="K281" s="3">
        <f t="shared" ref="K281" si="128">J281*(1+$M281)</f>
        <v>146.45742262528321</v>
      </c>
      <c r="L281" s="3">
        <f t="shared" ref="L281" si="129">K281*(1+$M281)</f>
        <v>149.38657107778889</v>
      </c>
      <c r="M281" s="7">
        <v>0.02</v>
      </c>
      <c r="N281" s="3" t="s">
        <v>53</v>
      </c>
    </row>
    <row r="282" spans="1:14">
      <c r="A282" s="3" t="s">
        <v>84</v>
      </c>
      <c r="C282" s="24">
        <v>10</v>
      </c>
      <c r="D282" s="22">
        <f t="shared" ref="D282:L282" si="130">C282*(1+$M$248)</f>
        <v>10.125</v>
      </c>
      <c r="E282" s="22">
        <f t="shared" si="130"/>
        <v>10.2515625</v>
      </c>
      <c r="F282" s="22">
        <f t="shared" si="130"/>
        <v>10.37970703125</v>
      </c>
      <c r="G282" s="22">
        <f t="shared" si="130"/>
        <v>10.509453369140624</v>
      </c>
      <c r="H282" s="22">
        <f t="shared" si="130"/>
        <v>10.640821536254881</v>
      </c>
      <c r="I282" s="22">
        <f t="shared" si="130"/>
        <v>10.773831805458066</v>
      </c>
      <c r="J282" s="22">
        <f t="shared" si="130"/>
        <v>10.908504703026292</v>
      </c>
      <c r="K282" s="22">
        <f t="shared" si="130"/>
        <v>11.04486101181412</v>
      </c>
      <c r="L282" s="22">
        <f t="shared" si="130"/>
        <v>11.182921774461796</v>
      </c>
    </row>
    <row r="283" spans="1:14">
      <c r="A283" s="3" t="s">
        <v>100</v>
      </c>
      <c r="D283" s="22"/>
      <c r="E283" s="22"/>
      <c r="F283" s="22"/>
      <c r="G283" s="22"/>
      <c r="H283" s="22"/>
      <c r="I283" s="22"/>
      <c r="J283" s="22"/>
      <c r="K283" s="22"/>
      <c r="L283" s="22"/>
      <c r="M283" s="25">
        <v>0.4</v>
      </c>
    </row>
    <row r="284" spans="1:14">
      <c r="A284" s="3" t="s">
        <v>87</v>
      </c>
      <c r="C284" s="24">
        <v>7</v>
      </c>
      <c r="D284" s="22">
        <f t="shared" ref="D284:L284" si="131">C284*(1+$M$248)</f>
        <v>7.0874999999999995</v>
      </c>
      <c r="E284" s="22">
        <f t="shared" si="131"/>
        <v>7.1760937499999988</v>
      </c>
      <c r="F284" s="22">
        <f t="shared" si="131"/>
        <v>7.2657949218749982</v>
      </c>
      <c r="G284" s="22">
        <f t="shared" si="131"/>
        <v>7.3566173583984353</v>
      </c>
      <c r="H284" s="22">
        <f t="shared" si="131"/>
        <v>7.4485750753784155</v>
      </c>
      <c r="I284" s="22">
        <f t="shared" si="131"/>
        <v>7.5416822638206451</v>
      </c>
      <c r="J284" s="22">
        <f t="shared" si="131"/>
        <v>7.635953292118403</v>
      </c>
      <c r="K284" s="22">
        <f t="shared" si="131"/>
        <v>7.7314027082698829</v>
      </c>
      <c r="L284" s="22">
        <f t="shared" si="131"/>
        <v>7.828045242123256</v>
      </c>
    </row>
    <row r="285" spans="1:14">
      <c r="A285" s="3" t="s">
        <v>101</v>
      </c>
      <c r="D285" s="22"/>
      <c r="E285" s="22"/>
      <c r="F285" s="22"/>
      <c r="G285" s="22"/>
      <c r="H285" s="22"/>
      <c r="I285" s="22"/>
      <c r="J285" s="22"/>
      <c r="K285" s="22"/>
      <c r="L285" s="22"/>
      <c r="M285" s="7">
        <v>0.5</v>
      </c>
    </row>
    <row r="286" spans="1:14">
      <c r="A286" s="3" t="s">
        <v>102</v>
      </c>
      <c r="M286" s="7">
        <v>0.03</v>
      </c>
    </row>
    <row r="287" spans="1:14">
      <c r="A287" s="3" t="s">
        <v>126</v>
      </c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7">
        <v>0.1</v>
      </c>
      <c r="N287" s="3" t="s">
        <v>125</v>
      </c>
    </row>
    <row r="288" spans="1:14">
      <c r="A288" s="3" t="s">
        <v>127</v>
      </c>
      <c r="C288" s="4">
        <v>450</v>
      </c>
      <c r="D288" s="3">
        <f>C288*(1+$M$248)</f>
        <v>455.625</v>
      </c>
      <c r="E288" s="3">
        <f t="shared" ref="E288" si="132">D288*(1+$M$248)</f>
        <v>461.3203125</v>
      </c>
      <c r="F288" s="3">
        <f t="shared" ref="F288" si="133">E288*(1+$M$248)</f>
        <v>467.08681640624997</v>
      </c>
      <c r="G288" s="3">
        <f t="shared" ref="G288" si="134">F288*(1+$M$248)</f>
        <v>472.92540161132808</v>
      </c>
      <c r="H288" s="3">
        <f t="shared" ref="H288" si="135">G288*(1+$M$248)</f>
        <v>478.83696913146969</v>
      </c>
      <c r="I288" s="3">
        <f t="shared" ref="I288" si="136">H288*(1+$M$248)</f>
        <v>484.82243124561302</v>
      </c>
      <c r="J288" s="3">
        <f t="shared" ref="J288" si="137">I288*(1+$M$248)</f>
        <v>490.88271163618316</v>
      </c>
      <c r="K288" s="3">
        <f t="shared" ref="K288" si="138">J288*(1+$M$248)</f>
        <v>497.01874553163543</v>
      </c>
      <c r="L288" s="3">
        <f t="shared" ref="L288" si="139">K288*(1+$M$248)</f>
        <v>503.23147985078083</v>
      </c>
    </row>
    <row r="289" spans="1:16">
      <c r="A289" s="3" t="s">
        <v>128</v>
      </c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7">
        <v>0.5</v>
      </c>
      <c r="N289" s="3" t="s">
        <v>125</v>
      </c>
    </row>
    <row r="290" spans="1:16">
      <c r="A290" s="3" t="s">
        <v>129</v>
      </c>
      <c r="C290" s="4">
        <v>50</v>
      </c>
      <c r="D290" s="3">
        <f>C290*(1+$M$248)</f>
        <v>50.625</v>
      </c>
      <c r="E290" s="3">
        <f t="shared" ref="E290" si="140">D290*(1+$M$248)</f>
        <v>51.2578125</v>
      </c>
      <c r="F290" s="3">
        <f t="shared" ref="F290" si="141">E290*(1+$M$248)</f>
        <v>51.898535156249999</v>
      </c>
      <c r="G290" s="3">
        <f t="shared" ref="G290" si="142">F290*(1+$M$248)</f>
        <v>52.54726684570312</v>
      </c>
      <c r="H290" s="3">
        <f t="shared" ref="H290" si="143">G290*(1+$M$248)</f>
        <v>53.204107681274408</v>
      </c>
      <c r="I290" s="3">
        <f t="shared" ref="I290" si="144">H290*(1+$M$248)</f>
        <v>53.869159027290337</v>
      </c>
      <c r="J290" s="3">
        <f t="shared" ref="J290" si="145">I290*(1+$M$248)</f>
        <v>54.542523515131464</v>
      </c>
      <c r="K290" s="3">
        <f t="shared" ref="K290" si="146">J290*(1+$M$248)</f>
        <v>55.224305059070602</v>
      </c>
      <c r="L290" s="3">
        <f t="shared" ref="L290" si="147">K290*(1+$M$248)</f>
        <v>55.914608872308982</v>
      </c>
    </row>
    <row r="291" spans="1:16">
      <c r="A291" s="3" t="s">
        <v>124</v>
      </c>
      <c r="M291" s="7">
        <v>0.08</v>
      </c>
      <c r="N291" s="3" t="s">
        <v>104</v>
      </c>
    </row>
    <row r="292" spans="1:16">
      <c r="A292" s="3" t="s">
        <v>99</v>
      </c>
      <c r="C292" s="23">
        <v>30</v>
      </c>
      <c r="D292" s="23">
        <v>30</v>
      </c>
      <c r="E292" s="23">
        <v>30</v>
      </c>
      <c r="F292" s="23">
        <v>30</v>
      </c>
      <c r="G292" s="23">
        <v>30</v>
      </c>
      <c r="H292" s="23">
        <v>30</v>
      </c>
      <c r="I292" s="23">
        <v>30</v>
      </c>
      <c r="J292" s="23">
        <v>30</v>
      </c>
      <c r="K292" s="23">
        <v>30</v>
      </c>
      <c r="L292" s="23">
        <v>30</v>
      </c>
    </row>
    <row r="293" spans="1:16">
      <c r="A293" s="3" t="s">
        <v>130</v>
      </c>
      <c r="M293" s="7">
        <v>0.75</v>
      </c>
    </row>
    <row r="294" spans="1:16">
      <c r="A294" s="3" t="s">
        <v>93</v>
      </c>
      <c r="C294" s="4">
        <v>15000</v>
      </c>
      <c r="D294" s="3">
        <f>C294*(1+$M294)</f>
        <v>13500</v>
      </c>
      <c r="E294" s="3">
        <f t="shared" ref="E294" si="148">D294*(1+$M294)</f>
        <v>12150</v>
      </c>
      <c r="F294" s="3">
        <f t="shared" ref="F294" si="149">E294*(1+$M294)</f>
        <v>10935</v>
      </c>
      <c r="G294" s="3">
        <f t="shared" ref="G294" si="150">F294*(1+$M294)</f>
        <v>9841.5</v>
      </c>
      <c r="H294" s="3">
        <f t="shared" ref="H294" si="151">G294*(1+$M294)</f>
        <v>8857.35</v>
      </c>
      <c r="I294" s="3">
        <f t="shared" ref="I294" si="152">H294*(1+$M294)</f>
        <v>7971.6150000000007</v>
      </c>
      <c r="J294" s="3">
        <f t="shared" ref="J294" si="153">I294*(1+$M294)</f>
        <v>7174.4535000000005</v>
      </c>
      <c r="K294" s="3">
        <f t="shared" ref="K294" si="154">J294*(1+$M294)</f>
        <v>6457.0081500000006</v>
      </c>
      <c r="L294" s="3">
        <f t="shared" ref="L294" si="155">K294*(1+$M294)</f>
        <v>5811.3073350000004</v>
      </c>
      <c r="M294" s="7">
        <v>-0.1</v>
      </c>
      <c r="N294" s="3" t="s">
        <v>53</v>
      </c>
    </row>
    <row r="295" spans="1:16">
      <c r="A295" s="3" t="s">
        <v>105</v>
      </c>
      <c r="M295" s="24">
        <v>14</v>
      </c>
    </row>
    <row r="296" spans="1:16">
      <c r="A296" s="3" t="s">
        <v>106</v>
      </c>
      <c r="C296" s="24">
        <v>8</v>
      </c>
      <c r="D296" s="22">
        <f>C296*(1+$M$248)</f>
        <v>8.1</v>
      </c>
      <c r="E296" s="22">
        <f t="shared" ref="E296:L297" si="156">D296*(1+$M$248)</f>
        <v>8.2012499999999999</v>
      </c>
      <c r="F296" s="22">
        <f t="shared" si="156"/>
        <v>8.3037656249999987</v>
      </c>
      <c r="G296" s="22">
        <f t="shared" si="156"/>
        <v>8.4075626953124978</v>
      </c>
      <c r="H296" s="22">
        <f t="shared" si="156"/>
        <v>8.5126572290039029</v>
      </c>
      <c r="I296" s="22">
        <f t="shared" si="156"/>
        <v>8.6190654443664521</v>
      </c>
      <c r="J296" s="22">
        <f t="shared" si="156"/>
        <v>8.7268037624210315</v>
      </c>
      <c r="K296" s="22">
        <f t="shared" si="156"/>
        <v>8.8358888094512942</v>
      </c>
      <c r="L296" s="22">
        <f t="shared" si="156"/>
        <v>8.946337419569435</v>
      </c>
    </row>
    <row r="297" spans="1:16">
      <c r="A297" s="3" t="s">
        <v>163</v>
      </c>
      <c r="C297" s="24">
        <v>500</v>
      </c>
      <c r="D297" s="22">
        <f>C297*(1+$M$248)</f>
        <v>506.25</v>
      </c>
      <c r="E297" s="22">
        <f t="shared" si="156"/>
        <v>512.578125</v>
      </c>
      <c r="F297" s="22">
        <f t="shared" si="156"/>
        <v>518.9853515625</v>
      </c>
      <c r="G297" s="22">
        <f t="shared" si="156"/>
        <v>525.4726684570312</v>
      </c>
      <c r="H297" s="22">
        <f t="shared" si="156"/>
        <v>532.04107681274411</v>
      </c>
      <c r="I297" s="22">
        <f t="shared" si="156"/>
        <v>538.69159027290334</v>
      </c>
      <c r="J297" s="22">
        <f t="shared" si="156"/>
        <v>545.42523515131461</v>
      </c>
      <c r="K297" s="22">
        <f t="shared" si="156"/>
        <v>552.24305059070605</v>
      </c>
      <c r="L297" s="22">
        <f t="shared" si="156"/>
        <v>559.14608872308986</v>
      </c>
    </row>
    <row r="298" spans="1:16">
      <c r="A298" s="3" t="s">
        <v>107</v>
      </c>
      <c r="M298" s="7">
        <v>0.02</v>
      </c>
      <c r="N298" s="1" t="s">
        <v>108</v>
      </c>
    </row>
    <row r="299" spans="1:16">
      <c r="A299" s="3" t="s">
        <v>164</v>
      </c>
      <c r="M299" s="7">
        <v>0.02</v>
      </c>
      <c r="N299" s="3" t="s">
        <v>109</v>
      </c>
    </row>
    <row r="300" spans="1:16">
      <c r="A300" s="3" t="s">
        <v>110</v>
      </c>
      <c r="M300" s="7">
        <v>0.05</v>
      </c>
      <c r="N300" s="3" t="s">
        <v>63</v>
      </c>
    </row>
    <row r="301" spans="1:16">
      <c r="A301" s="3" t="s">
        <v>111</v>
      </c>
      <c r="M301" s="7">
        <v>0.02</v>
      </c>
      <c r="N301" s="3" t="s">
        <v>165</v>
      </c>
      <c r="O301" s="24">
        <v>300</v>
      </c>
      <c r="P301" s="3" t="s">
        <v>112</v>
      </c>
    </row>
    <row r="302" spans="1:16">
      <c r="A302" s="3" t="s">
        <v>134</v>
      </c>
      <c r="M302" s="24">
        <v>300</v>
      </c>
    </row>
    <row r="303" spans="1:16">
      <c r="A303" s="3" t="s">
        <v>135</v>
      </c>
      <c r="M303" s="24">
        <v>200</v>
      </c>
    </row>
    <row r="304" spans="1:16">
      <c r="A304" s="3" t="s">
        <v>136</v>
      </c>
      <c r="M304" s="24">
        <v>35</v>
      </c>
    </row>
    <row r="305" spans="1:13">
      <c r="A305" s="3" t="s">
        <v>114</v>
      </c>
      <c r="M305" s="24">
        <v>5</v>
      </c>
    </row>
    <row r="306" spans="1:13">
      <c r="A306" s="3" t="s">
        <v>115</v>
      </c>
      <c r="M306" s="24">
        <v>30</v>
      </c>
    </row>
    <row r="307" spans="1:13">
      <c r="A307" s="3" t="s">
        <v>91</v>
      </c>
      <c r="C307" s="4">
        <v>40000</v>
      </c>
      <c r="D307" s="22">
        <f>C307*(1+$M$248)</f>
        <v>40500</v>
      </c>
      <c r="E307" s="22">
        <f t="shared" ref="E307:L307" si="157">D307*(1+$M$248)</f>
        <v>41006.25</v>
      </c>
      <c r="F307" s="22">
        <f t="shared" si="157"/>
        <v>41518.828125</v>
      </c>
      <c r="G307" s="22">
        <f t="shared" si="157"/>
        <v>42037.8134765625</v>
      </c>
      <c r="H307" s="22">
        <f t="shared" si="157"/>
        <v>42563.286145019527</v>
      </c>
      <c r="I307" s="22">
        <f t="shared" si="157"/>
        <v>43095.327221832267</v>
      </c>
      <c r="J307" s="22">
        <f t="shared" si="157"/>
        <v>43634.018812105169</v>
      </c>
      <c r="K307" s="22">
        <f t="shared" si="157"/>
        <v>44179.444047256482</v>
      </c>
      <c r="L307" s="22">
        <f t="shared" si="157"/>
        <v>44731.687097847185</v>
      </c>
    </row>
    <row r="308" spans="1:13">
      <c r="A308" s="33" t="s">
        <v>160</v>
      </c>
      <c r="B308" s="33"/>
      <c r="C308" s="48">
        <v>5.0000000000000001E-4</v>
      </c>
      <c r="D308" s="35">
        <f>C308*(1+$M$308)</f>
        <v>5.0000000000000001E-4</v>
      </c>
      <c r="E308" s="35">
        <f t="shared" ref="E308:L308" si="158">D308*(1+$M$308)</f>
        <v>5.0000000000000001E-4</v>
      </c>
      <c r="F308" s="35">
        <f t="shared" si="158"/>
        <v>5.0000000000000001E-4</v>
      </c>
      <c r="G308" s="35">
        <f t="shared" si="158"/>
        <v>5.0000000000000001E-4</v>
      </c>
      <c r="H308" s="35">
        <f t="shared" si="158"/>
        <v>5.0000000000000001E-4</v>
      </c>
      <c r="I308" s="35">
        <f t="shared" si="158"/>
        <v>5.0000000000000001E-4</v>
      </c>
      <c r="J308" s="35">
        <f t="shared" si="158"/>
        <v>5.0000000000000001E-4</v>
      </c>
      <c r="K308" s="35">
        <f t="shared" si="158"/>
        <v>5.0000000000000001E-4</v>
      </c>
      <c r="L308" s="35">
        <f t="shared" si="158"/>
        <v>5.0000000000000001E-4</v>
      </c>
      <c r="M308" s="48">
        <v>0</v>
      </c>
    </row>
    <row r="309" spans="1:13">
      <c r="A309" s="33" t="s">
        <v>161</v>
      </c>
      <c r="B309" s="33"/>
      <c r="C309" s="48">
        <v>7.0000000000000007E-2</v>
      </c>
      <c r="D309" s="35">
        <f>C309*(1+$M$309)</f>
        <v>7.0000000000000007E-2</v>
      </c>
      <c r="E309" s="35">
        <f t="shared" ref="E309:L309" si="159">D309*(1+$M$309)</f>
        <v>7.0000000000000007E-2</v>
      </c>
      <c r="F309" s="35">
        <f t="shared" si="159"/>
        <v>7.0000000000000007E-2</v>
      </c>
      <c r="G309" s="35">
        <f t="shared" si="159"/>
        <v>7.0000000000000007E-2</v>
      </c>
      <c r="H309" s="35">
        <f t="shared" si="159"/>
        <v>7.0000000000000007E-2</v>
      </c>
      <c r="I309" s="35">
        <f t="shared" si="159"/>
        <v>7.0000000000000007E-2</v>
      </c>
      <c r="J309" s="35">
        <f t="shared" si="159"/>
        <v>7.0000000000000007E-2</v>
      </c>
      <c r="K309" s="35">
        <f t="shared" si="159"/>
        <v>7.0000000000000007E-2</v>
      </c>
      <c r="L309" s="35">
        <f t="shared" si="159"/>
        <v>7.0000000000000007E-2</v>
      </c>
      <c r="M309" s="48">
        <v>0</v>
      </c>
    </row>
    <row r="310" spans="1:13">
      <c r="A310" s="69" t="s">
        <v>162</v>
      </c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50"/>
    </row>
    <row r="311" spans="1:13">
      <c r="A311" s="33" t="s">
        <v>169</v>
      </c>
      <c r="B311" s="33"/>
      <c r="C311" s="49">
        <v>0.5</v>
      </c>
      <c r="D311" s="43">
        <f>C311*(1+$M$311)</f>
        <v>0.5</v>
      </c>
      <c r="E311" s="43">
        <f t="shared" ref="E311:L311" si="160">D311*(1+$M$311)</f>
        <v>0.5</v>
      </c>
      <c r="F311" s="43">
        <f t="shared" si="160"/>
        <v>0.5</v>
      </c>
      <c r="G311" s="43">
        <f t="shared" si="160"/>
        <v>0.5</v>
      </c>
      <c r="H311" s="43">
        <f t="shared" si="160"/>
        <v>0.5</v>
      </c>
      <c r="I311" s="43">
        <f t="shared" si="160"/>
        <v>0.5</v>
      </c>
      <c r="J311" s="43">
        <f t="shared" si="160"/>
        <v>0.5</v>
      </c>
      <c r="K311" s="43">
        <f t="shared" si="160"/>
        <v>0.5</v>
      </c>
      <c r="L311" s="43">
        <f t="shared" si="160"/>
        <v>0.5</v>
      </c>
      <c r="M311" s="48">
        <v>0</v>
      </c>
    </row>
    <row r="312" spans="1:13">
      <c r="A312" s="3" t="s">
        <v>179</v>
      </c>
      <c r="M312" s="4">
        <v>450</v>
      </c>
    </row>
    <row r="313" spans="1:13">
      <c r="A313" s="3" t="s">
        <v>180</v>
      </c>
      <c r="M313" s="4">
        <v>300</v>
      </c>
    </row>
    <row r="314" spans="1:13">
      <c r="A314" s="3" t="s">
        <v>185</v>
      </c>
      <c r="M314" s="7">
        <v>0.4</v>
      </c>
    </row>
    <row r="315" spans="1:13">
      <c r="A315" s="3" t="s">
        <v>184</v>
      </c>
      <c r="M315" s="7">
        <v>0.2</v>
      </c>
    </row>
    <row r="316" spans="1:13">
      <c r="M316" s="38"/>
    </row>
    <row r="325" spans="2:2">
      <c r="B325" s="6"/>
    </row>
  </sheetData>
  <mergeCells count="19">
    <mergeCell ref="A1:L1"/>
    <mergeCell ref="A2:L2"/>
    <mergeCell ref="A47:L47"/>
    <mergeCell ref="A52:L52"/>
    <mergeCell ref="A53:L53"/>
    <mergeCell ref="A310:L310"/>
    <mergeCell ref="M245:P245"/>
    <mergeCell ref="A238:P238"/>
    <mergeCell ref="A57:L57"/>
    <mergeCell ref="A84:L84"/>
    <mergeCell ref="C245:L245"/>
    <mergeCell ref="A108:L108"/>
    <mergeCell ref="A155:L155"/>
    <mergeCell ref="A249:L249"/>
    <mergeCell ref="A251:L251"/>
    <mergeCell ref="A259:L259"/>
    <mergeCell ref="A260:L260"/>
    <mergeCell ref="A263:L263"/>
    <mergeCell ref="A142:L142"/>
  </mergeCells>
  <hyperlinks>
    <hyperlink ref="A260" r:id="rId1"/>
  </hyperlinks>
  <pageMargins left="0.75" right="0.75" top="1" bottom="1" header="0.5" footer="0.5"/>
  <pageSetup orientation="portrait" horizontalDpi="4294967292" verticalDpi="4294967292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pushThis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P274"/>
  <sheetViews>
    <sheetView topLeftCell="B175" workbookViewId="0">
      <selection activeCell="K244" sqref="K244"/>
    </sheetView>
  </sheetViews>
  <sheetFormatPr defaultColWidth="10.875" defaultRowHeight="15.75"/>
  <cols>
    <col min="1" max="1" width="38.625" style="3" customWidth="1"/>
    <col min="2" max="2" width="18.5" style="3" bestFit="1" customWidth="1"/>
    <col min="3" max="3" width="12.5" style="3" bestFit="1" customWidth="1"/>
    <col min="4" max="4" width="13.875" style="3" bestFit="1" customWidth="1"/>
    <col min="5" max="6" width="13.5" style="3" bestFit="1" customWidth="1"/>
    <col min="7" max="7" width="14" style="3" bestFit="1" customWidth="1"/>
    <col min="8" max="11" width="13.5" style="3" bestFit="1" customWidth="1"/>
    <col min="12" max="12" width="14.125" style="3" bestFit="1" customWidth="1"/>
    <col min="13" max="13" width="11.5" style="3" bestFit="1" customWidth="1"/>
    <col min="14" max="14" width="28.625" style="3" bestFit="1" customWidth="1"/>
    <col min="15" max="15" width="10.125" style="3" bestFit="1" customWidth="1"/>
    <col min="16" max="16" width="11.125" style="3" bestFit="1" customWidth="1"/>
    <col min="17" max="16384" width="10.875" style="3"/>
  </cols>
  <sheetData>
    <row r="1" spans="1:12">
      <c r="A1" s="72" t="str">
        <f>A196</f>
        <v>Timber Creek Golf Course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C4" s="2">
        <f>C199</f>
        <v>2014</v>
      </c>
      <c r="D4" s="2">
        <f t="shared" ref="D4:L4" si="0">D199</f>
        <v>2015</v>
      </c>
      <c r="E4" s="2">
        <f t="shared" si="0"/>
        <v>2016</v>
      </c>
      <c r="F4" s="2">
        <f t="shared" si="0"/>
        <v>2017</v>
      </c>
      <c r="G4" s="2">
        <f t="shared" si="0"/>
        <v>2018</v>
      </c>
      <c r="H4" s="2">
        <f t="shared" si="0"/>
        <v>2019</v>
      </c>
      <c r="I4" s="2">
        <f t="shared" si="0"/>
        <v>2020</v>
      </c>
      <c r="J4" s="2">
        <f t="shared" si="0"/>
        <v>2021</v>
      </c>
      <c r="K4" s="2">
        <f t="shared" si="0"/>
        <v>2022</v>
      </c>
      <c r="L4" s="2">
        <f t="shared" si="0"/>
        <v>2023</v>
      </c>
    </row>
    <row r="5" spans="1:12">
      <c r="A5" s="3" t="s">
        <v>1</v>
      </c>
    </row>
    <row r="6" spans="1:12">
      <c r="A6" s="10" t="s">
        <v>83</v>
      </c>
      <c r="B6" s="10"/>
      <c r="C6" s="3">
        <f t="shared" ref="C6:L6" si="1">($M$230*C245*$M$231*C229)*(1-$M$232)*(1-$M$239)</f>
        <v>183330</v>
      </c>
      <c r="D6" s="3">
        <f t="shared" si="1"/>
        <v>185621.625</v>
      </c>
      <c r="E6" s="3">
        <f t="shared" si="1"/>
        <v>187941.89531249998</v>
      </c>
      <c r="F6" s="3">
        <f t="shared" si="1"/>
        <v>190291.16900390625</v>
      </c>
      <c r="G6" s="3">
        <f t="shared" si="1"/>
        <v>192669.80861645506</v>
      </c>
      <c r="H6" s="3">
        <f t="shared" si="1"/>
        <v>195078.18122416071</v>
      </c>
      <c r="I6" s="3">
        <f t="shared" si="1"/>
        <v>197516.65848946272</v>
      </c>
      <c r="J6" s="3">
        <f t="shared" si="1"/>
        <v>199985.61672058102</v>
      </c>
      <c r="K6" s="3">
        <f t="shared" si="1"/>
        <v>202485.43692958826</v>
      </c>
      <c r="L6" s="3">
        <f t="shared" si="1"/>
        <v>205016.50489120811</v>
      </c>
    </row>
    <row r="7" spans="1:12">
      <c r="A7" s="10" t="s">
        <v>166</v>
      </c>
      <c r="B7" s="10"/>
      <c r="C7" s="3">
        <f t="shared" ref="C7:L7" si="2">($M$230*C245*$M$231*C229)*(1-$M$232)*$M$239</f>
        <v>5670</v>
      </c>
      <c r="D7" s="3">
        <f t="shared" si="2"/>
        <v>5740.875</v>
      </c>
      <c r="E7" s="3">
        <f t="shared" si="2"/>
        <v>5812.6359375000002</v>
      </c>
      <c r="F7" s="3">
        <f t="shared" si="2"/>
        <v>5885.2938867187495</v>
      </c>
      <c r="G7" s="3">
        <f t="shared" si="2"/>
        <v>5958.8600603027344</v>
      </c>
      <c r="H7" s="3">
        <f t="shared" si="2"/>
        <v>6033.3458110565171</v>
      </c>
      <c r="I7" s="3">
        <f t="shared" si="2"/>
        <v>6108.7626336947224</v>
      </c>
      <c r="J7" s="3">
        <f t="shared" si="2"/>
        <v>6185.1221666159081</v>
      </c>
      <c r="K7" s="3">
        <f t="shared" si="2"/>
        <v>6262.4361936986061</v>
      </c>
      <c r="L7" s="3">
        <f t="shared" si="2"/>
        <v>6340.7166461198385</v>
      </c>
    </row>
    <row r="8" spans="1:12">
      <c r="A8" s="10" t="s">
        <v>81</v>
      </c>
      <c r="B8" s="10"/>
      <c r="C8" s="3">
        <f t="shared" ref="C8:L8" si="3">C227*$M$228*$M$230*C245*$M$231</f>
        <v>67500</v>
      </c>
      <c r="D8" s="3">
        <f t="shared" si="3"/>
        <v>68343.75</v>
      </c>
      <c r="E8" s="3">
        <f t="shared" si="3"/>
        <v>69198.046875</v>
      </c>
      <c r="F8" s="3">
        <f t="shared" si="3"/>
        <v>70063.0224609375</v>
      </c>
      <c r="G8" s="3">
        <f t="shared" si="3"/>
        <v>70938.810241699219</v>
      </c>
      <c r="H8" s="3">
        <f t="shared" si="3"/>
        <v>71825.54536972045</v>
      </c>
      <c r="I8" s="3">
        <f t="shared" si="3"/>
        <v>72723.364686841946</v>
      </c>
      <c r="J8" s="3">
        <f t="shared" si="3"/>
        <v>73632.406745427463</v>
      </c>
      <c r="K8" s="3">
        <f t="shared" si="3"/>
        <v>74552.811829745318</v>
      </c>
      <c r="L8" s="3">
        <f t="shared" si="3"/>
        <v>75484.721977617126</v>
      </c>
    </row>
    <row r="9" spans="1:12">
      <c r="A9" s="10" t="s">
        <v>119</v>
      </c>
      <c r="B9" s="10"/>
      <c r="C9" s="3">
        <f>C233*C234</f>
        <v>153125</v>
      </c>
      <c r="D9" s="3">
        <f t="shared" ref="D9:L9" si="4">D233*D234</f>
        <v>158139.84375</v>
      </c>
      <c r="E9" s="3">
        <f t="shared" si="4"/>
        <v>163318.92363281251</v>
      </c>
      <c r="F9" s="3">
        <f t="shared" si="4"/>
        <v>168667.61838178712</v>
      </c>
      <c r="G9" s="3">
        <f t="shared" si="4"/>
        <v>174191.48288379065</v>
      </c>
      <c r="H9" s="3">
        <f t="shared" si="4"/>
        <v>179896.25394823478</v>
      </c>
      <c r="I9" s="3">
        <f t="shared" si="4"/>
        <v>185787.85626503945</v>
      </c>
      <c r="J9" s="3">
        <f t="shared" si="4"/>
        <v>191872.40855771946</v>
      </c>
      <c r="K9" s="3">
        <f t="shared" si="4"/>
        <v>198156.22993798481</v>
      </c>
      <c r="L9" s="3">
        <f t="shared" si="4"/>
        <v>204645.84646845382</v>
      </c>
    </row>
    <row r="10" spans="1:12">
      <c r="A10" s="10" t="s">
        <v>87</v>
      </c>
      <c r="B10" s="10"/>
      <c r="C10" s="3">
        <f t="shared" ref="C10:L10" si="5">C237*$M$230*$M$231*$M$238</f>
        <v>3150</v>
      </c>
      <c r="D10" s="3">
        <f t="shared" si="5"/>
        <v>3189.3749999999995</v>
      </c>
      <c r="E10" s="3">
        <f t="shared" si="5"/>
        <v>3229.2421874999995</v>
      </c>
      <c r="F10" s="3">
        <f t="shared" si="5"/>
        <v>3269.6077148437494</v>
      </c>
      <c r="G10" s="3">
        <f t="shared" si="5"/>
        <v>3310.477811279296</v>
      </c>
      <c r="H10" s="3">
        <f t="shared" si="5"/>
        <v>3351.8587839202869</v>
      </c>
      <c r="I10" s="3">
        <f t="shared" si="5"/>
        <v>3393.7570187192905</v>
      </c>
      <c r="J10" s="3">
        <f t="shared" si="5"/>
        <v>3436.1789814532813</v>
      </c>
      <c r="K10" s="3">
        <f t="shared" si="5"/>
        <v>3479.1312187214471</v>
      </c>
      <c r="L10" s="3">
        <f t="shared" si="5"/>
        <v>3522.6203589554652</v>
      </c>
    </row>
    <row r="11" spans="1:12">
      <c r="A11" s="10" t="s">
        <v>122</v>
      </c>
      <c r="B11" s="10"/>
      <c r="C11" s="3">
        <f t="shared" ref="C11:L11" si="6">$M$240*C234*C241</f>
        <v>5625</v>
      </c>
      <c r="D11" s="3">
        <f t="shared" si="6"/>
        <v>5809.21875</v>
      </c>
      <c r="E11" s="3">
        <f t="shared" si="6"/>
        <v>5999.4706640625009</v>
      </c>
      <c r="F11" s="3">
        <f t="shared" si="6"/>
        <v>6195.9533283105475</v>
      </c>
      <c r="G11" s="3">
        <f t="shared" si="6"/>
        <v>6398.8707998127175</v>
      </c>
      <c r="H11" s="3">
        <f t="shared" si="6"/>
        <v>6608.4338185065835</v>
      </c>
      <c r="I11" s="3">
        <f t="shared" si="6"/>
        <v>6824.8600260626727</v>
      </c>
      <c r="J11" s="3">
        <f t="shared" si="6"/>
        <v>7048.3741919162258</v>
      </c>
      <c r="K11" s="3">
        <f t="shared" si="6"/>
        <v>7279.2084467014829</v>
      </c>
      <c r="L11" s="3">
        <f t="shared" si="6"/>
        <v>7517.6025233309556</v>
      </c>
    </row>
    <row r="12" spans="1:12">
      <c r="A12" s="10" t="s">
        <v>123</v>
      </c>
      <c r="B12" s="10"/>
      <c r="C12" s="3">
        <f t="shared" ref="C12:L12" si="7">C234*C243*$M$242</f>
        <v>3125</v>
      </c>
      <c r="D12" s="3">
        <f t="shared" si="7"/>
        <v>3227.34375</v>
      </c>
      <c r="E12" s="3">
        <f t="shared" si="7"/>
        <v>3333.0392578125002</v>
      </c>
      <c r="F12" s="3">
        <f t="shared" si="7"/>
        <v>3442.1962935058596</v>
      </c>
      <c r="G12" s="3">
        <f t="shared" si="7"/>
        <v>3554.9282221181761</v>
      </c>
      <c r="H12" s="3">
        <f t="shared" si="7"/>
        <v>3671.352121392546</v>
      </c>
      <c r="I12" s="3">
        <f t="shared" si="7"/>
        <v>3791.5889033681519</v>
      </c>
      <c r="J12" s="3">
        <f t="shared" si="7"/>
        <v>3915.7634399534591</v>
      </c>
      <c r="K12" s="3">
        <f t="shared" si="7"/>
        <v>4044.0046926119344</v>
      </c>
      <c r="L12" s="3">
        <f t="shared" si="7"/>
        <v>4176.4458462949751</v>
      </c>
    </row>
    <row r="13" spans="1:12">
      <c r="A13" s="10" t="s">
        <v>124</v>
      </c>
      <c r="B13" s="10"/>
      <c r="C13" s="3">
        <f t="shared" ref="C13:L13" si="8">C6*$M$244</f>
        <v>14666.4</v>
      </c>
      <c r="D13" s="3">
        <f t="shared" si="8"/>
        <v>14849.73</v>
      </c>
      <c r="E13" s="3">
        <f t="shared" si="8"/>
        <v>15035.351624999999</v>
      </c>
      <c r="F13" s="3">
        <f t="shared" si="8"/>
        <v>15223.2935203125</v>
      </c>
      <c r="G13" s="3">
        <f t="shared" si="8"/>
        <v>15413.584689316405</v>
      </c>
      <c r="H13" s="3">
        <f t="shared" si="8"/>
        <v>15606.254497932858</v>
      </c>
      <c r="I13" s="3">
        <f t="shared" si="8"/>
        <v>15801.332679157018</v>
      </c>
      <c r="J13" s="3">
        <f t="shared" si="8"/>
        <v>15998.849337646481</v>
      </c>
      <c r="K13" s="3">
        <f t="shared" si="8"/>
        <v>16198.834954367061</v>
      </c>
      <c r="L13" s="3">
        <f t="shared" si="8"/>
        <v>16401.320391296649</v>
      </c>
    </row>
    <row r="14" spans="1:12">
      <c r="A14" s="10" t="s">
        <v>82</v>
      </c>
      <c r="B14" s="10"/>
      <c r="C14" s="3">
        <f t="shared" ref="C14:L14" si="9">C235*C245*$M$230*$M$236*$M$231</f>
        <v>108000</v>
      </c>
      <c r="D14" s="3">
        <f t="shared" si="9"/>
        <v>109350</v>
      </c>
      <c r="E14" s="3">
        <f t="shared" si="9"/>
        <v>110716.875</v>
      </c>
      <c r="F14" s="3">
        <f t="shared" si="9"/>
        <v>112100.8359375</v>
      </c>
      <c r="G14" s="3">
        <f t="shared" si="9"/>
        <v>113502.09638671875</v>
      </c>
      <c r="H14" s="3">
        <f t="shared" si="9"/>
        <v>114920.87259155273</v>
      </c>
      <c r="I14" s="3">
        <f t="shared" si="9"/>
        <v>116357.38349894712</v>
      </c>
      <c r="J14" s="3">
        <f t="shared" si="9"/>
        <v>117811.85079268395</v>
      </c>
      <c r="K14" s="3">
        <f t="shared" si="9"/>
        <v>119284.49892759249</v>
      </c>
      <c r="L14" s="3">
        <f t="shared" si="9"/>
        <v>120775.5551641874</v>
      </c>
    </row>
    <row r="15" spans="1:12">
      <c r="A15" s="62" t="s">
        <v>12</v>
      </c>
      <c r="B15" s="62"/>
      <c r="C15" s="19">
        <f t="shared" ref="C15:L15" si="10">SUM(C6:C14)</f>
        <v>544191.4</v>
      </c>
      <c r="D15" s="19">
        <f t="shared" si="10"/>
        <v>554271.76124999998</v>
      </c>
      <c r="E15" s="19">
        <f t="shared" si="10"/>
        <v>564585.48049218743</v>
      </c>
      <c r="F15" s="19">
        <f t="shared" si="10"/>
        <v>575138.99052782229</v>
      </c>
      <c r="G15" s="19">
        <f t="shared" si="10"/>
        <v>585938.91971149307</v>
      </c>
      <c r="H15" s="19">
        <f t="shared" si="10"/>
        <v>596992.09816647752</v>
      </c>
      <c r="I15" s="19">
        <f t="shared" si="10"/>
        <v>608305.56420129316</v>
      </c>
      <c r="J15" s="19">
        <f t="shared" si="10"/>
        <v>619886.57093399717</v>
      </c>
      <c r="K15" s="19">
        <f t="shared" si="10"/>
        <v>631742.59313101147</v>
      </c>
      <c r="L15" s="19">
        <f t="shared" si="10"/>
        <v>643881.33426746435</v>
      </c>
    </row>
    <row r="17" spans="1:12">
      <c r="A17" s="3" t="s">
        <v>46</v>
      </c>
      <c r="C17" s="3">
        <f t="shared" ref="C17:L17" si="11">(C11+C12+C13)/(1+$M$246)</f>
        <v>13380.800000000001</v>
      </c>
      <c r="D17" s="3">
        <f t="shared" si="11"/>
        <v>13649.31</v>
      </c>
      <c r="E17" s="3">
        <f t="shared" si="11"/>
        <v>13924.4923125</v>
      </c>
      <c r="F17" s="3">
        <f t="shared" si="11"/>
        <v>14206.538938359374</v>
      </c>
      <c r="G17" s="3">
        <f t="shared" si="11"/>
        <v>14495.647834998455</v>
      </c>
      <c r="H17" s="3">
        <f t="shared" si="11"/>
        <v>14792.023107332565</v>
      </c>
      <c r="I17" s="3">
        <f t="shared" si="11"/>
        <v>15095.875204907339</v>
      </c>
      <c r="J17" s="3">
        <f t="shared" si="11"/>
        <v>15407.421125437811</v>
      </c>
      <c r="K17" s="3">
        <f t="shared" si="11"/>
        <v>15726.884624960274</v>
      </c>
      <c r="L17" s="3">
        <f t="shared" si="11"/>
        <v>16054.496434812903</v>
      </c>
    </row>
    <row r="18" spans="1:12">
      <c r="A18" s="3" t="s">
        <v>103</v>
      </c>
      <c r="C18" s="11">
        <f t="shared" ref="C18:L18" si="12">C14/(1+$M$246)</f>
        <v>61714.285714285717</v>
      </c>
      <c r="D18" s="11">
        <f t="shared" si="12"/>
        <v>62485.714285714283</v>
      </c>
      <c r="E18" s="11">
        <f t="shared" si="12"/>
        <v>63266.785714285717</v>
      </c>
      <c r="F18" s="11">
        <f t="shared" si="12"/>
        <v>64057.620535714283</v>
      </c>
      <c r="G18" s="11">
        <f t="shared" si="12"/>
        <v>64858.340792410716</v>
      </c>
      <c r="H18" s="11">
        <f t="shared" si="12"/>
        <v>65669.070052315845</v>
      </c>
      <c r="I18" s="11">
        <f t="shared" si="12"/>
        <v>66489.93342796978</v>
      </c>
      <c r="J18" s="11">
        <f t="shared" si="12"/>
        <v>67321.057595819395</v>
      </c>
      <c r="K18" s="11">
        <f t="shared" si="12"/>
        <v>68162.570815767132</v>
      </c>
      <c r="L18" s="11">
        <f t="shared" si="12"/>
        <v>69014.602950964225</v>
      </c>
    </row>
    <row r="19" spans="1:12">
      <c r="A19" s="10" t="s">
        <v>47</v>
      </c>
      <c r="C19" s="3">
        <f>C15-SUM(C17:C18)</f>
        <v>469096.3142857143</v>
      </c>
      <c r="D19" s="3">
        <f t="shared" ref="D19:L19" si="13">D15-SUM(D17:D18)</f>
        <v>478136.73696428572</v>
      </c>
      <c r="E19" s="3">
        <f t="shared" si="13"/>
        <v>487394.20246540173</v>
      </c>
      <c r="F19" s="3">
        <f t="shared" si="13"/>
        <v>496874.83105374861</v>
      </c>
      <c r="G19" s="3">
        <f t="shared" si="13"/>
        <v>506584.93108408392</v>
      </c>
      <c r="H19" s="3">
        <f t="shared" si="13"/>
        <v>516531.0050068291</v>
      </c>
      <c r="I19" s="3">
        <f t="shared" si="13"/>
        <v>526719.75556841609</v>
      </c>
      <c r="J19" s="3">
        <f t="shared" si="13"/>
        <v>537158.09221273998</v>
      </c>
      <c r="K19" s="3">
        <f t="shared" si="13"/>
        <v>547853.13769028406</v>
      </c>
      <c r="L19" s="3">
        <f t="shared" si="13"/>
        <v>558812.23488168721</v>
      </c>
    </row>
    <row r="21" spans="1:12">
      <c r="A21" s="3" t="s">
        <v>21</v>
      </c>
    </row>
    <row r="22" spans="1:12">
      <c r="A22" s="10" t="s">
        <v>92</v>
      </c>
      <c r="B22" s="10"/>
      <c r="C22" s="3">
        <f>C260</f>
        <v>40000</v>
      </c>
      <c r="D22" s="3">
        <f t="shared" ref="D22:L22" si="14">D260</f>
        <v>40500</v>
      </c>
      <c r="E22" s="3">
        <f t="shared" si="14"/>
        <v>41006.25</v>
      </c>
      <c r="F22" s="3">
        <f t="shared" si="14"/>
        <v>41518.828125</v>
      </c>
      <c r="G22" s="3">
        <f t="shared" si="14"/>
        <v>42037.8134765625</v>
      </c>
      <c r="H22" s="3">
        <f t="shared" si="14"/>
        <v>42563.286145019527</v>
      </c>
      <c r="I22" s="3">
        <f t="shared" si="14"/>
        <v>43095.327221832267</v>
      </c>
      <c r="J22" s="3">
        <f t="shared" si="14"/>
        <v>43634.018812105169</v>
      </c>
      <c r="K22" s="3">
        <f t="shared" si="14"/>
        <v>44179.444047256482</v>
      </c>
      <c r="L22" s="3">
        <f t="shared" si="14"/>
        <v>44731.687097847185</v>
      </c>
    </row>
    <row r="23" spans="1:12">
      <c r="A23" s="10" t="s">
        <v>93</v>
      </c>
      <c r="B23" s="10"/>
      <c r="C23" s="3">
        <f>C247</f>
        <v>15000</v>
      </c>
      <c r="D23" s="3">
        <f t="shared" ref="D23:L23" si="15">D247</f>
        <v>13500</v>
      </c>
      <c r="E23" s="3">
        <f t="shared" si="15"/>
        <v>12150</v>
      </c>
      <c r="F23" s="3">
        <f t="shared" si="15"/>
        <v>10935</v>
      </c>
      <c r="G23" s="3">
        <f t="shared" si="15"/>
        <v>9841.5</v>
      </c>
      <c r="H23" s="3">
        <f t="shared" si="15"/>
        <v>8857.35</v>
      </c>
      <c r="I23" s="3">
        <f t="shared" si="15"/>
        <v>7971.6150000000007</v>
      </c>
      <c r="J23" s="3">
        <f t="shared" si="15"/>
        <v>7174.4535000000005</v>
      </c>
      <c r="K23" s="3">
        <f t="shared" si="15"/>
        <v>6457.0081500000006</v>
      </c>
      <c r="L23" s="3">
        <f t="shared" si="15"/>
        <v>5811.3073350000004</v>
      </c>
    </row>
    <row r="24" spans="1:12">
      <c r="A24" s="10" t="s">
        <v>88</v>
      </c>
      <c r="B24" s="10"/>
      <c r="C24" s="3">
        <f>$M$248*40*C245*C249</f>
        <v>134400</v>
      </c>
      <c r="D24" s="3">
        <f t="shared" ref="D24:L24" si="16">$M$248*40*D245*D249</f>
        <v>136080</v>
      </c>
      <c r="E24" s="3">
        <f t="shared" si="16"/>
        <v>137781</v>
      </c>
      <c r="F24" s="3">
        <f t="shared" si="16"/>
        <v>139503.26249999998</v>
      </c>
      <c r="G24" s="3">
        <f t="shared" si="16"/>
        <v>141247.05328124997</v>
      </c>
      <c r="H24" s="3">
        <f t="shared" si="16"/>
        <v>143012.64144726557</v>
      </c>
      <c r="I24" s="3">
        <f t="shared" si="16"/>
        <v>144800.29946535639</v>
      </c>
      <c r="J24" s="3">
        <f t="shared" si="16"/>
        <v>146610.30320867334</v>
      </c>
      <c r="K24" s="3">
        <f t="shared" si="16"/>
        <v>148442.93199878174</v>
      </c>
      <c r="L24" s="3">
        <f t="shared" si="16"/>
        <v>150298.46864876652</v>
      </c>
    </row>
    <row r="25" spans="1:12">
      <c r="A25" s="10" t="s">
        <v>79</v>
      </c>
      <c r="B25" s="10"/>
      <c r="C25" s="3">
        <f t="shared" ref="C25:L25" si="17">C15*$M$253</f>
        <v>27209.570000000003</v>
      </c>
      <c r="D25" s="3">
        <f t="shared" si="17"/>
        <v>27713.588062499999</v>
      </c>
      <c r="E25" s="3">
        <f t="shared" si="17"/>
        <v>28229.274024609374</v>
      </c>
      <c r="F25" s="3">
        <f t="shared" si="17"/>
        <v>28756.949526391116</v>
      </c>
      <c r="G25" s="3">
        <f t="shared" si="17"/>
        <v>29296.945985574654</v>
      </c>
      <c r="H25" s="3">
        <f t="shared" si="17"/>
        <v>29849.604908323876</v>
      </c>
      <c r="I25" s="3">
        <f t="shared" si="17"/>
        <v>30415.278210064658</v>
      </c>
      <c r="J25" s="3">
        <f t="shared" si="17"/>
        <v>30994.32854669986</v>
      </c>
      <c r="K25" s="3">
        <f t="shared" si="17"/>
        <v>31587.129656550576</v>
      </c>
      <c r="L25" s="3">
        <f t="shared" si="17"/>
        <v>32194.06671337322</v>
      </c>
    </row>
    <row r="26" spans="1:12">
      <c r="A26" s="10" t="s">
        <v>80</v>
      </c>
      <c r="B26" s="10"/>
      <c r="C26" s="3">
        <f t="shared" ref="C26:L26" si="18">C15*$M$254+$O$254*$M$220</f>
        <v>53783.828000000001</v>
      </c>
      <c r="D26" s="3">
        <f t="shared" si="18"/>
        <v>53985.435225000001</v>
      </c>
      <c r="E26" s="3">
        <f t="shared" si="18"/>
        <v>54191.709609843747</v>
      </c>
      <c r="F26" s="3">
        <f t="shared" si="18"/>
        <v>54402.779810556443</v>
      </c>
      <c r="G26" s="3">
        <f t="shared" si="18"/>
        <v>54618.778394229863</v>
      </c>
      <c r="H26" s="3">
        <f t="shared" si="18"/>
        <v>54839.841963329549</v>
      </c>
      <c r="I26" s="3">
        <f t="shared" si="18"/>
        <v>55066.111284025865</v>
      </c>
      <c r="J26" s="3">
        <f t="shared" si="18"/>
        <v>55297.731418679941</v>
      </c>
      <c r="K26" s="3">
        <f t="shared" si="18"/>
        <v>55534.851862620228</v>
      </c>
      <c r="L26" s="3">
        <f t="shared" si="18"/>
        <v>55777.626685349285</v>
      </c>
    </row>
    <row r="27" spans="1:12">
      <c r="A27" s="10" t="s">
        <v>167</v>
      </c>
      <c r="B27" s="10"/>
      <c r="C27" s="13">
        <f>C245*C250</f>
        <v>15000</v>
      </c>
      <c r="D27" s="13">
        <f t="shared" ref="D27:L27" si="19">D245*D250</f>
        <v>15187.5</v>
      </c>
      <c r="E27" s="13">
        <f t="shared" si="19"/>
        <v>15377.34375</v>
      </c>
      <c r="F27" s="13">
        <f t="shared" si="19"/>
        <v>15569.560546875</v>
      </c>
      <c r="G27" s="13">
        <f t="shared" si="19"/>
        <v>15764.180053710936</v>
      </c>
      <c r="H27" s="13">
        <f t="shared" si="19"/>
        <v>15961.232304382323</v>
      </c>
      <c r="I27" s="13">
        <f t="shared" si="19"/>
        <v>16160.7477081871</v>
      </c>
      <c r="J27" s="13">
        <f t="shared" si="19"/>
        <v>16362.757054539437</v>
      </c>
      <c r="K27" s="13">
        <f t="shared" si="19"/>
        <v>16567.29151772118</v>
      </c>
      <c r="L27" s="13">
        <f t="shared" si="19"/>
        <v>16774.382661692696</v>
      </c>
    </row>
    <row r="28" spans="1:12">
      <c r="A28" s="10" t="s">
        <v>94</v>
      </c>
      <c r="B28" s="10"/>
      <c r="C28" s="13">
        <f t="shared" ref="C28:L28" si="20">C80*$M$251</f>
        <v>31406.04</v>
      </c>
      <c r="D28" s="13">
        <f t="shared" si="20"/>
        <v>30516.080000000002</v>
      </c>
      <c r="E28" s="13">
        <f t="shared" si="20"/>
        <v>29626.12</v>
      </c>
      <c r="F28" s="13">
        <f t="shared" si="20"/>
        <v>28736.16</v>
      </c>
      <c r="G28" s="13">
        <f t="shared" si="20"/>
        <v>27846.2</v>
      </c>
      <c r="H28" s="13">
        <f t="shared" si="20"/>
        <v>31665.4</v>
      </c>
      <c r="I28" s="13">
        <f t="shared" si="20"/>
        <v>30540.600000000002</v>
      </c>
      <c r="J28" s="13">
        <f t="shared" si="20"/>
        <v>29415.8</v>
      </c>
      <c r="K28" s="13">
        <f t="shared" si="20"/>
        <v>28291</v>
      </c>
      <c r="L28" s="13">
        <f t="shared" si="20"/>
        <v>27166.2</v>
      </c>
    </row>
    <row r="29" spans="1:12">
      <c r="A29" s="10" t="s">
        <v>95</v>
      </c>
      <c r="B29" s="10"/>
      <c r="C29" s="13">
        <f t="shared" ref="C29:L29" si="21">(C70+C74)*$M$252</f>
        <v>28148.04</v>
      </c>
      <c r="D29" s="13">
        <f t="shared" si="21"/>
        <v>27600.080000000002</v>
      </c>
      <c r="E29" s="13">
        <f t="shared" si="21"/>
        <v>27052.12</v>
      </c>
      <c r="F29" s="13">
        <f t="shared" si="21"/>
        <v>26504.16</v>
      </c>
      <c r="G29" s="13">
        <f t="shared" si="21"/>
        <v>25956.2</v>
      </c>
      <c r="H29" s="13">
        <f t="shared" si="21"/>
        <v>30117.4</v>
      </c>
      <c r="I29" s="13">
        <f t="shared" si="21"/>
        <v>29334.600000000002</v>
      </c>
      <c r="J29" s="13">
        <f t="shared" si="21"/>
        <v>28551.8</v>
      </c>
      <c r="K29" s="13">
        <f t="shared" si="21"/>
        <v>27769</v>
      </c>
      <c r="L29" s="13">
        <f t="shared" si="21"/>
        <v>26986.2</v>
      </c>
    </row>
    <row r="30" spans="1:12">
      <c r="A30" s="62" t="s">
        <v>33</v>
      </c>
      <c r="B30" s="62"/>
      <c r="C30" s="19">
        <f t="shared" ref="C30:L30" si="22">SUM(C22:C29)</f>
        <v>344947.47799999994</v>
      </c>
      <c r="D30" s="19">
        <f t="shared" si="22"/>
        <v>345082.68328750005</v>
      </c>
      <c r="E30" s="19">
        <f t="shared" si="22"/>
        <v>345413.81738445308</v>
      </c>
      <c r="F30" s="19">
        <f t="shared" si="22"/>
        <v>345926.70050882245</v>
      </c>
      <c r="G30" s="19">
        <f t="shared" si="22"/>
        <v>346608.67119132797</v>
      </c>
      <c r="H30" s="19">
        <f t="shared" si="22"/>
        <v>356866.75676832086</v>
      </c>
      <c r="I30" s="19">
        <f t="shared" si="22"/>
        <v>357384.57888946624</v>
      </c>
      <c r="J30" s="19">
        <f t="shared" si="22"/>
        <v>358041.19254069775</v>
      </c>
      <c r="K30" s="19">
        <f t="shared" si="22"/>
        <v>358828.65723293024</v>
      </c>
      <c r="L30" s="19">
        <f t="shared" si="22"/>
        <v>359739.93914202892</v>
      </c>
    </row>
    <row r="31" spans="1:12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9" t="s">
        <v>32</v>
      </c>
      <c r="B32" s="9"/>
      <c r="C32" s="3">
        <f t="shared" ref="C32:L32" si="23">C19-C30</f>
        <v>124148.83628571435</v>
      </c>
      <c r="D32" s="3">
        <f t="shared" si="23"/>
        <v>133054.05367678567</v>
      </c>
      <c r="E32" s="3">
        <f t="shared" si="23"/>
        <v>141980.38508094865</v>
      </c>
      <c r="F32" s="3">
        <f t="shared" si="23"/>
        <v>150948.13054492616</v>
      </c>
      <c r="G32" s="3">
        <f t="shared" si="23"/>
        <v>159976.25989275594</v>
      </c>
      <c r="H32" s="3">
        <f t="shared" si="23"/>
        <v>159664.24823850824</v>
      </c>
      <c r="I32" s="3">
        <f t="shared" si="23"/>
        <v>169335.17667894985</v>
      </c>
      <c r="J32" s="3">
        <f t="shared" si="23"/>
        <v>179116.89967204223</v>
      </c>
      <c r="K32" s="3">
        <f t="shared" si="23"/>
        <v>189024.48045735381</v>
      </c>
      <c r="L32" s="3">
        <f t="shared" si="23"/>
        <v>199072.29573965829</v>
      </c>
    </row>
    <row r="33" spans="1:12">
      <c r="A33" s="9"/>
      <c r="B33" s="9"/>
    </row>
    <row r="34" spans="1:12">
      <c r="A34" s="9" t="s">
        <v>34</v>
      </c>
      <c r="B34" s="9"/>
    </row>
    <row r="35" spans="1:12">
      <c r="A35" s="10" t="s">
        <v>48</v>
      </c>
      <c r="B35" s="10"/>
      <c r="C35" s="3">
        <f t="shared" ref="C35:L35" si="24">(C72-($M$208*C72))/$M$207</f>
        <v>27398</v>
      </c>
      <c r="D35" s="3">
        <f t="shared" si="24"/>
        <v>27398</v>
      </c>
      <c r="E35" s="3">
        <f t="shared" si="24"/>
        <v>27398</v>
      </c>
      <c r="F35" s="3">
        <f t="shared" si="24"/>
        <v>27398</v>
      </c>
      <c r="G35" s="3">
        <f t="shared" si="24"/>
        <v>27398</v>
      </c>
      <c r="H35" s="3">
        <f t="shared" si="24"/>
        <v>39140</v>
      </c>
      <c r="I35" s="3">
        <f t="shared" si="24"/>
        <v>39140</v>
      </c>
      <c r="J35" s="3">
        <f t="shared" si="24"/>
        <v>39140</v>
      </c>
      <c r="K35" s="3">
        <f t="shared" si="24"/>
        <v>39140</v>
      </c>
      <c r="L35" s="3">
        <f t="shared" si="24"/>
        <v>39140</v>
      </c>
    </row>
    <row r="36" spans="1:12">
      <c r="A36" s="10" t="s">
        <v>49</v>
      </c>
      <c r="B36" s="10"/>
      <c r="C36" s="3">
        <f t="shared" ref="C36:L36" si="25">(C76-($M$210*C76))/$M$209</f>
        <v>17100</v>
      </c>
      <c r="D36" s="3">
        <f t="shared" si="25"/>
        <v>17100</v>
      </c>
      <c r="E36" s="3">
        <f t="shared" si="25"/>
        <v>17100</v>
      </c>
      <c r="F36" s="3">
        <f t="shared" si="25"/>
        <v>17100</v>
      </c>
      <c r="G36" s="3">
        <f t="shared" si="25"/>
        <v>17100</v>
      </c>
      <c r="H36" s="3">
        <f t="shared" si="25"/>
        <v>17100</v>
      </c>
      <c r="I36" s="3">
        <f t="shared" si="25"/>
        <v>17100</v>
      </c>
      <c r="J36" s="3">
        <f t="shared" si="25"/>
        <v>17100</v>
      </c>
      <c r="K36" s="3">
        <f t="shared" si="25"/>
        <v>17100</v>
      </c>
      <c r="L36" s="3">
        <f t="shared" si="25"/>
        <v>17100</v>
      </c>
    </row>
    <row r="37" spans="1:12">
      <c r="A37" s="10" t="s">
        <v>28</v>
      </c>
      <c r="B37" s="10"/>
      <c r="C37" s="13">
        <f t="shared" ref="C37:L37" si="26">-CUMIPMT($M$215/12,$M$217*12,$M$214,(((C4+1)-$C$4)*12)-11,(((C4+1)-$C$4)*12),0)</f>
        <v>57007.406228428692</v>
      </c>
      <c r="D37" s="13">
        <f t="shared" si="26"/>
        <v>56140.988002033526</v>
      </c>
      <c r="E37" s="13">
        <f t="shared" si="26"/>
        <v>55230.242174816653</v>
      </c>
      <c r="F37" s="13">
        <f t="shared" si="26"/>
        <v>54272.900862591501</v>
      </c>
      <c r="G37" s="13">
        <f t="shared" si="26"/>
        <v>53266.580151912312</v>
      </c>
      <c r="H37" s="13">
        <f t="shared" si="26"/>
        <v>52208.77416379709</v>
      </c>
      <c r="I37" s="13">
        <f t="shared" si="26"/>
        <v>51096.848813739227</v>
      </c>
      <c r="J37" s="13">
        <f t="shared" si="26"/>
        <v>49928.035252469592</v>
      </c>
      <c r="K37" s="13">
        <f t="shared" si="26"/>
        <v>48699.4229711355</v>
      </c>
      <c r="L37" s="13">
        <f t="shared" si="26"/>
        <v>47407.952553727533</v>
      </c>
    </row>
    <row r="38" spans="1:12">
      <c r="A38" s="10" t="s">
        <v>178</v>
      </c>
      <c r="B38" s="10"/>
      <c r="C38" s="13">
        <f t="shared" ref="C38:L38" si="27">C94*C211</f>
        <v>3894.4920212773527</v>
      </c>
      <c r="D38" s="13">
        <f t="shared" si="27"/>
        <v>0</v>
      </c>
      <c r="E38" s="13">
        <f t="shared" si="27"/>
        <v>0</v>
      </c>
      <c r="F38" s="13">
        <f t="shared" si="27"/>
        <v>0</v>
      </c>
      <c r="G38" s="13">
        <f t="shared" si="27"/>
        <v>0</v>
      </c>
      <c r="H38" s="13">
        <f t="shared" si="27"/>
        <v>0</v>
      </c>
      <c r="I38" s="13">
        <f t="shared" si="27"/>
        <v>0</v>
      </c>
      <c r="J38" s="13">
        <f t="shared" si="27"/>
        <v>0</v>
      </c>
      <c r="K38" s="13">
        <f t="shared" si="27"/>
        <v>0</v>
      </c>
      <c r="L38" s="13">
        <f t="shared" si="27"/>
        <v>0</v>
      </c>
    </row>
    <row r="39" spans="1:12">
      <c r="A39" s="62" t="s">
        <v>35</v>
      </c>
      <c r="B39" s="62"/>
      <c r="C39" s="19">
        <f>SUM(C35:C38)</f>
        <v>105399.89824970605</v>
      </c>
      <c r="D39" s="19">
        <f>SUM(D35:D38)</f>
        <v>100638.98800203353</v>
      </c>
      <c r="E39" s="19">
        <f>SUM(E35:E38)</f>
        <v>99728.242174816653</v>
      </c>
      <c r="F39" s="19">
        <f>SUM(F35:F38)</f>
        <v>98770.900862591501</v>
      </c>
      <c r="G39" s="19">
        <f t="shared" ref="G39:L39" si="28">SUM(G35:G38)</f>
        <v>97764.58015191232</v>
      </c>
      <c r="H39" s="19">
        <f t="shared" si="28"/>
        <v>108448.77416379709</v>
      </c>
      <c r="I39" s="19">
        <f t="shared" si="28"/>
        <v>107336.84881373923</v>
      </c>
      <c r="J39" s="19">
        <f t="shared" si="28"/>
        <v>106168.03525246959</v>
      </c>
      <c r="K39" s="19">
        <f t="shared" si="28"/>
        <v>104939.4229711355</v>
      </c>
      <c r="L39" s="19">
        <f t="shared" si="28"/>
        <v>103647.95255372753</v>
      </c>
    </row>
    <row r="40" spans="1:12">
      <c r="A40" s="62"/>
      <c r="B40" s="62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>
      <c r="A41" s="3" t="s">
        <v>24</v>
      </c>
      <c r="C41" s="19">
        <f>C32-C39</f>
        <v>18748.938036008301</v>
      </c>
      <c r="D41" s="19">
        <f>D32-D39</f>
        <v>32415.065674752143</v>
      </c>
      <c r="E41" s="19">
        <f>E32-E39</f>
        <v>42252.142906131994</v>
      </c>
      <c r="F41" s="19">
        <f>F32-F39</f>
        <v>52177.229682334655</v>
      </c>
      <c r="G41" s="19">
        <f t="shared" ref="G41:L41" si="29">G32-G39</f>
        <v>62211.679740843625</v>
      </c>
      <c r="H41" s="19">
        <f t="shared" si="29"/>
        <v>51215.47407471115</v>
      </c>
      <c r="I41" s="19">
        <f t="shared" si="29"/>
        <v>61998.327865210624</v>
      </c>
      <c r="J41" s="19">
        <f t="shared" si="29"/>
        <v>72948.864419572637</v>
      </c>
      <c r="K41" s="19">
        <f t="shared" si="29"/>
        <v>84085.057486218313</v>
      </c>
      <c r="L41" s="19">
        <f t="shared" si="29"/>
        <v>95424.34318593076</v>
      </c>
    </row>
    <row r="42" spans="1:12">
      <c r="A42" s="3" t="s">
        <v>11</v>
      </c>
      <c r="C42" s="3">
        <f t="shared" ref="C42:L42" si="30">IF(C41&gt;0,C203*C41,0)</f>
        <v>3749.7876072016606</v>
      </c>
      <c r="D42" s="3">
        <f t="shared" si="30"/>
        <v>6483.013134950429</v>
      </c>
      <c r="E42" s="3">
        <f t="shared" si="30"/>
        <v>8450.4285812263988</v>
      </c>
      <c r="F42" s="3">
        <f t="shared" si="30"/>
        <v>10435.445936466931</v>
      </c>
      <c r="G42" s="3">
        <f t="shared" si="30"/>
        <v>12442.335948168726</v>
      </c>
      <c r="H42" s="3">
        <f t="shared" si="30"/>
        <v>10243.094814942231</v>
      </c>
      <c r="I42" s="3">
        <f t="shared" si="30"/>
        <v>12399.665573042126</v>
      </c>
      <c r="J42" s="3">
        <f t="shared" si="30"/>
        <v>14589.772883914527</v>
      </c>
      <c r="K42" s="3">
        <f t="shared" si="30"/>
        <v>16817.011497243664</v>
      </c>
      <c r="L42" s="3">
        <f t="shared" si="30"/>
        <v>19084.868637186151</v>
      </c>
    </row>
    <row r="43" spans="1:12" ht="16.5" thickBot="1">
      <c r="A43" s="3" t="s">
        <v>13</v>
      </c>
      <c r="C43" s="14">
        <f>C41-C42</f>
        <v>14999.150428806641</v>
      </c>
      <c r="D43" s="14">
        <f>D41-D42</f>
        <v>25932.052539801713</v>
      </c>
      <c r="E43" s="14">
        <f>E41-E42</f>
        <v>33801.714324905595</v>
      </c>
      <c r="F43" s="14">
        <f>F41-F42</f>
        <v>41741.783745867724</v>
      </c>
      <c r="G43" s="14">
        <f t="shared" ref="G43:L43" si="31">G41-G42</f>
        <v>49769.343792674903</v>
      </c>
      <c r="H43" s="14">
        <f t="shared" si="31"/>
        <v>40972.379259768917</v>
      </c>
      <c r="I43" s="14">
        <f t="shared" si="31"/>
        <v>49598.662292168498</v>
      </c>
      <c r="J43" s="14">
        <f t="shared" si="31"/>
        <v>58359.09153565811</v>
      </c>
      <c r="K43" s="14">
        <f t="shared" si="31"/>
        <v>67268.045988974656</v>
      </c>
      <c r="L43" s="14">
        <f t="shared" si="31"/>
        <v>76339.474548744605</v>
      </c>
    </row>
    <row r="44" spans="1:12" ht="16.5" thickTop="1"/>
    <row r="47" spans="1:12">
      <c r="A47" s="72" t="s">
        <v>30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>
      <c r="A48" s="3" t="s">
        <v>31</v>
      </c>
      <c r="C48" s="3">
        <f t="shared" ref="C48:L48" si="32">C82-C104</f>
        <v>0</v>
      </c>
      <c r="D48" s="3">
        <f t="shared" si="32"/>
        <v>0</v>
      </c>
      <c r="E48" s="3">
        <f t="shared" si="32"/>
        <v>0</v>
      </c>
      <c r="F48" s="3">
        <f t="shared" si="32"/>
        <v>0</v>
      </c>
      <c r="G48" s="3">
        <f t="shared" si="32"/>
        <v>0</v>
      </c>
      <c r="H48" s="3">
        <f t="shared" si="32"/>
        <v>0</v>
      </c>
      <c r="I48" s="3">
        <f t="shared" si="32"/>
        <v>0</v>
      </c>
      <c r="J48" s="3">
        <f t="shared" si="32"/>
        <v>0</v>
      </c>
      <c r="K48" s="3">
        <f t="shared" si="32"/>
        <v>0</v>
      </c>
      <c r="L48" s="3">
        <f t="shared" si="32"/>
        <v>0</v>
      </c>
    </row>
    <row r="52" spans="1:12">
      <c r="A52" s="72" t="str">
        <f>A196</f>
        <v>Timber Creek Golf Course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>
      <c r="A53" s="72" t="s">
        <v>2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C55" s="2">
        <f>C199</f>
        <v>2014</v>
      </c>
      <c r="D55" s="2">
        <f t="shared" ref="D55:L55" si="33">D199</f>
        <v>2015</v>
      </c>
      <c r="E55" s="2">
        <f t="shared" si="33"/>
        <v>2016</v>
      </c>
      <c r="F55" s="2">
        <f t="shared" si="33"/>
        <v>2017</v>
      </c>
      <c r="G55" s="2">
        <f t="shared" si="33"/>
        <v>2018</v>
      </c>
      <c r="H55" s="2">
        <f t="shared" si="33"/>
        <v>2019</v>
      </c>
      <c r="I55" s="2">
        <f t="shared" si="33"/>
        <v>2020</v>
      </c>
      <c r="J55" s="2">
        <f t="shared" si="33"/>
        <v>2021</v>
      </c>
      <c r="K55" s="2">
        <f t="shared" si="33"/>
        <v>2022</v>
      </c>
      <c r="L55" s="2">
        <f t="shared" si="33"/>
        <v>2023</v>
      </c>
    </row>
    <row r="57" spans="1:12">
      <c r="A57" s="73" t="s">
        <v>3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9" spans="1:12">
      <c r="A59" s="3" t="s">
        <v>4</v>
      </c>
    </row>
    <row r="60" spans="1:12">
      <c r="A60" s="10" t="s">
        <v>22</v>
      </c>
      <c r="B60" s="10"/>
      <c r="C60" s="3">
        <f t="shared" ref="C60:L60" si="34">C15*$M$206</f>
        <v>16325.742</v>
      </c>
      <c r="D60" s="3">
        <f t="shared" si="34"/>
        <v>16628.152837499998</v>
      </c>
      <c r="E60" s="3">
        <f t="shared" si="34"/>
        <v>16937.564414765624</v>
      </c>
      <c r="F60" s="3">
        <f t="shared" si="34"/>
        <v>17254.169715834669</v>
      </c>
      <c r="G60" s="3">
        <f t="shared" si="34"/>
        <v>17578.167591344791</v>
      </c>
      <c r="H60" s="3">
        <f t="shared" si="34"/>
        <v>17909.762944994323</v>
      </c>
      <c r="I60" s="3">
        <f t="shared" si="34"/>
        <v>18249.166926038793</v>
      </c>
      <c r="J60" s="3">
        <f t="shared" si="34"/>
        <v>18596.597128019916</v>
      </c>
      <c r="K60" s="3">
        <f t="shared" si="34"/>
        <v>18952.277793930345</v>
      </c>
      <c r="L60" s="3">
        <f t="shared" si="34"/>
        <v>19316.440028023932</v>
      </c>
    </row>
    <row r="61" spans="1:12">
      <c r="A61" s="10" t="s">
        <v>23</v>
      </c>
      <c r="B61" s="26"/>
      <c r="C61" s="4">
        <v>0</v>
      </c>
      <c r="D61" s="4">
        <v>19561.797874539898</v>
      </c>
      <c r="E61" s="4">
        <v>80709.307585343398</v>
      </c>
      <c r="F61" s="4">
        <v>148844.90538540893</v>
      </c>
      <c r="G61" s="4">
        <v>224010.98617279061</v>
      </c>
      <c r="H61" s="4">
        <v>49645.136708432838</v>
      </c>
      <c r="I61" s="4">
        <v>134336.01574041252</v>
      </c>
      <c r="J61" s="4">
        <v>226638.18010685197</v>
      </c>
      <c r="K61" s="4">
        <v>326643.51145793498</v>
      </c>
      <c r="L61" s="4">
        <v>434454.65918428393</v>
      </c>
    </row>
    <row r="62" spans="1:12">
      <c r="A62" s="10" t="s">
        <v>168</v>
      </c>
      <c r="B62" s="26"/>
    </row>
    <row r="63" spans="1:12">
      <c r="A63" s="10" t="s">
        <v>131</v>
      </c>
      <c r="B63" s="10"/>
      <c r="C63" s="3">
        <f t="shared" ref="C63:L63" si="35">(C11/(1+$M$246))/($C$245*7)*$M$255</f>
        <v>4591.8367346938776</v>
      </c>
      <c r="D63" s="3">
        <f t="shared" si="35"/>
        <v>4742.2193877551026</v>
      </c>
      <c r="E63" s="3">
        <f t="shared" si="35"/>
        <v>4897.5270727040825</v>
      </c>
      <c r="F63" s="3">
        <f t="shared" si="35"/>
        <v>5057.9210843351402</v>
      </c>
      <c r="G63" s="3">
        <f t="shared" si="35"/>
        <v>5223.567999847116</v>
      </c>
      <c r="H63" s="3">
        <f t="shared" si="35"/>
        <v>5394.6398518421083</v>
      </c>
      <c r="I63" s="3">
        <f t="shared" si="35"/>
        <v>5571.314306989937</v>
      </c>
      <c r="J63" s="3">
        <f t="shared" si="35"/>
        <v>5753.7748505438576</v>
      </c>
      <c r="K63" s="3">
        <f t="shared" si="35"/>
        <v>5942.2109768991695</v>
      </c>
      <c r="L63" s="3">
        <f t="shared" si="35"/>
        <v>6136.818386392616</v>
      </c>
    </row>
    <row r="64" spans="1:12">
      <c r="A64" s="10" t="s">
        <v>132</v>
      </c>
      <c r="B64" s="10"/>
      <c r="C64" s="3">
        <f t="shared" ref="C64:L64" si="36">(C12/(1+$M$246))/($C$245*7)*$M$256</f>
        <v>1700.6802721088438</v>
      </c>
      <c r="D64" s="3">
        <f t="shared" si="36"/>
        <v>1756.3775510204082</v>
      </c>
      <c r="E64" s="3">
        <f t="shared" si="36"/>
        <v>1813.8989158163265</v>
      </c>
      <c r="F64" s="3">
        <f t="shared" si="36"/>
        <v>1873.3041053093114</v>
      </c>
      <c r="G64" s="3">
        <f t="shared" si="36"/>
        <v>1934.6548147581914</v>
      </c>
      <c r="H64" s="3">
        <f t="shared" si="36"/>
        <v>1998.0147599415216</v>
      </c>
      <c r="I64" s="3">
        <f t="shared" si="36"/>
        <v>2063.4497433296065</v>
      </c>
      <c r="J64" s="3">
        <f t="shared" si="36"/>
        <v>2131.0277224236511</v>
      </c>
      <c r="K64" s="3">
        <f t="shared" si="36"/>
        <v>2200.8188803330258</v>
      </c>
      <c r="L64" s="3">
        <f t="shared" si="36"/>
        <v>2272.8956986639319</v>
      </c>
    </row>
    <row r="65" spans="1:13">
      <c r="A65" s="10" t="s">
        <v>133</v>
      </c>
      <c r="B65" s="10"/>
      <c r="C65" s="3">
        <f t="shared" ref="C65:L65" si="37">(C13/(1+$M$246))/($C$245*7)*$M$257</f>
        <v>1396.8</v>
      </c>
      <c r="D65" s="3">
        <f t="shared" si="37"/>
        <v>1414.2599999999998</v>
      </c>
      <c r="E65" s="3">
        <f t="shared" si="37"/>
        <v>1431.9382499999999</v>
      </c>
      <c r="F65" s="3">
        <f t="shared" si="37"/>
        <v>1449.8374781250002</v>
      </c>
      <c r="G65" s="3">
        <f t="shared" si="37"/>
        <v>1467.9604466015624</v>
      </c>
      <c r="H65" s="3">
        <f t="shared" si="37"/>
        <v>1486.3099521840818</v>
      </c>
      <c r="I65" s="3">
        <f t="shared" si="37"/>
        <v>1504.8888265863827</v>
      </c>
      <c r="J65" s="3">
        <f t="shared" si="37"/>
        <v>1523.6999369187124</v>
      </c>
      <c r="K65" s="3">
        <f t="shared" si="37"/>
        <v>1542.7461861301963</v>
      </c>
      <c r="L65" s="3">
        <f t="shared" si="37"/>
        <v>1562.0305134568237</v>
      </c>
    </row>
    <row r="66" spans="1:13">
      <c r="A66" s="10" t="s">
        <v>113</v>
      </c>
      <c r="B66" s="10"/>
      <c r="C66" s="3">
        <f t="shared" ref="C66:L66" si="38">C18/(7*C245)*$M$258</f>
        <v>1469.387755102041</v>
      </c>
      <c r="D66" s="3">
        <f t="shared" si="38"/>
        <v>1487.7551020408164</v>
      </c>
      <c r="E66" s="3">
        <f t="shared" si="38"/>
        <v>1506.3520408163265</v>
      </c>
      <c r="F66" s="3">
        <f t="shared" si="38"/>
        <v>1525.1814413265306</v>
      </c>
      <c r="G66" s="3">
        <f t="shared" si="38"/>
        <v>1544.2462093431122</v>
      </c>
      <c r="H66" s="3">
        <f t="shared" si="38"/>
        <v>1563.5492869599011</v>
      </c>
      <c r="I66" s="3">
        <f t="shared" si="38"/>
        <v>1583.0936530468994</v>
      </c>
      <c r="J66" s="3">
        <f t="shared" si="38"/>
        <v>1602.8823237099857</v>
      </c>
      <c r="K66" s="3">
        <f t="shared" si="38"/>
        <v>1622.9183527563603</v>
      </c>
      <c r="L66" s="3">
        <f t="shared" si="38"/>
        <v>1643.2048321658149</v>
      </c>
    </row>
    <row r="67" spans="1:13">
      <c r="A67" s="62" t="s">
        <v>14</v>
      </c>
      <c r="B67" s="62"/>
      <c r="C67" s="19">
        <f>SUM(C60:C66)</f>
        <v>25484.446761904761</v>
      </c>
      <c r="D67" s="19">
        <f t="shared" ref="D67:L67" si="39">SUM(D60:D66)</f>
        <v>45590.562752856218</v>
      </c>
      <c r="E67" s="19">
        <f t="shared" si="39"/>
        <v>107296.58827944577</v>
      </c>
      <c r="F67" s="19">
        <f t="shared" si="39"/>
        <v>176005.31921033957</v>
      </c>
      <c r="G67" s="19">
        <f t="shared" si="39"/>
        <v>251759.58323468539</v>
      </c>
      <c r="H67" s="19">
        <f t="shared" si="39"/>
        <v>77997.413504354758</v>
      </c>
      <c r="I67" s="19">
        <f t="shared" si="39"/>
        <v>163307.92919640415</v>
      </c>
      <c r="J67" s="19">
        <f t="shared" si="39"/>
        <v>256246.16206846808</v>
      </c>
      <c r="K67" s="19">
        <f t="shared" si="39"/>
        <v>356904.4836479841</v>
      </c>
      <c r="L67" s="19">
        <f t="shared" si="39"/>
        <v>465386.04864298704</v>
      </c>
    </row>
    <row r="69" spans="1:13">
      <c r="A69" s="3" t="s">
        <v>5</v>
      </c>
    </row>
    <row r="70" spans="1:13">
      <c r="A70" s="10" t="s">
        <v>39</v>
      </c>
      <c r="B70" s="10"/>
      <c r="C70" s="3">
        <f t="shared" ref="C70:L70" si="40">$C$219*$M$220</f>
        <v>858000</v>
      </c>
      <c r="D70" s="3">
        <f t="shared" si="40"/>
        <v>858000</v>
      </c>
      <c r="E70" s="3">
        <f t="shared" si="40"/>
        <v>858000</v>
      </c>
      <c r="F70" s="3">
        <f t="shared" si="40"/>
        <v>858000</v>
      </c>
      <c r="G70" s="3">
        <f t="shared" si="40"/>
        <v>858000</v>
      </c>
      <c r="H70" s="3">
        <f t="shared" si="40"/>
        <v>858000</v>
      </c>
      <c r="I70" s="3">
        <f t="shared" si="40"/>
        <v>858000</v>
      </c>
      <c r="J70" s="3">
        <f t="shared" si="40"/>
        <v>858000</v>
      </c>
      <c r="K70" s="3">
        <f t="shared" si="40"/>
        <v>858000</v>
      </c>
      <c r="L70" s="3">
        <f t="shared" si="40"/>
        <v>858000</v>
      </c>
    </row>
    <row r="71" spans="1:13">
      <c r="A71" s="10"/>
      <c r="B71" s="10"/>
    </row>
    <row r="72" spans="1:13">
      <c r="A72" s="10" t="s">
        <v>40</v>
      </c>
      <c r="B72" s="10"/>
      <c r="C72" s="3">
        <f>$C$221*C222</f>
        <v>576800</v>
      </c>
      <c r="D72" s="3">
        <f t="shared" ref="D72:L72" si="41">$C$221*D222</f>
        <v>576800</v>
      </c>
      <c r="E72" s="3">
        <f t="shared" si="41"/>
        <v>576800</v>
      </c>
      <c r="F72" s="3">
        <f t="shared" si="41"/>
        <v>576800</v>
      </c>
      <c r="G72" s="3">
        <f t="shared" si="41"/>
        <v>576800</v>
      </c>
      <c r="H72" s="3">
        <f t="shared" si="41"/>
        <v>824000</v>
      </c>
      <c r="I72" s="3">
        <f t="shared" si="41"/>
        <v>824000</v>
      </c>
      <c r="J72" s="3">
        <f t="shared" si="41"/>
        <v>824000</v>
      </c>
      <c r="K72" s="3">
        <f t="shared" si="41"/>
        <v>824000</v>
      </c>
      <c r="L72" s="3">
        <f t="shared" si="41"/>
        <v>824000</v>
      </c>
      <c r="M72" s="13"/>
    </row>
    <row r="73" spans="1:13">
      <c r="A73" s="62" t="s">
        <v>15</v>
      </c>
      <c r="B73" s="62"/>
      <c r="C73" s="11">
        <f>C35</f>
        <v>27398</v>
      </c>
      <c r="D73" s="11">
        <f t="shared" ref="D73:L73" si="42">D35+C73</f>
        <v>54796</v>
      </c>
      <c r="E73" s="11">
        <f t="shared" si="42"/>
        <v>82194</v>
      </c>
      <c r="F73" s="11">
        <f t="shared" si="42"/>
        <v>109592</v>
      </c>
      <c r="G73" s="11">
        <f t="shared" si="42"/>
        <v>136990</v>
      </c>
      <c r="H73" s="11">
        <f t="shared" si="42"/>
        <v>176130</v>
      </c>
      <c r="I73" s="11">
        <f t="shared" si="42"/>
        <v>215270</v>
      </c>
      <c r="J73" s="11">
        <f t="shared" si="42"/>
        <v>254410</v>
      </c>
      <c r="K73" s="11">
        <f t="shared" si="42"/>
        <v>293550</v>
      </c>
      <c r="L73" s="11">
        <f t="shared" si="42"/>
        <v>332690</v>
      </c>
    </row>
    <row r="74" spans="1:13">
      <c r="A74" s="62"/>
      <c r="B74" s="62"/>
      <c r="C74" s="13">
        <f t="shared" ref="C74:L74" si="43">C72-C73</f>
        <v>549402</v>
      </c>
      <c r="D74" s="13">
        <f t="shared" si="43"/>
        <v>522004</v>
      </c>
      <c r="E74" s="13">
        <f t="shared" si="43"/>
        <v>494606</v>
      </c>
      <c r="F74" s="13">
        <f t="shared" si="43"/>
        <v>467208</v>
      </c>
      <c r="G74" s="13">
        <f t="shared" si="43"/>
        <v>439810</v>
      </c>
      <c r="H74" s="13">
        <f t="shared" si="43"/>
        <v>647870</v>
      </c>
      <c r="I74" s="13">
        <f t="shared" si="43"/>
        <v>608730</v>
      </c>
      <c r="J74" s="13">
        <f t="shared" si="43"/>
        <v>569590</v>
      </c>
      <c r="K74" s="13">
        <f t="shared" si="43"/>
        <v>530450</v>
      </c>
      <c r="L74" s="13">
        <f t="shared" si="43"/>
        <v>491310</v>
      </c>
    </row>
    <row r="75" spans="1:13">
      <c r="A75" s="62"/>
      <c r="B75" s="62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3">
      <c r="A76" s="10" t="s">
        <v>58</v>
      </c>
      <c r="B76" s="10"/>
      <c r="C76" s="13">
        <f t="shared" ref="C76:L76" si="44">$C$223*$M$224</f>
        <v>180000</v>
      </c>
      <c r="D76" s="13">
        <f t="shared" si="44"/>
        <v>180000</v>
      </c>
      <c r="E76" s="13">
        <f t="shared" si="44"/>
        <v>180000</v>
      </c>
      <c r="F76" s="13">
        <f t="shared" si="44"/>
        <v>180000</v>
      </c>
      <c r="G76" s="13">
        <f t="shared" si="44"/>
        <v>180000</v>
      </c>
      <c r="H76" s="13">
        <f t="shared" si="44"/>
        <v>180000</v>
      </c>
      <c r="I76" s="13">
        <f t="shared" si="44"/>
        <v>180000</v>
      </c>
      <c r="J76" s="13">
        <f t="shared" si="44"/>
        <v>180000</v>
      </c>
      <c r="K76" s="13">
        <f t="shared" si="44"/>
        <v>180000</v>
      </c>
      <c r="L76" s="13">
        <f t="shared" si="44"/>
        <v>180000</v>
      </c>
    </row>
    <row r="77" spans="1:13">
      <c r="A77" s="62" t="s">
        <v>15</v>
      </c>
      <c r="B77" s="62"/>
      <c r="C77" s="11">
        <f>C36</f>
        <v>17100</v>
      </c>
      <c r="D77" s="11">
        <f t="shared" ref="D77:L77" si="45">D36+C77</f>
        <v>34200</v>
      </c>
      <c r="E77" s="11">
        <f t="shared" si="45"/>
        <v>51300</v>
      </c>
      <c r="F77" s="11">
        <f t="shared" si="45"/>
        <v>68400</v>
      </c>
      <c r="G77" s="11">
        <f t="shared" si="45"/>
        <v>85500</v>
      </c>
      <c r="H77" s="11">
        <f t="shared" si="45"/>
        <v>102600</v>
      </c>
      <c r="I77" s="11">
        <f t="shared" si="45"/>
        <v>119700</v>
      </c>
      <c r="J77" s="11">
        <f t="shared" si="45"/>
        <v>136800</v>
      </c>
      <c r="K77" s="11">
        <f t="shared" si="45"/>
        <v>153900</v>
      </c>
      <c r="L77" s="11">
        <f t="shared" si="45"/>
        <v>171000</v>
      </c>
    </row>
    <row r="78" spans="1:13">
      <c r="A78" s="62"/>
      <c r="B78" s="62"/>
      <c r="C78" s="13">
        <f>C76-C77</f>
        <v>162900</v>
      </c>
      <c r="D78" s="13">
        <f>D76-D77</f>
        <v>145800</v>
      </c>
      <c r="E78" s="13">
        <f>E76-E77</f>
        <v>128700</v>
      </c>
      <c r="F78" s="13">
        <f>F76-F77</f>
        <v>111600</v>
      </c>
      <c r="G78" s="13">
        <f t="shared" ref="G78:L78" si="46">G76-G77</f>
        <v>94500</v>
      </c>
      <c r="H78" s="13">
        <f t="shared" si="46"/>
        <v>77400</v>
      </c>
      <c r="I78" s="13">
        <f t="shared" si="46"/>
        <v>60300</v>
      </c>
      <c r="J78" s="13">
        <f t="shared" si="46"/>
        <v>43200</v>
      </c>
      <c r="K78" s="13">
        <f t="shared" si="46"/>
        <v>26100</v>
      </c>
      <c r="L78" s="13">
        <f t="shared" si="46"/>
        <v>9000</v>
      </c>
    </row>
    <row r="79" spans="1:13">
      <c r="A79" s="62"/>
      <c r="B79" s="62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5" t="s">
        <v>16</v>
      </c>
      <c r="B80" s="15"/>
      <c r="C80" s="19">
        <f t="shared" ref="C80:L80" si="47">C70+C74+C78</f>
        <v>1570302</v>
      </c>
      <c r="D80" s="19">
        <f t="shared" si="47"/>
        <v>1525804</v>
      </c>
      <c r="E80" s="19">
        <f t="shared" si="47"/>
        <v>1481306</v>
      </c>
      <c r="F80" s="19">
        <f t="shared" si="47"/>
        <v>1436808</v>
      </c>
      <c r="G80" s="19">
        <f t="shared" si="47"/>
        <v>1392310</v>
      </c>
      <c r="H80" s="19">
        <f t="shared" si="47"/>
        <v>1583270</v>
      </c>
      <c r="I80" s="19">
        <f t="shared" si="47"/>
        <v>1527030</v>
      </c>
      <c r="J80" s="19">
        <f t="shared" si="47"/>
        <v>1470790</v>
      </c>
      <c r="K80" s="19">
        <f t="shared" si="47"/>
        <v>1414550</v>
      </c>
      <c r="L80" s="19">
        <f t="shared" si="47"/>
        <v>1358310</v>
      </c>
    </row>
    <row r="81" spans="1:12">
      <c r="A81" s="15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6.5" thickBot="1">
      <c r="A82" s="3" t="s">
        <v>17</v>
      </c>
      <c r="C82" s="14">
        <f>C67+C80</f>
        <v>1595786.4467619048</v>
      </c>
      <c r="D82" s="14">
        <f t="shared" ref="D82:L82" si="48">D67+D80</f>
        <v>1571394.5627528562</v>
      </c>
      <c r="E82" s="14">
        <f t="shared" si="48"/>
        <v>1588602.5882794457</v>
      </c>
      <c r="F82" s="14">
        <f t="shared" si="48"/>
        <v>1612813.3192103396</v>
      </c>
      <c r="G82" s="14">
        <f t="shared" si="48"/>
        <v>1644069.5832346855</v>
      </c>
      <c r="H82" s="14">
        <f t="shared" si="48"/>
        <v>1661267.4135043547</v>
      </c>
      <c r="I82" s="14">
        <f t="shared" si="48"/>
        <v>1690337.9291964041</v>
      </c>
      <c r="J82" s="14">
        <f t="shared" si="48"/>
        <v>1727036.1620684681</v>
      </c>
      <c r="K82" s="14">
        <f t="shared" si="48"/>
        <v>1771454.483647984</v>
      </c>
      <c r="L82" s="14">
        <f t="shared" si="48"/>
        <v>1823696.0486429869</v>
      </c>
    </row>
    <row r="83" spans="1:12" ht="16.5" thickTop="1"/>
    <row r="84" spans="1:12">
      <c r="A84" s="73" t="s">
        <v>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6" spans="1:12">
      <c r="A86" s="3" t="s">
        <v>7</v>
      </c>
    </row>
    <row r="87" spans="1:12">
      <c r="A87" s="10" t="s">
        <v>10</v>
      </c>
      <c r="B87" s="10"/>
    </row>
    <row r="88" spans="1:12">
      <c r="A88" s="62" t="s">
        <v>96</v>
      </c>
      <c r="B88" s="62"/>
      <c r="C88" s="3">
        <f t="shared" ref="C88:L88" si="49">(C17+C18)/(7*C245)*$M$259</f>
        <v>10727.869387755101</v>
      </c>
      <c r="D88" s="3">
        <f t="shared" si="49"/>
        <v>10876.432040816326</v>
      </c>
      <c r="E88" s="3">
        <f t="shared" si="49"/>
        <v>11027.32543239796</v>
      </c>
      <c r="F88" s="3">
        <f t="shared" si="49"/>
        <v>11180.59421058195</v>
      </c>
      <c r="G88" s="3">
        <f t="shared" si="49"/>
        <v>11336.284089629882</v>
      </c>
      <c r="H88" s="3">
        <f t="shared" si="49"/>
        <v>11494.441879949773</v>
      </c>
      <c r="I88" s="3">
        <f t="shared" si="49"/>
        <v>11655.115518982446</v>
      </c>
      <c r="J88" s="3">
        <f t="shared" si="49"/>
        <v>11818.354103036745</v>
      </c>
      <c r="K88" s="3">
        <f t="shared" si="49"/>
        <v>11984.207920103916</v>
      </c>
      <c r="L88" s="3">
        <f t="shared" si="49"/>
        <v>12152.728483682446</v>
      </c>
    </row>
    <row r="89" spans="1:12">
      <c r="A89" s="62" t="s">
        <v>97</v>
      </c>
      <c r="B89" s="62"/>
      <c r="C89" s="11">
        <f t="shared" ref="C89:L89" si="50">C42</f>
        <v>3749.7876072016606</v>
      </c>
      <c r="D89" s="11">
        <f t="shared" si="50"/>
        <v>6483.013134950429</v>
      </c>
      <c r="E89" s="11">
        <f t="shared" si="50"/>
        <v>8450.4285812263988</v>
      </c>
      <c r="F89" s="11">
        <f t="shared" si="50"/>
        <v>10435.445936466931</v>
      </c>
      <c r="G89" s="11">
        <f t="shared" si="50"/>
        <v>12442.335948168726</v>
      </c>
      <c r="H89" s="11">
        <f t="shared" si="50"/>
        <v>10243.094814942231</v>
      </c>
      <c r="I89" s="11">
        <f t="shared" si="50"/>
        <v>12399.665573042126</v>
      </c>
      <c r="J89" s="11">
        <f t="shared" si="50"/>
        <v>14589.772883914527</v>
      </c>
      <c r="K89" s="11">
        <f t="shared" si="50"/>
        <v>16817.011497243664</v>
      </c>
      <c r="L89" s="11">
        <f t="shared" si="50"/>
        <v>19084.868637186151</v>
      </c>
    </row>
    <row r="90" spans="1:12">
      <c r="A90" s="15" t="s">
        <v>18</v>
      </c>
      <c r="B90" s="15"/>
      <c r="C90" s="3">
        <f t="shared" ref="C90:L90" si="51">SUM(C88:C89)</f>
        <v>14477.656994956762</v>
      </c>
      <c r="D90" s="3">
        <f t="shared" si="51"/>
        <v>17359.445175766756</v>
      </c>
      <c r="E90" s="3">
        <f t="shared" si="51"/>
        <v>19477.754013624359</v>
      </c>
      <c r="F90" s="3">
        <f t="shared" si="51"/>
        <v>21616.04014704888</v>
      </c>
      <c r="G90" s="3">
        <f t="shared" si="51"/>
        <v>23778.62003779861</v>
      </c>
      <c r="H90" s="3">
        <f t="shared" si="51"/>
        <v>21737.536694892005</v>
      </c>
      <c r="I90" s="3">
        <f t="shared" si="51"/>
        <v>24054.781092024572</v>
      </c>
      <c r="J90" s="3">
        <f t="shared" si="51"/>
        <v>26408.126986951273</v>
      </c>
      <c r="K90" s="3">
        <f t="shared" si="51"/>
        <v>28801.21941734758</v>
      </c>
      <c r="L90" s="3">
        <f t="shared" si="51"/>
        <v>31237.597120868595</v>
      </c>
    </row>
    <row r="92" spans="1:12">
      <c r="A92" s="10" t="s">
        <v>29</v>
      </c>
      <c r="B92" s="10"/>
    </row>
    <row r="93" spans="1:12">
      <c r="A93" s="62" t="s">
        <v>9</v>
      </c>
      <c r="B93" s="62"/>
      <c r="C93" s="3">
        <f t="shared" ref="C93:L93" si="52">$M$214+CUMPRINC($M$215/12,$M$217*12,$M$214,1,((C55+1)-$C$55)*12,0)</f>
        <v>1130905.1664174383</v>
      </c>
      <c r="D93" s="3">
        <f t="shared" si="52"/>
        <v>1113103.9146084813</v>
      </c>
      <c r="E93" s="3">
        <f t="shared" si="52"/>
        <v>1094391.9169723075</v>
      </c>
      <c r="F93" s="3">
        <f t="shared" si="52"/>
        <v>1074722.5780239087</v>
      </c>
      <c r="G93" s="3">
        <f t="shared" si="52"/>
        <v>1054046.9183648303</v>
      </c>
      <c r="H93" s="3">
        <f t="shared" si="52"/>
        <v>1032313.4527176371</v>
      </c>
      <c r="I93" s="3">
        <f t="shared" si="52"/>
        <v>1009468.0617203858</v>
      </c>
      <c r="J93" s="3">
        <f t="shared" si="52"/>
        <v>985453.85716186487</v>
      </c>
      <c r="K93" s="3">
        <f t="shared" si="52"/>
        <v>960211.04032200994</v>
      </c>
      <c r="L93" s="3">
        <f t="shared" si="52"/>
        <v>933676.75306474697</v>
      </c>
    </row>
    <row r="94" spans="1:12">
      <c r="A94" s="62" t="s">
        <v>50</v>
      </c>
      <c r="B94" s="62"/>
      <c r="C94" s="20">
        <v>35404.472920703207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1:12">
      <c r="A95" s="15" t="s">
        <v>25</v>
      </c>
      <c r="B95" s="15"/>
      <c r="C95" s="19">
        <f t="shared" ref="C95:L95" si="53">SUM(C93:C94)</f>
        <v>1166309.6393381415</v>
      </c>
      <c r="D95" s="19">
        <f t="shared" si="53"/>
        <v>1113103.9146084813</v>
      </c>
      <c r="E95" s="19">
        <f t="shared" si="53"/>
        <v>1094391.9169723075</v>
      </c>
      <c r="F95" s="19">
        <f t="shared" si="53"/>
        <v>1074722.5780239087</v>
      </c>
      <c r="G95" s="19">
        <f t="shared" si="53"/>
        <v>1054046.9183648303</v>
      </c>
      <c r="H95" s="19">
        <f t="shared" si="53"/>
        <v>1032313.4527176371</v>
      </c>
      <c r="I95" s="19">
        <f t="shared" si="53"/>
        <v>1009468.0617203858</v>
      </c>
      <c r="J95" s="19">
        <f t="shared" si="53"/>
        <v>985453.85716186487</v>
      </c>
      <c r="K95" s="19">
        <f t="shared" si="53"/>
        <v>960211.04032200994</v>
      </c>
      <c r="L95" s="19">
        <f t="shared" si="53"/>
        <v>933676.75306474697</v>
      </c>
    </row>
    <row r="96" spans="1:12">
      <c r="A96" s="15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3" t="s">
        <v>26</v>
      </c>
      <c r="C97" s="19">
        <f t="shared" ref="C97:L97" si="54">C90+C95</f>
        <v>1180787.2963330983</v>
      </c>
      <c r="D97" s="19">
        <f t="shared" si="54"/>
        <v>1130463.3597842481</v>
      </c>
      <c r="E97" s="19">
        <f t="shared" si="54"/>
        <v>1113869.6709859318</v>
      </c>
      <c r="F97" s="19">
        <f t="shared" si="54"/>
        <v>1096338.6181709575</v>
      </c>
      <c r="G97" s="19">
        <f t="shared" si="54"/>
        <v>1077825.5384026289</v>
      </c>
      <c r="H97" s="19">
        <f t="shared" si="54"/>
        <v>1054050.9894125292</v>
      </c>
      <c r="I97" s="19">
        <f t="shared" si="54"/>
        <v>1033522.8428124103</v>
      </c>
      <c r="J97" s="19">
        <f t="shared" si="54"/>
        <v>1011861.9841488161</v>
      </c>
      <c r="K97" s="19">
        <f t="shared" si="54"/>
        <v>989012.25973935751</v>
      </c>
      <c r="L97" s="19">
        <f t="shared" si="54"/>
        <v>964914.35018561559</v>
      </c>
    </row>
    <row r="99" spans="1:12">
      <c r="A99" s="3" t="s">
        <v>8</v>
      </c>
    </row>
    <row r="100" spans="1:12">
      <c r="A100" s="10" t="s">
        <v>64</v>
      </c>
      <c r="B100" s="10"/>
      <c r="C100" s="3">
        <f t="shared" ref="C100:L100" si="55">$M$226</f>
        <v>400000</v>
      </c>
      <c r="D100" s="3">
        <f t="shared" si="55"/>
        <v>400000</v>
      </c>
      <c r="E100" s="3">
        <f t="shared" si="55"/>
        <v>400000</v>
      </c>
      <c r="F100" s="3">
        <f t="shared" si="55"/>
        <v>400000</v>
      </c>
      <c r="G100" s="3">
        <f t="shared" si="55"/>
        <v>400000</v>
      </c>
      <c r="H100" s="3">
        <f t="shared" si="55"/>
        <v>400000</v>
      </c>
      <c r="I100" s="3">
        <f t="shared" si="55"/>
        <v>400000</v>
      </c>
      <c r="J100" s="3">
        <f t="shared" si="55"/>
        <v>400000</v>
      </c>
      <c r="K100" s="3">
        <f t="shared" si="55"/>
        <v>400000</v>
      </c>
      <c r="L100" s="3">
        <f t="shared" si="55"/>
        <v>400000</v>
      </c>
    </row>
    <row r="101" spans="1:12">
      <c r="A101" s="10" t="s">
        <v>19</v>
      </c>
      <c r="B101" s="10"/>
      <c r="C101" s="11">
        <f>M218+C43</f>
        <v>14999.150428806641</v>
      </c>
      <c r="D101" s="11">
        <f t="shared" ref="D101:L101" si="56">D43+C101</f>
        <v>40931.202968608355</v>
      </c>
      <c r="E101" s="11">
        <f t="shared" si="56"/>
        <v>74732.91729351395</v>
      </c>
      <c r="F101" s="11">
        <f t="shared" si="56"/>
        <v>116474.70103938167</v>
      </c>
      <c r="G101" s="11">
        <f t="shared" si="56"/>
        <v>166244.04483205656</v>
      </c>
      <c r="H101" s="11">
        <f t="shared" si="56"/>
        <v>207216.42409182549</v>
      </c>
      <c r="I101" s="11">
        <f t="shared" si="56"/>
        <v>256815.086383994</v>
      </c>
      <c r="J101" s="11">
        <f t="shared" si="56"/>
        <v>315174.17791965208</v>
      </c>
      <c r="K101" s="11">
        <f t="shared" si="56"/>
        <v>382442.22390862671</v>
      </c>
      <c r="L101" s="11">
        <f t="shared" si="56"/>
        <v>458781.69845737133</v>
      </c>
    </row>
    <row r="102" spans="1:12">
      <c r="A102" s="3" t="s">
        <v>20</v>
      </c>
      <c r="C102" s="3">
        <f>SUM(C100:C101)</f>
        <v>414999.15042880666</v>
      </c>
      <c r="D102" s="3">
        <f>SUM(D100:D101)</f>
        <v>440931.20296860836</v>
      </c>
      <c r="E102" s="3">
        <f>SUM(E100:E101)</f>
        <v>474732.91729351395</v>
      </c>
      <c r="F102" s="3">
        <f>SUM(F100:F101)</f>
        <v>516474.70103938167</v>
      </c>
      <c r="G102" s="3">
        <f t="shared" ref="G102:L102" si="57">SUM(G100:G101)</f>
        <v>566244.04483205662</v>
      </c>
      <c r="H102" s="3">
        <f t="shared" si="57"/>
        <v>607216.42409182549</v>
      </c>
      <c r="I102" s="3">
        <f t="shared" si="57"/>
        <v>656815.08638399397</v>
      </c>
      <c r="J102" s="3">
        <f t="shared" si="57"/>
        <v>715174.17791965208</v>
      </c>
      <c r="K102" s="3">
        <f t="shared" si="57"/>
        <v>782442.22390862671</v>
      </c>
      <c r="L102" s="3">
        <f t="shared" si="57"/>
        <v>858781.69845737133</v>
      </c>
    </row>
    <row r="104" spans="1:12" ht="16.5" thickBot="1">
      <c r="A104" s="3" t="s">
        <v>27</v>
      </c>
      <c r="C104" s="14">
        <f>C97+C102</f>
        <v>1595786.446761905</v>
      </c>
      <c r="D104" s="14">
        <f>D97+D102</f>
        <v>1571394.5627528564</v>
      </c>
      <c r="E104" s="14">
        <f>E97+E102</f>
        <v>1588602.5882794457</v>
      </c>
      <c r="F104" s="14">
        <f>F97+F102</f>
        <v>1612813.3192103393</v>
      </c>
      <c r="G104" s="14">
        <f t="shared" ref="G104:L104" si="58">G97+G102</f>
        <v>1644069.5832346855</v>
      </c>
      <c r="H104" s="14">
        <f t="shared" si="58"/>
        <v>1661267.4135043547</v>
      </c>
      <c r="I104" s="14">
        <f t="shared" si="58"/>
        <v>1690337.9291964043</v>
      </c>
      <c r="J104" s="14">
        <f t="shared" si="58"/>
        <v>1727036.1620684681</v>
      </c>
      <c r="K104" s="14">
        <f t="shared" si="58"/>
        <v>1771454.4836479842</v>
      </c>
      <c r="L104" s="14">
        <f t="shared" si="58"/>
        <v>1823696.0486429869</v>
      </c>
    </row>
    <row r="105" spans="1:12" ht="16.5" thickTop="1"/>
    <row r="108" spans="1:12">
      <c r="A108" s="75" t="s">
        <v>137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</row>
    <row r="109" spans="1:12">
      <c r="A109" s="27"/>
      <c r="B109" s="27"/>
      <c r="C109" s="1"/>
      <c r="D109" s="1"/>
      <c r="E109" s="1"/>
      <c r="F109" s="1"/>
      <c r="G109" s="6"/>
      <c r="H109" s="1"/>
    </row>
    <row r="110" spans="1:12">
      <c r="A110" s="27" t="s">
        <v>138</v>
      </c>
      <c r="B110" s="27"/>
      <c r="C110" s="1"/>
      <c r="D110" s="1"/>
      <c r="E110" s="1"/>
      <c r="F110" s="1"/>
      <c r="G110" s="6"/>
      <c r="H110" s="1"/>
    </row>
    <row r="111" spans="1:12">
      <c r="A111" s="28" t="s">
        <v>9</v>
      </c>
      <c r="B111" s="28"/>
      <c r="C111" s="3">
        <f>C93</f>
        <v>1130905.1664174383</v>
      </c>
      <c r="D111" s="3">
        <f t="shared" ref="D111:L112" si="59">D93</f>
        <v>1113103.9146084813</v>
      </c>
      <c r="E111" s="3">
        <f t="shared" si="59"/>
        <v>1094391.9169723075</v>
      </c>
      <c r="F111" s="3">
        <f t="shared" si="59"/>
        <v>1074722.5780239087</v>
      </c>
      <c r="G111" s="3">
        <f t="shared" si="59"/>
        <v>1054046.9183648303</v>
      </c>
      <c r="H111" s="3">
        <f t="shared" si="59"/>
        <v>1032313.4527176371</v>
      </c>
      <c r="I111" s="3">
        <f t="shared" si="59"/>
        <v>1009468.0617203858</v>
      </c>
      <c r="J111" s="3">
        <f t="shared" si="59"/>
        <v>985453.85716186487</v>
      </c>
      <c r="K111" s="3">
        <f t="shared" si="59"/>
        <v>960211.04032200994</v>
      </c>
      <c r="L111" s="3">
        <f t="shared" si="59"/>
        <v>933676.75306474697</v>
      </c>
    </row>
    <row r="112" spans="1:12">
      <c r="A112" s="28" t="s">
        <v>50</v>
      </c>
      <c r="B112" s="28"/>
      <c r="C112" s="11">
        <f>C94</f>
        <v>35404.472920703207</v>
      </c>
      <c r="D112" s="11">
        <f t="shared" si="59"/>
        <v>0</v>
      </c>
      <c r="E112" s="11">
        <f t="shared" si="59"/>
        <v>0</v>
      </c>
      <c r="F112" s="11">
        <f t="shared" si="59"/>
        <v>0</v>
      </c>
      <c r="G112" s="11">
        <f t="shared" si="59"/>
        <v>0</v>
      </c>
      <c r="H112" s="11">
        <f t="shared" si="59"/>
        <v>0</v>
      </c>
      <c r="I112" s="11">
        <f t="shared" si="59"/>
        <v>0</v>
      </c>
      <c r="J112" s="11">
        <f t="shared" si="59"/>
        <v>0</v>
      </c>
      <c r="K112" s="11">
        <f t="shared" si="59"/>
        <v>0</v>
      </c>
      <c r="L112" s="11">
        <f t="shared" si="59"/>
        <v>0</v>
      </c>
    </row>
    <row r="113" spans="1:12">
      <c r="A113" s="29" t="s">
        <v>139</v>
      </c>
      <c r="B113" s="29"/>
      <c r="C113" s="3">
        <f>SUM(C111:C112)</f>
        <v>1166309.6393381415</v>
      </c>
      <c r="D113" s="3">
        <f t="shared" ref="D113:L113" si="60">SUM(D111:D112)</f>
        <v>1113103.9146084813</v>
      </c>
      <c r="E113" s="3">
        <f t="shared" si="60"/>
        <v>1094391.9169723075</v>
      </c>
      <c r="F113" s="3">
        <f t="shared" si="60"/>
        <v>1074722.5780239087</v>
      </c>
      <c r="G113" s="3">
        <f t="shared" si="60"/>
        <v>1054046.9183648303</v>
      </c>
      <c r="H113" s="3">
        <f t="shared" si="60"/>
        <v>1032313.4527176371</v>
      </c>
      <c r="I113" s="3">
        <f t="shared" si="60"/>
        <v>1009468.0617203858</v>
      </c>
      <c r="J113" s="3">
        <f t="shared" si="60"/>
        <v>985453.85716186487</v>
      </c>
      <c r="K113" s="3">
        <f t="shared" si="60"/>
        <v>960211.04032200994</v>
      </c>
      <c r="L113" s="3">
        <f t="shared" si="60"/>
        <v>933676.75306474697</v>
      </c>
    </row>
    <row r="114" spans="1:12">
      <c r="A114" s="27"/>
      <c r="B114" s="27"/>
      <c r="C114" s="1"/>
      <c r="D114" s="1"/>
      <c r="E114" s="1"/>
      <c r="F114" s="1"/>
      <c r="G114" s="6"/>
      <c r="H114" s="1"/>
    </row>
    <row r="115" spans="1:12">
      <c r="A115" s="27" t="s">
        <v>140</v>
      </c>
      <c r="B115" s="27"/>
      <c r="C115" s="1"/>
      <c r="D115" s="1"/>
      <c r="E115" s="1"/>
      <c r="F115" s="1"/>
      <c r="G115" s="6"/>
      <c r="H115" s="1"/>
    </row>
    <row r="116" spans="1:12">
      <c r="A116" s="28" t="s">
        <v>9</v>
      </c>
      <c r="B116" s="28"/>
      <c r="C116" s="6">
        <f>C111/C113</f>
        <v>0.96964401928394028</v>
      </c>
      <c r="D116" s="6">
        <f t="shared" ref="D116:L116" si="61">D111/D113</f>
        <v>1</v>
      </c>
      <c r="E116" s="6">
        <f t="shared" si="61"/>
        <v>1</v>
      </c>
      <c r="F116" s="6">
        <f t="shared" si="61"/>
        <v>1</v>
      </c>
      <c r="G116" s="6">
        <f t="shared" si="61"/>
        <v>1</v>
      </c>
      <c r="H116" s="6">
        <f t="shared" si="61"/>
        <v>1</v>
      </c>
      <c r="I116" s="6">
        <f t="shared" si="61"/>
        <v>1</v>
      </c>
      <c r="J116" s="6">
        <f t="shared" si="61"/>
        <v>1</v>
      </c>
      <c r="K116" s="6">
        <f t="shared" si="61"/>
        <v>1</v>
      </c>
      <c r="L116" s="6">
        <f t="shared" si="61"/>
        <v>1</v>
      </c>
    </row>
    <row r="117" spans="1:12">
      <c r="A117" s="28" t="s">
        <v>141</v>
      </c>
      <c r="B117" s="28"/>
      <c r="C117" s="30">
        <f>C112/C113</f>
        <v>3.0355980716059733E-2</v>
      </c>
      <c r="D117" s="30">
        <f t="shared" ref="D117:L117" si="62">D112/D113</f>
        <v>0</v>
      </c>
      <c r="E117" s="30">
        <f t="shared" si="62"/>
        <v>0</v>
      </c>
      <c r="F117" s="30">
        <f t="shared" si="62"/>
        <v>0</v>
      </c>
      <c r="G117" s="30">
        <f t="shared" si="62"/>
        <v>0</v>
      </c>
      <c r="H117" s="30">
        <f t="shared" si="62"/>
        <v>0</v>
      </c>
      <c r="I117" s="30">
        <f t="shared" si="62"/>
        <v>0</v>
      </c>
      <c r="J117" s="30">
        <f t="shared" si="62"/>
        <v>0</v>
      </c>
      <c r="K117" s="30">
        <f t="shared" si="62"/>
        <v>0</v>
      </c>
      <c r="L117" s="30">
        <f t="shared" si="62"/>
        <v>0</v>
      </c>
    </row>
    <row r="118" spans="1:12">
      <c r="A118" s="31" t="s">
        <v>142</v>
      </c>
      <c r="B118" s="31"/>
      <c r="C118" s="32">
        <f>SUM(C116:C117)</f>
        <v>1</v>
      </c>
      <c r="D118" s="32">
        <f t="shared" ref="D118:L118" si="63">SUM(D116:D117)</f>
        <v>1</v>
      </c>
      <c r="E118" s="32">
        <f t="shared" si="63"/>
        <v>1</v>
      </c>
      <c r="F118" s="32">
        <f t="shared" si="63"/>
        <v>1</v>
      </c>
      <c r="G118" s="32">
        <f t="shared" si="63"/>
        <v>1</v>
      </c>
      <c r="H118" s="32">
        <f t="shared" si="63"/>
        <v>1</v>
      </c>
      <c r="I118" s="32">
        <f t="shared" si="63"/>
        <v>1</v>
      </c>
      <c r="J118" s="32">
        <f t="shared" si="63"/>
        <v>1</v>
      </c>
      <c r="K118" s="32">
        <f t="shared" si="63"/>
        <v>1</v>
      </c>
      <c r="L118" s="32">
        <f t="shared" si="63"/>
        <v>1</v>
      </c>
    </row>
    <row r="119" spans="1:12">
      <c r="A119" s="33"/>
      <c r="B119" s="33"/>
      <c r="C119" s="34"/>
      <c r="D119" s="34"/>
      <c r="E119" s="34"/>
      <c r="F119" s="34"/>
      <c r="G119" s="6"/>
      <c r="H119" s="1"/>
    </row>
    <row r="120" spans="1:12">
      <c r="A120" s="33" t="s">
        <v>143</v>
      </c>
      <c r="B120" s="33"/>
      <c r="C120" s="34"/>
      <c r="D120" s="34"/>
      <c r="E120" s="34"/>
      <c r="F120" s="34"/>
      <c r="G120" s="6"/>
      <c r="H120" s="1"/>
    </row>
    <row r="121" spans="1:12">
      <c r="A121" s="28" t="s">
        <v>9</v>
      </c>
      <c r="B121" s="28"/>
      <c r="C121" s="30">
        <f>$M$215</f>
        <v>0.05</v>
      </c>
      <c r="D121" s="30">
        <f t="shared" ref="D121:L121" si="64">$M$215</f>
        <v>0.05</v>
      </c>
      <c r="E121" s="30">
        <f t="shared" si="64"/>
        <v>0.05</v>
      </c>
      <c r="F121" s="30">
        <f t="shared" si="64"/>
        <v>0.05</v>
      </c>
      <c r="G121" s="30">
        <f t="shared" si="64"/>
        <v>0.05</v>
      </c>
      <c r="H121" s="30">
        <f t="shared" si="64"/>
        <v>0.05</v>
      </c>
      <c r="I121" s="30">
        <f t="shared" si="64"/>
        <v>0.05</v>
      </c>
      <c r="J121" s="30">
        <f t="shared" si="64"/>
        <v>0.05</v>
      </c>
      <c r="K121" s="30">
        <f t="shared" si="64"/>
        <v>0.05</v>
      </c>
      <c r="L121" s="30">
        <f t="shared" si="64"/>
        <v>0.05</v>
      </c>
    </row>
    <row r="122" spans="1:12">
      <c r="A122" s="28" t="s">
        <v>141</v>
      </c>
      <c r="B122" s="28"/>
      <c r="C122" s="30">
        <f>C211</f>
        <v>0.11</v>
      </c>
      <c r="D122" s="30">
        <f t="shared" ref="D122:L122" si="65">D211</f>
        <v>0.11</v>
      </c>
      <c r="E122" s="30">
        <f t="shared" si="65"/>
        <v>0.11</v>
      </c>
      <c r="F122" s="30">
        <f t="shared" si="65"/>
        <v>0.11</v>
      </c>
      <c r="G122" s="30">
        <f t="shared" si="65"/>
        <v>0.11</v>
      </c>
      <c r="H122" s="30">
        <f t="shared" si="65"/>
        <v>0.11</v>
      </c>
      <c r="I122" s="30">
        <f t="shared" si="65"/>
        <v>0.11</v>
      </c>
      <c r="J122" s="30">
        <f t="shared" si="65"/>
        <v>0.11</v>
      </c>
      <c r="K122" s="30">
        <f t="shared" si="65"/>
        <v>0.11</v>
      </c>
      <c r="L122" s="30">
        <f t="shared" si="65"/>
        <v>0.11</v>
      </c>
    </row>
    <row r="123" spans="1:12">
      <c r="A123" s="33"/>
      <c r="B123" s="33"/>
      <c r="C123" s="34"/>
      <c r="D123" s="34"/>
      <c r="E123" s="34"/>
      <c r="F123" s="34"/>
      <c r="G123" s="6"/>
      <c r="H123" s="1"/>
    </row>
    <row r="124" spans="1:12">
      <c r="A124" s="33" t="s">
        <v>144</v>
      </c>
      <c r="B124" s="33"/>
      <c r="C124" s="30">
        <f>C116*C121+C117*C122</f>
        <v>5.1821358842963586E-2</v>
      </c>
      <c r="D124" s="30">
        <f t="shared" ref="D124:L124" si="66">D116*D121+D117*D122</f>
        <v>0.05</v>
      </c>
      <c r="E124" s="30">
        <f t="shared" si="66"/>
        <v>0.05</v>
      </c>
      <c r="F124" s="30">
        <f t="shared" si="66"/>
        <v>0.05</v>
      </c>
      <c r="G124" s="30">
        <f t="shared" si="66"/>
        <v>0.05</v>
      </c>
      <c r="H124" s="30">
        <f t="shared" si="66"/>
        <v>0.05</v>
      </c>
      <c r="I124" s="30">
        <f t="shared" si="66"/>
        <v>0.05</v>
      </c>
      <c r="J124" s="30">
        <f t="shared" si="66"/>
        <v>0.05</v>
      </c>
      <c r="K124" s="30">
        <f t="shared" si="66"/>
        <v>0.05</v>
      </c>
      <c r="L124" s="30">
        <f t="shared" si="66"/>
        <v>0.05</v>
      </c>
    </row>
    <row r="125" spans="1:12">
      <c r="A125" s="33"/>
      <c r="B125" s="33"/>
      <c r="C125" s="34"/>
      <c r="D125" s="34"/>
      <c r="E125" s="36"/>
      <c r="F125" s="34"/>
      <c r="G125" s="6"/>
      <c r="H125" s="1"/>
    </row>
    <row r="126" spans="1:12">
      <c r="A126" s="33" t="s">
        <v>145</v>
      </c>
      <c r="B126" s="33"/>
      <c r="C126" s="37">
        <f>C102</f>
        <v>414999.15042880666</v>
      </c>
      <c r="D126" s="37">
        <f t="shared" ref="D126:L126" si="67">D102</f>
        <v>440931.20296860836</v>
      </c>
      <c r="E126" s="37">
        <f t="shared" si="67"/>
        <v>474732.91729351395</v>
      </c>
      <c r="F126" s="37">
        <f t="shared" si="67"/>
        <v>516474.70103938167</v>
      </c>
      <c r="G126" s="37">
        <f t="shared" si="67"/>
        <v>566244.04483205662</v>
      </c>
      <c r="H126" s="37">
        <f t="shared" si="67"/>
        <v>607216.42409182549</v>
      </c>
      <c r="I126" s="37">
        <f t="shared" si="67"/>
        <v>656815.08638399397</v>
      </c>
      <c r="J126" s="37">
        <f t="shared" si="67"/>
        <v>715174.17791965208</v>
      </c>
      <c r="K126" s="37">
        <f t="shared" si="67"/>
        <v>782442.22390862671</v>
      </c>
      <c r="L126" s="37">
        <f t="shared" si="67"/>
        <v>858781.69845737133</v>
      </c>
    </row>
    <row r="127" spans="1:12">
      <c r="A127" s="33" t="s">
        <v>146</v>
      </c>
      <c r="B127" s="33"/>
      <c r="C127" s="38">
        <f>C113+C126</f>
        <v>1581308.7897669482</v>
      </c>
      <c r="D127" s="38">
        <f t="shared" ref="D127:L127" si="68">D113+D126</f>
        <v>1554035.1175770897</v>
      </c>
      <c r="E127" s="38">
        <f t="shared" si="68"/>
        <v>1569124.8342658214</v>
      </c>
      <c r="F127" s="38">
        <f t="shared" si="68"/>
        <v>1591197.2790632905</v>
      </c>
      <c r="G127" s="38">
        <f t="shared" si="68"/>
        <v>1620290.9631968869</v>
      </c>
      <c r="H127" s="38">
        <f t="shared" si="68"/>
        <v>1639529.8768094624</v>
      </c>
      <c r="I127" s="38">
        <f t="shared" si="68"/>
        <v>1666283.1481043799</v>
      </c>
      <c r="J127" s="38">
        <f t="shared" si="68"/>
        <v>1700628.035081517</v>
      </c>
      <c r="K127" s="38">
        <f t="shared" si="68"/>
        <v>1742653.2642306366</v>
      </c>
      <c r="L127" s="38">
        <f t="shared" si="68"/>
        <v>1792458.4515221184</v>
      </c>
    </row>
    <row r="128" spans="1:12">
      <c r="A128" s="33"/>
      <c r="B128" s="33"/>
      <c r="C128" s="34"/>
      <c r="D128" s="34"/>
      <c r="E128" s="34"/>
      <c r="F128" s="34"/>
      <c r="G128" s="6"/>
      <c r="H128" s="1"/>
    </row>
    <row r="129" spans="1:12">
      <c r="A129" s="27" t="s">
        <v>147</v>
      </c>
      <c r="B129" s="27"/>
      <c r="C129" s="1"/>
      <c r="D129" s="1"/>
      <c r="E129" s="1"/>
      <c r="F129" s="1"/>
      <c r="G129" s="6"/>
      <c r="H129" s="1"/>
    </row>
    <row r="130" spans="1:12">
      <c r="A130" s="28" t="s">
        <v>139</v>
      </c>
      <c r="B130" s="28"/>
      <c r="C130" s="6">
        <f>C113/C127</f>
        <v>0.73755970173923535</v>
      </c>
      <c r="D130" s="6">
        <f t="shared" ref="D130:L130" si="69">D113/D127</f>
        <v>0.71626689900285634</v>
      </c>
      <c r="E130" s="6">
        <f t="shared" si="69"/>
        <v>0.69745369716512262</v>
      </c>
      <c r="F130" s="6">
        <f t="shared" si="69"/>
        <v>0.67541755643057577</v>
      </c>
      <c r="G130" s="6">
        <f t="shared" si="69"/>
        <v>0.65052940632660283</v>
      </c>
      <c r="H130" s="6">
        <f t="shared" si="69"/>
        <v>0.62963991527042307</v>
      </c>
      <c r="I130" s="6">
        <f t="shared" si="69"/>
        <v>0.60582024301739523</v>
      </c>
      <c r="J130" s="6">
        <f t="shared" si="69"/>
        <v>0.57946466648400785</v>
      </c>
      <c r="K130" s="6">
        <f t="shared" si="69"/>
        <v>0.5510052171772295</v>
      </c>
      <c r="L130" s="6">
        <f t="shared" si="69"/>
        <v>0.52089171287171987</v>
      </c>
    </row>
    <row r="131" spans="1:12">
      <c r="A131" s="39" t="s">
        <v>145</v>
      </c>
      <c r="B131" s="39"/>
      <c r="C131" s="30">
        <f>C126/C127</f>
        <v>0.26244029826076465</v>
      </c>
      <c r="D131" s="30">
        <f t="shared" ref="D131:L131" si="70">D126/D127</f>
        <v>0.28373310099714361</v>
      </c>
      <c r="E131" s="30">
        <f t="shared" si="70"/>
        <v>0.30254630283487738</v>
      </c>
      <c r="F131" s="30">
        <f t="shared" si="70"/>
        <v>0.32458244356942412</v>
      </c>
      <c r="G131" s="30">
        <f t="shared" si="70"/>
        <v>0.34947059367339717</v>
      </c>
      <c r="H131" s="30">
        <f t="shared" si="70"/>
        <v>0.37036008472957704</v>
      </c>
      <c r="I131" s="30">
        <f t="shared" si="70"/>
        <v>0.39417975698260471</v>
      </c>
      <c r="J131" s="30">
        <f t="shared" si="70"/>
        <v>0.42053533351599209</v>
      </c>
      <c r="K131" s="30">
        <f t="shared" si="70"/>
        <v>0.44899478282277044</v>
      </c>
      <c r="L131" s="30">
        <f t="shared" si="70"/>
        <v>0.47910828712828002</v>
      </c>
    </row>
    <row r="132" spans="1:12">
      <c r="A132" s="31" t="s">
        <v>142</v>
      </c>
      <c r="B132" s="31"/>
      <c r="C132" s="32">
        <f>SUM(C130:C131)</f>
        <v>1</v>
      </c>
      <c r="D132" s="32">
        <f t="shared" ref="D132:L132" si="71">SUM(D130:D131)</f>
        <v>1</v>
      </c>
      <c r="E132" s="32">
        <f t="shared" si="71"/>
        <v>1</v>
      </c>
      <c r="F132" s="32">
        <f t="shared" si="71"/>
        <v>0.99999999999999989</v>
      </c>
      <c r="G132" s="32">
        <f t="shared" si="71"/>
        <v>1</v>
      </c>
      <c r="H132" s="32">
        <f t="shared" si="71"/>
        <v>1</v>
      </c>
      <c r="I132" s="32">
        <f t="shared" si="71"/>
        <v>1</v>
      </c>
      <c r="J132" s="32">
        <f t="shared" si="71"/>
        <v>1</v>
      </c>
      <c r="K132" s="32">
        <f t="shared" si="71"/>
        <v>1</v>
      </c>
      <c r="L132" s="32">
        <f t="shared" si="71"/>
        <v>0.99999999999999989</v>
      </c>
    </row>
    <row r="133" spans="1:12">
      <c r="A133" s="33"/>
      <c r="B133" s="33"/>
      <c r="C133" s="34"/>
      <c r="D133" s="34"/>
      <c r="E133" s="34"/>
      <c r="F133" s="34"/>
      <c r="G133" s="6"/>
      <c r="H133" s="1"/>
    </row>
    <row r="134" spans="1:12">
      <c r="A134" s="33" t="s">
        <v>148</v>
      </c>
      <c r="B134" s="33"/>
      <c r="C134" s="30">
        <f t="shared" ref="C134:L134" si="72">C151*(C262-C261)+C261</f>
        <v>0.11337885385451553</v>
      </c>
      <c r="D134" s="30">
        <f t="shared" si="72"/>
        <v>0.1054294035391023</v>
      </c>
      <c r="E134" s="30">
        <f t="shared" si="72"/>
        <v>9.933676159487756E-2</v>
      </c>
      <c r="F134" s="30">
        <f t="shared" si="72"/>
        <v>9.3098501792900995E-2</v>
      </c>
      <c r="G134" s="30">
        <f t="shared" si="72"/>
        <v>8.6998896254146363E-2</v>
      </c>
      <c r="H134" s="30">
        <f t="shared" si="72"/>
        <v>8.2512084566425462E-2</v>
      </c>
      <c r="I134" s="30">
        <f t="shared" si="72"/>
        <v>7.7976199043820568E-2</v>
      </c>
      <c r="J134" s="30">
        <f t="shared" si="72"/>
        <v>7.3556216967718441E-2</v>
      </c>
      <c r="K134" s="30">
        <f t="shared" si="72"/>
        <v>6.9366086920264636E-2</v>
      </c>
      <c r="L134" s="30">
        <f t="shared" si="72"/>
        <v>6.5474460746922175E-2</v>
      </c>
    </row>
    <row r="135" spans="1:12">
      <c r="A135" s="33"/>
      <c r="B135" s="33"/>
      <c r="C135" s="34"/>
      <c r="D135" s="34"/>
      <c r="E135" s="34"/>
      <c r="F135" s="34"/>
      <c r="G135" s="6"/>
      <c r="H135" s="1"/>
    </row>
    <row r="136" spans="1:12">
      <c r="A136" s="33" t="s">
        <v>149</v>
      </c>
      <c r="B136" s="33"/>
      <c r="C136" s="30">
        <f t="shared" ref="C136:L136" si="73">C130*C124*(1-C203)+C131*C134</f>
        <v>6.0332256999593194E-2</v>
      </c>
      <c r="D136" s="30">
        <f t="shared" si="73"/>
        <v>5.8564487562542969E-2</v>
      </c>
      <c r="E136" s="30">
        <f t="shared" si="73"/>
        <v>5.7952117842724749E-2</v>
      </c>
      <c r="F136" s="30">
        <f t="shared" si="73"/>
        <v>5.7234841461815247E-2</v>
      </c>
      <c r="G136" s="30">
        <f t="shared" si="73"/>
        <v>5.6424732175930942E-2</v>
      </c>
      <c r="H136" s="30">
        <f t="shared" si="73"/>
        <v>5.5744779242052289E-2</v>
      </c>
      <c r="I136" s="30">
        <f t="shared" si="73"/>
        <v>5.4969448910216219E-2</v>
      </c>
      <c r="J136" s="30">
        <f t="shared" si="73"/>
        <v>5.4111574894054465E-2</v>
      </c>
      <c r="K136" s="30">
        <f t="shared" si="73"/>
        <v>5.318521981911882E-2</v>
      </c>
      <c r="L136" s="30">
        <f t="shared" si="73"/>
        <v>5.2205025253974482E-2</v>
      </c>
    </row>
    <row r="137" spans="1:12">
      <c r="A137" s="33"/>
      <c r="B137" s="33"/>
      <c r="C137" s="34"/>
      <c r="D137" s="34"/>
      <c r="E137" s="34"/>
      <c r="F137" s="34"/>
      <c r="G137" s="6"/>
      <c r="H137" s="1"/>
    </row>
    <row r="138" spans="1:12">
      <c r="A138" s="33" t="s">
        <v>150</v>
      </c>
      <c r="B138" s="33"/>
      <c r="C138" s="34"/>
      <c r="D138" s="34"/>
      <c r="E138" s="34"/>
      <c r="G138" s="6"/>
      <c r="H138" s="1"/>
      <c r="L138" s="40">
        <f>AVERAGE(C136:L136)</f>
        <v>5.6072448416202347E-2</v>
      </c>
    </row>
    <row r="139" spans="1:12">
      <c r="A139" s="33"/>
      <c r="B139" s="33"/>
      <c r="C139" s="34"/>
      <c r="D139" s="34"/>
      <c r="E139" s="34"/>
      <c r="F139" s="34"/>
      <c r="G139" s="6"/>
      <c r="H139" s="1"/>
    </row>
    <row r="140" spans="1:12">
      <c r="A140" s="33"/>
      <c r="B140" s="33"/>
      <c r="C140" s="34"/>
      <c r="D140" s="34"/>
      <c r="E140" s="34"/>
      <c r="F140" s="34"/>
      <c r="G140" s="6"/>
      <c r="H140" s="1"/>
    </row>
    <row r="141" spans="1:12">
      <c r="A141" s="33"/>
      <c r="B141" s="33"/>
      <c r="C141" s="34"/>
      <c r="D141" s="34"/>
      <c r="E141" s="34"/>
      <c r="F141" s="34"/>
      <c r="G141" s="6"/>
      <c r="H141" s="1"/>
    </row>
    <row r="142" spans="1:12">
      <c r="A142" s="75" t="s">
        <v>170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</row>
    <row r="143" spans="1:12">
      <c r="A143" s="33"/>
      <c r="B143" s="33"/>
      <c r="C143" s="34"/>
      <c r="D143" s="34"/>
      <c r="E143" s="34"/>
      <c r="F143" s="40"/>
      <c r="G143" s="6"/>
      <c r="H143" s="1"/>
    </row>
    <row r="144" spans="1:12">
      <c r="A144" s="33" t="s">
        <v>171</v>
      </c>
      <c r="B144" s="33"/>
      <c r="C144" s="34"/>
      <c r="D144" s="34"/>
      <c r="E144" s="34"/>
      <c r="F144" s="34"/>
      <c r="G144" s="6"/>
      <c r="H144" s="1"/>
    </row>
    <row r="145" spans="1:12">
      <c r="A145" s="39" t="s">
        <v>172</v>
      </c>
      <c r="B145" s="33"/>
      <c r="C145" s="51">
        <f>C130</f>
        <v>0.73755970173923535</v>
      </c>
      <c r="D145" s="51">
        <f t="shared" ref="D145:L146" si="74">D130</f>
        <v>0.71626689900285634</v>
      </c>
      <c r="E145" s="51">
        <f t="shared" si="74"/>
        <v>0.69745369716512262</v>
      </c>
      <c r="F145" s="51">
        <f t="shared" si="74"/>
        <v>0.67541755643057577</v>
      </c>
      <c r="G145" s="51">
        <f t="shared" si="74"/>
        <v>0.65052940632660283</v>
      </c>
      <c r="H145" s="51">
        <f t="shared" si="74"/>
        <v>0.62963991527042307</v>
      </c>
      <c r="I145" s="51">
        <f t="shared" si="74"/>
        <v>0.60582024301739523</v>
      </c>
      <c r="J145" s="51">
        <f t="shared" si="74"/>
        <v>0.57946466648400785</v>
      </c>
      <c r="K145" s="51">
        <f t="shared" si="74"/>
        <v>0.5510052171772295</v>
      </c>
      <c r="L145" s="51">
        <f t="shared" si="74"/>
        <v>0.52089171287171987</v>
      </c>
    </row>
    <row r="146" spans="1:12">
      <c r="A146" s="39" t="s">
        <v>173</v>
      </c>
      <c r="B146" s="33"/>
      <c r="C146" s="51">
        <f>C131</f>
        <v>0.26244029826076465</v>
      </c>
      <c r="D146" s="51">
        <f t="shared" si="74"/>
        <v>0.28373310099714361</v>
      </c>
      <c r="E146" s="51">
        <f t="shared" si="74"/>
        <v>0.30254630283487738</v>
      </c>
      <c r="F146" s="51">
        <f t="shared" si="74"/>
        <v>0.32458244356942412</v>
      </c>
      <c r="G146" s="51">
        <f t="shared" si="74"/>
        <v>0.34947059367339717</v>
      </c>
      <c r="H146" s="51">
        <f t="shared" si="74"/>
        <v>0.37036008472957704</v>
      </c>
      <c r="I146" s="51">
        <f t="shared" si="74"/>
        <v>0.39417975698260471</v>
      </c>
      <c r="J146" s="51">
        <f t="shared" si="74"/>
        <v>0.42053533351599209</v>
      </c>
      <c r="K146" s="51">
        <f t="shared" si="74"/>
        <v>0.44899478282277044</v>
      </c>
      <c r="L146" s="51">
        <f t="shared" si="74"/>
        <v>0.47910828712828002</v>
      </c>
    </row>
    <row r="147" spans="1:12">
      <c r="A147" s="31" t="s">
        <v>142</v>
      </c>
      <c r="B147" s="33"/>
      <c r="C147" s="53">
        <f>SUM(C145:C146)</f>
        <v>1</v>
      </c>
      <c r="D147" s="53">
        <f>SUM(D145:D146)</f>
        <v>1</v>
      </c>
      <c r="E147" s="53">
        <f>SUM(E145:E146)</f>
        <v>1</v>
      </c>
      <c r="F147" s="53">
        <f>SUM(F145:F146)</f>
        <v>0.99999999999999989</v>
      </c>
      <c r="G147" s="53">
        <f t="shared" ref="G147:L147" si="75">SUM(G145:G146)</f>
        <v>1</v>
      </c>
      <c r="H147" s="53">
        <f t="shared" si="75"/>
        <v>1</v>
      </c>
      <c r="I147" s="53">
        <f t="shared" si="75"/>
        <v>1</v>
      </c>
      <c r="J147" s="53">
        <f t="shared" si="75"/>
        <v>1</v>
      </c>
      <c r="K147" s="53">
        <f t="shared" si="75"/>
        <v>1</v>
      </c>
      <c r="L147" s="53">
        <f t="shared" si="75"/>
        <v>0.99999999999999989</v>
      </c>
    </row>
    <row r="148" spans="1:12">
      <c r="A148" s="33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3" t="s">
        <v>174</v>
      </c>
      <c r="B149" s="33"/>
      <c r="C149" s="34">
        <f>C264</f>
        <v>0.5</v>
      </c>
      <c r="D149" s="34">
        <f t="shared" ref="D149:L149" si="76">D264</f>
        <v>0.5</v>
      </c>
      <c r="E149" s="34">
        <f t="shared" si="76"/>
        <v>0.5</v>
      </c>
      <c r="F149" s="34">
        <f t="shared" si="76"/>
        <v>0.5</v>
      </c>
      <c r="G149" s="34">
        <f t="shared" si="76"/>
        <v>0.5</v>
      </c>
      <c r="H149" s="34">
        <f t="shared" si="76"/>
        <v>0.5</v>
      </c>
      <c r="I149" s="34">
        <f t="shared" si="76"/>
        <v>0.5</v>
      </c>
      <c r="J149" s="34">
        <f t="shared" si="76"/>
        <v>0.5</v>
      </c>
      <c r="K149" s="34">
        <f t="shared" si="76"/>
        <v>0.5</v>
      </c>
      <c r="L149" s="34">
        <f t="shared" si="76"/>
        <v>0.5</v>
      </c>
    </row>
    <row r="150" spans="1:12">
      <c r="A150" s="33"/>
      <c r="B150" s="33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3" t="s">
        <v>175</v>
      </c>
      <c r="B151" s="33"/>
      <c r="C151" s="52">
        <f t="shared" ref="C151:L151" si="77">(1+(1-C203)*(C145/C146))*C149</f>
        <v>1.6241561705685685</v>
      </c>
      <c r="D151" s="52">
        <f t="shared" si="77"/>
        <v>1.5097755904906804</v>
      </c>
      <c r="E151" s="52">
        <f t="shared" si="77"/>
        <v>1.4221116776241374</v>
      </c>
      <c r="F151" s="52">
        <f t="shared" si="77"/>
        <v>1.3323525437827479</v>
      </c>
      <c r="G151" s="52">
        <f t="shared" si="77"/>
        <v>1.2445884353114582</v>
      </c>
      <c r="H151" s="52">
        <f t="shared" si="77"/>
        <v>1.1800299937615173</v>
      </c>
      <c r="I151" s="52">
        <f t="shared" si="77"/>
        <v>1.1147654538679217</v>
      </c>
      <c r="J151" s="52">
        <f t="shared" si="77"/>
        <v>1.0511685894635745</v>
      </c>
      <c r="K151" s="52">
        <f t="shared" si="77"/>
        <v>0.99087894849301628</v>
      </c>
      <c r="L151" s="52">
        <f t="shared" si="77"/>
        <v>0.93488432729384408</v>
      </c>
    </row>
    <row r="152" spans="1:12">
      <c r="A152" s="33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>
      <c r="A153" s="33"/>
      <c r="B153" s="33"/>
      <c r="C153" s="34"/>
      <c r="D153" s="34"/>
      <c r="E153" s="34"/>
      <c r="F153" s="34"/>
      <c r="G153" s="6"/>
      <c r="H153" s="1"/>
    </row>
    <row r="154" spans="1:12">
      <c r="A154" s="33"/>
      <c r="B154" s="33"/>
      <c r="C154" s="34"/>
      <c r="D154" s="34"/>
      <c r="E154" s="34"/>
      <c r="F154" s="34"/>
      <c r="G154" s="6"/>
      <c r="H154" s="1"/>
    </row>
    <row r="155" spans="1:12">
      <c r="A155" s="75" t="s">
        <v>151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</row>
    <row r="156" spans="1:12">
      <c r="A156" s="33"/>
      <c r="B156" s="33"/>
      <c r="C156" s="34"/>
      <c r="D156" s="34"/>
      <c r="E156" s="34"/>
      <c r="F156" s="34"/>
      <c r="G156" s="6"/>
      <c r="H156" s="1"/>
    </row>
    <row r="157" spans="1:12">
      <c r="A157" s="61" t="str">
        <f>"Neutral Market Total FCF (Tee Times = " &amp; $M$230 &amp; ")"</f>
        <v>Neutral Market Total FCF (Tee Times = 450)</v>
      </c>
      <c r="B157" s="33"/>
      <c r="C157" s="34"/>
      <c r="D157" s="34"/>
      <c r="E157" s="34"/>
      <c r="F157" s="34"/>
      <c r="G157" s="6"/>
      <c r="H157" s="1"/>
    </row>
    <row r="158" spans="1:12">
      <c r="A158" s="41" t="s">
        <v>152</v>
      </c>
      <c r="B158" s="42">
        <v>0</v>
      </c>
      <c r="C158" s="43">
        <f>B158+1</f>
        <v>1</v>
      </c>
      <c r="D158" s="43">
        <f t="shared" ref="D158:L158" si="78">C158+1</f>
        <v>2</v>
      </c>
      <c r="E158" s="43">
        <f t="shared" si="78"/>
        <v>3</v>
      </c>
      <c r="F158" s="43">
        <f t="shared" si="78"/>
        <v>4</v>
      </c>
      <c r="G158" s="43">
        <f t="shared" si="78"/>
        <v>5</v>
      </c>
      <c r="H158" s="43">
        <f t="shared" si="78"/>
        <v>6</v>
      </c>
      <c r="I158" s="43">
        <f t="shared" si="78"/>
        <v>7</v>
      </c>
      <c r="J158" s="43">
        <f t="shared" si="78"/>
        <v>8</v>
      </c>
      <c r="K158" s="43">
        <f t="shared" si="78"/>
        <v>9</v>
      </c>
      <c r="L158" s="43">
        <f t="shared" si="78"/>
        <v>10</v>
      </c>
    </row>
    <row r="159" spans="1:12">
      <c r="A159" s="33"/>
      <c r="B159" s="33"/>
      <c r="C159" s="34"/>
      <c r="D159" s="34"/>
      <c r="E159" s="34"/>
      <c r="F159" s="34"/>
      <c r="G159" s="6"/>
      <c r="H159" s="1"/>
    </row>
    <row r="160" spans="1:12">
      <c r="A160" s="33" t="s">
        <v>153</v>
      </c>
      <c r="B160" s="33"/>
      <c r="C160" s="38">
        <f t="shared" ref="C160:L160" si="79">IF((C32-C35-C36)&gt;0,(C32-C35-C36)*C203,0)</f>
        <v>15930.167257142872</v>
      </c>
      <c r="D160" s="38">
        <f t="shared" si="79"/>
        <v>17711.210735357134</v>
      </c>
      <c r="E160" s="38">
        <f t="shared" si="79"/>
        <v>19496.477016189729</v>
      </c>
      <c r="F160" s="38">
        <f t="shared" si="79"/>
        <v>21290.026108985232</v>
      </c>
      <c r="G160" s="38">
        <f t="shared" si="79"/>
        <v>23095.651978551192</v>
      </c>
      <c r="H160" s="38">
        <f t="shared" si="79"/>
        <v>20684.849647701649</v>
      </c>
      <c r="I160" s="38">
        <f t="shared" si="79"/>
        <v>22619.035335789973</v>
      </c>
      <c r="J160" s="38">
        <f t="shared" si="79"/>
        <v>24575.379934408447</v>
      </c>
      <c r="K160" s="38">
        <f t="shared" si="79"/>
        <v>26556.896091470764</v>
      </c>
      <c r="L160" s="38">
        <f t="shared" si="79"/>
        <v>28566.459147931659</v>
      </c>
    </row>
    <row r="161" spans="1:12">
      <c r="A161" s="33"/>
      <c r="B161" s="33"/>
      <c r="C161" s="34"/>
      <c r="D161" s="34"/>
      <c r="E161" s="34"/>
      <c r="F161" s="34"/>
      <c r="G161" s="6"/>
      <c r="H161" s="1"/>
    </row>
    <row r="162" spans="1:12">
      <c r="A162" s="33" t="s">
        <v>154</v>
      </c>
      <c r="B162" s="33"/>
      <c r="C162" s="38">
        <f t="shared" ref="C162:L162" si="80">C32-C160</f>
        <v>108218.66902857149</v>
      </c>
      <c r="D162" s="38">
        <f t="shared" si="80"/>
        <v>115342.84294142853</v>
      </c>
      <c r="E162" s="38">
        <f t="shared" si="80"/>
        <v>122483.90806475891</v>
      </c>
      <c r="F162" s="38">
        <f t="shared" si="80"/>
        <v>129658.10443594093</v>
      </c>
      <c r="G162" s="38">
        <f t="shared" si="80"/>
        <v>136880.60791420477</v>
      </c>
      <c r="H162" s="38">
        <f t="shared" si="80"/>
        <v>138979.39859080658</v>
      </c>
      <c r="I162" s="38">
        <f t="shared" si="80"/>
        <v>146716.14134315989</v>
      </c>
      <c r="J162" s="38">
        <f t="shared" si="80"/>
        <v>154541.51973763379</v>
      </c>
      <c r="K162" s="38">
        <f t="shared" si="80"/>
        <v>162467.58436588306</v>
      </c>
      <c r="L162" s="38">
        <f t="shared" si="80"/>
        <v>170505.83659172663</v>
      </c>
    </row>
    <row r="163" spans="1:12">
      <c r="A163" s="33" t="s">
        <v>39</v>
      </c>
      <c r="B163" s="44">
        <f>-C70</f>
        <v>-858000</v>
      </c>
      <c r="C163" s="38"/>
      <c r="D163" s="38"/>
      <c r="E163" s="38"/>
      <c r="G163" s="6"/>
      <c r="H163" s="1"/>
      <c r="L163" s="38">
        <f>L219*M220</f>
        <v>1119495.3917254922</v>
      </c>
    </row>
    <row r="164" spans="1:12">
      <c r="A164" s="27" t="s">
        <v>155</v>
      </c>
      <c r="C164" s="38"/>
      <c r="D164" s="38"/>
      <c r="E164" s="38"/>
      <c r="G164" s="6"/>
      <c r="H164" s="1"/>
      <c r="L164" s="38">
        <f>-IF((L163-L70)&gt;0,(L163-L70)*L205,0)</f>
        <v>-52299.078345098445</v>
      </c>
    </row>
    <row r="165" spans="1:12">
      <c r="A165" s="33" t="s">
        <v>40</v>
      </c>
      <c r="B165" s="44">
        <f>-C72</f>
        <v>-576800</v>
      </c>
      <c r="H165" s="1"/>
      <c r="L165" s="3">
        <f>L221*L222</f>
        <v>1075133.1034752978</v>
      </c>
    </row>
    <row r="166" spans="1:12">
      <c r="A166" s="33" t="s">
        <v>176</v>
      </c>
      <c r="B166" s="44"/>
      <c r="G166" s="3">
        <f>-(H72-G72)</f>
        <v>-247200</v>
      </c>
      <c r="H166" s="1"/>
    </row>
    <row r="167" spans="1:12">
      <c r="A167" s="27" t="s">
        <v>155</v>
      </c>
      <c r="G167" s="6"/>
      <c r="H167" s="1"/>
      <c r="L167" s="3">
        <f>-IF((L165-L74)&gt;0,(L165-L74)*L205,0)</f>
        <v>-116764.62069505957</v>
      </c>
    </row>
    <row r="168" spans="1:12">
      <c r="A168" s="27" t="s">
        <v>58</v>
      </c>
      <c r="B168" s="3">
        <f>-C76</f>
        <v>-180000</v>
      </c>
      <c r="G168" s="6"/>
      <c r="H168" s="1"/>
      <c r="L168" s="22">
        <f>L223*M224</f>
        <v>69735.688020000016</v>
      </c>
    </row>
    <row r="169" spans="1:12">
      <c r="A169" s="27" t="s">
        <v>155</v>
      </c>
      <c r="G169" s="6"/>
      <c r="H169" s="1"/>
      <c r="L169" s="3">
        <f>-IF((L168-L78)&gt;0,(L168-L78)*L205,0)</f>
        <v>-12147.137604000003</v>
      </c>
    </row>
    <row r="170" spans="1:12">
      <c r="A170" s="27" t="str">
        <f>"Change in "&amp;A63</f>
        <v>Change in Golf Club Inventory</v>
      </c>
      <c r="C170" s="3">
        <f>-(C63)</f>
        <v>-4591.8367346938776</v>
      </c>
      <c r="D170" s="3">
        <f t="shared" ref="D170:L173" si="81">-(D63-C63)</f>
        <v>-150.38265306122503</v>
      </c>
      <c r="E170" s="3">
        <f t="shared" si="81"/>
        <v>-155.30768494897984</v>
      </c>
      <c r="F170" s="3">
        <f t="shared" si="81"/>
        <v>-160.39401163105777</v>
      </c>
      <c r="G170" s="3">
        <f t="shared" si="81"/>
        <v>-165.64691551197575</v>
      </c>
      <c r="H170" s="3">
        <f t="shared" si="81"/>
        <v>-171.07185199499236</v>
      </c>
      <c r="I170" s="3">
        <f t="shared" si="81"/>
        <v>-176.67445514782867</v>
      </c>
      <c r="J170" s="3">
        <f t="shared" si="81"/>
        <v>-182.46054355392062</v>
      </c>
      <c r="K170" s="3">
        <f t="shared" si="81"/>
        <v>-188.4361263553119</v>
      </c>
      <c r="L170" s="3">
        <f t="shared" si="81"/>
        <v>-194.60740949344654</v>
      </c>
    </row>
    <row r="171" spans="1:12">
      <c r="A171" s="27" t="str">
        <f>"Change in "&amp;A64</f>
        <v>Change in Apparel Inventory</v>
      </c>
      <c r="C171" s="3">
        <f>-(C64)</f>
        <v>-1700.6802721088438</v>
      </c>
      <c r="D171" s="3">
        <f t="shared" si="81"/>
        <v>-55.697278911564354</v>
      </c>
      <c r="E171" s="3">
        <f t="shared" si="81"/>
        <v>-57.521364795918316</v>
      </c>
      <c r="F171" s="3">
        <f t="shared" si="81"/>
        <v>-59.405189492984846</v>
      </c>
      <c r="G171" s="3">
        <f t="shared" si="81"/>
        <v>-61.350709448880025</v>
      </c>
      <c r="H171" s="3">
        <f t="shared" si="81"/>
        <v>-63.359945183330183</v>
      </c>
      <c r="I171" s="3">
        <f t="shared" si="81"/>
        <v>-65.434983388084902</v>
      </c>
      <c r="J171" s="3">
        <f t="shared" si="81"/>
        <v>-67.577979094044622</v>
      </c>
      <c r="K171" s="3">
        <f t="shared" si="81"/>
        <v>-69.79115790937476</v>
      </c>
      <c r="L171" s="3">
        <f t="shared" si="81"/>
        <v>-72.076818330906008</v>
      </c>
    </row>
    <row r="172" spans="1:12">
      <c r="A172" s="27" t="str">
        <f>"Change in "&amp;A65</f>
        <v>Change in Accessories Inventory</v>
      </c>
      <c r="C172" s="3">
        <f>-(C65)</f>
        <v>-1396.8</v>
      </c>
      <c r="D172" s="3">
        <f t="shared" si="81"/>
        <v>-17.459999999999809</v>
      </c>
      <c r="E172" s="3">
        <f t="shared" si="81"/>
        <v>-17.678250000000162</v>
      </c>
      <c r="F172" s="3">
        <f t="shared" si="81"/>
        <v>-17.899228125000263</v>
      </c>
      <c r="G172" s="3">
        <f t="shared" si="81"/>
        <v>-18.122968476562164</v>
      </c>
      <c r="H172" s="3">
        <f t="shared" si="81"/>
        <v>-18.349505582519441</v>
      </c>
      <c r="I172" s="3">
        <f t="shared" si="81"/>
        <v>-18.578874402300926</v>
      </c>
      <c r="J172" s="3">
        <f t="shared" si="81"/>
        <v>-18.81111033232969</v>
      </c>
      <c r="K172" s="3">
        <f t="shared" si="81"/>
        <v>-19.046249211483882</v>
      </c>
      <c r="L172" s="3">
        <f t="shared" si="81"/>
        <v>-19.284327326627363</v>
      </c>
    </row>
    <row r="173" spans="1:12">
      <c r="A173" s="27" t="str">
        <f>"Change in "&amp;A66</f>
        <v>Change in Meal Supplies</v>
      </c>
      <c r="C173" s="3">
        <f>-(C66)</f>
        <v>-1469.387755102041</v>
      </c>
      <c r="D173" s="3">
        <f t="shared" si="81"/>
        <v>-18.367346938775427</v>
      </c>
      <c r="E173" s="3">
        <f t="shared" si="81"/>
        <v>-18.596938775510125</v>
      </c>
      <c r="F173" s="3">
        <f t="shared" si="81"/>
        <v>-18.829400510204096</v>
      </c>
      <c r="G173" s="3">
        <f t="shared" si="81"/>
        <v>-19.064768016581638</v>
      </c>
      <c r="H173" s="3">
        <f t="shared" si="81"/>
        <v>-19.303077616788869</v>
      </c>
      <c r="I173" s="3">
        <f t="shared" si="81"/>
        <v>-19.544366086998252</v>
      </c>
      <c r="J173" s="3">
        <f t="shared" si="81"/>
        <v>-19.78867066308635</v>
      </c>
      <c r="K173" s="3">
        <f t="shared" si="81"/>
        <v>-20.036029046374551</v>
      </c>
      <c r="L173" s="3">
        <f t="shared" si="81"/>
        <v>-20.286479409454614</v>
      </c>
    </row>
    <row r="174" spans="1:12">
      <c r="A174" s="27" t="str">
        <f>"Change in "&amp;A88</f>
        <v>Change in Accounts Payable</v>
      </c>
      <c r="C174" s="3">
        <f>C88</f>
        <v>10727.869387755101</v>
      </c>
      <c r="D174" s="3">
        <f t="shared" ref="D174:L174" si="82">D88-C88</f>
        <v>148.56265306122441</v>
      </c>
      <c r="E174" s="3">
        <f t="shared" si="82"/>
        <v>150.89339158163421</v>
      </c>
      <c r="F174" s="3">
        <f t="shared" si="82"/>
        <v>153.26877818399043</v>
      </c>
      <c r="G174" s="3">
        <f t="shared" si="82"/>
        <v>155.68987904793175</v>
      </c>
      <c r="H174" s="3">
        <f t="shared" si="82"/>
        <v>158.15779031989041</v>
      </c>
      <c r="I174" s="3">
        <f t="shared" si="82"/>
        <v>160.67363903267324</v>
      </c>
      <c r="J174" s="3">
        <f t="shared" si="82"/>
        <v>163.23858405429928</v>
      </c>
      <c r="K174" s="3">
        <f t="shared" si="82"/>
        <v>165.85381706717089</v>
      </c>
      <c r="L174" s="3">
        <f t="shared" si="82"/>
        <v>168.52056357852962</v>
      </c>
    </row>
    <row r="175" spans="1:12">
      <c r="A175" s="27" t="str">
        <f>"Change in "&amp;A89</f>
        <v>Change in Income Taxes Payable</v>
      </c>
      <c r="C175" s="3">
        <f>C160</f>
        <v>15930.167257142872</v>
      </c>
      <c r="D175" s="3">
        <f t="shared" ref="D175:L175" si="83">D160-C160</f>
        <v>1781.043478214262</v>
      </c>
      <c r="E175" s="3">
        <f t="shared" si="83"/>
        <v>1785.2662808325949</v>
      </c>
      <c r="F175" s="3">
        <f t="shared" si="83"/>
        <v>1793.5490927955034</v>
      </c>
      <c r="G175" s="3">
        <f t="shared" si="83"/>
        <v>1805.6258695659599</v>
      </c>
      <c r="H175" s="3">
        <f t="shared" si="83"/>
        <v>-2410.8023308495431</v>
      </c>
      <c r="I175" s="3">
        <f t="shared" si="83"/>
        <v>1934.1856880883242</v>
      </c>
      <c r="J175" s="3">
        <f t="shared" si="83"/>
        <v>1956.3445986184743</v>
      </c>
      <c r="K175" s="3">
        <f t="shared" si="83"/>
        <v>1981.5161570623168</v>
      </c>
      <c r="L175" s="3">
        <f t="shared" si="83"/>
        <v>2009.5630564608946</v>
      </c>
    </row>
    <row r="176" spans="1:12">
      <c r="A176" s="27" t="str">
        <f>"Liquidation of "&amp;A63</f>
        <v>Liquidation of Golf Club Inventory</v>
      </c>
      <c r="G176" s="6"/>
      <c r="H176" s="1"/>
      <c r="L176" s="3">
        <f>L63</f>
        <v>6136.818386392616</v>
      </c>
    </row>
    <row r="177" spans="1:16">
      <c r="A177" s="27" t="str">
        <f>"Liquidation of "&amp;A64</f>
        <v>Liquidation of Apparel Inventory</v>
      </c>
      <c r="G177" s="6"/>
      <c r="H177" s="1"/>
      <c r="L177" s="3">
        <f>L64</f>
        <v>2272.8956986639319</v>
      </c>
    </row>
    <row r="178" spans="1:16">
      <c r="A178" s="27" t="str">
        <f>"Liquidation of "&amp;A65</f>
        <v>Liquidation of Accessories Inventory</v>
      </c>
      <c r="G178" s="6"/>
      <c r="H178" s="1"/>
      <c r="L178" s="3">
        <f>L65</f>
        <v>1562.0305134568237</v>
      </c>
    </row>
    <row r="179" spans="1:16">
      <c r="A179" s="27" t="str">
        <f>"Liquidation of "&amp;A66</f>
        <v>Liquidation of Meal Supplies</v>
      </c>
      <c r="G179" s="6"/>
      <c r="H179" s="1"/>
      <c r="L179" s="3">
        <f>L66</f>
        <v>1643.2048321658149</v>
      </c>
    </row>
    <row r="180" spans="1:16">
      <c r="A180" s="27" t="str">
        <f>"Liquidation of "&amp;A88</f>
        <v>Liquidation of Accounts Payable</v>
      </c>
      <c r="G180" s="6"/>
      <c r="H180" s="1"/>
      <c r="L180" s="3">
        <f>-L88</f>
        <v>-12152.728483682446</v>
      </c>
    </row>
    <row r="181" spans="1:16">
      <c r="A181" s="27" t="str">
        <f>"Liquidation of "&amp;A89</f>
        <v>Liquidation of Income Taxes Payable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>
        <f>-L160</f>
        <v>-28566.459147931659</v>
      </c>
    </row>
    <row r="182" spans="1:16">
      <c r="A182" s="28" t="s">
        <v>156</v>
      </c>
      <c r="B182" s="3">
        <f t="shared" ref="B182:L182" si="84">SUM(B162:B181)</f>
        <v>-1614800</v>
      </c>
      <c r="C182" s="3">
        <f t="shared" si="84"/>
        <v>125718.00091156468</v>
      </c>
      <c r="D182" s="3">
        <f t="shared" si="84"/>
        <v>117030.54179379245</v>
      </c>
      <c r="E182" s="3">
        <f t="shared" si="84"/>
        <v>124170.96349865275</v>
      </c>
      <c r="F182" s="19">
        <f t="shared" si="84"/>
        <v>131348.39447716117</v>
      </c>
      <c r="G182" s="19">
        <f t="shared" si="84"/>
        <v>-108622.26169863532</v>
      </c>
      <c r="H182" s="19">
        <f t="shared" si="84"/>
        <v>136454.66966989927</v>
      </c>
      <c r="I182" s="19">
        <f t="shared" si="84"/>
        <v>148530.76799125568</v>
      </c>
      <c r="J182" s="19">
        <f t="shared" si="84"/>
        <v>156372.4646166632</v>
      </c>
      <c r="K182" s="19">
        <f t="shared" si="84"/>
        <v>164317.64477749</v>
      </c>
      <c r="L182" s="19">
        <f t="shared" si="84"/>
        <v>2226426.7735529034</v>
      </c>
    </row>
    <row r="183" spans="1:16">
      <c r="A183" s="28" t="s">
        <v>157</v>
      </c>
      <c r="B183" s="45">
        <f t="shared" ref="B183:L183" si="85">-PV($L$138,B158,,B182)</f>
        <v>-1614800</v>
      </c>
      <c r="C183" s="45">
        <f t="shared" si="85"/>
        <v>119042.97011071983</v>
      </c>
      <c r="D183" s="45">
        <f t="shared" si="85"/>
        <v>104932.92777296987</v>
      </c>
      <c r="E183" s="45">
        <f t="shared" si="85"/>
        <v>105423.85995306884</v>
      </c>
      <c r="F183" s="45">
        <f t="shared" si="85"/>
        <v>105596.59593334104</v>
      </c>
      <c r="G183" s="45">
        <f t="shared" si="85"/>
        <v>-82689.483341927596</v>
      </c>
      <c r="H183" s="45">
        <f t="shared" si="85"/>
        <v>98361.722837647801</v>
      </c>
      <c r="I183" s="45">
        <f t="shared" si="85"/>
        <v>101381.90291023432</v>
      </c>
      <c r="J183" s="45">
        <f t="shared" si="85"/>
        <v>101067.28064742255</v>
      </c>
      <c r="K183" s="45">
        <f t="shared" si="85"/>
        <v>100563.59449901775</v>
      </c>
      <c r="L183" s="45">
        <f t="shared" si="85"/>
        <v>1290242.3420619064</v>
      </c>
    </row>
    <row r="184" spans="1:16">
      <c r="A184" s="27"/>
      <c r="B184" s="27"/>
      <c r="C184" s="1"/>
      <c r="D184" s="1"/>
      <c r="E184" s="1"/>
      <c r="F184" s="1"/>
      <c r="G184" s="6"/>
      <c r="H184" s="1"/>
    </row>
    <row r="185" spans="1:16">
      <c r="A185" s="27" t="s">
        <v>158</v>
      </c>
      <c r="B185" s="27"/>
      <c r="C185" s="1"/>
      <c r="D185" s="1"/>
      <c r="E185" s="1"/>
      <c r="G185" s="6"/>
      <c r="H185" s="1"/>
      <c r="L185" s="3">
        <f>SUM(B183:L183)</f>
        <v>429123.71338440082</v>
      </c>
    </row>
    <row r="186" spans="1:16">
      <c r="A186" s="27"/>
      <c r="B186" s="27"/>
      <c r="C186" s="1"/>
      <c r="D186" s="1"/>
      <c r="E186" s="1"/>
      <c r="F186" s="1"/>
      <c r="G186" s="6"/>
      <c r="H186" s="1"/>
    </row>
    <row r="187" spans="1:16">
      <c r="A187" s="27" t="s">
        <v>159</v>
      </c>
      <c r="B187" s="27"/>
      <c r="C187" s="1"/>
      <c r="D187" s="1"/>
      <c r="E187" s="1"/>
      <c r="G187" s="6"/>
      <c r="H187" s="1"/>
      <c r="L187" s="46">
        <f>IRR(B182:L182)</f>
        <v>8.7787629056410577E-2</v>
      </c>
    </row>
    <row r="188" spans="1:16">
      <c r="A188" s="27"/>
      <c r="B188" s="27"/>
      <c r="C188" s="1"/>
      <c r="D188" s="1"/>
      <c r="E188" s="1"/>
      <c r="F188" s="47"/>
      <c r="G188" s="6"/>
      <c r="H188" s="1"/>
    </row>
    <row r="189" spans="1:16">
      <c r="A189" s="27"/>
      <c r="B189" s="27"/>
      <c r="C189" s="1"/>
      <c r="D189" s="1"/>
      <c r="E189" s="1"/>
      <c r="F189" s="1"/>
      <c r="G189" s="6"/>
      <c r="H189" s="1"/>
    </row>
    <row r="190" spans="1:16">
      <c r="A190" s="27"/>
      <c r="B190" s="27"/>
      <c r="C190" s="1"/>
      <c r="D190" s="1"/>
      <c r="E190" s="1"/>
      <c r="F190" s="1"/>
      <c r="G190" s="6"/>
      <c r="H190" s="1"/>
    </row>
    <row r="191" spans="1:16">
      <c r="A191" s="72" t="s">
        <v>42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3" spans="1:16">
      <c r="A193" s="16" t="str">
        <f>Master!A240</f>
        <v>http://timbercreekgolf.com/</v>
      </c>
      <c r="B193" s="17" t="s">
        <v>43</v>
      </c>
    </row>
    <row r="194" spans="1:16" ht="63">
      <c r="A194" s="16" t="str">
        <f>Master!A241</f>
        <v>http://www.loopnet.com/xNet/MainSite/Listing/Profile/Profile.aspx?LID=18148605&amp;SRID=3289558223&amp;StepID=101&amp;jli=y</v>
      </c>
      <c r="B194" s="17" t="s">
        <v>44</v>
      </c>
    </row>
    <row r="196" spans="1:16">
      <c r="A196" s="64" t="str">
        <f>Master!A243</f>
        <v>Timber Creek Golf Course</v>
      </c>
      <c r="B196" s="3" t="s">
        <v>45</v>
      </c>
    </row>
    <row r="198" spans="1:16">
      <c r="C198" s="71" t="s">
        <v>38</v>
      </c>
      <c r="D198" s="71"/>
      <c r="E198" s="71"/>
      <c r="F198" s="71"/>
      <c r="G198" s="71"/>
      <c r="H198" s="71"/>
      <c r="I198" s="71"/>
      <c r="J198" s="71"/>
      <c r="K198" s="71"/>
      <c r="L198" s="74"/>
      <c r="M198" s="70" t="s">
        <v>51</v>
      </c>
      <c r="N198" s="71"/>
      <c r="O198" s="71"/>
      <c r="P198" s="71"/>
    </row>
    <row r="199" spans="1:16">
      <c r="C199" s="65">
        <f>Master!C246</f>
        <v>2014</v>
      </c>
      <c r="D199" s="2">
        <f>C199+1</f>
        <v>2015</v>
      </c>
      <c r="E199" s="2">
        <f t="shared" ref="E199:L199" si="86">D199+1</f>
        <v>2016</v>
      </c>
      <c r="F199" s="2">
        <f t="shared" si="86"/>
        <v>2017</v>
      </c>
      <c r="G199" s="2">
        <f t="shared" si="86"/>
        <v>2018</v>
      </c>
      <c r="H199" s="2">
        <f t="shared" si="86"/>
        <v>2019</v>
      </c>
      <c r="I199" s="2">
        <f t="shared" si="86"/>
        <v>2020</v>
      </c>
      <c r="J199" s="2">
        <f t="shared" si="86"/>
        <v>2021</v>
      </c>
      <c r="K199" s="2">
        <f t="shared" si="86"/>
        <v>2022</v>
      </c>
      <c r="L199" s="2">
        <f t="shared" si="86"/>
        <v>2023</v>
      </c>
      <c r="M199" s="21"/>
    </row>
    <row r="200" spans="1:16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3"/>
    </row>
    <row r="201" spans="1:16">
      <c r="A201" s="3" t="s">
        <v>36</v>
      </c>
      <c r="M201" s="7">
        <f>Master!M248</f>
        <v>1.2500000000000001E-2</v>
      </c>
    </row>
    <row r="202" spans="1:16">
      <c r="A202" s="76" t="s">
        <v>68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6"/>
    </row>
    <row r="203" spans="1:16">
      <c r="A203" s="3" t="s">
        <v>52</v>
      </c>
      <c r="C203" s="7">
        <f>Master!C250</f>
        <v>0.2</v>
      </c>
      <c r="D203" s="6">
        <f>C203*(1+$M203)</f>
        <v>0.2</v>
      </c>
      <c r="E203" s="6">
        <f>D203*(1+$M203)</f>
        <v>0.2</v>
      </c>
      <c r="F203" s="6">
        <f>E203*(1+$M203)</f>
        <v>0.2</v>
      </c>
      <c r="G203" s="6">
        <f t="shared" ref="G203:L203" si="87">F203*(1+$M203)</f>
        <v>0.2</v>
      </c>
      <c r="H203" s="6">
        <f t="shared" si="87"/>
        <v>0.2</v>
      </c>
      <c r="I203" s="6">
        <f t="shared" si="87"/>
        <v>0.2</v>
      </c>
      <c r="J203" s="6">
        <f t="shared" si="87"/>
        <v>0.2</v>
      </c>
      <c r="K203" s="6">
        <f t="shared" si="87"/>
        <v>0.2</v>
      </c>
      <c r="L203" s="6">
        <f t="shared" si="87"/>
        <v>0.2</v>
      </c>
      <c r="M203" s="7">
        <f>Master!M250</f>
        <v>0</v>
      </c>
      <c r="N203" s="3" t="s">
        <v>53</v>
      </c>
    </row>
    <row r="204" spans="1:16">
      <c r="A204" s="76" t="s">
        <v>69</v>
      </c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6"/>
    </row>
    <row r="205" spans="1:16">
      <c r="A205" s="62" t="s">
        <v>177</v>
      </c>
      <c r="B205" s="62"/>
      <c r="C205" s="7">
        <f>Master!C252</f>
        <v>0.2</v>
      </c>
      <c r="D205" s="6">
        <f>C205*(1+$M205)</f>
        <v>0.2</v>
      </c>
      <c r="E205" s="6">
        <f>D205*(1+$M205)</f>
        <v>0.2</v>
      </c>
      <c r="F205" s="6">
        <f>E205*(1+$M205)</f>
        <v>0.2</v>
      </c>
      <c r="G205" s="6">
        <f t="shared" ref="G205:L205" si="88">F205*(1+$M205)</f>
        <v>0.2</v>
      </c>
      <c r="H205" s="6">
        <f t="shared" si="88"/>
        <v>0.2</v>
      </c>
      <c r="I205" s="6">
        <f t="shared" si="88"/>
        <v>0.2</v>
      </c>
      <c r="J205" s="6">
        <f t="shared" si="88"/>
        <v>0.2</v>
      </c>
      <c r="K205" s="6">
        <f t="shared" si="88"/>
        <v>0.2</v>
      </c>
      <c r="L205" s="6">
        <f t="shared" si="88"/>
        <v>0.2</v>
      </c>
      <c r="M205" s="7">
        <f>Master!M252</f>
        <v>0</v>
      </c>
      <c r="N205" s="3" t="s">
        <v>53</v>
      </c>
    </row>
    <row r="206" spans="1:16">
      <c r="A206" s="3" t="s">
        <v>37</v>
      </c>
      <c r="M206" s="7">
        <f>Master!M253</f>
        <v>0.03</v>
      </c>
      <c r="N206" s="1" t="s">
        <v>63</v>
      </c>
      <c r="O206" s="5"/>
      <c r="P206" s="5"/>
    </row>
    <row r="207" spans="1:16">
      <c r="A207" s="3" t="s">
        <v>41</v>
      </c>
      <c r="M207" s="66">
        <f>Master!M254</f>
        <v>20</v>
      </c>
      <c r="N207" s="3" t="s">
        <v>38</v>
      </c>
    </row>
    <row r="208" spans="1:16">
      <c r="A208" s="3" t="s">
        <v>55</v>
      </c>
      <c r="M208" s="7">
        <f>Master!M255</f>
        <v>0.05</v>
      </c>
      <c r="N208" s="3" t="s">
        <v>57</v>
      </c>
    </row>
    <row r="209" spans="1:15">
      <c r="A209" s="3" t="s">
        <v>54</v>
      </c>
      <c r="M209" s="66">
        <f>Master!M256</f>
        <v>10</v>
      </c>
      <c r="N209" s="3" t="s">
        <v>38</v>
      </c>
    </row>
    <row r="210" spans="1:15">
      <c r="A210" s="3" t="s">
        <v>56</v>
      </c>
      <c r="M210" s="7">
        <f>Master!M257</f>
        <v>0.05</v>
      </c>
      <c r="N210" s="3" t="s">
        <v>57</v>
      </c>
    </row>
    <row r="211" spans="1:15" s="55" customFormat="1">
      <c r="A211" s="55" t="s">
        <v>62</v>
      </c>
      <c r="C211" s="7">
        <f>Master!C258</f>
        <v>0.11</v>
      </c>
      <c r="D211" s="57">
        <f>C211*(1+$M211)</f>
        <v>0.11</v>
      </c>
      <c r="E211" s="57">
        <f>D211*(1+$M211)</f>
        <v>0.11</v>
      </c>
      <c r="F211" s="57">
        <f>E211*(1+$M211)</f>
        <v>0.11</v>
      </c>
      <c r="G211" s="57">
        <f t="shared" ref="G211:L211" si="89">F211*(1+$M211)</f>
        <v>0.11</v>
      </c>
      <c r="H211" s="57">
        <f t="shared" si="89"/>
        <v>0.11</v>
      </c>
      <c r="I211" s="57">
        <f t="shared" si="89"/>
        <v>0.11</v>
      </c>
      <c r="J211" s="57">
        <f t="shared" si="89"/>
        <v>0.11</v>
      </c>
      <c r="K211" s="57">
        <f t="shared" si="89"/>
        <v>0.11</v>
      </c>
      <c r="L211" s="57">
        <f t="shared" si="89"/>
        <v>0.11</v>
      </c>
      <c r="M211" s="7">
        <f>Master!M258</f>
        <v>0</v>
      </c>
      <c r="N211" s="58" t="s">
        <v>53</v>
      </c>
    </row>
    <row r="212" spans="1:15">
      <c r="A212" s="76" t="s">
        <v>70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6"/>
    </row>
    <row r="213" spans="1:15">
      <c r="A213" s="76" t="s">
        <v>71</v>
      </c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6"/>
    </row>
    <row r="214" spans="1:15">
      <c r="A214" s="3" t="s">
        <v>59</v>
      </c>
      <c r="M214" s="3">
        <f>M225*(C70+C72)</f>
        <v>1147840</v>
      </c>
    </row>
    <row r="215" spans="1:15">
      <c r="A215" s="3" t="s">
        <v>60</v>
      </c>
      <c r="M215" s="7">
        <f>Master!M262</f>
        <v>0.05</v>
      </c>
    </row>
    <row r="216" spans="1:15">
      <c r="A216" s="76" t="s">
        <v>72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6"/>
    </row>
    <row r="217" spans="1:15">
      <c r="A217" s="3" t="s">
        <v>61</v>
      </c>
      <c r="M217" s="66">
        <f>Master!M264</f>
        <v>30</v>
      </c>
      <c r="N217" s="3" t="s">
        <v>38</v>
      </c>
    </row>
    <row r="218" spans="1:15">
      <c r="A218" s="3" t="str">
        <f>CONCATENATE("Retained Earnings, Beginning of ",C55)</f>
        <v>Retained Earnings, Beginning of 2014</v>
      </c>
      <c r="M218" s="4">
        <f>Master!M265</f>
        <v>0</v>
      </c>
      <c r="N218" s="18"/>
      <c r="O218" s="2"/>
    </row>
    <row r="219" spans="1:15">
      <c r="A219" s="3" t="s">
        <v>73</v>
      </c>
      <c r="C219" s="4">
        <f>Master!C266</f>
        <v>6000</v>
      </c>
      <c r="D219" s="3">
        <f>C219*(1+$M219)</f>
        <v>6180</v>
      </c>
      <c r="E219" s="3">
        <f t="shared" ref="E219:L219" si="90">D219*(1+$M219)</f>
        <v>6365.4000000000005</v>
      </c>
      <c r="F219" s="3">
        <f t="shared" si="90"/>
        <v>6556.362000000001</v>
      </c>
      <c r="G219" s="3">
        <f t="shared" si="90"/>
        <v>6753.0528600000016</v>
      </c>
      <c r="H219" s="3">
        <f t="shared" si="90"/>
        <v>6955.6444458000014</v>
      </c>
      <c r="I219" s="3">
        <f t="shared" si="90"/>
        <v>7164.3137791740019</v>
      </c>
      <c r="J219" s="3">
        <f t="shared" si="90"/>
        <v>7379.2431925492219</v>
      </c>
      <c r="K219" s="3">
        <f t="shared" si="90"/>
        <v>7600.6204883256987</v>
      </c>
      <c r="L219" s="3">
        <f t="shared" si="90"/>
        <v>7828.6391029754695</v>
      </c>
      <c r="M219" s="7">
        <f>Master!M266</f>
        <v>0.03</v>
      </c>
      <c r="N219" s="3" t="s">
        <v>53</v>
      </c>
    </row>
    <row r="220" spans="1:15">
      <c r="A220" s="3" t="s">
        <v>74</v>
      </c>
      <c r="M220" s="4">
        <f>Master!M267</f>
        <v>143</v>
      </c>
    </row>
    <row r="221" spans="1:15">
      <c r="A221" s="3" t="s">
        <v>75</v>
      </c>
      <c r="C221" s="4">
        <f>Master!C268</f>
        <v>103</v>
      </c>
      <c r="D221" s="22">
        <f>C221*(1+$M221)</f>
        <v>106.09</v>
      </c>
      <c r="E221" s="22">
        <f t="shared" ref="E221:L223" si="91">D221*(1+$M221)</f>
        <v>109.2727</v>
      </c>
      <c r="F221" s="22">
        <f t="shared" si="91"/>
        <v>112.550881</v>
      </c>
      <c r="G221" s="22">
        <f t="shared" si="91"/>
        <v>115.92740743</v>
      </c>
      <c r="H221" s="22">
        <f t="shared" si="91"/>
        <v>119.4052296529</v>
      </c>
      <c r="I221" s="22">
        <f t="shared" si="91"/>
        <v>122.987386542487</v>
      </c>
      <c r="J221" s="22">
        <f t="shared" si="91"/>
        <v>126.67700813876162</v>
      </c>
      <c r="K221" s="22">
        <f t="shared" si="91"/>
        <v>130.47731838292447</v>
      </c>
      <c r="L221" s="22">
        <f t="shared" si="91"/>
        <v>134.39163793441222</v>
      </c>
      <c r="M221" s="7">
        <f>Master!M268</f>
        <v>0.03</v>
      </c>
      <c r="N221" s="3" t="s">
        <v>53</v>
      </c>
    </row>
    <row r="222" spans="1:15">
      <c r="A222" s="3" t="s">
        <v>76</v>
      </c>
      <c r="C222" s="4">
        <f>Master!C269</f>
        <v>5600</v>
      </c>
      <c r="D222" s="4">
        <f>Master!D269</f>
        <v>5600</v>
      </c>
      <c r="E222" s="4">
        <f>Master!E269</f>
        <v>5600</v>
      </c>
      <c r="F222" s="4">
        <f>Master!F269</f>
        <v>5600</v>
      </c>
      <c r="G222" s="4">
        <f>Master!G269</f>
        <v>5600</v>
      </c>
      <c r="H222" s="4">
        <f>Master!H269</f>
        <v>8000</v>
      </c>
      <c r="I222" s="4">
        <f>Master!I269</f>
        <v>8000</v>
      </c>
      <c r="J222" s="4">
        <f>Master!J269</f>
        <v>8000</v>
      </c>
      <c r="K222" s="4">
        <f>Master!K269</f>
        <v>8000</v>
      </c>
      <c r="L222" s="4">
        <f>Master!L269</f>
        <v>8000</v>
      </c>
    </row>
    <row r="223" spans="1:15">
      <c r="A223" s="3" t="s">
        <v>77</v>
      </c>
      <c r="C223" s="4">
        <f>Master!C270</f>
        <v>4000</v>
      </c>
      <c r="D223" s="3">
        <f>C223*(1+$M223)</f>
        <v>3600</v>
      </c>
      <c r="E223" s="3">
        <f t="shared" si="91"/>
        <v>3240</v>
      </c>
      <c r="F223" s="3">
        <f t="shared" si="91"/>
        <v>2916</v>
      </c>
      <c r="G223" s="3">
        <f t="shared" si="91"/>
        <v>2624.4</v>
      </c>
      <c r="H223" s="3">
        <f t="shared" si="91"/>
        <v>2361.96</v>
      </c>
      <c r="I223" s="3">
        <f t="shared" si="91"/>
        <v>2125.7640000000001</v>
      </c>
      <c r="J223" s="3">
        <f t="shared" si="91"/>
        <v>1913.1876000000002</v>
      </c>
      <c r="K223" s="3">
        <f t="shared" si="91"/>
        <v>1721.8688400000003</v>
      </c>
      <c r="L223" s="3">
        <f t="shared" si="91"/>
        <v>1549.6819560000004</v>
      </c>
      <c r="M223" s="7">
        <f>Master!M270</f>
        <v>-0.1</v>
      </c>
      <c r="N223" s="3" t="s">
        <v>53</v>
      </c>
    </row>
    <row r="224" spans="1:15">
      <c r="A224" s="3" t="s">
        <v>78</v>
      </c>
      <c r="M224" s="4">
        <f>Master!M271</f>
        <v>45</v>
      </c>
    </row>
    <row r="225" spans="1:14">
      <c r="A225" s="3" t="s">
        <v>89</v>
      </c>
      <c r="M225" s="7">
        <f>Master!M272</f>
        <v>0.8</v>
      </c>
    </row>
    <row r="226" spans="1:14">
      <c r="A226" s="3" t="s">
        <v>90</v>
      </c>
      <c r="M226" s="4">
        <f>Master!M273</f>
        <v>400000</v>
      </c>
    </row>
    <row r="227" spans="1:14">
      <c r="A227" s="3" t="s">
        <v>85</v>
      </c>
      <c r="C227" s="24">
        <f>Master!C274</f>
        <v>10</v>
      </c>
      <c r="D227" s="22">
        <f t="shared" ref="D227:L227" si="92">C227*(1+$M$201)</f>
        <v>10.125</v>
      </c>
      <c r="E227" s="22">
        <f t="shared" si="92"/>
        <v>10.2515625</v>
      </c>
      <c r="F227" s="22">
        <f t="shared" si="92"/>
        <v>10.37970703125</v>
      </c>
      <c r="G227" s="22">
        <f t="shared" si="92"/>
        <v>10.509453369140624</v>
      </c>
      <c r="H227" s="22">
        <f t="shared" si="92"/>
        <v>10.640821536254881</v>
      </c>
      <c r="I227" s="22">
        <f t="shared" si="92"/>
        <v>10.773831805458066</v>
      </c>
      <c r="J227" s="22">
        <f t="shared" si="92"/>
        <v>10.908504703026292</v>
      </c>
      <c r="K227" s="22">
        <f t="shared" si="92"/>
        <v>11.04486101181412</v>
      </c>
      <c r="L227" s="22">
        <f t="shared" si="92"/>
        <v>11.182921774461796</v>
      </c>
    </row>
    <row r="228" spans="1:14">
      <c r="A228" s="3" t="s">
        <v>98</v>
      </c>
      <c r="D228" s="22"/>
      <c r="E228" s="22"/>
      <c r="F228" s="22"/>
      <c r="G228" s="22"/>
      <c r="H228" s="22"/>
      <c r="I228" s="22"/>
      <c r="J228" s="22"/>
      <c r="K228" s="22"/>
      <c r="L228" s="22"/>
      <c r="M228" s="7">
        <f>Master!M275</f>
        <v>0.25</v>
      </c>
    </row>
    <row r="229" spans="1:14">
      <c r="A229" s="3" t="s">
        <v>86</v>
      </c>
      <c r="C229" s="24">
        <f>Master!C276</f>
        <v>20</v>
      </c>
      <c r="D229" s="22">
        <f t="shared" ref="D229:L229" si="93">C229*(1+$M$201)</f>
        <v>20.25</v>
      </c>
      <c r="E229" s="22">
        <f t="shared" si="93"/>
        <v>20.503125000000001</v>
      </c>
      <c r="F229" s="22">
        <f t="shared" si="93"/>
        <v>20.759414062499999</v>
      </c>
      <c r="G229" s="22">
        <f t="shared" si="93"/>
        <v>21.018906738281249</v>
      </c>
      <c r="H229" s="22">
        <f t="shared" si="93"/>
        <v>21.281643072509763</v>
      </c>
      <c r="I229" s="22">
        <f t="shared" si="93"/>
        <v>21.547663610916132</v>
      </c>
      <c r="J229" s="22">
        <f t="shared" si="93"/>
        <v>21.817009406052584</v>
      </c>
      <c r="K229" s="22">
        <f t="shared" si="93"/>
        <v>22.089722023628241</v>
      </c>
      <c r="L229" s="22">
        <f t="shared" si="93"/>
        <v>22.365843548923593</v>
      </c>
    </row>
    <row r="230" spans="1:14">
      <c r="A230" s="3" t="s">
        <v>116</v>
      </c>
      <c r="D230" s="22"/>
      <c r="E230" s="22"/>
      <c r="F230" s="22"/>
      <c r="G230" s="22"/>
      <c r="H230" s="22"/>
      <c r="I230" s="22"/>
      <c r="J230" s="22"/>
      <c r="K230" s="22"/>
      <c r="L230" s="22"/>
      <c r="M230" s="24">
        <f>Master!M312</f>
        <v>450</v>
      </c>
    </row>
    <row r="231" spans="1:14">
      <c r="A231" s="3" t="s">
        <v>117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4">
        <f>Master!M278</f>
        <v>2</v>
      </c>
    </row>
    <row r="232" spans="1:14">
      <c r="A232" s="3" t="s">
        <v>118</v>
      </c>
      <c r="D232" s="22"/>
      <c r="E232" s="22"/>
      <c r="F232" s="22"/>
      <c r="G232" s="22"/>
      <c r="H232" s="22"/>
      <c r="I232" s="22"/>
      <c r="J232" s="22"/>
      <c r="K232" s="22"/>
      <c r="L232" s="22"/>
      <c r="M232" s="7">
        <f>Master!M279</f>
        <v>0.65</v>
      </c>
    </row>
    <row r="233" spans="1:14">
      <c r="A233" s="3" t="s">
        <v>120</v>
      </c>
      <c r="C233" s="4">
        <f>Master!C280</f>
        <v>1225</v>
      </c>
      <c r="D233" s="3">
        <f>C233*(1+$M$201)</f>
        <v>1240.3125</v>
      </c>
      <c r="E233" s="3">
        <f t="shared" ref="E233:L233" si="94">D233*(1+$M$201)</f>
        <v>1255.81640625</v>
      </c>
      <c r="F233" s="3">
        <f t="shared" si="94"/>
        <v>1271.514111328125</v>
      </c>
      <c r="G233" s="3">
        <f t="shared" si="94"/>
        <v>1287.4080377197265</v>
      </c>
      <c r="H233" s="3">
        <f t="shared" si="94"/>
        <v>1303.5006381912231</v>
      </c>
      <c r="I233" s="3">
        <f t="shared" si="94"/>
        <v>1319.7943961686133</v>
      </c>
      <c r="J233" s="3">
        <f t="shared" si="94"/>
        <v>1336.2918261207208</v>
      </c>
      <c r="K233" s="3">
        <f t="shared" si="94"/>
        <v>1352.9954739472298</v>
      </c>
      <c r="L233" s="3">
        <f t="shared" si="94"/>
        <v>1369.9079173715702</v>
      </c>
      <c r="M233" s="7"/>
    </row>
    <row r="234" spans="1:14">
      <c r="A234" s="3" t="s">
        <v>121</v>
      </c>
      <c r="C234" s="4">
        <f>Master!C281</f>
        <v>125</v>
      </c>
      <c r="D234" s="3">
        <f>C234*(1+$M234)</f>
        <v>127.5</v>
      </c>
      <c r="E234" s="3">
        <f t="shared" ref="E234:L234" si="95">D234*(1+$M234)</f>
        <v>130.05000000000001</v>
      </c>
      <c r="F234" s="3">
        <f t="shared" si="95"/>
        <v>132.65100000000001</v>
      </c>
      <c r="G234" s="3">
        <f t="shared" si="95"/>
        <v>135.30402000000001</v>
      </c>
      <c r="H234" s="3">
        <f t="shared" si="95"/>
        <v>138.0101004</v>
      </c>
      <c r="I234" s="3">
        <f t="shared" si="95"/>
        <v>140.77030240799999</v>
      </c>
      <c r="J234" s="3">
        <f t="shared" si="95"/>
        <v>143.58570845616001</v>
      </c>
      <c r="K234" s="3">
        <f t="shared" si="95"/>
        <v>146.45742262528321</v>
      </c>
      <c r="L234" s="3">
        <f t="shared" si="95"/>
        <v>149.38657107778889</v>
      </c>
      <c r="M234" s="7">
        <f>Master!M281</f>
        <v>0.02</v>
      </c>
      <c r="N234" s="3" t="s">
        <v>53</v>
      </c>
    </row>
    <row r="235" spans="1:14">
      <c r="A235" s="3" t="s">
        <v>84</v>
      </c>
      <c r="C235" s="24">
        <f>Master!C282</f>
        <v>10</v>
      </c>
      <c r="D235" s="22">
        <f t="shared" ref="D235:L235" si="96">C235*(1+$M$201)</f>
        <v>10.125</v>
      </c>
      <c r="E235" s="22">
        <f t="shared" si="96"/>
        <v>10.2515625</v>
      </c>
      <c r="F235" s="22">
        <f t="shared" si="96"/>
        <v>10.37970703125</v>
      </c>
      <c r="G235" s="22">
        <f t="shared" si="96"/>
        <v>10.509453369140624</v>
      </c>
      <c r="H235" s="22">
        <f t="shared" si="96"/>
        <v>10.640821536254881</v>
      </c>
      <c r="I235" s="22">
        <f t="shared" si="96"/>
        <v>10.773831805458066</v>
      </c>
      <c r="J235" s="22">
        <f t="shared" si="96"/>
        <v>10.908504703026292</v>
      </c>
      <c r="K235" s="22">
        <f t="shared" si="96"/>
        <v>11.04486101181412</v>
      </c>
      <c r="L235" s="22">
        <f t="shared" si="96"/>
        <v>11.182921774461796</v>
      </c>
    </row>
    <row r="236" spans="1:14">
      <c r="A236" s="3" t="s">
        <v>100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7">
        <f>Master!M283</f>
        <v>0.4</v>
      </c>
    </row>
    <row r="237" spans="1:14">
      <c r="A237" s="3" t="s">
        <v>87</v>
      </c>
      <c r="C237" s="24">
        <f>Master!C284</f>
        <v>7</v>
      </c>
      <c r="D237" s="22">
        <f t="shared" ref="D237:L237" si="97">C237*(1+$M$201)</f>
        <v>7.0874999999999995</v>
      </c>
      <c r="E237" s="22">
        <f t="shared" si="97"/>
        <v>7.1760937499999988</v>
      </c>
      <c r="F237" s="22">
        <f t="shared" si="97"/>
        <v>7.2657949218749982</v>
      </c>
      <c r="G237" s="22">
        <f t="shared" si="97"/>
        <v>7.3566173583984353</v>
      </c>
      <c r="H237" s="22">
        <f t="shared" si="97"/>
        <v>7.4485750753784155</v>
      </c>
      <c r="I237" s="22">
        <f t="shared" si="97"/>
        <v>7.5416822638206451</v>
      </c>
      <c r="J237" s="22">
        <f t="shared" si="97"/>
        <v>7.635953292118403</v>
      </c>
      <c r="K237" s="22">
        <f t="shared" si="97"/>
        <v>7.7314027082698829</v>
      </c>
      <c r="L237" s="22">
        <f t="shared" si="97"/>
        <v>7.828045242123256</v>
      </c>
    </row>
    <row r="238" spans="1:14">
      <c r="A238" s="3" t="s">
        <v>101</v>
      </c>
      <c r="D238" s="22"/>
      <c r="E238" s="22"/>
      <c r="F238" s="22"/>
      <c r="G238" s="22"/>
      <c r="H238" s="22"/>
      <c r="I238" s="22"/>
      <c r="J238" s="22"/>
      <c r="K238" s="22"/>
      <c r="L238" s="22"/>
      <c r="M238" s="7">
        <f>Master!M285</f>
        <v>0.5</v>
      </c>
    </row>
    <row r="239" spans="1:14">
      <c r="A239" s="3" t="s">
        <v>102</v>
      </c>
      <c r="M239" s="7">
        <f>Master!M286</f>
        <v>0.03</v>
      </c>
    </row>
    <row r="240" spans="1:14">
      <c r="A240" s="3" t="s">
        <v>126</v>
      </c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7">
        <f>Master!M287</f>
        <v>0.1</v>
      </c>
      <c r="N240" s="3" t="s">
        <v>125</v>
      </c>
    </row>
    <row r="241" spans="1:16">
      <c r="A241" s="3" t="s">
        <v>127</v>
      </c>
      <c r="C241" s="4">
        <f>Master!C288</f>
        <v>450</v>
      </c>
      <c r="D241" s="3">
        <f>C241*(1+$M$201)</f>
        <v>455.625</v>
      </c>
      <c r="E241" s="3">
        <f t="shared" ref="E241:L241" si="98">D241*(1+$M$201)</f>
        <v>461.3203125</v>
      </c>
      <c r="F241" s="3">
        <f t="shared" si="98"/>
        <v>467.08681640624997</v>
      </c>
      <c r="G241" s="3">
        <f t="shared" si="98"/>
        <v>472.92540161132808</v>
      </c>
      <c r="H241" s="3">
        <f t="shared" si="98"/>
        <v>478.83696913146969</v>
      </c>
      <c r="I241" s="3">
        <f t="shared" si="98"/>
        <v>484.82243124561302</v>
      </c>
      <c r="J241" s="3">
        <f t="shared" si="98"/>
        <v>490.88271163618316</v>
      </c>
      <c r="K241" s="3">
        <f t="shared" si="98"/>
        <v>497.01874553163543</v>
      </c>
      <c r="L241" s="3">
        <f t="shared" si="98"/>
        <v>503.23147985078083</v>
      </c>
    </row>
    <row r="242" spans="1:16">
      <c r="A242" s="3" t="s">
        <v>128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7">
        <f>Master!M289</f>
        <v>0.5</v>
      </c>
      <c r="N242" s="3" t="s">
        <v>125</v>
      </c>
    </row>
    <row r="243" spans="1:16">
      <c r="A243" s="3" t="s">
        <v>129</v>
      </c>
      <c r="C243" s="4">
        <f>Master!C290</f>
        <v>50</v>
      </c>
      <c r="D243" s="3">
        <f>C243*(1+$M$201)</f>
        <v>50.625</v>
      </c>
      <c r="E243" s="3">
        <f t="shared" ref="E243:L243" si="99">D243*(1+$M$201)</f>
        <v>51.2578125</v>
      </c>
      <c r="F243" s="3">
        <f t="shared" si="99"/>
        <v>51.898535156249999</v>
      </c>
      <c r="G243" s="3">
        <f t="shared" si="99"/>
        <v>52.54726684570312</v>
      </c>
      <c r="H243" s="3">
        <f t="shared" si="99"/>
        <v>53.204107681274408</v>
      </c>
      <c r="I243" s="3">
        <f t="shared" si="99"/>
        <v>53.869159027290337</v>
      </c>
      <c r="J243" s="3">
        <f t="shared" si="99"/>
        <v>54.542523515131464</v>
      </c>
      <c r="K243" s="3">
        <f t="shared" si="99"/>
        <v>55.224305059070602</v>
      </c>
      <c r="L243" s="3">
        <f t="shared" si="99"/>
        <v>55.914608872308982</v>
      </c>
    </row>
    <row r="244" spans="1:16">
      <c r="A244" s="3" t="s">
        <v>124</v>
      </c>
      <c r="M244" s="7">
        <f>Master!M291</f>
        <v>0.08</v>
      </c>
      <c r="N244" s="3" t="s">
        <v>104</v>
      </c>
    </row>
    <row r="245" spans="1:16">
      <c r="A245" s="3" t="s">
        <v>99</v>
      </c>
      <c r="C245" s="24">
        <f>Master!C292</f>
        <v>30</v>
      </c>
      <c r="D245" s="24">
        <f>Master!D292</f>
        <v>30</v>
      </c>
      <c r="E245" s="24">
        <f>Master!E292</f>
        <v>30</v>
      </c>
      <c r="F245" s="24">
        <f>Master!F292</f>
        <v>30</v>
      </c>
      <c r="G245" s="24">
        <f>Master!G292</f>
        <v>30</v>
      </c>
      <c r="H245" s="24">
        <f>Master!H292</f>
        <v>30</v>
      </c>
      <c r="I245" s="24">
        <f>Master!I292</f>
        <v>30</v>
      </c>
      <c r="J245" s="24">
        <f>Master!J292</f>
        <v>30</v>
      </c>
      <c r="K245" s="24">
        <f>Master!K292</f>
        <v>30</v>
      </c>
      <c r="L245" s="24">
        <f>Master!L292</f>
        <v>30</v>
      </c>
    </row>
    <row r="246" spans="1:16">
      <c r="A246" s="3" t="s">
        <v>130</v>
      </c>
      <c r="M246" s="7">
        <f>Master!M293</f>
        <v>0.75</v>
      </c>
    </row>
    <row r="247" spans="1:16">
      <c r="A247" s="3" t="s">
        <v>93</v>
      </c>
      <c r="C247" s="4">
        <f>Master!C294</f>
        <v>15000</v>
      </c>
      <c r="D247" s="3">
        <f>C247*(1+$M247)</f>
        <v>13500</v>
      </c>
      <c r="E247" s="3">
        <f t="shared" ref="E247:L247" si="100">D247*(1+$M247)</f>
        <v>12150</v>
      </c>
      <c r="F247" s="3">
        <f t="shared" si="100"/>
        <v>10935</v>
      </c>
      <c r="G247" s="3">
        <f t="shared" si="100"/>
        <v>9841.5</v>
      </c>
      <c r="H247" s="3">
        <f t="shared" si="100"/>
        <v>8857.35</v>
      </c>
      <c r="I247" s="3">
        <f t="shared" si="100"/>
        <v>7971.6150000000007</v>
      </c>
      <c r="J247" s="3">
        <f t="shared" si="100"/>
        <v>7174.4535000000005</v>
      </c>
      <c r="K247" s="3">
        <f t="shared" si="100"/>
        <v>6457.0081500000006</v>
      </c>
      <c r="L247" s="3">
        <f t="shared" si="100"/>
        <v>5811.3073350000004</v>
      </c>
      <c r="M247" s="7">
        <f>Master!M294</f>
        <v>-0.1</v>
      </c>
      <c r="N247" s="3" t="s">
        <v>53</v>
      </c>
    </row>
    <row r="248" spans="1:16">
      <c r="A248" s="3" t="s">
        <v>105</v>
      </c>
      <c r="M248" s="24">
        <f>Master!M295</f>
        <v>14</v>
      </c>
    </row>
    <row r="249" spans="1:16">
      <c r="A249" s="3" t="s">
        <v>106</v>
      </c>
      <c r="C249" s="24">
        <f>Master!C296</f>
        <v>8</v>
      </c>
      <c r="D249" s="22">
        <f>C249*(1+$M$201)</f>
        <v>8.1</v>
      </c>
      <c r="E249" s="22">
        <f t="shared" ref="E249:L250" si="101">D249*(1+$M$201)</f>
        <v>8.2012499999999999</v>
      </c>
      <c r="F249" s="22">
        <f t="shared" si="101"/>
        <v>8.3037656249999987</v>
      </c>
      <c r="G249" s="22">
        <f t="shared" si="101"/>
        <v>8.4075626953124978</v>
      </c>
      <c r="H249" s="22">
        <f t="shared" si="101"/>
        <v>8.5126572290039029</v>
      </c>
      <c r="I249" s="22">
        <f t="shared" si="101"/>
        <v>8.6190654443664521</v>
      </c>
      <c r="J249" s="22">
        <f t="shared" si="101"/>
        <v>8.7268037624210315</v>
      </c>
      <c r="K249" s="22">
        <f t="shared" si="101"/>
        <v>8.8358888094512942</v>
      </c>
      <c r="L249" s="22">
        <f t="shared" si="101"/>
        <v>8.946337419569435</v>
      </c>
    </row>
    <row r="250" spans="1:16">
      <c r="A250" s="3" t="s">
        <v>163</v>
      </c>
      <c r="C250" s="24">
        <f>Master!C297</f>
        <v>500</v>
      </c>
      <c r="D250" s="22">
        <f>C250*(1+$M$201)</f>
        <v>506.25</v>
      </c>
      <c r="E250" s="22">
        <f t="shared" si="101"/>
        <v>512.578125</v>
      </c>
      <c r="F250" s="22">
        <f t="shared" si="101"/>
        <v>518.9853515625</v>
      </c>
      <c r="G250" s="22">
        <f t="shared" si="101"/>
        <v>525.4726684570312</v>
      </c>
      <c r="H250" s="22">
        <f t="shared" si="101"/>
        <v>532.04107681274411</v>
      </c>
      <c r="I250" s="22">
        <f t="shared" si="101"/>
        <v>538.69159027290334</v>
      </c>
      <c r="J250" s="22">
        <f t="shared" si="101"/>
        <v>545.42523515131461</v>
      </c>
      <c r="K250" s="22">
        <f t="shared" si="101"/>
        <v>552.24305059070605</v>
      </c>
      <c r="L250" s="22">
        <f t="shared" si="101"/>
        <v>559.14608872308986</v>
      </c>
    </row>
    <row r="251" spans="1:16">
      <c r="A251" s="3" t="s">
        <v>107</v>
      </c>
      <c r="M251" s="7">
        <f>Master!M298</f>
        <v>0.02</v>
      </c>
      <c r="N251" s="1" t="s">
        <v>108</v>
      </c>
    </row>
    <row r="252" spans="1:16">
      <c r="A252" s="3" t="s">
        <v>164</v>
      </c>
      <c r="M252" s="7">
        <f>Master!M299</f>
        <v>0.02</v>
      </c>
      <c r="N252" s="3" t="s">
        <v>109</v>
      </c>
    </row>
    <row r="253" spans="1:16">
      <c r="A253" s="3" t="s">
        <v>110</v>
      </c>
      <c r="M253" s="7">
        <f>Master!M300</f>
        <v>0.05</v>
      </c>
      <c r="N253" s="3" t="s">
        <v>63</v>
      </c>
    </row>
    <row r="254" spans="1:16">
      <c r="A254" s="3" t="s">
        <v>111</v>
      </c>
      <c r="M254" s="7">
        <f>Master!M301</f>
        <v>0.02</v>
      </c>
      <c r="N254" s="3" t="s">
        <v>165</v>
      </c>
      <c r="O254" s="24">
        <f>Master!O301</f>
        <v>300</v>
      </c>
      <c r="P254" s="3" t="s">
        <v>112</v>
      </c>
    </row>
    <row r="255" spans="1:16">
      <c r="A255" s="3" t="s">
        <v>134</v>
      </c>
      <c r="M255" s="24">
        <f>Master!M302</f>
        <v>300</v>
      </c>
    </row>
    <row r="256" spans="1:16">
      <c r="A256" s="3" t="s">
        <v>135</v>
      </c>
      <c r="M256" s="24">
        <f>Master!M303</f>
        <v>200</v>
      </c>
    </row>
    <row r="257" spans="1:13">
      <c r="A257" s="3" t="s">
        <v>136</v>
      </c>
      <c r="M257" s="24">
        <f>Master!M304</f>
        <v>35</v>
      </c>
    </row>
    <row r="258" spans="1:13">
      <c r="A258" s="3" t="s">
        <v>114</v>
      </c>
      <c r="M258" s="24">
        <f>Master!M305</f>
        <v>5</v>
      </c>
    </row>
    <row r="259" spans="1:13">
      <c r="A259" s="3" t="s">
        <v>115</v>
      </c>
      <c r="M259" s="24">
        <f>Master!M306</f>
        <v>30</v>
      </c>
    </row>
    <row r="260" spans="1:13">
      <c r="A260" s="3" t="s">
        <v>91</v>
      </c>
      <c r="C260" s="4">
        <f>Master!C307</f>
        <v>40000</v>
      </c>
      <c r="D260" s="22">
        <f>C260*(1+$M$201)</f>
        <v>40500</v>
      </c>
      <c r="E260" s="22">
        <f t="shared" ref="E260:L260" si="102">D260*(1+$M$201)</f>
        <v>41006.25</v>
      </c>
      <c r="F260" s="22">
        <f t="shared" si="102"/>
        <v>41518.828125</v>
      </c>
      <c r="G260" s="22">
        <f t="shared" si="102"/>
        <v>42037.8134765625</v>
      </c>
      <c r="H260" s="22">
        <f t="shared" si="102"/>
        <v>42563.286145019527</v>
      </c>
      <c r="I260" s="22">
        <f t="shared" si="102"/>
        <v>43095.327221832267</v>
      </c>
      <c r="J260" s="22">
        <f t="shared" si="102"/>
        <v>43634.018812105169</v>
      </c>
      <c r="K260" s="22">
        <f t="shared" si="102"/>
        <v>44179.444047256482</v>
      </c>
      <c r="L260" s="22">
        <f t="shared" si="102"/>
        <v>44731.687097847185</v>
      </c>
    </row>
    <row r="261" spans="1:13">
      <c r="A261" s="33" t="s">
        <v>160</v>
      </c>
      <c r="B261" s="33"/>
      <c r="C261" s="7">
        <f>Master!C308</f>
        <v>5.0000000000000001E-4</v>
      </c>
      <c r="D261" s="35">
        <f>C261*(1+$M$261)</f>
        <v>5.0000000000000001E-4</v>
      </c>
      <c r="E261" s="35">
        <f t="shared" ref="E261:L261" si="103">D261*(1+$M$261)</f>
        <v>5.0000000000000001E-4</v>
      </c>
      <c r="F261" s="35">
        <f t="shared" si="103"/>
        <v>5.0000000000000001E-4</v>
      </c>
      <c r="G261" s="35">
        <f t="shared" si="103"/>
        <v>5.0000000000000001E-4</v>
      </c>
      <c r="H261" s="35">
        <f t="shared" si="103"/>
        <v>5.0000000000000001E-4</v>
      </c>
      <c r="I261" s="35">
        <f t="shared" si="103"/>
        <v>5.0000000000000001E-4</v>
      </c>
      <c r="J261" s="35">
        <f t="shared" si="103"/>
        <v>5.0000000000000001E-4</v>
      </c>
      <c r="K261" s="35">
        <f t="shared" si="103"/>
        <v>5.0000000000000001E-4</v>
      </c>
      <c r="L261" s="35">
        <f t="shared" si="103"/>
        <v>5.0000000000000001E-4</v>
      </c>
      <c r="M261" s="7">
        <f>Master!M308</f>
        <v>0</v>
      </c>
    </row>
    <row r="262" spans="1:13">
      <c r="A262" s="33" t="s">
        <v>161</v>
      </c>
      <c r="B262" s="33"/>
      <c r="C262" s="7">
        <f>Master!C309</f>
        <v>7.0000000000000007E-2</v>
      </c>
      <c r="D262" s="35">
        <f>C262*(1+$M$262)</f>
        <v>7.0000000000000007E-2</v>
      </c>
      <c r="E262" s="35">
        <f t="shared" ref="E262:L262" si="104">D262*(1+$M$262)</f>
        <v>7.0000000000000007E-2</v>
      </c>
      <c r="F262" s="35">
        <f t="shared" si="104"/>
        <v>7.0000000000000007E-2</v>
      </c>
      <c r="G262" s="35">
        <f t="shared" si="104"/>
        <v>7.0000000000000007E-2</v>
      </c>
      <c r="H262" s="35">
        <f t="shared" si="104"/>
        <v>7.0000000000000007E-2</v>
      </c>
      <c r="I262" s="35">
        <f t="shared" si="104"/>
        <v>7.0000000000000007E-2</v>
      </c>
      <c r="J262" s="35">
        <f t="shared" si="104"/>
        <v>7.0000000000000007E-2</v>
      </c>
      <c r="K262" s="35">
        <f t="shared" si="104"/>
        <v>7.0000000000000007E-2</v>
      </c>
      <c r="L262" s="35">
        <f t="shared" si="104"/>
        <v>7.0000000000000007E-2</v>
      </c>
      <c r="M262" s="7">
        <f>Master!M309</f>
        <v>0</v>
      </c>
    </row>
    <row r="263" spans="1:13">
      <c r="A263" s="69" t="s">
        <v>162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50"/>
    </row>
    <row r="264" spans="1:13">
      <c r="A264" s="33" t="s">
        <v>169</v>
      </c>
      <c r="B264" s="33"/>
      <c r="C264" s="24">
        <f>Master!C311</f>
        <v>0.5</v>
      </c>
      <c r="D264" s="43">
        <f>C264*(1+$M$264)</f>
        <v>0.5</v>
      </c>
      <c r="E264" s="43">
        <f t="shared" ref="E264:L264" si="105">D264*(1+$M$264)</f>
        <v>0.5</v>
      </c>
      <c r="F264" s="43">
        <f t="shared" si="105"/>
        <v>0.5</v>
      </c>
      <c r="G264" s="43">
        <f t="shared" si="105"/>
        <v>0.5</v>
      </c>
      <c r="H264" s="43">
        <f t="shared" si="105"/>
        <v>0.5</v>
      </c>
      <c r="I264" s="43">
        <f t="shared" si="105"/>
        <v>0.5</v>
      </c>
      <c r="J264" s="43">
        <f t="shared" si="105"/>
        <v>0.5</v>
      </c>
      <c r="K264" s="43">
        <f t="shared" si="105"/>
        <v>0.5</v>
      </c>
      <c r="L264" s="43">
        <f t="shared" si="105"/>
        <v>0.5</v>
      </c>
      <c r="M264" s="7">
        <f>Master!M311</f>
        <v>0</v>
      </c>
    </row>
    <row r="265" spans="1:13">
      <c r="M265" s="38"/>
    </row>
    <row r="274" spans="2:2">
      <c r="B274" s="6"/>
    </row>
  </sheetData>
  <mergeCells count="19">
    <mergeCell ref="A263:L263"/>
    <mergeCell ref="A202:L202"/>
    <mergeCell ref="A204:L204"/>
    <mergeCell ref="A212:L212"/>
    <mergeCell ref="A213:L213"/>
    <mergeCell ref="A216:L216"/>
    <mergeCell ref="C198:L198"/>
    <mergeCell ref="M198:P198"/>
    <mergeCell ref="A1:L1"/>
    <mergeCell ref="A2:L2"/>
    <mergeCell ref="A47:L47"/>
    <mergeCell ref="A52:L52"/>
    <mergeCell ref="A53:L53"/>
    <mergeCell ref="A57:L57"/>
    <mergeCell ref="A84:L84"/>
    <mergeCell ref="A108:L108"/>
    <mergeCell ref="A142:L142"/>
    <mergeCell ref="A155:L155"/>
    <mergeCell ref="A191:P191"/>
  </mergeCells>
  <pageMargins left="0.75" right="0.75" top="1" bottom="1" header="0.5" footer="0.5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pushThis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P274"/>
  <sheetViews>
    <sheetView topLeftCell="B1" workbookViewId="0">
      <selection activeCell="I20" sqref="I20"/>
    </sheetView>
  </sheetViews>
  <sheetFormatPr defaultColWidth="10.875" defaultRowHeight="15.75"/>
  <cols>
    <col min="1" max="1" width="38.625" style="3" customWidth="1"/>
    <col min="2" max="2" width="18.5" style="3" bestFit="1" customWidth="1"/>
    <col min="3" max="3" width="12.5" style="3" bestFit="1" customWidth="1"/>
    <col min="4" max="4" width="13.875" style="3" bestFit="1" customWidth="1"/>
    <col min="5" max="6" width="13.5" style="3" bestFit="1" customWidth="1"/>
    <col min="7" max="7" width="14" style="3" bestFit="1" customWidth="1"/>
    <col min="8" max="11" width="13.5" style="3" bestFit="1" customWidth="1"/>
    <col min="12" max="12" width="14.125" style="3" bestFit="1" customWidth="1"/>
    <col min="13" max="13" width="11.5" style="3" bestFit="1" customWidth="1"/>
    <col min="14" max="14" width="28.625" style="3" bestFit="1" customWidth="1"/>
    <col min="15" max="15" width="10.125" style="3" bestFit="1" customWidth="1"/>
    <col min="16" max="16" width="11.125" style="3" bestFit="1" customWidth="1"/>
    <col min="17" max="16384" width="10.875" style="3"/>
  </cols>
  <sheetData>
    <row r="1" spans="1:12">
      <c r="A1" s="72" t="str">
        <f>A196</f>
        <v>Timber Creek Golf Course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C4" s="2">
        <f>C199</f>
        <v>2014</v>
      </c>
      <c r="D4" s="2">
        <f t="shared" ref="D4:L4" si="0">D199</f>
        <v>2015</v>
      </c>
      <c r="E4" s="2">
        <f t="shared" si="0"/>
        <v>2016</v>
      </c>
      <c r="F4" s="2">
        <f t="shared" si="0"/>
        <v>2017</v>
      </c>
      <c r="G4" s="2">
        <f t="shared" si="0"/>
        <v>2018</v>
      </c>
      <c r="H4" s="2">
        <f t="shared" si="0"/>
        <v>2019</v>
      </c>
      <c r="I4" s="2">
        <f t="shared" si="0"/>
        <v>2020</v>
      </c>
      <c r="J4" s="2">
        <f t="shared" si="0"/>
        <v>2021</v>
      </c>
      <c r="K4" s="2">
        <f t="shared" si="0"/>
        <v>2022</v>
      </c>
      <c r="L4" s="2">
        <f t="shared" si="0"/>
        <v>2023</v>
      </c>
    </row>
    <row r="5" spans="1:12">
      <c r="A5" s="3" t="s">
        <v>1</v>
      </c>
    </row>
    <row r="6" spans="1:12">
      <c r="A6" s="10" t="s">
        <v>83</v>
      </c>
      <c r="B6" s="10"/>
      <c r="C6" s="3">
        <f t="shared" ref="C6:L6" si="1">($M$230*C245*$M$231*C229)*(1-$M$232)*(1-$M$239)</f>
        <v>122219.99999999999</v>
      </c>
      <c r="D6" s="3">
        <f t="shared" si="1"/>
        <v>123747.74999999999</v>
      </c>
      <c r="E6" s="3">
        <f t="shared" si="1"/>
        <v>125294.59687499999</v>
      </c>
      <c r="F6" s="3">
        <f t="shared" si="1"/>
        <v>126860.77933593748</v>
      </c>
      <c r="G6" s="3">
        <f t="shared" si="1"/>
        <v>128446.53907763673</v>
      </c>
      <c r="H6" s="3">
        <f t="shared" si="1"/>
        <v>130052.12081610716</v>
      </c>
      <c r="I6" s="3">
        <f t="shared" si="1"/>
        <v>131677.77232630848</v>
      </c>
      <c r="J6" s="3">
        <f t="shared" si="1"/>
        <v>133323.74448038734</v>
      </c>
      <c r="K6" s="3">
        <f t="shared" si="1"/>
        <v>134990.29128639217</v>
      </c>
      <c r="L6" s="3">
        <f t="shared" si="1"/>
        <v>136677.66992747207</v>
      </c>
    </row>
    <row r="7" spans="1:12">
      <c r="A7" s="10" t="s">
        <v>166</v>
      </c>
      <c r="B7" s="10"/>
      <c r="C7" s="3">
        <f t="shared" ref="C7:L7" si="2">($M$230*C245*$M$231*C229)*(1-$M$232)*$M$239</f>
        <v>3779.9999999999995</v>
      </c>
      <c r="D7" s="3">
        <f t="shared" si="2"/>
        <v>3827.2499999999995</v>
      </c>
      <c r="E7" s="3">
        <f t="shared" si="2"/>
        <v>3875.0906249999994</v>
      </c>
      <c r="F7" s="3">
        <f t="shared" si="2"/>
        <v>3923.5292578124995</v>
      </c>
      <c r="G7" s="3">
        <f t="shared" si="2"/>
        <v>3972.5733735351564</v>
      </c>
      <c r="H7" s="3">
        <f t="shared" si="2"/>
        <v>4022.230540704345</v>
      </c>
      <c r="I7" s="3">
        <f t="shared" si="2"/>
        <v>4072.5084224631482</v>
      </c>
      <c r="J7" s="3">
        <f t="shared" si="2"/>
        <v>4123.4147777439384</v>
      </c>
      <c r="K7" s="3">
        <f t="shared" si="2"/>
        <v>4174.9574624657371</v>
      </c>
      <c r="L7" s="3">
        <f t="shared" si="2"/>
        <v>4227.144430746559</v>
      </c>
    </row>
    <row r="8" spans="1:12">
      <c r="A8" s="10" t="s">
        <v>81</v>
      </c>
      <c r="B8" s="10"/>
      <c r="C8" s="3">
        <f t="shared" ref="C8:L8" si="3">C227*$M$228*$M$230*C245*$M$231</f>
        <v>45000</v>
      </c>
      <c r="D8" s="3">
        <f t="shared" si="3"/>
        <v>45562.5</v>
      </c>
      <c r="E8" s="3">
        <f t="shared" si="3"/>
        <v>46132.03125</v>
      </c>
      <c r="F8" s="3">
        <f t="shared" si="3"/>
        <v>46708.681640625</v>
      </c>
      <c r="G8" s="3">
        <f t="shared" si="3"/>
        <v>47292.540161132805</v>
      </c>
      <c r="H8" s="3">
        <f t="shared" si="3"/>
        <v>47883.696913146967</v>
      </c>
      <c r="I8" s="3">
        <f t="shared" si="3"/>
        <v>48482.243124561297</v>
      </c>
      <c r="J8" s="3">
        <f t="shared" si="3"/>
        <v>49088.271163618316</v>
      </c>
      <c r="K8" s="3">
        <f t="shared" si="3"/>
        <v>49701.874553163543</v>
      </c>
      <c r="L8" s="3">
        <f t="shared" si="3"/>
        <v>50323.147985078082</v>
      </c>
    </row>
    <row r="9" spans="1:12">
      <c r="A9" s="10" t="s">
        <v>119</v>
      </c>
      <c r="B9" s="10"/>
      <c r="C9" s="3">
        <f>C233*C234</f>
        <v>153125</v>
      </c>
      <c r="D9" s="3">
        <f t="shared" ref="D9:L9" si="4">D233*D234</f>
        <v>158139.84375</v>
      </c>
      <c r="E9" s="3">
        <f t="shared" si="4"/>
        <v>163318.92363281251</v>
      </c>
      <c r="F9" s="3">
        <f t="shared" si="4"/>
        <v>168667.61838178712</v>
      </c>
      <c r="G9" s="3">
        <f t="shared" si="4"/>
        <v>174191.48288379065</v>
      </c>
      <c r="H9" s="3">
        <f t="shared" si="4"/>
        <v>179896.25394823478</v>
      </c>
      <c r="I9" s="3">
        <f t="shared" si="4"/>
        <v>185787.85626503945</v>
      </c>
      <c r="J9" s="3">
        <f t="shared" si="4"/>
        <v>191872.40855771946</v>
      </c>
      <c r="K9" s="3">
        <f t="shared" si="4"/>
        <v>198156.22993798481</v>
      </c>
      <c r="L9" s="3">
        <f t="shared" si="4"/>
        <v>204645.84646845382</v>
      </c>
    </row>
    <row r="10" spans="1:12">
      <c r="A10" s="10" t="s">
        <v>87</v>
      </c>
      <c r="B10" s="10"/>
      <c r="C10" s="3">
        <f t="shared" ref="C10:L10" si="5">C237*$M$230*$M$231*$M$238</f>
        <v>2100</v>
      </c>
      <c r="D10" s="3">
        <f t="shared" si="5"/>
        <v>2126.25</v>
      </c>
      <c r="E10" s="3">
        <f t="shared" si="5"/>
        <v>2152.8281249999995</v>
      </c>
      <c r="F10" s="3">
        <f t="shared" si="5"/>
        <v>2179.7384765624993</v>
      </c>
      <c r="G10" s="3">
        <f t="shared" si="5"/>
        <v>2206.9852075195304</v>
      </c>
      <c r="H10" s="3">
        <f t="shared" si="5"/>
        <v>2234.5725226135246</v>
      </c>
      <c r="I10" s="3">
        <f t="shared" si="5"/>
        <v>2262.5046791461937</v>
      </c>
      <c r="J10" s="3">
        <f t="shared" si="5"/>
        <v>2290.785987635521</v>
      </c>
      <c r="K10" s="3">
        <f t="shared" si="5"/>
        <v>2319.4208124809647</v>
      </c>
      <c r="L10" s="3">
        <f t="shared" si="5"/>
        <v>2348.4135726369768</v>
      </c>
    </row>
    <row r="11" spans="1:12">
      <c r="A11" s="10" t="s">
        <v>122</v>
      </c>
      <c r="B11" s="10"/>
      <c r="C11" s="3">
        <f t="shared" ref="C11:L11" si="6">$M$240*C234*C241</f>
        <v>5625</v>
      </c>
      <c r="D11" s="3">
        <f t="shared" si="6"/>
        <v>5809.21875</v>
      </c>
      <c r="E11" s="3">
        <f t="shared" si="6"/>
        <v>5999.4706640625009</v>
      </c>
      <c r="F11" s="3">
        <f t="shared" si="6"/>
        <v>6195.9533283105475</v>
      </c>
      <c r="G11" s="3">
        <f t="shared" si="6"/>
        <v>6398.8707998127175</v>
      </c>
      <c r="H11" s="3">
        <f t="shared" si="6"/>
        <v>6608.4338185065835</v>
      </c>
      <c r="I11" s="3">
        <f t="shared" si="6"/>
        <v>6824.8600260626727</v>
      </c>
      <c r="J11" s="3">
        <f t="shared" si="6"/>
        <v>7048.3741919162258</v>
      </c>
      <c r="K11" s="3">
        <f t="shared" si="6"/>
        <v>7279.2084467014829</v>
      </c>
      <c r="L11" s="3">
        <f t="shared" si="6"/>
        <v>7517.6025233309556</v>
      </c>
    </row>
    <row r="12" spans="1:12">
      <c r="A12" s="10" t="s">
        <v>123</v>
      </c>
      <c r="B12" s="10"/>
      <c r="C12" s="3">
        <f t="shared" ref="C12:L12" si="7">C234*C243*$M$242</f>
        <v>3125</v>
      </c>
      <c r="D12" s="3">
        <f t="shared" si="7"/>
        <v>3227.34375</v>
      </c>
      <c r="E12" s="3">
        <f t="shared" si="7"/>
        <v>3333.0392578125002</v>
      </c>
      <c r="F12" s="3">
        <f t="shared" si="7"/>
        <v>3442.1962935058596</v>
      </c>
      <c r="G12" s="3">
        <f t="shared" si="7"/>
        <v>3554.9282221181761</v>
      </c>
      <c r="H12" s="3">
        <f t="shared" si="7"/>
        <v>3671.352121392546</v>
      </c>
      <c r="I12" s="3">
        <f t="shared" si="7"/>
        <v>3791.5889033681519</v>
      </c>
      <c r="J12" s="3">
        <f t="shared" si="7"/>
        <v>3915.7634399534591</v>
      </c>
      <c r="K12" s="3">
        <f t="shared" si="7"/>
        <v>4044.0046926119344</v>
      </c>
      <c r="L12" s="3">
        <f t="shared" si="7"/>
        <v>4176.4458462949751</v>
      </c>
    </row>
    <row r="13" spans="1:12">
      <c r="A13" s="10" t="s">
        <v>124</v>
      </c>
      <c r="B13" s="10"/>
      <c r="C13" s="3">
        <f t="shared" ref="C13:L13" si="8">C6*$M$244</f>
        <v>9777.5999999999985</v>
      </c>
      <c r="D13" s="3">
        <f t="shared" si="8"/>
        <v>9899.82</v>
      </c>
      <c r="E13" s="3">
        <f t="shared" si="8"/>
        <v>10023.56775</v>
      </c>
      <c r="F13" s="3">
        <f t="shared" si="8"/>
        <v>10148.862346874999</v>
      </c>
      <c r="G13" s="3">
        <f t="shared" si="8"/>
        <v>10275.723126210938</v>
      </c>
      <c r="H13" s="3">
        <f t="shared" si="8"/>
        <v>10404.169665288573</v>
      </c>
      <c r="I13" s="3">
        <f t="shared" si="8"/>
        <v>10534.221786104679</v>
      </c>
      <c r="J13" s="3">
        <f t="shared" si="8"/>
        <v>10665.899558430987</v>
      </c>
      <c r="K13" s="3">
        <f t="shared" si="8"/>
        <v>10799.223302911374</v>
      </c>
      <c r="L13" s="3">
        <f t="shared" si="8"/>
        <v>10934.213594197767</v>
      </c>
    </row>
    <row r="14" spans="1:12">
      <c r="A14" s="10" t="s">
        <v>82</v>
      </c>
      <c r="B14" s="10"/>
      <c r="C14" s="3">
        <f t="shared" ref="C14:L14" si="9">C235*C245*$M$230*$M$236*$M$231</f>
        <v>72000</v>
      </c>
      <c r="D14" s="3">
        <f t="shared" si="9"/>
        <v>72900</v>
      </c>
      <c r="E14" s="3">
        <f t="shared" si="9"/>
        <v>73811.25</v>
      </c>
      <c r="F14" s="3">
        <f t="shared" si="9"/>
        <v>74733.890625</v>
      </c>
      <c r="G14" s="3">
        <f t="shared" si="9"/>
        <v>75668.064257812497</v>
      </c>
      <c r="H14" s="3">
        <f t="shared" si="9"/>
        <v>76613.915061035135</v>
      </c>
      <c r="I14" s="3">
        <f t="shared" si="9"/>
        <v>77571.588999298081</v>
      </c>
      <c r="J14" s="3">
        <f t="shared" si="9"/>
        <v>78541.233861789311</v>
      </c>
      <c r="K14" s="3">
        <f t="shared" si="9"/>
        <v>79522.999285061669</v>
      </c>
      <c r="L14" s="3">
        <f t="shared" si="9"/>
        <v>80517.036776124951</v>
      </c>
    </row>
    <row r="15" spans="1:12">
      <c r="A15" s="62" t="s">
        <v>12</v>
      </c>
      <c r="B15" s="62"/>
      <c r="C15" s="19">
        <f t="shared" ref="C15:L15" si="10">SUM(C6:C14)</f>
        <v>416752.6</v>
      </c>
      <c r="D15" s="19">
        <f t="shared" si="10"/>
        <v>425239.97625000001</v>
      </c>
      <c r="E15" s="19">
        <f t="shared" si="10"/>
        <v>433940.79817968747</v>
      </c>
      <c r="F15" s="19">
        <f t="shared" si="10"/>
        <v>442861.24968641601</v>
      </c>
      <c r="G15" s="19">
        <f t="shared" si="10"/>
        <v>452007.70710956922</v>
      </c>
      <c r="H15" s="19">
        <f t="shared" si="10"/>
        <v>461386.74540702964</v>
      </c>
      <c r="I15" s="19">
        <f t="shared" si="10"/>
        <v>471005.1445323521</v>
      </c>
      <c r="J15" s="19">
        <f t="shared" si="10"/>
        <v>480869.89601919451</v>
      </c>
      <c r="K15" s="19">
        <f t="shared" si="10"/>
        <v>490988.20977977366</v>
      </c>
      <c r="L15" s="19">
        <f t="shared" si="10"/>
        <v>501367.52112433611</v>
      </c>
    </row>
    <row r="17" spans="1:12">
      <c r="A17" s="3" t="s">
        <v>46</v>
      </c>
      <c r="C17" s="3">
        <f t="shared" ref="C17:L17" si="11">(C11+C12+C13)/(1+$M$246)</f>
        <v>10587.199999999999</v>
      </c>
      <c r="D17" s="3">
        <f t="shared" si="11"/>
        <v>10820.789999999999</v>
      </c>
      <c r="E17" s="3">
        <f t="shared" si="11"/>
        <v>11060.615812499998</v>
      </c>
      <c r="F17" s="3">
        <f t="shared" si="11"/>
        <v>11306.863982109373</v>
      </c>
      <c r="G17" s="3">
        <f t="shared" si="11"/>
        <v>11559.726941795334</v>
      </c>
      <c r="H17" s="3">
        <f t="shared" si="11"/>
        <v>11819.4032029644</v>
      </c>
      <c r="I17" s="3">
        <f t="shared" si="11"/>
        <v>12086.097551734574</v>
      </c>
      <c r="J17" s="3">
        <f t="shared" si="11"/>
        <v>12360.021251600385</v>
      </c>
      <c r="K17" s="3">
        <f t="shared" si="11"/>
        <v>12641.392252699879</v>
      </c>
      <c r="L17" s="3">
        <f t="shared" si="11"/>
        <v>12930.435407899256</v>
      </c>
    </row>
    <row r="18" spans="1:12">
      <c r="A18" s="3" t="s">
        <v>103</v>
      </c>
      <c r="C18" s="11">
        <f t="shared" ref="C18:L18" si="12">C14/(1+$M$246)</f>
        <v>41142.857142857145</v>
      </c>
      <c r="D18" s="11">
        <f t="shared" si="12"/>
        <v>41657.142857142855</v>
      </c>
      <c r="E18" s="11">
        <f t="shared" si="12"/>
        <v>42177.857142857145</v>
      </c>
      <c r="F18" s="11">
        <f t="shared" si="12"/>
        <v>42705.080357142855</v>
      </c>
      <c r="G18" s="11">
        <f t="shared" si="12"/>
        <v>43238.893861607139</v>
      </c>
      <c r="H18" s="11">
        <f t="shared" si="12"/>
        <v>43779.38003487722</v>
      </c>
      <c r="I18" s="11">
        <f t="shared" si="12"/>
        <v>44326.622285313191</v>
      </c>
      <c r="J18" s="11">
        <f t="shared" si="12"/>
        <v>44880.705063879606</v>
      </c>
      <c r="K18" s="11">
        <f t="shared" si="12"/>
        <v>45441.713877178096</v>
      </c>
      <c r="L18" s="11">
        <f t="shared" si="12"/>
        <v>46009.735300642831</v>
      </c>
    </row>
    <row r="19" spans="1:12">
      <c r="A19" s="10" t="s">
        <v>47</v>
      </c>
      <c r="C19" s="3">
        <f>C15-SUM(C17:C18)</f>
        <v>365022.54285714286</v>
      </c>
      <c r="D19" s="3">
        <f t="shared" ref="D19:L19" si="13">D15-SUM(D17:D18)</f>
        <v>372762.04339285713</v>
      </c>
      <c r="E19" s="3">
        <f t="shared" si="13"/>
        <v>380702.3252243303</v>
      </c>
      <c r="F19" s="3">
        <f t="shared" si="13"/>
        <v>388849.30534716375</v>
      </c>
      <c r="G19" s="3">
        <f t="shared" si="13"/>
        <v>397209.08630616672</v>
      </c>
      <c r="H19" s="3">
        <f t="shared" si="13"/>
        <v>405787.96216918802</v>
      </c>
      <c r="I19" s="3">
        <f t="shared" si="13"/>
        <v>414592.42469530436</v>
      </c>
      <c r="J19" s="3">
        <f t="shared" si="13"/>
        <v>423629.16970371455</v>
      </c>
      <c r="K19" s="3">
        <f t="shared" si="13"/>
        <v>432905.1036498957</v>
      </c>
      <c r="L19" s="3">
        <f t="shared" si="13"/>
        <v>442427.350415794</v>
      </c>
    </row>
    <row r="21" spans="1:12">
      <c r="A21" s="3" t="s">
        <v>21</v>
      </c>
    </row>
    <row r="22" spans="1:12">
      <c r="A22" s="10" t="s">
        <v>92</v>
      </c>
      <c r="B22" s="10"/>
      <c r="C22" s="3">
        <f>C260</f>
        <v>40000</v>
      </c>
      <c r="D22" s="3">
        <f t="shared" ref="D22:L22" si="14">D260</f>
        <v>40500</v>
      </c>
      <c r="E22" s="3">
        <f t="shared" si="14"/>
        <v>41006.25</v>
      </c>
      <c r="F22" s="3">
        <f t="shared" si="14"/>
        <v>41518.828125</v>
      </c>
      <c r="G22" s="3">
        <f t="shared" si="14"/>
        <v>42037.8134765625</v>
      </c>
      <c r="H22" s="3">
        <f t="shared" si="14"/>
        <v>42563.286145019527</v>
      </c>
      <c r="I22" s="3">
        <f t="shared" si="14"/>
        <v>43095.327221832267</v>
      </c>
      <c r="J22" s="3">
        <f t="shared" si="14"/>
        <v>43634.018812105169</v>
      </c>
      <c r="K22" s="3">
        <f t="shared" si="14"/>
        <v>44179.444047256482</v>
      </c>
      <c r="L22" s="3">
        <f t="shared" si="14"/>
        <v>44731.687097847185</v>
      </c>
    </row>
    <row r="23" spans="1:12">
      <c r="A23" s="10" t="s">
        <v>93</v>
      </c>
      <c r="B23" s="10"/>
      <c r="C23" s="3">
        <f>C247</f>
        <v>15000</v>
      </c>
      <c r="D23" s="3">
        <f t="shared" ref="D23:L23" si="15">D247</f>
        <v>13500</v>
      </c>
      <c r="E23" s="3">
        <f t="shared" si="15"/>
        <v>12150</v>
      </c>
      <c r="F23" s="3">
        <f t="shared" si="15"/>
        <v>10935</v>
      </c>
      <c r="G23" s="3">
        <f t="shared" si="15"/>
        <v>9841.5</v>
      </c>
      <c r="H23" s="3">
        <f t="shared" si="15"/>
        <v>8857.35</v>
      </c>
      <c r="I23" s="3">
        <f t="shared" si="15"/>
        <v>7971.6150000000007</v>
      </c>
      <c r="J23" s="3">
        <f t="shared" si="15"/>
        <v>7174.4535000000005</v>
      </c>
      <c r="K23" s="3">
        <f t="shared" si="15"/>
        <v>6457.0081500000006</v>
      </c>
      <c r="L23" s="3">
        <f t="shared" si="15"/>
        <v>5811.3073350000004</v>
      </c>
    </row>
    <row r="24" spans="1:12">
      <c r="A24" s="10" t="s">
        <v>88</v>
      </c>
      <c r="B24" s="10"/>
      <c r="C24" s="3">
        <f>$M$248*40*C245*C249</f>
        <v>134400</v>
      </c>
      <c r="D24" s="3">
        <f t="shared" ref="D24:L24" si="16">$M$248*40*D245*D249</f>
        <v>136080</v>
      </c>
      <c r="E24" s="3">
        <f t="shared" si="16"/>
        <v>137781</v>
      </c>
      <c r="F24" s="3">
        <f t="shared" si="16"/>
        <v>139503.26249999998</v>
      </c>
      <c r="G24" s="3">
        <f t="shared" si="16"/>
        <v>141247.05328124997</v>
      </c>
      <c r="H24" s="3">
        <f t="shared" si="16"/>
        <v>143012.64144726557</v>
      </c>
      <c r="I24" s="3">
        <f t="shared" si="16"/>
        <v>144800.29946535639</v>
      </c>
      <c r="J24" s="3">
        <f t="shared" si="16"/>
        <v>146610.30320867334</v>
      </c>
      <c r="K24" s="3">
        <f t="shared" si="16"/>
        <v>148442.93199878174</v>
      </c>
      <c r="L24" s="3">
        <f t="shared" si="16"/>
        <v>150298.46864876652</v>
      </c>
    </row>
    <row r="25" spans="1:12">
      <c r="A25" s="10" t="s">
        <v>79</v>
      </c>
      <c r="B25" s="10"/>
      <c r="C25" s="3">
        <f t="shared" ref="C25:L25" si="17">C15*$M$253</f>
        <v>20837.63</v>
      </c>
      <c r="D25" s="3">
        <f t="shared" si="17"/>
        <v>21261.998812500002</v>
      </c>
      <c r="E25" s="3">
        <f t="shared" si="17"/>
        <v>21697.039908984374</v>
      </c>
      <c r="F25" s="3">
        <f t="shared" si="17"/>
        <v>22143.062484320802</v>
      </c>
      <c r="G25" s="3">
        <f t="shared" si="17"/>
        <v>22600.385355478462</v>
      </c>
      <c r="H25" s="3">
        <f t="shared" si="17"/>
        <v>23069.337270351483</v>
      </c>
      <c r="I25" s="3">
        <f t="shared" si="17"/>
        <v>23550.257226617607</v>
      </c>
      <c r="J25" s="3">
        <f t="shared" si="17"/>
        <v>24043.494800959728</v>
      </c>
      <c r="K25" s="3">
        <f t="shared" si="17"/>
        <v>24549.410488988684</v>
      </c>
      <c r="L25" s="3">
        <f t="shared" si="17"/>
        <v>25068.376056216806</v>
      </c>
    </row>
    <row r="26" spans="1:12">
      <c r="A26" s="10" t="s">
        <v>80</v>
      </c>
      <c r="B26" s="10"/>
      <c r="C26" s="3">
        <f t="shared" ref="C26:L26" si="18">C15*$M$254+$O$254*$M$220</f>
        <v>51235.051999999996</v>
      </c>
      <c r="D26" s="3">
        <f t="shared" si="18"/>
        <v>51404.799525000002</v>
      </c>
      <c r="E26" s="3">
        <f t="shared" si="18"/>
        <v>51578.815963593748</v>
      </c>
      <c r="F26" s="3">
        <f t="shared" si="18"/>
        <v>51757.22499372832</v>
      </c>
      <c r="G26" s="3">
        <f t="shared" si="18"/>
        <v>51940.154142191386</v>
      </c>
      <c r="H26" s="3">
        <f t="shared" si="18"/>
        <v>52127.734908140592</v>
      </c>
      <c r="I26" s="3">
        <f t="shared" si="18"/>
        <v>52320.102890647046</v>
      </c>
      <c r="J26" s="3">
        <f t="shared" si="18"/>
        <v>52517.39792038389</v>
      </c>
      <c r="K26" s="3">
        <f t="shared" si="18"/>
        <v>52719.764195595475</v>
      </c>
      <c r="L26" s="3">
        <f t="shared" si="18"/>
        <v>52927.350422486721</v>
      </c>
    </row>
    <row r="27" spans="1:12">
      <c r="A27" s="10" t="s">
        <v>167</v>
      </c>
      <c r="B27" s="10"/>
      <c r="C27" s="13">
        <f>C245*C250</f>
        <v>15000</v>
      </c>
      <c r="D27" s="13">
        <f t="shared" ref="D27:L27" si="19">D245*D250</f>
        <v>15187.5</v>
      </c>
      <c r="E27" s="13">
        <f t="shared" si="19"/>
        <v>15377.34375</v>
      </c>
      <c r="F27" s="13">
        <f t="shared" si="19"/>
        <v>15569.560546875</v>
      </c>
      <c r="G27" s="13">
        <f t="shared" si="19"/>
        <v>15764.180053710936</v>
      </c>
      <c r="H27" s="13">
        <f t="shared" si="19"/>
        <v>15961.232304382323</v>
      </c>
      <c r="I27" s="13">
        <f t="shared" si="19"/>
        <v>16160.7477081871</v>
      </c>
      <c r="J27" s="13">
        <f t="shared" si="19"/>
        <v>16362.757054539437</v>
      </c>
      <c r="K27" s="13">
        <f t="shared" si="19"/>
        <v>16567.29151772118</v>
      </c>
      <c r="L27" s="13">
        <f t="shared" si="19"/>
        <v>16774.382661692696</v>
      </c>
    </row>
    <row r="28" spans="1:12">
      <c r="A28" s="10" t="s">
        <v>94</v>
      </c>
      <c r="B28" s="10"/>
      <c r="C28" s="13">
        <f t="shared" ref="C28:L28" si="20">C80*$M$251</f>
        <v>31406.04</v>
      </c>
      <c r="D28" s="13">
        <f t="shared" si="20"/>
        <v>30516.080000000002</v>
      </c>
      <c r="E28" s="13">
        <f t="shared" si="20"/>
        <v>29626.12</v>
      </c>
      <c r="F28" s="13">
        <f t="shared" si="20"/>
        <v>28736.16</v>
      </c>
      <c r="G28" s="13">
        <f t="shared" si="20"/>
        <v>27846.2</v>
      </c>
      <c r="H28" s="13">
        <f t="shared" si="20"/>
        <v>31665.4</v>
      </c>
      <c r="I28" s="13">
        <f t="shared" si="20"/>
        <v>30540.600000000002</v>
      </c>
      <c r="J28" s="13">
        <f t="shared" si="20"/>
        <v>29415.8</v>
      </c>
      <c r="K28" s="13">
        <f t="shared" si="20"/>
        <v>28291</v>
      </c>
      <c r="L28" s="13">
        <f t="shared" si="20"/>
        <v>27166.2</v>
      </c>
    </row>
    <row r="29" spans="1:12">
      <c r="A29" s="10" t="s">
        <v>95</v>
      </c>
      <c r="B29" s="10"/>
      <c r="C29" s="13">
        <f t="shared" ref="C29:L29" si="21">(C70+C74)*$M$252</f>
        <v>28148.04</v>
      </c>
      <c r="D29" s="13">
        <f t="shared" si="21"/>
        <v>27600.080000000002</v>
      </c>
      <c r="E29" s="13">
        <f t="shared" si="21"/>
        <v>27052.12</v>
      </c>
      <c r="F29" s="13">
        <f t="shared" si="21"/>
        <v>26504.16</v>
      </c>
      <c r="G29" s="13">
        <f t="shared" si="21"/>
        <v>25956.2</v>
      </c>
      <c r="H29" s="13">
        <f t="shared" si="21"/>
        <v>30117.4</v>
      </c>
      <c r="I29" s="13">
        <f t="shared" si="21"/>
        <v>29334.600000000002</v>
      </c>
      <c r="J29" s="13">
        <f t="shared" si="21"/>
        <v>28551.8</v>
      </c>
      <c r="K29" s="13">
        <f t="shared" si="21"/>
        <v>27769</v>
      </c>
      <c r="L29" s="13">
        <f t="shared" si="21"/>
        <v>26986.2</v>
      </c>
    </row>
    <row r="30" spans="1:12">
      <c r="A30" s="62" t="s">
        <v>33</v>
      </c>
      <c r="B30" s="62"/>
      <c r="C30" s="19">
        <f t="shared" ref="C30:L30" si="22">SUM(C22:C29)</f>
        <v>336026.76199999999</v>
      </c>
      <c r="D30" s="19">
        <f t="shared" si="22"/>
        <v>336050.45833750005</v>
      </c>
      <c r="E30" s="19">
        <f t="shared" si="22"/>
        <v>336268.68962257809</v>
      </c>
      <c r="F30" s="19">
        <f t="shared" si="22"/>
        <v>336667.25864992407</v>
      </c>
      <c r="G30" s="19">
        <f t="shared" si="22"/>
        <v>337233.48630919331</v>
      </c>
      <c r="H30" s="19">
        <f t="shared" si="22"/>
        <v>347374.38207515952</v>
      </c>
      <c r="I30" s="19">
        <f t="shared" si="22"/>
        <v>347773.54951264034</v>
      </c>
      <c r="J30" s="19">
        <f t="shared" si="22"/>
        <v>348310.0252966616</v>
      </c>
      <c r="K30" s="19">
        <f t="shared" si="22"/>
        <v>348975.85039834358</v>
      </c>
      <c r="L30" s="19">
        <f t="shared" si="22"/>
        <v>349763.97222200991</v>
      </c>
    </row>
    <row r="31" spans="1:12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9" t="s">
        <v>32</v>
      </c>
      <c r="B32" s="9"/>
      <c r="C32" s="3">
        <f t="shared" ref="C32:L32" si="23">C19-C30</f>
        <v>28995.780857142876</v>
      </c>
      <c r="D32" s="3">
        <f t="shared" si="23"/>
        <v>36711.585055357078</v>
      </c>
      <c r="E32" s="3">
        <f t="shared" si="23"/>
        <v>44433.635601752205</v>
      </c>
      <c r="F32" s="3">
        <f t="shared" si="23"/>
        <v>52182.046697239683</v>
      </c>
      <c r="G32" s="3">
        <f t="shared" si="23"/>
        <v>59975.599996973411</v>
      </c>
      <c r="H32" s="3">
        <f t="shared" si="23"/>
        <v>58413.580094028497</v>
      </c>
      <c r="I32" s="3">
        <f t="shared" si="23"/>
        <v>66818.875182664022</v>
      </c>
      <c r="J32" s="3">
        <f t="shared" si="23"/>
        <v>75319.144407052954</v>
      </c>
      <c r="K32" s="3">
        <f t="shared" si="23"/>
        <v>83929.253251552116</v>
      </c>
      <c r="L32" s="3">
        <f t="shared" si="23"/>
        <v>92663.378193784098</v>
      </c>
    </row>
    <row r="33" spans="1:12">
      <c r="A33" s="9"/>
      <c r="B33" s="9"/>
    </row>
    <row r="34" spans="1:12">
      <c r="A34" s="9" t="s">
        <v>34</v>
      </c>
      <c r="B34" s="9"/>
    </row>
    <row r="35" spans="1:12">
      <c r="A35" s="10" t="s">
        <v>48</v>
      </c>
      <c r="B35" s="10"/>
      <c r="C35" s="3">
        <f t="shared" ref="C35:L35" si="24">(C72-($M$208*C72))/$M$207</f>
        <v>27398</v>
      </c>
      <c r="D35" s="3">
        <f t="shared" si="24"/>
        <v>27398</v>
      </c>
      <c r="E35" s="3">
        <f t="shared" si="24"/>
        <v>27398</v>
      </c>
      <c r="F35" s="3">
        <f t="shared" si="24"/>
        <v>27398</v>
      </c>
      <c r="G35" s="3">
        <f t="shared" si="24"/>
        <v>27398</v>
      </c>
      <c r="H35" s="3">
        <f t="shared" si="24"/>
        <v>39140</v>
      </c>
      <c r="I35" s="3">
        <f t="shared" si="24"/>
        <v>39140</v>
      </c>
      <c r="J35" s="3">
        <f t="shared" si="24"/>
        <v>39140</v>
      </c>
      <c r="K35" s="3">
        <f t="shared" si="24"/>
        <v>39140</v>
      </c>
      <c r="L35" s="3">
        <f t="shared" si="24"/>
        <v>39140</v>
      </c>
    </row>
    <row r="36" spans="1:12">
      <c r="A36" s="10" t="s">
        <v>49</v>
      </c>
      <c r="B36" s="10"/>
      <c r="C36" s="3">
        <f t="shared" ref="C36:L36" si="25">(C76-($M$210*C76))/$M$209</f>
        <v>17100</v>
      </c>
      <c r="D36" s="3">
        <f t="shared" si="25"/>
        <v>17100</v>
      </c>
      <c r="E36" s="3">
        <f t="shared" si="25"/>
        <v>17100</v>
      </c>
      <c r="F36" s="3">
        <f t="shared" si="25"/>
        <v>17100</v>
      </c>
      <c r="G36" s="3">
        <f t="shared" si="25"/>
        <v>17100</v>
      </c>
      <c r="H36" s="3">
        <f t="shared" si="25"/>
        <v>17100</v>
      </c>
      <c r="I36" s="3">
        <f t="shared" si="25"/>
        <v>17100</v>
      </c>
      <c r="J36" s="3">
        <f t="shared" si="25"/>
        <v>17100</v>
      </c>
      <c r="K36" s="3">
        <f t="shared" si="25"/>
        <v>17100</v>
      </c>
      <c r="L36" s="3">
        <f t="shared" si="25"/>
        <v>17100</v>
      </c>
    </row>
    <row r="37" spans="1:12">
      <c r="A37" s="10" t="s">
        <v>28</v>
      </c>
      <c r="B37" s="10"/>
      <c r="C37" s="13">
        <f t="shared" ref="C37:L37" si="26">-CUMIPMT($M$215/12,$M$217*12,$M$214,(((C4+1)-$C$4)*12)-11,(((C4+1)-$C$4)*12),0)</f>
        <v>57007.406228428692</v>
      </c>
      <c r="D37" s="13">
        <f t="shared" si="26"/>
        <v>56140.988002033526</v>
      </c>
      <c r="E37" s="13">
        <f t="shared" si="26"/>
        <v>55230.242174816653</v>
      </c>
      <c r="F37" s="13">
        <f t="shared" si="26"/>
        <v>54272.900862591501</v>
      </c>
      <c r="G37" s="13">
        <f t="shared" si="26"/>
        <v>53266.580151912312</v>
      </c>
      <c r="H37" s="13">
        <f t="shared" si="26"/>
        <v>52208.77416379709</v>
      </c>
      <c r="I37" s="13">
        <f t="shared" si="26"/>
        <v>51096.848813739227</v>
      </c>
      <c r="J37" s="13">
        <f t="shared" si="26"/>
        <v>49928.035252469592</v>
      </c>
      <c r="K37" s="13">
        <f t="shared" si="26"/>
        <v>48699.4229711355</v>
      </c>
      <c r="L37" s="13">
        <f t="shared" si="26"/>
        <v>47407.952553727533</v>
      </c>
    </row>
    <row r="38" spans="1:12">
      <c r="A38" s="10" t="s">
        <v>178</v>
      </c>
      <c r="B38" s="10"/>
      <c r="C38" s="13">
        <f t="shared" ref="C38:L38" si="27">C94*C211</f>
        <v>15476.918134554109</v>
      </c>
      <c r="D38" s="13">
        <f t="shared" si="27"/>
        <v>22038.025053863203</v>
      </c>
      <c r="E38" s="13">
        <f t="shared" si="27"/>
        <v>28457.083439133712</v>
      </c>
      <c r="F38" s="13">
        <f t="shared" si="27"/>
        <v>34713.324681112725</v>
      </c>
      <c r="G38" s="13">
        <f t="shared" si="27"/>
        <v>40781.093427922016</v>
      </c>
      <c r="H38" s="13">
        <f t="shared" si="27"/>
        <v>78346.260145147215</v>
      </c>
      <c r="I38" s="13">
        <f t="shared" si="27"/>
        <v>88964.278968140497</v>
      </c>
      <c r="J38" s="13">
        <f t="shared" si="27"/>
        <v>99845.726404721761</v>
      </c>
      <c r="K38" s="13">
        <f t="shared" si="27"/>
        <v>111009.63932538712</v>
      </c>
      <c r="L38" s="13">
        <f t="shared" si="27"/>
        <v>122475.65707558818</v>
      </c>
    </row>
    <row r="39" spans="1:12">
      <c r="A39" s="62" t="s">
        <v>35</v>
      </c>
      <c r="B39" s="62"/>
      <c r="C39" s="19">
        <f>SUM(C35:C38)</f>
        <v>116982.32436298281</v>
      </c>
      <c r="D39" s="19">
        <f>SUM(D35:D38)</f>
        <v>122677.01305589674</v>
      </c>
      <c r="E39" s="19">
        <f>SUM(E35:E38)</f>
        <v>128185.32561395036</v>
      </c>
      <c r="F39" s="19">
        <f>SUM(F35:F38)</f>
        <v>133484.22554370423</v>
      </c>
      <c r="G39" s="19">
        <f t="shared" ref="G39:L39" si="28">SUM(G35:G38)</f>
        <v>138545.67357983434</v>
      </c>
      <c r="H39" s="19">
        <f t="shared" si="28"/>
        <v>186795.0343089443</v>
      </c>
      <c r="I39" s="19">
        <f t="shared" si="28"/>
        <v>196301.12778187974</v>
      </c>
      <c r="J39" s="19">
        <f t="shared" si="28"/>
        <v>206013.76165719135</v>
      </c>
      <c r="K39" s="19">
        <f t="shared" si="28"/>
        <v>215949.06229652261</v>
      </c>
      <c r="L39" s="19">
        <f t="shared" si="28"/>
        <v>226123.60962931573</v>
      </c>
    </row>
    <row r="40" spans="1:12">
      <c r="A40" s="62"/>
      <c r="B40" s="62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>
      <c r="A41" s="3" t="s">
        <v>24</v>
      </c>
      <c r="C41" s="19">
        <f>C32-C39</f>
        <v>-87986.543505839931</v>
      </c>
      <c r="D41" s="19">
        <f>D32-D39</f>
        <v>-85965.428000539658</v>
      </c>
      <c r="E41" s="19">
        <f>E32-E39</f>
        <v>-83751.69001219816</v>
      </c>
      <c r="F41" s="19">
        <f>F32-F39</f>
        <v>-81302.178846464551</v>
      </c>
      <c r="G41" s="19">
        <f t="shared" ref="G41:L41" si="29">G32-G39</f>
        <v>-78570.073582860932</v>
      </c>
      <c r="H41" s="19">
        <f t="shared" si="29"/>
        <v>-128381.45421491581</v>
      </c>
      <c r="I41" s="19">
        <f t="shared" si="29"/>
        <v>-129482.25259921572</v>
      </c>
      <c r="J41" s="19">
        <f t="shared" si="29"/>
        <v>-130694.6172501384</v>
      </c>
      <c r="K41" s="19">
        <f t="shared" si="29"/>
        <v>-132019.80904497049</v>
      </c>
      <c r="L41" s="19">
        <f t="shared" si="29"/>
        <v>-133460.23143553163</v>
      </c>
    </row>
    <row r="42" spans="1:12">
      <c r="A42" s="3" t="s">
        <v>11</v>
      </c>
      <c r="C42" s="3">
        <f t="shared" ref="C42:L42" si="30">IF(C41&gt;0,C203*C41,0)</f>
        <v>0</v>
      </c>
      <c r="D42" s="3">
        <f t="shared" si="30"/>
        <v>0</v>
      </c>
      <c r="E42" s="3">
        <f t="shared" si="30"/>
        <v>0</v>
      </c>
      <c r="F42" s="3">
        <f t="shared" si="30"/>
        <v>0</v>
      </c>
      <c r="G42" s="3">
        <f t="shared" si="30"/>
        <v>0</v>
      </c>
      <c r="H42" s="3">
        <f t="shared" si="30"/>
        <v>0</v>
      </c>
      <c r="I42" s="3">
        <f t="shared" si="30"/>
        <v>0</v>
      </c>
      <c r="J42" s="3">
        <f t="shared" si="30"/>
        <v>0</v>
      </c>
      <c r="K42" s="3">
        <f t="shared" si="30"/>
        <v>0</v>
      </c>
      <c r="L42" s="3">
        <f t="shared" si="30"/>
        <v>0</v>
      </c>
    </row>
    <row r="43" spans="1:12" ht="16.5" thickBot="1">
      <c r="A43" s="3" t="s">
        <v>13</v>
      </c>
      <c r="C43" s="14">
        <f>C41-C42</f>
        <v>-87986.543505839931</v>
      </c>
      <c r="D43" s="14">
        <f>D41-D42</f>
        <v>-85965.428000539658</v>
      </c>
      <c r="E43" s="14">
        <f>E41-E42</f>
        <v>-83751.69001219816</v>
      </c>
      <c r="F43" s="14">
        <f>F41-F42</f>
        <v>-81302.178846464551</v>
      </c>
      <c r="G43" s="14">
        <f t="shared" ref="G43:L43" si="31">G41-G42</f>
        <v>-78570.073582860932</v>
      </c>
      <c r="H43" s="14">
        <f t="shared" si="31"/>
        <v>-128381.45421491581</v>
      </c>
      <c r="I43" s="14">
        <f t="shared" si="31"/>
        <v>-129482.25259921572</v>
      </c>
      <c r="J43" s="14">
        <f t="shared" si="31"/>
        <v>-130694.6172501384</v>
      </c>
      <c r="K43" s="14">
        <f t="shared" si="31"/>
        <v>-132019.80904497049</v>
      </c>
      <c r="L43" s="14">
        <f t="shared" si="31"/>
        <v>-133460.23143553163</v>
      </c>
    </row>
    <row r="44" spans="1:12" ht="16.5" thickTop="1"/>
    <row r="47" spans="1:12">
      <c r="A47" s="72" t="s">
        <v>30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>
      <c r="A48" s="3" t="s">
        <v>31</v>
      </c>
      <c r="C48" s="3">
        <f t="shared" ref="C48:L48" si="32">C82-C104</f>
        <v>0</v>
      </c>
      <c r="D48" s="3">
        <f t="shared" si="32"/>
        <v>0</v>
      </c>
      <c r="E48" s="3">
        <f t="shared" si="32"/>
        <v>0</v>
      </c>
      <c r="F48" s="3">
        <f t="shared" si="32"/>
        <v>0</v>
      </c>
      <c r="G48" s="3">
        <f t="shared" si="32"/>
        <v>0</v>
      </c>
      <c r="H48" s="3">
        <f t="shared" si="32"/>
        <v>0</v>
      </c>
      <c r="I48" s="3">
        <f t="shared" si="32"/>
        <v>0</v>
      </c>
      <c r="J48" s="3">
        <f t="shared" si="32"/>
        <v>0</v>
      </c>
      <c r="K48" s="3">
        <f t="shared" si="32"/>
        <v>0</v>
      </c>
      <c r="L48" s="3">
        <f t="shared" si="32"/>
        <v>0</v>
      </c>
    </row>
    <row r="52" spans="1:12">
      <c r="A52" s="72" t="str">
        <f>A196</f>
        <v>Timber Creek Golf Course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>
      <c r="A53" s="72" t="s">
        <v>2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C55" s="2">
        <f>C199</f>
        <v>2014</v>
      </c>
      <c r="D55" s="2">
        <f t="shared" ref="D55:L55" si="33">D199</f>
        <v>2015</v>
      </c>
      <c r="E55" s="2">
        <f t="shared" si="33"/>
        <v>2016</v>
      </c>
      <c r="F55" s="2">
        <f t="shared" si="33"/>
        <v>2017</v>
      </c>
      <c r="G55" s="2">
        <f t="shared" si="33"/>
        <v>2018</v>
      </c>
      <c r="H55" s="2">
        <f t="shared" si="33"/>
        <v>2019</v>
      </c>
      <c r="I55" s="2">
        <f t="shared" si="33"/>
        <v>2020</v>
      </c>
      <c r="J55" s="2">
        <f t="shared" si="33"/>
        <v>2021</v>
      </c>
      <c r="K55" s="2">
        <f t="shared" si="33"/>
        <v>2022</v>
      </c>
      <c r="L55" s="2">
        <f t="shared" si="33"/>
        <v>2023</v>
      </c>
    </row>
    <row r="57" spans="1:12">
      <c r="A57" s="73" t="s">
        <v>3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9" spans="1:12">
      <c r="A59" s="3" t="s">
        <v>4</v>
      </c>
    </row>
    <row r="60" spans="1:12">
      <c r="A60" s="10" t="s">
        <v>22</v>
      </c>
      <c r="B60" s="10"/>
      <c r="C60" s="3">
        <f t="shared" ref="C60:L60" si="34">C15*$M$206</f>
        <v>12502.578</v>
      </c>
      <c r="D60" s="3">
        <f t="shared" si="34"/>
        <v>12757.1992875</v>
      </c>
      <c r="E60" s="3">
        <f t="shared" si="34"/>
        <v>13018.223945390624</v>
      </c>
      <c r="F60" s="3">
        <f t="shared" si="34"/>
        <v>13285.837490592479</v>
      </c>
      <c r="G60" s="3">
        <f t="shared" si="34"/>
        <v>13560.231213287076</v>
      </c>
      <c r="H60" s="3">
        <f t="shared" si="34"/>
        <v>13841.602362210888</v>
      </c>
      <c r="I60" s="3">
        <f t="shared" si="34"/>
        <v>14130.154335970563</v>
      </c>
      <c r="J60" s="3">
        <f t="shared" si="34"/>
        <v>14426.096880575835</v>
      </c>
      <c r="K60" s="3">
        <f t="shared" si="34"/>
        <v>14729.646293393209</v>
      </c>
      <c r="L60" s="3">
        <f t="shared" si="34"/>
        <v>15041.025633730083</v>
      </c>
    </row>
    <row r="61" spans="1:12">
      <c r="A61" s="10" t="s">
        <v>23</v>
      </c>
      <c r="B61" s="26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>
      <c r="A62" s="10" t="s">
        <v>168</v>
      </c>
      <c r="B62" s="26"/>
    </row>
    <row r="63" spans="1:12">
      <c r="A63" s="10" t="s">
        <v>131</v>
      </c>
      <c r="B63" s="10"/>
      <c r="C63" s="3">
        <f t="shared" ref="C63:L63" si="35">(C11/(1+$M$246))/($C$245*7)*$M$255</f>
        <v>4591.8367346938776</v>
      </c>
      <c r="D63" s="3">
        <f t="shared" si="35"/>
        <v>4742.2193877551026</v>
      </c>
      <c r="E63" s="3">
        <f t="shared" si="35"/>
        <v>4897.5270727040825</v>
      </c>
      <c r="F63" s="3">
        <f t="shared" si="35"/>
        <v>5057.9210843351402</v>
      </c>
      <c r="G63" s="3">
        <f t="shared" si="35"/>
        <v>5223.567999847116</v>
      </c>
      <c r="H63" s="3">
        <f t="shared" si="35"/>
        <v>5394.6398518421083</v>
      </c>
      <c r="I63" s="3">
        <f t="shared" si="35"/>
        <v>5571.314306989937</v>
      </c>
      <c r="J63" s="3">
        <f t="shared" si="35"/>
        <v>5753.7748505438576</v>
      </c>
      <c r="K63" s="3">
        <f t="shared" si="35"/>
        <v>5942.2109768991695</v>
      </c>
      <c r="L63" s="3">
        <f t="shared" si="35"/>
        <v>6136.818386392616</v>
      </c>
    </row>
    <row r="64" spans="1:12">
      <c r="A64" s="10" t="s">
        <v>132</v>
      </c>
      <c r="B64" s="10"/>
      <c r="C64" s="3">
        <f t="shared" ref="C64:L64" si="36">(C12/(1+$M$246))/($C$245*7)*$M$256</f>
        <v>1700.6802721088438</v>
      </c>
      <c r="D64" s="3">
        <f t="shared" si="36"/>
        <v>1756.3775510204082</v>
      </c>
      <c r="E64" s="3">
        <f t="shared" si="36"/>
        <v>1813.8989158163265</v>
      </c>
      <c r="F64" s="3">
        <f t="shared" si="36"/>
        <v>1873.3041053093114</v>
      </c>
      <c r="G64" s="3">
        <f t="shared" si="36"/>
        <v>1934.6548147581914</v>
      </c>
      <c r="H64" s="3">
        <f t="shared" si="36"/>
        <v>1998.0147599415216</v>
      </c>
      <c r="I64" s="3">
        <f t="shared" si="36"/>
        <v>2063.4497433296065</v>
      </c>
      <c r="J64" s="3">
        <f t="shared" si="36"/>
        <v>2131.0277224236511</v>
      </c>
      <c r="K64" s="3">
        <f t="shared" si="36"/>
        <v>2200.8188803330258</v>
      </c>
      <c r="L64" s="3">
        <f t="shared" si="36"/>
        <v>2272.8956986639319</v>
      </c>
    </row>
    <row r="65" spans="1:13">
      <c r="A65" s="10" t="s">
        <v>133</v>
      </c>
      <c r="B65" s="10"/>
      <c r="C65" s="3">
        <f t="shared" ref="C65:L65" si="37">(C13/(1+$M$246))/($C$245*7)*$M$257</f>
        <v>931.19999999999982</v>
      </c>
      <c r="D65" s="3">
        <f t="shared" si="37"/>
        <v>942.84</v>
      </c>
      <c r="E65" s="3">
        <f t="shared" si="37"/>
        <v>954.62549999999999</v>
      </c>
      <c r="F65" s="3">
        <f t="shared" si="37"/>
        <v>966.55831875000001</v>
      </c>
      <c r="G65" s="3">
        <f t="shared" si="37"/>
        <v>978.64029773437505</v>
      </c>
      <c r="H65" s="3">
        <f t="shared" si="37"/>
        <v>990.87330145605449</v>
      </c>
      <c r="I65" s="3">
        <f t="shared" si="37"/>
        <v>1003.2592177242551</v>
      </c>
      <c r="J65" s="3">
        <f t="shared" si="37"/>
        <v>1015.7999579458083</v>
      </c>
      <c r="K65" s="3">
        <f t="shared" si="37"/>
        <v>1028.4974574201308</v>
      </c>
      <c r="L65" s="3">
        <f t="shared" si="37"/>
        <v>1041.3536756378826</v>
      </c>
    </row>
    <row r="66" spans="1:13">
      <c r="A66" s="10" t="s">
        <v>113</v>
      </c>
      <c r="B66" s="10"/>
      <c r="C66" s="3">
        <f t="shared" ref="C66:L66" si="38">C18/(7*C245)*$M$258</f>
        <v>979.59183673469397</v>
      </c>
      <c r="D66" s="3">
        <f t="shared" si="38"/>
        <v>991.83673469387759</v>
      </c>
      <c r="E66" s="3">
        <f t="shared" si="38"/>
        <v>1004.2346938775511</v>
      </c>
      <c r="F66" s="3">
        <f t="shared" si="38"/>
        <v>1016.7876275510205</v>
      </c>
      <c r="G66" s="3">
        <f t="shared" si="38"/>
        <v>1029.497472895408</v>
      </c>
      <c r="H66" s="3">
        <f t="shared" si="38"/>
        <v>1042.3661913066005</v>
      </c>
      <c r="I66" s="3">
        <f t="shared" si="38"/>
        <v>1055.3957686979331</v>
      </c>
      <c r="J66" s="3">
        <f t="shared" si="38"/>
        <v>1068.5882158066574</v>
      </c>
      <c r="K66" s="3">
        <f t="shared" si="38"/>
        <v>1081.9455685042403</v>
      </c>
      <c r="L66" s="3">
        <f t="shared" si="38"/>
        <v>1095.4698881105437</v>
      </c>
    </row>
    <row r="67" spans="1:13">
      <c r="A67" s="62" t="s">
        <v>14</v>
      </c>
      <c r="B67" s="62"/>
      <c r="C67" s="19">
        <f>SUM(C60:C66)</f>
        <v>20705.886843537413</v>
      </c>
      <c r="D67" s="19">
        <f t="shared" ref="D67:L67" si="39">SUM(D60:D66)</f>
        <v>21190.47296096939</v>
      </c>
      <c r="E67" s="19">
        <f t="shared" si="39"/>
        <v>21688.510127788584</v>
      </c>
      <c r="F67" s="19">
        <f t="shared" si="39"/>
        <v>22200.408626537952</v>
      </c>
      <c r="G67" s="19">
        <f t="shared" si="39"/>
        <v>22726.591798522168</v>
      </c>
      <c r="H67" s="19">
        <f t="shared" si="39"/>
        <v>23267.496466757169</v>
      </c>
      <c r="I67" s="19">
        <f t="shared" si="39"/>
        <v>23823.573372712293</v>
      </c>
      <c r="J67" s="19">
        <f t="shared" si="39"/>
        <v>24395.287627295809</v>
      </c>
      <c r="K67" s="19">
        <f t="shared" si="39"/>
        <v>24983.119176549775</v>
      </c>
      <c r="L67" s="19">
        <f t="shared" si="39"/>
        <v>25587.563282535055</v>
      </c>
    </row>
    <row r="69" spans="1:13">
      <c r="A69" s="3" t="s">
        <v>5</v>
      </c>
    </row>
    <row r="70" spans="1:13">
      <c r="A70" s="10" t="s">
        <v>39</v>
      </c>
      <c r="B70" s="10"/>
      <c r="C70" s="3">
        <f t="shared" ref="C70:L70" si="40">$C$219*$M$220</f>
        <v>858000</v>
      </c>
      <c r="D70" s="3">
        <f t="shared" si="40"/>
        <v>858000</v>
      </c>
      <c r="E70" s="3">
        <f t="shared" si="40"/>
        <v>858000</v>
      </c>
      <c r="F70" s="3">
        <f t="shared" si="40"/>
        <v>858000</v>
      </c>
      <c r="G70" s="3">
        <f t="shared" si="40"/>
        <v>858000</v>
      </c>
      <c r="H70" s="3">
        <f t="shared" si="40"/>
        <v>858000</v>
      </c>
      <c r="I70" s="3">
        <f t="shared" si="40"/>
        <v>858000</v>
      </c>
      <c r="J70" s="3">
        <f t="shared" si="40"/>
        <v>858000</v>
      </c>
      <c r="K70" s="3">
        <f t="shared" si="40"/>
        <v>858000</v>
      </c>
      <c r="L70" s="3">
        <f t="shared" si="40"/>
        <v>858000</v>
      </c>
    </row>
    <row r="71" spans="1:13">
      <c r="A71" s="10"/>
      <c r="B71" s="10"/>
    </row>
    <row r="72" spans="1:13">
      <c r="A72" s="10" t="s">
        <v>40</v>
      </c>
      <c r="B72" s="10"/>
      <c r="C72" s="3">
        <f>$C$221*C222</f>
        <v>576800</v>
      </c>
      <c r="D72" s="3">
        <f t="shared" ref="D72:L72" si="41">$C$221*D222</f>
        <v>576800</v>
      </c>
      <c r="E72" s="3">
        <f t="shared" si="41"/>
        <v>576800</v>
      </c>
      <c r="F72" s="3">
        <f t="shared" si="41"/>
        <v>576800</v>
      </c>
      <c r="G72" s="3">
        <f t="shared" si="41"/>
        <v>576800</v>
      </c>
      <c r="H72" s="3">
        <f t="shared" si="41"/>
        <v>824000</v>
      </c>
      <c r="I72" s="3">
        <f t="shared" si="41"/>
        <v>824000</v>
      </c>
      <c r="J72" s="3">
        <f t="shared" si="41"/>
        <v>824000</v>
      </c>
      <c r="K72" s="3">
        <f t="shared" si="41"/>
        <v>824000</v>
      </c>
      <c r="L72" s="3">
        <f t="shared" si="41"/>
        <v>824000</v>
      </c>
      <c r="M72" s="13"/>
    </row>
    <row r="73" spans="1:13">
      <c r="A73" s="62" t="s">
        <v>15</v>
      </c>
      <c r="B73" s="62"/>
      <c r="C73" s="11">
        <f>C35</f>
        <v>27398</v>
      </c>
      <c r="D73" s="11">
        <f t="shared" ref="D73:L73" si="42">D35+C73</f>
        <v>54796</v>
      </c>
      <c r="E73" s="11">
        <f t="shared" si="42"/>
        <v>82194</v>
      </c>
      <c r="F73" s="11">
        <f t="shared" si="42"/>
        <v>109592</v>
      </c>
      <c r="G73" s="11">
        <f t="shared" si="42"/>
        <v>136990</v>
      </c>
      <c r="H73" s="11">
        <f t="shared" si="42"/>
        <v>176130</v>
      </c>
      <c r="I73" s="11">
        <f t="shared" si="42"/>
        <v>215270</v>
      </c>
      <c r="J73" s="11">
        <f t="shared" si="42"/>
        <v>254410</v>
      </c>
      <c r="K73" s="11">
        <f t="shared" si="42"/>
        <v>293550</v>
      </c>
      <c r="L73" s="11">
        <f t="shared" si="42"/>
        <v>332690</v>
      </c>
    </row>
    <row r="74" spans="1:13">
      <c r="A74" s="62"/>
      <c r="B74" s="62"/>
      <c r="C74" s="13">
        <f t="shared" ref="C74:L74" si="43">C72-C73</f>
        <v>549402</v>
      </c>
      <c r="D74" s="13">
        <f t="shared" si="43"/>
        <v>522004</v>
      </c>
      <c r="E74" s="13">
        <f t="shared" si="43"/>
        <v>494606</v>
      </c>
      <c r="F74" s="13">
        <f t="shared" si="43"/>
        <v>467208</v>
      </c>
      <c r="G74" s="13">
        <f t="shared" si="43"/>
        <v>439810</v>
      </c>
      <c r="H74" s="13">
        <f t="shared" si="43"/>
        <v>647870</v>
      </c>
      <c r="I74" s="13">
        <f t="shared" si="43"/>
        <v>608730</v>
      </c>
      <c r="J74" s="13">
        <f t="shared" si="43"/>
        <v>569590</v>
      </c>
      <c r="K74" s="13">
        <f t="shared" si="43"/>
        <v>530450</v>
      </c>
      <c r="L74" s="13">
        <f t="shared" si="43"/>
        <v>491310</v>
      </c>
    </row>
    <row r="75" spans="1:13">
      <c r="A75" s="62"/>
      <c r="B75" s="62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3">
      <c r="A76" s="10" t="s">
        <v>58</v>
      </c>
      <c r="B76" s="10"/>
      <c r="C76" s="13">
        <f t="shared" ref="C76:L76" si="44">$C$223*$M$224</f>
        <v>180000</v>
      </c>
      <c r="D76" s="13">
        <f t="shared" si="44"/>
        <v>180000</v>
      </c>
      <c r="E76" s="13">
        <f t="shared" si="44"/>
        <v>180000</v>
      </c>
      <c r="F76" s="13">
        <f t="shared" si="44"/>
        <v>180000</v>
      </c>
      <c r="G76" s="13">
        <f t="shared" si="44"/>
        <v>180000</v>
      </c>
      <c r="H76" s="13">
        <f t="shared" si="44"/>
        <v>180000</v>
      </c>
      <c r="I76" s="13">
        <f t="shared" si="44"/>
        <v>180000</v>
      </c>
      <c r="J76" s="13">
        <f t="shared" si="44"/>
        <v>180000</v>
      </c>
      <c r="K76" s="13">
        <f t="shared" si="44"/>
        <v>180000</v>
      </c>
      <c r="L76" s="13">
        <f t="shared" si="44"/>
        <v>180000</v>
      </c>
    </row>
    <row r="77" spans="1:13">
      <c r="A77" s="62" t="s">
        <v>15</v>
      </c>
      <c r="B77" s="62"/>
      <c r="C77" s="11">
        <f>C36</f>
        <v>17100</v>
      </c>
      <c r="D77" s="11">
        <f t="shared" ref="D77:L77" si="45">D36+C77</f>
        <v>34200</v>
      </c>
      <c r="E77" s="11">
        <f t="shared" si="45"/>
        <v>51300</v>
      </c>
      <c r="F77" s="11">
        <f t="shared" si="45"/>
        <v>68400</v>
      </c>
      <c r="G77" s="11">
        <f t="shared" si="45"/>
        <v>85500</v>
      </c>
      <c r="H77" s="11">
        <f t="shared" si="45"/>
        <v>102600</v>
      </c>
      <c r="I77" s="11">
        <f t="shared" si="45"/>
        <v>119700</v>
      </c>
      <c r="J77" s="11">
        <f t="shared" si="45"/>
        <v>136800</v>
      </c>
      <c r="K77" s="11">
        <f t="shared" si="45"/>
        <v>153900</v>
      </c>
      <c r="L77" s="11">
        <f t="shared" si="45"/>
        <v>171000</v>
      </c>
    </row>
    <row r="78" spans="1:13">
      <c r="A78" s="62"/>
      <c r="B78" s="62"/>
      <c r="C78" s="13">
        <f>C76-C77</f>
        <v>162900</v>
      </c>
      <c r="D78" s="13">
        <f>D76-D77</f>
        <v>145800</v>
      </c>
      <c r="E78" s="13">
        <f>E76-E77</f>
        <v>128700</v>
      </c>
      <c r="F78" s="13">
        <f>F76-F77</f>
        <v>111600</v>
      </c>
      <c r="G78" s="13">
        <f t="shared" ref="G78:L78" si="46">G76-G77</f>
        <v>94500</v>
      </c>
      <c r="H78" s="13">
        <f t="shared" si="46"/>
        <v>77400</v>
      </c>
      <c r="I78" s="13">
        <f t="shared" si="46"/>
        <v>60300</v>
      </c>
      <c r="J78" s="13">
        <f t="shared" si="46"/>
        <v>43200</v>
      </c>
      <c r="K78" s="13">
        <f t="shared" si="46"/>
        <v>26100</v>
      </c>
      <c r="L78" s="13">
        <f t="shared" si="46"/>
        <v>9000</v>
      </c>
    </row>
    <row r="79" spans="1:13">
      <c r="A79" s="62"/>
      <c r="B79" s="62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5" t="s">
        <v>16</v>
      </c>
      <c r="B80" s="15"/>
      <c r="C80" s="19">
        <f t="shared" ref="C80:L80" si="47">C70+C74+C78</f>
        <v>1570302</v>
      </c>
      <c r="D80" s="19">
        <f t="shared" si="47"/>
        <v>1525804</v>
      </c>
      <c r="E80" s="19">
        <f t="shared" si="47"/>
        <v>1481306</v>
      </c>
      <c r="F80" s="19">
        <f t="shared" si="47"/>
        <v>1436808</v>
      </c>
      <c r="G80" s="19">
        <f t="shared" si="47"/>
        <v>1392310</v>
      </c>
      <c r="H80" s="19">
        <f t="shared" si="47"/>
        <v>1583270</v>
      </c>
      <c r="I80" s="19">
        <f t="shared" si="47"/>
        <v>1527030</v>
      </c>
      <c r="J80" s="19">
        <f t="shared" si="47"/>
        <v>1470790</v>
      </c>
      <c r="K80" s="19">
        <f t="shared" si="47"/>
        <v>1414550</v>
      </c>
      <c r="L80" s="19">
        <f t="shared" si="47"/>
        <v>1358310</v>
      </c>
    </row>
    <row r="81" spans="1:12">
      <c r="A81" s="15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6.5" thickBot="1">
      <c r="A82" s="3" t="s">
        <v>17</v>
      </c>
      <c r="C82" s="14">
        <f>C67+C80</f>
        <v>1591007.8868435374</v>
      </c>
      <c r="D82" s="14">
        <f t="shared" ref="D82:L82" si="48">D67+D80</f>
        <v>1546994.4729609694</v>
      </c>
      <c r="E82" s="14">
        <f t="shared" si="48"/>
        <v>1502994.5101277886</v>
      </c>
      <c r="F82" s="14">
        <f t="shared" si="48"/>
        <v>1459008.408626538</v>
      </c>
      <c r="G82" s="14">
        <f t="shared" si="48"/>
        <v>1415036.5917985223</v>
      </c>
      <c r="H82" s="14">
        <f t="shared" si="48"/>
        <v>1606537.4964667573</v>
      </c>
      <c r="I82" s="14">
        <f t="shared" si="48"/>
        <v>1550853.5733727124</v>
      </c>
      <c r="J82" s="14">
        <f t="shared" si="48"/>
        <v>1495185.2876272958</v>
      </c>
      <c r="K82" s="14">
        <f t="shared" si="48"/>
        <v>1439533.1191765498</v>
      </c>
      <c r="L82" s="14">
        <f t="shared" si="48"/>
        <v>1383897.5632825349</v>
      </c>
    </row>
    <row r="83" spans="1:12" ht="16.5" thickTop="1"/>
    <row r="84" spans="1:12">
      <c r="A84" s="73" t="s">
        <v>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6" spans="1:12">
      <c r="A86" s="3" t="s">
        <v>7</v>
      </c>
    </row>
    <row r="87" spans="1:12">
      <c r="A87" s="10" t="s">
        <v>10</v>
      </c>
      <c r="B87" s="10"/>
    </row>
    <row r="88" spans="1:12">
      <c r="A88" s="62" t="s">
        <v>96</v>
      </c>
      <c r="B88" s="62"/>
      <c r="C88" s="3">
        <f t="shared" ref="C88:L88" si="49">(C17+C18)/(7*C245)*$M$259</f>
        <v>7390.0081632653055</v>
      </c>
      <c r="D88" s="3">
        <f t="shared" si="49"/>
        <v>7496.847551020408</v>
      </c>
      <c r="E88" s="3">
        <f t="shared" si="49"/>
        <v>7605.4961364795918</v>
      </c>
      <c r="F88" s="3">
        <f t="shared" si="49"/>
        <v>7715.9920484646045</v>
      </c>
      <c r="G88" s="3">
        <f t="shared" si="49"/>
        <v>7828.3744004860673</v>
      </c>
      <c r="H88" s="3">
        <f t="shared" si="49"/>
        <v>7942.6833196916605</v>
      </c>
      <c r="I88" s="3">
        <f t="shared" si="49"/>
        <v>8058.9599767211093</v>
      </c>
      <c r="J88" s="3">
        <f t="shared" si="49"/>
        <v>8177.2466164971411</v>
      </c>
      <c r="K88" s="3">
        <f t="shared" si="49"/>
        <v>8297.5865899825676</v>
      </c>
      <c r="L88" s="3">
        <f t="shared" si="49"/>
        <v>8420.024386934585</v>
      </c>
    </row>
    <row r="89" spans="1:12">
      <c r="A89" s="62" t="s">
        <v>97</v>
      </c>
      <c r="B89" s="62"/>
      <c r="C89" s="11">
        <f t="shared" ref="C89:L89" si="50">C42</f>
        <v>0</v>
      </c>
      <c r="D89" s="11">
        <f t="shared" si="50"/>
        <v>0</v>
      </c>
      <c r="E89" s="11">
        <f t="shared" si="50"/>
        <v>0</v>
      </c>
      <c r="F89" s="11">
        <f t="shared" si="50"/>
        <v>0</v>
      </c>
      <c r="G89" s="11">
        <f t="shared" si="50"/>
        <v>0</v>
      </c>
      <c r="H89" s="11">
        <f t="shared" si="50"/>
        <v>0</v>
      </c>
      <c r="I89" s="11">
        <f t="shared" si="50"/>
        <v>0</v>
      </c>
      <c r="J89" s="11">
        <f t="shared" si="50"/>
        <v>0</v>
      </c>
      <c r="K89" s="11">
        <f t="shared" si="50"/>
        <v>0</v>
      </c>
      <c r="L89" s="11">
        <f t="shared" si="50"/>
        <v>0</v>
      </c>
    </row>
    <row r="90" spans="1:12">
      <c r="A90" s="15" t="s">
        <v>18</v>
      </c>
      <c r="B90" s="15"/>
      <c r="C90" s="3">
        <f t="shared" ref="C90:L90" si="51">SUM(C88:C89)</f>
        <v>7390.0081632653055</v>
      </c>
      <c r="D90" s="3">
        <f t="shared" si="51"/>
        <v>7496.847551020408</v>
      </c>
      <c r="E90" s="3">
        <f t="shared" si="51"/>
        <v>7605.4961364795918</v>
      </c>
      <c r="F90" s="3">
        <f t="shared" si="51"/>
        <v>7715.9920484646045</v>
      </c>
      <c r="G90" s="3">
        <f t="shared" si="51"/>
        <v>7828.3744004860673</v>
      </c>
      <c r="H90" s="3">
        <f t="shared" si="51"/>
        <v>7942.6833196916605</v>
      </c>
      <c r="I90" s="3">
        <f t="shared" si="51"/>
        <v>8058.9599767211093</v>
      </c>
      <c r="J90" s="3">
        <f t="shared" si="51"/>
        <v>8177.2466164971411</v>
      </c>
      <c r="K90" s="3">
        <f t="shared" si="51"/>
        <v>8297.5865899825676</v>
      </c>
      <c r="L90" s="3">
        <f t="shared" si="51"/>
        <v>8420.024386934585</v>
      </c>
    </row>
    <row r="92" spans="1:12">
      <c r="A92" s="10" t="s">
        <v>29</v>
      </c>
      <c r="B92" s="10"/>
    </row>
    <row r="93" spans="1:12">
      <c r="A93" s="62" t="s">
        <v>9</v>
      </c>
      <c r="B93" s="62"/>
      <c r="C93" s="3">
        <f t="shared" ref="C93:L93" si="52">$M$214+CUMPRINC($M$215/12,$M$217*12,$M$214,1,((C55+1)-$C$55)*12,0)</f>
        <v>1130905.1664174383</v>
      </c>
      <c r="D93" s="3">
        <f t="shared" si="52"/>
        <v>1113103.9146084813</v>
      </c>
      <c r="E93" s="3">
        <f t="shared" si="52"/>
        <v>1094391.9169723075</v>
      </c>
      <c r="F93" s="3">
        <f t="shared" si="52"/>
        <v>1074722.5780239087</v>
      </c>
      <c r="G93" s="3">
        <f t="shared" si="52"/>
        <v>1054046.9183648303</v>
      </c>
      <c r="H93" s="3">
        <f t="shared" si="52"/>
        <v>1032313.4527176371</v>
      </c>
      <c r="I93" s="3">
        <f t="shared" si="52"/>
        <v>1009468.0617203858</v>
      </c>
      <c r="J93" s="3">
        <f t="shared" si="52"/>
        <v>985453.85716186487</v>
      </c>
      <c r="K93" s="3">
        <f t="shared" si="52"/>
        <v>960211.04032200994</v>
      </c>
      <c r="L93" s="3">
        <f t="shared" si="52"/>
        <v>933676.75306474697</v>
      </c>
    </row>
    <row r="94" spans="1:12">
      <c r="A94" s="62" t="s">
        <v>50</v>
      </c>
      <c r="B94" s="62"/>
      <c r="C94" s="20">
        <v>140699.25576867373</v>
      </c>
      <c r="D94" s="20">
        <v>200345.68230784731</v>
      </c>
      <c r="E94" s="20">
        <v>258700.75853757921</v>
      </c>
      <c r="F94" s="20">
        <v>315575.67891920661</v>
      </c>
      <c r="G94" s="20">
        <v>370737.21298110922</v>
      </c>
      <c r="H94" s="20">
        <v>712238.72859224735</v>
      </c>
      <c r="I94" s="20">
        <v>808766.17243764084</v>
      </c>
      <c r="J94" s="20">
        <v>907688.42186110688</v>
      </c>
      <c r="K94" s="20">
        <v>1009178.539321701</v>
      </c>
      <c r="L94" s="20">
        <v>1113415.0643235289</v>
      </c>
    </row>
    <row r="95" spans="1:12">
      <c r="A95" s="15" t="s">
        <v>25</v>
      </c>
      <c r="B95" s="15"/>
      <c r="C95" s="19">
        <f t="shared" ref="C95:L95" si="53">SUM(C93:C94)</f>
        <v>1271604.422186112</v>
      </c>
      <c r="D95" s="19">
        <f t="shared" si="53"/>
        <v>1313449.5969163286</v>
      </c>
      <c r="E95" s="19">
        <f t="shared" si="53"/>
        <v>1353092.6755098868</v>
      </c>
      <c r="F95" s="19">
        <f t="shared" si="53"/>
        <v>1390298.2569431153</v>
      </c>
      <c r="G95" s="19">
        <f t="shared" si="53"/>
        <v>1424784.1313459396</v>
      </c>
      <c r="H95" s="19">
        <f t="shared" si="53"/>
        <v>1744552.1813098844</v>
      </c>
      <c r="I95" s="19">
        <f t="shared" si="53"/>
        <v>1818234.2341580265</v>
      </c>
      <c r="J95" s="19">
        <f t="shared" si="53"/>
        <v>1893142.2790229716</v>
      </c>
      <c r="K95" s="19">
        <f t="shared" si="53"/>
        <v>1969389.579643711</v>
      </c>
      <c r="L95" s="19">
        <f t="shared" si="53"/>
        <v>2047091.8173882759</v>
      </c>
    </row>
    <row r="96" spans="1:12">
      <c r="A96" s="15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3" t="s">
        <v>26</v>
      </c>
      <c r="C97" s="19">
        <f t="shared" ref="C97:L97" si="54">C90+C95</f>
        <v>1278994.4303493774</v>
      </c>
      <c r="D97" s="19">
        <f t="shared" si="54"/>
        <v>1320946.444467349</v>
      </c>
      <c r="E97" s="19">
        <f t="shared" si="54"/>
        <v>1360698.1716463664</v>
      </c>
      <c r="F97" s="19">
        <f t="shared" si="54"/>
        <v>1398014.24899158</v>
      </c>
      <c r="G97" s="19">
        <f t="shared" si="54"/>
        <v>1432612.5057464256</v>
      </c>
      <c r="H97" s="19">
        <f t="shared" si="54"/>
        <v>1752494.864629576</v>
      </c>
      <c r="I97" s="19">
        <f t="shared" si="54"/>
        <v>1826293.1941347476</v>
      </c>
      <c r="J97" s="19">
        <f t="shared" si="54"/>
        <v>1901319.5256394688</v>
      </c>
      <c r="K97" s="19">
        <f t="shared" si="54"/>
        <v>1977687.1662336935</v>
      </c>
      <c r="L97" s="19">
        <f t="shared" si="54"/>
        <v>2055511.8417752103</v>
      </c>
    </row>
    <row r="99" spans="1:12">
      <c r="A99" s="3" t="s">
        <v>8</v>
      </c>
    </row>
    <row r="100" spans="1:12">
      <c r="A100" s="10" t="s">
        <v>64</v>
      </c>
      <c r="B100" s="10"/>
      <c r="C100" s="3">
        <f t="shared" ref="C100:L100" si="55">$M$226</f>
        <v>400000</v>
      </c>
      <c r="D100" s="3">
        <f t="shared" si="55"/>
        <v>400000</v>
      </c>
      <c r="E100" s="3">
        <f t="shared" si="55"/>
        <v>400000</v>
      </c>
      <c r="F100" s="3">
        <f t="shared" si="55"/>
        <v>400000</v>
      </c>
      <c r="G100" s="3">
        <f t="shared" si="55"/>
        <v>400000</v>
      </c>
      <c r="H100" s="3">
        <f t="shared" si="55"/>
        <v>400000</v>
      </c>
      <c r="I100" s="3">
        <f t="shared" si="55"/>
        <v>400000</v>
      </c>
      <c r="J100" s="3">
        <f t="shared" si="55"/>
        <v>400000</v>
      </c>
      <c r="K100" s="3">
        <f t="shared" si="55"/>
        <v>400000</v>
      </c>
      <c r="L100" s="3">
        <f t="shared" si="55"/>
        <v>400000</v>
      </c>
    </row>
    <row r="101" spans="1:12">
      <c r="A101" s="10" t="s">
        <v>19</v>
      </c>
      <c r="B101" s="10"/>
      <c r="C101" s="11">
        <f>M218+C43</f>
        <v>-87986.543505839931</v>
      </c>
      <c r="D101" s="11">
        <f t="shared" ref="D101:L101" si="56">D43+C101</f>
        <v>-173951.9715063796</v>
      </c>
      <c r="E101" s="11">
        <f t="shared" si="56"/>
        <v>-257703.66151857778</v>
      </c>
      <c r="F101" s="11">
        <f t="shared" si="56"/>
        <v>-339005.84036504233</v>
      </c>
      <c r="G101" s="11">
        <f t="shared" si="56"/>
        <v>-417575.91394790326</v>
      </c>
      <c r="H101" s="11">
        <f t="shared" si="56"/>
        <v>-545957.36816281907</v>
      </c>
      <c r="I101" s="11">
        <f t="shared" si="56"/>
        <v>-675439.62076203479</v>
      </c>
      <c r="J101" s="11">
        <f t="shared" si="56"/>
        <v>-806134.23801217321</v>
      </c>
      <c r="K101" s="11">
        <f t="shared" si="56"/>
        <v>-938154.04705714365</v>
      </c>
      <c r="L101" s="11">
        <f t="shared" si="56"/>
        <v>-1071614.2784926752</v>
      </c>
    </row>
    <row r="102" spans="1:12">
      <c r="A102" s="3" t="s">
        <v>20</v>
      </c>
      <c r="C102" s="3">
        <f>SUM(C100:C101)</f>
        <v>312013.45649416005</v>
      </c>
      <c r="D102" s="3">
        <f>SUM(D100:D101)</f>
        <v>226048.0284936204</v>
      </c>
      <c r="E102" s="3">
        <f>SUM(E100:E101)</f>
        <v>142296.33848142222</v>
      </c>
      <c r="F102" s="3">
        <f>SUM(F100:F101)</f>
        <v>60994.159634957672</v>
      </c>
      <c r="G102" s="3">
        <f t="shared" ref="G102:L102" si="57">SUM(G100:G101)</f>
        <v>-17575.91394790326</v>
      </c>
      <c r="H102" s="3">
        <f t="shared" si="57"/>
        <v>-145957.36816281907</v>
      </c>
      <c r="I102" s="3">
        <f t="shared" si="57"/>
        <v>-275439.62076203479</v>
      </c>
      <c r="J102" s="3">
        <f t="shared" si="57"/>
        <v>-406134.23801217321</v>
      </c>
      <c r="K102" s="3">
        <f t="shared" si="57"/>
        <v>-538154.04705714365</v>
      </c>
      <c r="L102" s="3">
        <f t="shared" si="57"/>
        <v>-671614.27849267516</v>
      </c>
    </row>
    <row r="104" spans="1:12" ht="16.5" thickBot="1">
      <c r="A104" s="3" t="s">
        <v>27</v>
      </c>
      <c r="C104" s="14">
        <f>C97+C102</f>
        <v>1591007.8868435374</v>
      </c>
      <c r="D104" s="14">
        <f>D97+D102</f>
        <v>1546994.4729609694</v>
      </c>
      <c r="E104" s="14">
        <f>E97+E102</f>
        <v>1502994.5101277886</v>
      </c>
      <c r="F104" s="14">
        <f>F97+F102</f>
        <v>1459008.4086265378</v>
      </c>
      <c r="G104" s="14">
        <f t="shared" ref="G104:L104" si="58">G97+G102</f>
        <v>1415036.5917985223</v>
      </c>
      <c r="H104" s="14">
        <f t="shared" si="58"/>
        <v>1606537.4964667568</v>
      </c>
      <c r="I104" s="14">
        <f t="shared" si="58"/>
        <v>1550853.5733727128</v>
      </c>
      <c r="J104" s="14">
        <f t="shared" si="58"/>
        <v>1495185.2876272956</v>
      </c>
      <c r="K104" s="14">
        <f t="shared" si="58"/>
        <v>1439533.1191765498</v>
      </c>
      <c r="L104" s="14">
        <f t="shared" si="58"/>
        <v>1383897.5632825352</v>
      </c>
    </row>
    <row r="105" spans="1:12" ht="16.5" thickTop="1"/>
    <row r="108" spans="1:12">
      <c r="A108" s="75" t="s">
        <v>137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</row>
    <row r="109" spans="1:12">
      <c r="A109" s="27"/>
      <c r="B109" s="27"/>
      <c r="C109" s="1"/>
      <c r="D109" s="1"/>
      <c r="E109" s="1"/>
      <c r="F109" s="1"/>
      <c r="G109" s="6"/>
      <c r="H109" s="1"/>
    </row>
    <row r="110" spans="1:12">
      <c r="A110" s="27" t="s">
        <v>138</v>
      </c>
      <c r="B110" s="27"/>
      <c r="C110" s="1"/>
      <c r="D110" s="1"/>
      <c r="E110" s="1"/>
      <c r="F110" s="1"/>
      <c r="G110" s="6"/>
      <c r="H110" s="1"/>
    </row>
    <row r="111" spans="1:12">
      <c r="A111" s="28" t="s">
        <v>9</v>
      </c>
      <c r="B111" s="28"/>
      <c r="C111" s="3">
        <f>C93</f>
        <v>1130905.1664174383</v>
      </c>
      <c r="D111" s="3">
        <f t="shared" ref="D111:L112" si="59">D93</f>
        <v>1113103.9146084813</v>
      </c>
      <c r="E111" s="3">
        <f t="shared" si="59"/>
        <v>1094391.9169723075</v>
      </c>
      <c r="F111" s="3">
        <f t="shared" si="59"/>
        <v>1074722.5780239087</v>
      </c>
      <c r="G111" s="3">
        <f t="shared" si="59"/>
        <v>1054046.9183648303</v>
      </c>
      <c r="H111" s="3">
        <f t="shared" si="59"/>
        <v>1032313.4527176371</v>
      </c>
      <c r="I111" s="3">
        <f t="shared" si="59"/>
        <v>1009468.0617203858</v>
      </c>
      <c r="J111" s="3">
        <f t="shared" si="59"/>
        <v>985453.85716186487</v>
      </c>
      <c r="K111" s="3">
        <f t="shared" si="59"/>
        <v>960211.04032200994</v>
      </c>
      <c r="L111" s="3">
        <f t="shared" si="59"/>
        <v>933676.75306474697</v>
      </c>
    </row>
    <row r="112" spans="1:12">
      <c r="A112" s="28" t="s">
        <v>50</v>
      </c>
      <c r="B112" s="28"/>
      <c r="C112" s="11">
        <f>C94</f>
        <v>140699.25576867373</v>
      </c>
      <c r="D112" s="11">
        <f t="shared" si="59"/>
        <v>200345.68230784731</v>
      </c>
      <c r="E112" s="11">
        <f t="shared" si="59"/>
        <v>258700.75853757921</v>
      </c>
      <c r="F112" s="11">
        <f t="shared" si="59"/>
        <v>315575.67891920661</v>
      </c>
      <c r="G112" s="11">
        <f t="shared" si="59"/>
        <v>370737.21298110922</v>
      </c>
      <c r="H112" s="11">
        <f t="shared" si="59"/>
        <v>712238.72859224735</v>
      </c>
      <c r="I112" s="11">
        <f t="shared" si="59"/>
        <v>808766.17243764084</v>
      </c>
      <c r="J112" s="11">
        <f t="shared" si="59"/>
        <v>907688.42186110688</v>
      </c>
      <c r="K112" s="11">
        <f t="shared" si="59"/>
        <v>1009178.539321701</v>
      </c>
      <c r="L112" s="11">
        <f t="shared" si="59"/>
        <v>1113415.0643235289</v>
      </c>
    </row>
    <row r="113" spans="1:12">
      <c r="A113" s="29" t="s">
        <v>139</v>
      </c>
      <c r="B113" s="29"/>
      <c r="C113" s="3">
        <f>SUM(C111:C112)</f>
        <v>1271604.422186112</v>
      </c>
      <c r="D113" s="3">
        <f t="shared" ref="D113:L113" si="60">SUM(D111:D112)</f>
        <v>1313449.5969163286</v>
      </c>
      <c r="E113" s="3">
        <f t="shared" si="60"/>
        <v>1353092.6755098868</v>
      </c>
      <c r="F113" s="3">
        <f t="shared" si="60"/>
        <v>1390298.2569431153</v>
      </c>
      <c r="G113" s="3">
        <f t="shared" si="60"/>
        <v>1424784.1313459396</v>
      </c>
      <c r="H113" s="3">
        <f t="shared" si="60"/>
        <v>1744552.1813098844</v>
      </c>
      <c r="I113" s="3">
        <f t="shared" si="60"/>
        <v>1818234.2341580265</v>
      </c>
      <c r="J113" s="3">
        <f t="shared" si="60"/>
        <v>1893142.2790229716</v>
      </c>
      <c r="K113" s="3">
        <f t="shared" si="60"/>
        <v>1969389.579643711</v>
      </c>
      <c r="L113" s="3">
        <f t="shared" si="60"/>
        <v>2047091.8173882759</v>
      </c>
    </row>
    <row r="114" spans="1:12">
      <c r="A114" s="27"/>
      <c r="B114" s="27"/>
      <c r="C114" s="1"/>
      <c r="D114" s="1"/>
      <c r="E114" s="1"/>
      <c r="F114" s="1"/>
      <c r="G114" s="6"/>
      <c r="H114" s="1"/>
    </row>
    <row r="115" spans="1:12">
      <c r="A115" s="27" t="s">
        <v>140</v>
      </c>
      <c r="B115" s="27"/>
      <c r="C115" s="1"/>
      <c r="D115" s="1"/>
      <c r="E115" s="1"/>
      <c r="F115" s="1"/>
      <c r="G115" s="6"/>
      <c r="H115" s="1"/>
    </row>
    <row r="116" spans="1:12">
      <c r="A116" s="28" t="s">
        <v>9</v>
      </c>
      <c r="B116" s="28"/>
      <c r="C116" s="6">
        <f>C111/C113</f>
        <v>0.88935296754726056</v>
      </c>
      <c r="D116" s="6">
        <f t="shared" ref="D116:L116" si="61">D111/D113</f>
        <v>0.8474660293183599</v>
      </c>
      <c r="E116" s="6">
        <f t="shared" si="61"/>
        <v>0.80880780509724293</v>
      </c>
      <c r="F116" s="6">
        <f t="shared" si="61"/>
        <v>0.77301584221714337</v>
      </c>
      <c r="G116" s="6">
        <f t="shared" si="61"/>
        <v>0.73979411700010456</v>
      </c>
      <c r="H116" s="6">
        <f t="shared" si="61"/>
        <v>0.59173549738279074</v>
      </c>
      <c r="I116" s="6">
        <f t="shared" si="61"/>
        <v>0.55519142845082459</v>
      </c>
      <c r="J116" s="6">
        <f t="shared" si="61"/>
        <v>0.52053871918725836</v>
      </c>
      <c r="K116" s="6">
        <f t="shared" si="61"/>
        <v>0.48756784855931096</v>
      </c>
      <c r="L116" s="6">
        <f t="shared" si="61"/>
        <v>0.45609910856658692</v>
      </c>
    </row>
    <row r="117" spans="1:12">
      <c r="A117" s="28" t="s">
        <v>141</v>
      </c>
      <c r="B117" s="28"/>
      <c r="C117" s="30">
        <f>C112/C113</f>
        <v>0.11064703245273945</v>
      </c>
      <c r="D117" s="30">
        <f t="shared" ref="D117:L117" si="62">D112/D113</f>
        <v>0.15253397068164012</v>
      </c>
      <c r="E117" s="30">
        <f t="shared" si="62"/>
        <v>0.19119219490275699</v>
      </c>
      <c r="F117" s="30">
        <f t="shared" si="62"/>
        <v>0.2269841577828566</v>
      </c>
      <c r="G117" s="30">
        <f t="shared" si="62"/>
        <v>0.26020588299989544</v>
      </c>
      <c r="H117" s="30">
        <f t="shared" si="62"/>
        <v>0.4082645026172092</v>
      </c>
      <c r="I117" s="30">
        <f t="shared" si="62"/>
        <v>0.44480857154917547</v>
      </c>
      <c r="J117" s="30">
        <f t="shared" si="62"/>
        <v>0.47946128081274175</v>
      </c>
      <c r="K117" s="30">
        <f t="shared" si="62"/>
        <v>0.5124321514406891</v>
      </c>
      <c r="L117" s="30">
        <f t="shared" si="62"/>
        <v>0.54390089143341303</v>
      </c>
    </row>
    <row r="118" spans="1:12">
      <c r="A118" s="31" t="s">
        <v>142</v>
      </c>
      <c r="B118" s="31"/>
      <c r="C118" s="32">
        <f>SUM(C116:C117)</f>
        <v>1</v>
      </c>
      <c r="D118" s="32">
        <f t="shared" ref="D118:L118" si="63">SUM(D116:D117)</f>
        <v>1</v>
      </c>
      <c r="E118" s="32">
        <f t="shared" si="63"/>
        <v>0.99999999999999989</v>
      </c>
      <c r="F118" s="32">
        <f t="shared" si="63"/>
        <v>1</v>
      </c>
      <c r="G118" s="32">
        <f t="shared" si="63"/>
        <v>1</v>
      </c>
      <c r="H118" s="32">
        <f t="shared" si="63"/>
        <v>1</v>
      </c>
      <c r="I118" s="32">
        <f t="shared" si="63"/>
        <v>1</v>
      </c>
      <c r="J118" s="32">
        <f t="shared" si="63"/>
        <v>1</v>
      </c>
      <c r="K118" s="32">
        <f t="shared" si="63"/>
        <v>1</v>
      </c>
      <c r="L118" s="32">
        <f t="shared" si="63"/>
        <v>1</v>
      </c>
    </row>
    <row r="119" spans="1:12">
      <c r="A119" s="33"/>
      <c r="B119" s="33"/>
      <c r="C119" s="34"/>
      <c r="D119" s="34"/>
      <c r="E119" s="34"/>
      <c r="F119" s="34"/>
      <c r="G119" s="6"/>
      <c r="H119" s="1"/>
    </row>
    <row r="120" spans="1:12">
      <c r="A120" s="33" t="s">
        <v>143</v>
      </c>
      <c r="B120" s="33"/>
      <c r="C120" s="34"/>
      <c r="D120" s="34"/>
      <c r="E120" s="34"/>
      <c r="F120" s="34"/>
      <c r="G120" s="6"/>
      <c r="H120" s="1"/>
    </row>
    <row r="121" spans="1:12">
      <c r="A121" s="28" t="s">
        <v>9</v>
      </c>
      <c r="B121" s="28"/>
      <c r="C121" s="30">
        <f>$M$215</f>
        <v>0.05</v>
      </c>
      <c r="D121" s="30">
        <f t="shared" ref="D121:L121" si="64">$M$215</f>
        <v>0.05</v>
      </c>
      <c r="E121" s="30">
        <f t="shared" si="64"/>
        <v>0.05</v>
      </c>
      <c r="F121" s="30">
        <f t="shared" si="64"/>
        <v>0.05</v>
      </c>
      <c r="G121" s="30">
        <f t="shared" si="64"/>
        <v>0.05</v>
      </c>
      <c r="H121" s="30">
        <f t="shared" si="64"/>
        <v>0.05</v>
      </c>
      <c r="I121" s="30">
        <f t="shared" si="64"/>
        <v>0.05</v>
      </c>
      <c r="J121" s="30">
        <f t="shared" si="64"/>
        <v>0.05</v>
      </c>
      <c r="K121" s="30">
        <f t="shared" si="64"/>
        <v>0.05</v>
      </c>
      <c r="L121" s="30">
        <f t="shared" si="64"/>
        <v>0.05</v>
      </c>
    </row>
    <row r="122" spans="1:12">
      <c r="A122" s="28" t="s">
        <v>141</v>
      </c>
      <c r="B122" s="28"/>
      <c r="C122" s="30">
        <f>C211</f>
        <v>0.11</v>
      </c>
      <c r="D122" s="30">
        <f t="shared" ref="D122:L122" si="65">D211</f>
        <v>0.11</v>
      </c>
      <c r="E122" s="30">
        <f t="shared" si="65"/>
        <v>0.11</v>
      </c>
      <c r="F122" s="30">
        <f t="shared" si="65"/>
        <v>0.11</v>
      </c>
      <c r="G122" s="30">
        <f t="shared" si="65"/>
        <v>0.11</v>
      </c>
      <c r="H122" s="30">
        <f t="shared" si="65"/>
        <v>0.11</v>
      </c>
      <c r="I122" s="30">
        <f t="shared" si="65"/>
        <v>0.11</v>
      </c>
      <c r="J122" s="30">
        <f t="shared" si="65"/>
        <v>0.11</v>
      </c>
      <c r="K122" s="30">
        <f t="shared" si="65"/>
        <v>0.11</v>
      </c>
      <c r="L122" s="30">
        <f t="shared" si="65"/>
        <v>0.11</v>
      </c>
    </row>
    <row r="123" spans="1:12">
      <c r="A123" s="33"/>
      <c r="B123" s="33"/>
      <c r="C123" s="34"/>
      <c r="D123" s="34"/>
      <c r="E123" s="34"/>
      <c r="F123" s="34"/>
      <c r="G123" s="6"/>
      <c r="H123" s="1"/>
    </row>
    <row r="124" spans="1:12">
      <c r="A124" s="33" t="s">
        <v>144</v>
      </c>
      <c r="B124" s="33"/>
      <c r="C124" s="30">
        <f>C116*C121+C117*C122</f>
        <v>5.6638821947164367E-2</v>
      </c>
      <c r="D124" s="30">
        <f t="shared" ref="D124:L124" si="66">D116*D121+D117*D122</f>
        <v>5.9152038240898416E-2</v>
      </c>
      <c r="E124" s="30">
        <f t="shared" si="66"/>
        <v>6.1471531694165422E-2</v>
      </c>
      <c r="F124" s="30">
        <f t="shared" si="66"/>
        <v>6.3619049466971403E-2</v>
      </c>
      <c r="G124" s="30">
        <f t="shared" si="66"/>
        <v>6.5612352979993738E-2</v>
      </c>
      <c r="H124" s="30">
        <f t="shared" si="66"/>
        <v>7.4495870157032545E-2</v>
      </c>
      <c r="I124" s="30">
        <f t="shared" si="66"/>
        <v>7.6688514292950538E-2</v>
      </c>
      <c r="J124" s="30">
        <f t="shared" si="66"/>
        <v>7.8767676848764512E-2</v>
      </c>
      <c r="K124" s="30">
        <f t="shared" si="66"/>
        <v>8.0745929086441348E-2</v>
      </c>
      <c r="L124" s="30">
        <f t="shared" si="66"/>
        <v>8.2634053486004777E-2</v>
      </c>
    </row>
    <row r="125" spans="1:12">
      <c r="A125" s="33"/>
      <c r="B125" s="33"/>
      <c r="C125" s="34"/>
      <c r="D125" s="34"/>
      <c r="E125" s="36"/>
      <c r="F125" s="34"/>
      <c r="G125" s="6"/>
      <c r="H125" s="1"/>
    </row>
    <row r="126" spans="1:12">
      <c r="A126" s="33" t="s">
        <v>145</v>
      </c>
      <c r="B126" s="33"/>
      <c r="C126" s="37">
        <f>C102</f>
        <v>312013.45649416005</v>
      </c>
      <c r="D126" s="37">
        <f t="shared" ref="D126:L126" si="67">D102</f>
        <v>226048.0284936204</v>
      </c>
      <c r="E126" s="37">
        <f t="shared" si="67"/>
        <v>142296.33848142222</v>
      </c>
      <c r="F126" s="37">
        <f t="shared" si="67"/>
        <v>60994.159634957672</v>
      </c>
      <c r="G126" s="37">
        <f t="shared" si="67"/>
        <v>-17575.91394790326</v>
      </c>
      <c r="H126" s="37">
        <f t="shared" si="67"/>
        <v>-145957.36816281907</v>
      </c>
      <c r="I126" s="37">
        <f t="shared" si="67"/>
        <v>-275439.62076203479</v>
      </c>
      <c r="J126" s="37">
        <f t="shared" si="67"/>
        <v>-406134.23801217321</v>
      </c>
      <c r="K126" s="37">
        <f t="shared" si="67"/>
        <v>-538154.04705714365</v>
      </c>
      <c r="L126" s="37">
        <f t="shared" si="67"/>
        <v>-671614.27849267516</v>
      </c>
    </row>
    <row r="127" spans="1:12">
      <c r="A127" s="33" t="s">
        <v>146</v>
      </c>
      <c r="B127" s="33"/>
      <c r="C127" s="38">
        <f>C113+C126</f>
        <v>1583617.878680272</v>
      </c>
      <c r="D127" s="38">
        <f t="shared" ref="D127:L127" si="68">D113+D126</f>
        <v>1539497.6254099491</v>
      </c>
      <c r="E127" s="38">
        <f t="shared" si="68"/>
        <v>1495389.0139913091</v>
      </c>
      <c r="F127" s="38">
        <f t="shared" si="68"/>
        <v>1451292.4165780731</v>
      </c>
      <c r="G127" s="38">
        <f t="shared" si="68"/>
        <v>1407208.2173980363</v>
      </c>
      <c r="H127" s="38">
        <f t="shared" si="68"/>
        <v>1598594.8131470652</v>
      </c>
      <c r="I127" s="38">
        <f t="shared" si="68"/>
        <v>1542794.6133959917</v>
      </c>
      <c r="J127" s="38">
        <f t="shared" si="68"/>
        <v>1487008.0410107984</v>
      </c>
      <c r="K127" s="38">
        <f t="shared" si="68"/>
        <v>1431235.5325865673</v>
      </c>
      <c r="L127" s="38">
        <f t="shared" si="68"/>
        <v>1375477.5388956007</v>
      </c>
    </row>
    <row r="128" spans="1:12">
      <c r="A128" s="33"/>
      <c r="B128" s="33"/>
      <c r="C128" s="34"/>
      <c r="D128" s="34"/>
      <c r="E128" s="34"/>
      <c r="F128" s="34"/>
      <c r="G128" s="6"/>
      <c r="H128" s="1"/>
    </row>
    <row r="129" spans="1:12">
      <c r="A129" s="27" t="s">
        <v>147</v>
      </c>
      <c r="B129" s="27"/>
      <c r="C129" s="1"/>
      <c r="D129" s="1"/>
      <c r="E129" s="1"/>
      <c r="F129" s="1"/>
      <c r="G129" s="6"/>
      <c r="H129" s="1"/>
    </row>
    <row r="130" spans="1:12">
      <c r="A130" s="28" t="s">
        <v>139</v>
      </c>
      <c r="B130" s="28"/>
      <c r="C130" s="6">
        <f>C113/C127</f>
        <v>0.80297427763686258</v>
      </c>
      <c r="D130" s="6">
        <f t="shared" ref="D130:L130" si="69">D113/D127</f>
        <v>0.85316766667085531</v>
      </c>
      <c r="E130" s="6">
        <f t="shared" si="69"/>
        <v>0.90484326342506538</v>
      </c>
      <c r="F130" s="6">
        <f t="shared" si="69"/>
        <v>0.95797252232684249</v>
      </c>
      <c r="G130" s="6">
        <f t="shared" si="69"/>
        <v>1.0124899170787971</v>
      </c>
      <c r="H130" s="6">
        <f t="shared" si="69"/>
        <v>1.0913035416870152</v>
      </c>
      <c r="I130" s="6">
        <f t="shared" si="69"/>
        <v>1.1785329157688322</v>
      </c>
      <c r="J130" s="6">
        <f t="shared" si="69"/>
        <v>1.2731217497224172</v>
      </c>
      <c r="K130" s="6">
        <f t="shared" si="69"/>
        <v>1.3760066284020891</v>
      </c>
      <c r="L130" s="6">
        <f t="shared" si="69"/>
        <v>1.4882771688383425</v>
      </c>
    </row>
    <row r="131" spans="1:12">
      <c r="A131" s="39" t="s">
        <v>145</v>
      </c>
      <c r="B131" s="39"/>
      <c r="C131" s="30">
        <f>C126/C127</f>
        <v>0.19702572236313751</v>
      </c>
      <c r="D131" s="30">
        <f t="shared" ref="D131:L131" si="70">D126/D127</f>
        <v>0.14683233332914469</v>
      </c>
      <c r="E131" s="30">
        <f t="shared" si="70"/>
        <v>9.5156736574934619E-2</v>
      </c>
      <c r="F131" s="30">
        <f t="shared" si="70"/>
        <v>4.202747767315744E-2</v>
      </c>
      <c r="G131" s="30">
        <f t="shared" si="70"/>
        <v>-1.2489917078797033E-2</v>
      </c>
      <c r="H131" s="30">
        <f t="shared" si="70"/>
        <v>-9.130354168701503E-2</v>
      </c>
      <c r="I131" s="30">
        <f t="shared" si="70"/>
        <v>-0.17853291576883229</v>
      </c>
      <c r="J131" s="30">
        <f t="shared" si="70"/>
        <v>-0.27312174972241721</v>
      </c>
      <c r="K131" s="30">
        <f t="shared" si="70"/>
        <v>-0.3760066284020892</v>
      </c>
      <c r="L131" s="30">
        <f t="shared" si="70"/>
        <v>-0.4882771688383426</v>
      </c>
    </row>
    <row r="132" spans="1:12">
      <c r="A132" s="31" t="s">
        <v>142</v>
      </c>
      <c r="B132" s="31"/>
      <c r="C132" s="32">
        <f>SUM(C130:C131)</f>
        <v>1</v>
      </c>
      <c r="D132" s="32">
        <f t="shared" ref="D132:L132" si="71">SUM(D130:D131)</f>
        <v>1</v>
      </c>
      <c r="E132" s="32">
        <f t="shared" si="71"/>
        <v>1</v>
      </c>
      <c r="F132" s="32">
        <f t="shared" si="71"/>
        <v>0.99999999999999989</v>
      </c>
      <c r="G132" s="32">
        <f t="shared" si="71"/>
        <v>1</v>
      </c>
      <c r="H132" s="32">
        <f t="shared" si="71"/>
        <v>1.0000000000000002</v>
      </c>
      <c r="I132" s="32">
        <f t="shared" si="71"/>
        <v>1</v>
      </c>
      <c r="J132" s="32">
        <f t="shared" si="71"/>
        <v>1</v>
      </c>
      <c r="K132" s="32">
        <f t="shared" si="71"/>
        <v>0.99999999999999989</v>
      </c>
      <c r="L132" s="32">
        <f t="shared" si="71"/>
        <v>0.99999999999999989</v>
      </c>
    </row>
    <row r="133" spans="1:12">
      <c r="A133" s="33"/>
      <c r="B133" s="33"/>
      <c r="C133" s="34"/>
      <c r="D133" s="34"/>
      <c r="E133" s="34"/>
      <c r="F133" s="34"/>
      <c r="G133" s="6"/>
      <c r="H133" s="1"/>
    </row>
    <row r="134" spans="1:12">
      <c r="A134" s="33" t="s">
        <v>148</v>
      </c>
      <c r="B134" s="33"/>
      <c r="C134" s="30">
        <f t="shared" ref="C134:L134" si="72">C151*(C262-C261)+C261</f>
        <v>0.14854832800796389</v>
      </c>
      <c r="D134" s="30">
        <f t="shared" si="72"/>
        <v>0.19678159590730274</v>
      </c>
      <c r="E134" s="30">
        <f t="shared" si="72"/>
        <v>0.29959957343674654</v>
      </c>
      <c r="F134" s="30">
        <f t="shared" si="72"/>
        <v>0.66892200686648862</v>
      </c>
      <c r="G134" s="30">
        <f t="shared" si="72"/>
        <v>-2.2183454015718387</v>
      </c>
      <c r="H134" s="30">
        <f t="shared" si="72"/>
        <v>-0.29702887876351303</v>
      </c>
      <c r="I134" s="30">
        <f t="shared" si="72"/>
        <v>-0.14826358301231107</v>
      </c>
      <c r="J134" s="30">
        <f t="shared" si="72"/>
        <v>-9.4336108313431921E-2</v>
      </c>
      <c r="K134" s="30">
        <f t="shared" si="72"/>
        <v>-6.6484866835037779E-2</v>
      </c>
      <c r="L134" s="30">
        <f t="shared" si="72"/>
        <v>-4.9484875874165543E-2</v>
      </c>
    </row>
    <row r="135" spans="1:12">
      <c r="A135" s="33"/>
      <c r="B135" s="33"/>
      <c r="C135" s="34"/>
      <c r="D135" s="34"/>
      <c r="E135" s="34"/>
      <c r="F135" s="34"/>
      <c r="G135" s="6"/>
      <c r="H135" s="1"/>
    </row>
    <row r="136" spans="1:12">
      <c r="A136" s="33" t="s">
        <v>149</v>
      </c>
      <c r="B136" s="33"/>
      <c r="C136" s="30">
        <f t="shared" ref="C136:L136" si="73">C130*C124*(1-C203)+C131*C134</f>
        <v>6.5651455342987122E-2</v>
      </c>
      <c r="D136" s="30">
        <f t="shared" si="73"/>
        <v>6.9267186039152134E-2</v>
      </c>
      <c r="E136" s="30">
        <f t="shared" si="73"/>
        <v>7.3006598764192063E-2</v>
      </c>
      <c r="F136" s="30">
        <f t="shared" si="73"/>
        <v>7.6869345737393624E-2</v>
      </c>
      <c r="G136" s="30">
        <f t="shared" si="73"/>
        <v>8.0852426780209874E-2</v>
      </c>
      <c r="H136" s="30">
        <f t="shared" si="73"/>
        <v>9.215787416917226E-2</v>
      </c>
      <c r="I136" s="30">
        <f t="shared" si="73"/>
        <v>9.8773880462042815E-2</v>
      </c>
      <c r="J136" s="30">
        <f t="shared" si="73"/>
        <v>0.10598991702158322</v>
      </c>
      <c r="K136" s="30">
        <f t="shared" si="73"/>
        <v>0.11388429752994711</v>
      </c>
      <c r="L136" s="30">
        <f t="shared" si="73"/>
        <v>0.12254823522958425</v>
      </c>
    </row>
    <row r="137" spans="1:12">
      <c r="A137" s="33"/>
      <c r="B137" s="33"/>
      <c r="C137" s="34"/>
      <c r="D137" s="34"/>
      <c r="E137" s="34"/>
      <c r="F137" s="34"/>
      <c r="G137" s="6"/>
      <c r="H137" s="1"/>
    </row>
    <row r="138" spans="1:12">
      <c r="A138" s="33" t="s">
        <v>150</v>
      </c>
      <c r="B138" s="33"/>
      <c r="C138" s="34"/>
      <c r="D138" s="34"/>
      <c r="E138" s="34"/>
      <c r="G138" s="6"/>
      <c r="H138" s="1"/>
      <c r="L138" s="40">
        <f>AVERAGE(C136:L136)</f>
        <v>8.9900121707626443E-2</v>
      </c>
    </row>
    <row r="139" spans="1:12">
      <c r="A139" s="33"/>
      <c r="B139" s="33"/>
      <c r="C139" s="34"/>
      <c r="D139" s="34"/>
      <c r="E139" s="34"/>
      <c r="F139" s="34"/>
      <c r="G139" s="6"/>
      <c r="H139" s="1"/>
    </row>
    <row r="140" spans="1:12">
      <c r="A140" s="33"/>
      <c r="B140" s="33"/>
      <c r="C140" s="34"/>
      <c r="D140" s="34"/>
      <c r="E140" s="34"/>
      <c r="F140" s="34"/>
      <c r="G140" s="6"/>
      <c r="H140" s="1"/>
    </row>
    <row r="141" spans="1:12">
      <c r="A141" s="33"/>
      <c r="B141" s="33"/>
      <c r="C141" s="34"/>
      <c r="D141" s="34"/>
      <c r="E141" s="34"/>
      <c r="F141" s="34"/>
      <c r="G141" s="6"/>
      <c r="H141" s="1"/>
    </row>
    <row r="142" spans="1:12">
      <c r="A142" s="75" t="s">
        <v>170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</row>
    <row r="143" spans="1:12">
      <c r="A143" s="33"/>
      <c r="B143" s="33"/>
      <c r="C143" s="34"/>
      <c r="D143" s="34"/>
      <c r="E143" s="34"/>
      <c r="F143" s="40"/>
      <c r="G143" s="6"/>
      <c r="H143" s="1"/>
    </row>
    <row r="144" spans="1:12">
      <c r="A144" s="33" t="s">
        <v>171</v>
      </c>
      <c r="B144" s="33"/>
      <c r="C144" s="34"/>
      <c r="D144" s="34"/>
      <c r="E144" s="34"/>
      <c r="F144" s="34"/>
      <c r="G144" s="6"/>
      <c r="H144" s="1"/>
    </row>
    <row r="145" spans="1:12">
      <c r="A145" s="39" t="s">
        <v>172</v>
      </c>
      <c r="B145" s="33"/>
      <c r="C145" s="51">
        <f>C130</f>
        <v>0.80297427763686258</v>
      </c>
      <c r="D145" s="51">
        <f t="shared" ref="D145:L146" si="74">D130</f>
        <v>0.85316766667085531</v>
      </c>
      <c r="E145" s="51">
        <f t="shared" si="74"/>
        <v>0.90484326342506538</v>
      </c>
      <c r="F145" s="51">
        <f t="shared" si="74"/>
        <v>0.95797252232684249</v>
      </c>
      <c r="G145" s="51">
        <f t="shared" si="74"/>
        <v>1.0124899170787971</v>
      </c>
      <c r="H145" s="51">
        <f t="shared" si="74"/>
        <v>1.0913035416870152</v>
      </c>
      <c r="I145" s="51">
        <f t="shared" si="74"/>
        <v>1.1785329157688322</v>
      </c>
      <c r="J145" s="51">
        <f t="shared" si="74"/>
        <v>1.2731217497224172</v>
      </c>
      <c r="K145" s="51">
        <f t="shared" si="74"/>
        <v>1.3760066284020891</v>
      </c>
      <c r="L145" s="51">
        <f t="shared" si="74"/>
        <v>1.4882771688383425</v>
      </c>
    </row>
    <row r="146" spans="1:12">
      <c r="A146" s="39" t="s">
        <v>173</v>
      </c>
      <c r="B146" s="33"/>
      <c r="C146" s="51">
        <f>C131</f>
        <v>0.19702572236313751</v>
      </c>
      <c r="D146" s="51">
        <f t="shared" si="74"/>
        <v>0.14683233332914469</v>
      </c>
      <c r="E146" s="51">
        <f t="shared" si="74"/>
        <v>9.5156736574934619E-2</v>
      </c>
      <c r="F146" s="51">
        <f t="shared" si="74"/>
        <v>4.202747767315744E-2</v>
      </c>
      <c r="G146" s="51">
        <f t="shared" si="74"/>
        <v>-1.2489917078797033E-2</v>
      </c>
      <c r="H146" s="51">
        <f t="shared" si="74"/>
        <v>-9.130354168701503E-2</v>
      </c>
      <c r="I146" s="51">
        <f t="shared" si="74"/>
        <v>-0.17853291576883229</v>
      </c>
      <c r="J146" s="51">
        <f t="shared" si="74"/>
        <v>-0.27312174972241721</v>
      </c>
      <c r="K146" s="51">
        <f t="shared" si="74"/>
        <v>-0.3760066284020892</v>
      </c>
      <c r="L146" s="51">
        <f t="shared" si="74"/>
        <v>-0.4882771688383426</v>
      </c>
    </row>
    <row r="147" spans="1:12">
      <c r="A147" s="31" t="s">
        <v>142</v>
      </c>
      <c r="B147" s="33"/>
      <c r="C147" s="53">
        <f>SUM(C145:C146)</f>
        <v>1</v>
      </c>
      <c r="D147" s="53">
        <f>SUM(D145:D146)</f>
        <v>1</v>
      </c>
      <c r="E147" s="53">
        <f>SUM(E145:E146)</f>
        <v>1</v>
      </c>
      <c r="F147" s="53">
        <f>SUM(F145:F146)</f>
        <v>0.99999999999999989</v>
      </c>
      <c r="G147" s="53">
        <f t="shared" ref="G147:L147" si="75">SUM(G145:G146)</f>
        <v>1</v>
      </c>
      <c r="H147" s="53">
        <f t="shared" si="75"/>
        <v>1.0000000000000002</v>
      </c>
      <c r="I147" s="53">
        <f t="shared" si="75"/>
        <v>1</v>
      </c>
      <c r="J147" s="53">
        <f t="shared" si="75"/>
        <v>1</v>
      </c>
      <c r="K147" s="53">
        <f t="shared" si="75"/>
        <v>0.99999999999999989</v>
      </c>
      <c r="L147" s="53">
        <f t="shared" si="75"/>
        <v>0.99999999999999989</v>
      </c>
    </row>
    <row r="148" spans="1:12">
      <c r="A148" s="33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3" t="s">
        <v>174</v>
      </c>
      <c r="B149" s="33"/>
      <c r="C149" s="34">
        <f>C264</f>
        <v>0.5</v>
      </c>
      <c r="D149" s="34">
        <f t="shared" ref="D149:L149" si="76">D264</f>
        <v>0.5</v>
      </c>
      <c r="E149" s="34">
        <f t="shared" si="76"/>
        <v>0.5</v>
      </c>
      <c r="F149" s="34">
        <f t="shared" si="76"/>
        <v>0.5</v>
      </c>
      <c r="G149" s="34">
        <f t="shared" si="76"/>
        <v>0.5</v>
      </c>
      <c r="H149" s="34">
        <f t="shared" si="76"/>
        <v>0.5</v>
      </c>
      <c r="I149" s="34">
        <f t="shared" si="76"/>
        <v>0.5</v>
      </c>
      <c r="J149" s="34">
        <f t="shared" si="76"/>
        <v>0.5</v>
      </c>
      <c r="K149" s="34">
        <f t="shared" si="76"/>
        <v>0.5</v>
      </c>
      <c r="L149" s="34">
        <f t="shared" si="76"/>
        <v>0.5</v>
      </c>
    </row>
    <row r="150" spans="1:12">
      <c r="A150" s="33"/>
      <c r="B150" s="33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3" t="s">
        <v>175</v>
      </c>
      <c r="B151" s="33"/>
      <c r="C151" s="52">
        <f t="shared" ref="C151:L151" si="77">(1+(1-C203)*(C145/C146))*C149</f>
        <v>2.1301917698987607</v>
      </c>
      <c r="D151" s="52">
        <f t="shared" si="77"/>
        <v>2.8241956245655069</v>
      </c>
      <c r="E151" s="52">
        <f t="shared" si="77"/>
        <v>4.3035909847013887</v>
      </c>
      <c r="F151" s="52">
        <f t="shared" si="77"/>
        <v>9.6175828326113475</v>
      </c>
      <c r="G151" s="52">
        <f t="shared" si="77"/>
        <v>-31.925833116141561</v>
      </c>
      <c r="H151" s="52">
        <f t="shared" si="77"/>
        <v>-4.2809910613455111</v>
      </c>
      <c r="I151" s="52">
        <f t="shared" si="77"/>
        <v>-2.140483208810231</v>
      </c>
      <c r="J151" s="52">
        <f t="shared" si="77"/>
        <v>-1.3645483210565743</v>
      </c>
      <c r="K151" s="52">
        <f t="shared" si="77"/>
        <v>-0.96381103359766573</v>
      </c>
      <c r="L151" s="52">
        <f t="shared" si="77"/>
        <v>-0.71920684711029548</v>
      </c>
    </row>
    <row r="152" spans="1:12">
      <c r="A152" s="33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>
      <c r="A153" s="33"/>
      <c r="B153" s="33"/>
      <c r="C153" s="34"/>
      <c r="D153" s="34"/>
      <c r="E153" s="34"/>
      <c r="F153" s="34"/>
      <c r="G153" s="6"/>
      <c r="H153" s="1"/>
    </row>
    <row r="154" spans="1:12">
      <c r="A154" s="33"/>
      <c r="B154" s="33"/>
      <c r="C154" s="34"/>
      <c r="D154" s="34"/>
      <c r="E154" s="34"/>
      <c r="F154" s="34"/>
      <c r="G154" s="6"/>
      <c r="H154" s="1"/>
    </row>
    <row r="155" spans="1:12">
      <c r="A155" s="75" t="s">
        <v>151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</row>
    <row r="156" spans="1:12">
      <c r="A156" s="33"/>
      <c r="B156" s="33"/>
      <c r="C156" s="34"/>
      <c r="D156" s="34"/>
      <c r="E156" s="34"/>
      <c r="F156" s="34"/>
      <c r="G156" s="6"/>
      <c r="H156" s="1"/>
    </row>
    <row r="157" spans="1:12">
      <c r="A157" s="61" t="str">
        <f>"Neutral Market Total FCF (Tee Times = " &amp; $M$230 &amp; ")"</f>
        <v>Neutral Market Total FCF (Tee Times = 300)</v>
      </c>
      <c r="B157" s="33"/>
      <c r="C157" s="34"/>
      <c r="D157" s="34"/>
      <c r="E157" s="34"/>
      <c r="F157" s="34"/>
      <c r="G157" s="6"/>
      <c r="H157" s="1"/>
    </row>
    <row r="158" spans="1:12">
      <c r="A158" s="41" t="s">
        <v>152</v>
      </c>
      <c r="B158" s="42">
        <v>0</v>
      </c>
      <c r="C158" s="43">
        <f>B158+1</f>
        <v>1</v>
      </c>
      <c r="D158" s="43">
        <f t="shared" ref="D158:L158" si="78">C158+1</f>
        <v>2</v>
      </c>
      <c r="E158" s="43">
        <f t="shared" si="78"/>
        <v>3</v>
      </c>
      <c r="F158" s="43">
        <f t="shared" si="78"/>
        <v>4</v>
      </c>
      <c r="G158" s="43">
        <f t="shared" si="78"/>
        <v>5</v>
      </c>
      <c r="H158" s="43">
        <f t="shared" si="78"/>
        <v>6</v>
      </c>
      <c r="I158" s="43">
        <f t="shared" si="78"/>
        <v>7</v>
      </c>
      <c r="J158" s="43">
        <f t="shared" si="78"/>
        <v>8</v>
      </c>
      <c r="K158" s="43">
        <f t="shared" si="78"/>
        <v>9</v>
      </c>
      <c r="L158" s="43">
        <f t="shared" si="78"/>
        <v>10</v>
      </c>
    </row>
    <row r="159" spans="1:12">
      <c r="A159" s="33"/>
      <c r="B159" s="33"/>
      <c r="C159" s="34"/>
      <c r="D159" s="34"/>
      <c r="E159" s="34"/>
      <c r="F159" s="34"/>
      <c r="G159" s="6"/>
      <c r="H159" s="1"/>
    </row>
    <row r="160" spans="1:12">
      <c r="A160" s="33" t="s">
        <v>153</v>
      </c>
      <c r="B160" s="33"/>
      <c r="C160" s="38">
        <f t="shared" ref="C160:L160" si="79">IF((C32-C35-C36)&gt;0,(C32-C35-C36)*C203,0)</f>
        <v>0</v>
      </c>
      <c r="D160" s="38">
        <f t="shared" si="79"/>
        <v>0</v>
      </c>
      <c r="E160" s="38">
        <f t="shared" si="79"/>
        <v>0</v>
      </c>
      <c r="F160" s="38">
        <f t="shared" si="79"/>
        <v>1536.8093394479365</v>
      </c>
      <c r="G160" s="38">
        <f t="shared" si="79"/>
        <v>3095.5199993946826</v>
      </c>
      <c r="H160" s="38">
        <f t="shared" si="79"/>
        <v>434.71601880569943</v>
      </c>
      <c r="I160" s="38">
        <f t="shared" si="79"/>
        <v>2115.7750365328043</v>
      </c>
      <c r="J160" s="38">
        <f t="shared" si="79"/>
        <v>3815.8288814105908</v>
      </c>
      <c r="K160" s="38">
        <f t="shared" si="79"/>
        <v>5537.8506503104236</v>
      </c>
      <c r="L160" s="38">
        <f t="shared" si="79"/>
        <v>7284.6756387568203</v>
      </c>
    </row>
    <row r="161" spans="1:12">
      <c r="A161" s="33"/>
      <c r="B161" s="33"/>
      <c r="C161" s="34"/>
      <c r="D161" s="34"/>
      <c r="E161" s="34"/>
      <c r="F161" s="34"/>
      <c r="G161" s="6"/>
      <c r="H161" s="1"/>
    </row>
    <row r="162" spans="1:12">
      <c r="A162" s="33" t="s">
        <v>154</v>
      </c>
      <c r="B162" s="33"/>
      <c r="C162" s="38">
        <f t="shared" ref="C162:L162" si="80">C32-C160</f>
        <v>28995.780857142876</v>
      </c>
      <c r="D162" s="38">
        <f t="shared" si="80"/>
        <v>36711.585055357078</v>
      </c>
      <c r="E162" s="38">
        <f t="shared" si="80"/>
        <v>44433.635601752205</v>
      </c>
      <c r="F162" s="38">
        <f t="shared" si="80"/>
        <v>50645.237357791746</v>
      </c>
      <c r="G162" s="38">
        <f t="shared" si="80"/>
        <v>56880.07999757873</v>
      </c>
      <c r="H162" s="38">
        <f t="shared" si="80"/>
        <v>57978.864075222795</v>
      </c>
      <c r="I162" s="38">
        <f t="shared" si="80"/>
        <v>64703.100146131219</v>
      </c>
      <c r="J162" s="38">
        <f t="shared" si="80"/>
        <v>71503.315525642363</v>
      </c>
      <c r="K162" s="38">
        <f t="shared" si="80"/>
        <v>78391.402601241687</v>
      </c>
      <c r="L162" s="38">
        <f t="shared" si="80"/>
        <v>85378.702555027281</v>
      </c>
    </row>
    <row r="163" spans="1:12">
      <c r="A163" s="33" t="s">
        <v>39</v>
      </c>
      <c r="B163" s="44">
        <f>-C70</f>
        <v>-858000</v>
      </c>
      <c r="C163" s="38"/>
      <c r="D163" s="38"/>
      <c r="E163" s="38"/>
      <c r="G163" s="6"/>
      <c r="H163" s="1"/>
      <c r="L163" s="38">
        <f>L219*M220</f>
        <v>1119495.3917254922</v>
      </c>
    </row>
    <row r="164" spans="1:12">
      <c r="A164" s="27" t="s">
        <v>155</v>
      </c>
      <c r="C164" s="38"/>
      <c r="D164" s="38"/>
      <c r="E164" s="38"/>
      <c r="G164" s="6"/>
      <c r="H164" s="1"/>
      <c r="L164" s="38">
        <f>-IF((L163-L70)&gt;0,(L163-L70)*L205,0)</f>
        <v>-52299.078345098445</v>
      </c>
    </row>
    <row r="165" spans="1:12">
      <c r="A165" s="33" t="s">
        <v>40</v>
      </c>
      <c r="B165" s="44">
        <f>-C72</f>
        <v>-576800</v>
      </c>
      <c r="H165" s="1"/>
      <c r="L165" s="3">
        <f>L221*L222</f>
        <v>1075133.1034752978</v>
      </c>
    </row>
    <row r="166" spans="1:12">
      <c r="A166" s="33" t="s">
        <v>176</v>
      </c>
      <c r="B166" s="44"/>
      <c r="G166" s="3">
        <f>-(H72-G72)</f>
        <v>-247200</v>
      </c>
      <c r="H166" s="1"/>
    </row>
    <row r="167" spans="1:12">
      <c r="A167" s="27" t="s">
        <v>155</v>
      </c>
      <c r="G167" s="6"/>
      <c r="H167" s="1"/>
      <c r="L167" s="3">
        <f>-IF((L165-L74)&gt;0,(L165-L74)*L205,0)</f>
        <v>-116764.62069505957</v>
      </c>
    </row>
    <row r="168" spans="1:12">
      <c r="A168" s="27" t="s">
        <v>58</v>
      </c>
      <c r="B168" s="3">
        <f>-C76</f>
        <v>-180000</v>
      </c>
      <c r="G168" s="6"/>
      <c r="H168" s="1"/>
      <c r="L168" s="22">
        <f>L223*M224</f>
        <v>69735.688020000016</v>
      </c>
    </row>
    <row r="169" spans="1:12">
      <c r="A169" s="27" t="s">
        <v>155</v>
      </c>
      <c r="G169" s="6"/>
      <c r="H169" s="1"/>
      <c r="L169" s="3">
        <f>-IF((L168-L78)&gt;0,(L168-L78)*L205,0)</f>
        <v>-12147.137604000003</v>
      </c>
    </row>
    <row r="170" spans="1:12">
      <c r="A170" s="27" t="str">
        <f>"Change in "&amp;A63</f>
        <v>Change in Golf Club Inventory</v>
      </c>
      <c r="C170" s="3">
        <f>-(C63)</f>
        <v>-4591.8367346938776</v>
      </c>
      <c r="D170" s="3">
        <f t="shared" ref="D170:L173" si="81">-(D63-C63)</f>
        <v>-150.38265306122503</v>
      </c>
      <c r="E170" s="3">
        <f t="shared" si="81"/>
        <v>-155.30768494897984</v>
      </c>
      <c r="F170" s="3">
        <f t="shared" si="81"/>
        <v>-160.39401163105777</v>
      </c>
      <c r="G170" s="3">
        <f t="shared" si="81"/>
        <v>-165.64691551197575</v>
      </c>
      <c r="H170" s="3">
        <f t="shared" si="81"/>
        <v>-171.07185199499236</v>
      </c>
      <c r="I170" s="3">
        <f t="shared" si="81"/>
        <v>-176.67445514782867</v>
      </c>
      <c r="J170" s="3">
        <f t="shared" si="81"/>
        <v>-182.46054355392062</v>
      </c>
      <c r="K170" s="3">
        <f t="shared" si="81"/>
        <v>-188.4361263553119</v>
      </c>
      <c r="L170" s="3">
        <f t="shared" si="81"/>
        <v>-194.60740949344654</v>
      </c>
    </row>
    <row r="171" spans="1:12">
      <c r="A171" s="27" t="str">
        <f>"Change in "&amp;A64</f>
        <v>Change in Apparel Inventory</v>
      </c>
      <c r="C171" s="3">
        <f>-(C64)</f>
        <v>-1700.6802721088438</v>
      </c>
      <c r="D171" s="3">
        <f t="shared" si="81"/>
        <v>-55.697278911564354</v>
      </c>
      <c r="E171" s="3">
        <f t="shared" si="81"/>
        <v>-57.521364795918316</v>
      </c>
      <c r="F171" s="3">
        <f t="shared" si="81"/>
        <v>-59.405189492984846</v>
      </c>
      <c r="G171" s="3">
        <f t="shared" si="81"/>
        <v>-61.350709448880025</v>
      </c>
      <c r="H171" s="3">
        <f t="shared" si="81"/>
        <v>-63.359945183330183</v>
      </c>
      <c r="I171" s="3">
        <f t="shared" si="81"/>
        <v>-65.434983388084902</v>
      </c>
      <c r="J171" s="3">
        <f t="shared" si="81"/>
        <v>-67.577979094044622</v>
      </c>
      <c r="K171" s="3">
        <f t="shared" si="81"/>
        <v>-69.79115790937476</v>
      </c>
      <c r="L171" s="3">
        <f t="shared" si="81"/>
        <v>-72.076818330906008</v>
      </c>
    </row>
    <row r="172" spans="1:12">
      <c r="A172" s="27" t="str">
        <f>"Change in "&amp;A65</f>
        <v>Change in Accessories Inventory</v>
      </c>
      <c r="C172" s="3">
        <f>-(C65)</f>
        <v>-931.19999999999982</v>
      </c>
      <c r="D172" s="3">
        <f t="shared" si="81"/>
        <v>-11.640000000000214</v>
      </c>
      <c r="E172" s="3">
        <f t="shared" si="81"/>
        <v>-11.785499999999956</v>
      </c>
      <c r="F172" s="3">
        <f t="shared" si="81"/>
        <v>-11.932818750000024</v>
      </c>
      <c r="G172" s="3">
        <f t="shared" si="81"/>
        <v>-12.081978984375041</v>
      </c>
      <c r="H172" s="3">
        <f t="shared" si="81"/>
        <v>-12.233003721679438</v>
      </c>
      <c r="I172" s="3">
        <f t="shared" si="81"/>
        <v>-12.385916268200617</v>
      </c>
      <c r="J172" s="3">
        <f t="shared" si="81"/>
        <v>-12.540740221553165</v>
      </c>
      <c r="K172" s="3">
        <f t="shared" si="81"/>
        <v>-12.697499474322512</v>
      </c>
      <c r="L172" s="3">
        <f t="shared" si="81"/>
        <v>-12.856218217751803</v>
      </c>
    </row>
    <row r="173" spans="1:12">
      <c r="A173" s="27" t="str">
        <f>"Change in "&amp;A66</f>
        <v>Change in Meal Supplies</v>
      </c>
      <c r="C173" s="3">
        <f>-(C66)</f>
        <v>-979.59183673469397</v>
      </c>
      <c r="D173" s="3">
        <f t="shared" si="81"/>
        <v>-12.244897959183618</v>
      </c>
      <c r="E173" s="3">
        <f t="shared" si="81"/>
        <v>-12.397959183673493</v>
      </c>
      <c r="F173" s="3">
        <f t="shared" si="81"/>
        <v>-12.552933673469397</v>
      </c>
      <c r="G173" s="3">
        <f t="shared" si="81"/>
        <v>-12.709845344387531</v>
      </c>
      <c r="H173" s="3">
        <f t="shared" si="81"/>
        <v>-12.868718411192503</v>
      </c>
      <c r="I173" s="3">
        <f t="shared" si="81"/>
        <v>-13.029577391332623</v>
      </c>
      <c r="J173" s="3">
        <f t="shared" si="81"/>
        <v>-13.192447108724309</v>
      </c>
      <c r="K173" s="3">
        <f t="shared" si="81"/>
        <v>-13.357352697582883</v>
      </c>
      <c r="L173" s="3">
        <f t="shared" si="81"/>
        <v>-13.524319606303379</v>
      </c>
    </row>
    <row r="174" spans="1:12">
      <c r="A174" s="27" t="str">
        <f>"Change in "&amp;A88</f>
        <v>Change in Accounts Payable</v>
      </c>
      <c r="C174" s="3">
        <f>C88</f>
        <v>7390.0081632653055</v>
      </c>
      <c r="D174" s="3">
        <f t="shared" ref="D174:L174" si="82">D88-C88</f>
        <v>106.83938775510251</v>
      </c>
      <c r="E174" s="3">
        <f t="shared" si="82"/>
        <v>108.64858545918378</v>
      </c>
      <c r="F174" s="3">
        <f t="shared" si="82"/>
        <v>110.49591198501275</v>
      </c>
      <c r="G174" s="3">
        <f t="shared" si="82"/>
        <v>112.38235202146279</v>
      </c>
      <c r="H174" s="3">
        <f t="shared" si="82"/>
        <v>114.30891920559316</v>
      </c>
      <c r="I174" s="3">
        <f t="shared" si="82"/>
        <v>116.27665702944887</v>
      </c>
      <c r="J174" s="3">
        <f t="shared" si="82"/>
        <v>118.28663977603173</v>
      </c>
      <c r="K174" s="3">
        <f t="shared" si="82"/>
        <v>120.33997348542653</v>
      </c>
      <c r="L174" s="3">
        <f t="shared" si="82"/>
        <v>122.43779695201738</v>
      </c>
    </row>
    <row r="175" spans="1:12">
      <c r="A175" s="27" t="str">
        <f>"Change in "&amp;A89</f>
        <v>Change in Income Taxes Payable</v>
      </c>
      <c r="C175" s="3">
        <f>C160</f>
        <v>0</v>
      </c>
      <c r="D175" s="3">
        <f t="shared" ref="D175:L175" si="83">D160-C160</f>
        <v>0</v>
      </c>
      <c r="E175" s="3">
        <f t="shared" si="83"/>
        <v>0</v>
      </c>
      <c r="F175" s="3">
        <f t="shared" si="83"/>
        <v>1536.8093394479365</v>
      </c>
      <c r="G175" s="3">
        <f t="shared" si="83"/>
        <v>1558.7106599467461</v>
      </c>
      <c r="H175" s="3">
        <f t="shared" si="83"/>
        <v>-2660.803980588983</v>
      </c>
      <c r="I175" s="3">
        <f t="shared" si="83"/>
        <v>1681.0590177271049</v>
      </c>
      <c r="J175" s="3">
        <f t="shared" si="83"/>
        <v>1700.0538448777866</v>
      </c>
      <c r="K175" s="3">
        <f t="shared" si="83"/>
        <v>1722.0217688998328</v>
      </c>
      <c r="L175" s="3">
        <f t="shared" si="83"/>
        <v>1746.8249884463967</v>
      </c>
    </row>
    <row r="176" spans="1:12">
      <c r="A176" s="27" t="str">
        <f>"Liquidation of "&amp;A63</f>
        <v>Liquidation of Golf Club Inventory</v>
      </c>
      <c r="G176" s="6"/>
      <c r="H176" s="1"/>
      <c r="L176" s="3">
        <f>L63</f>
        <v>6136.818386392616</v>
      </c>
    </row>
    <row r="177" spans="1:16">
      <c r="A177" s="27" t="str">
        <f>"Liquidation of "&amp;A64</f>
        <v>Liquidation of Apparel Inventory</v>
      </c>
      <c r="G177" s="6"/>
      <c r="H177" s="1"/>
      <c r="L177" s="3">
        <f>L64</f>
        <v>2272.8956986639319</v>
      </c>
    </row>
    <row r="178" spans="1:16">
      <c r="A178" s="27" t="str">
        <f>"Liquidation of "&amp;A65</f>
        <v>Liquidation of Accessories Inventory</v>
      </c>
      <c r="G178" s="6"/>
      <c r="H178" s="1"/>
      <c r="L178" s="3">
        <f>L65</f>
        <v>1041.3536756378826</v>
      </c>
    </row>
    <row r="179" spans="1:16">
      <c r="A179" s="27" t="str">
        <f>"Liquidation of "&amp;A66</f>
        <v>Liquidation of Meal Supplies</v>
      </c>
      <c r="G179" s="6"/>
      <c r="H179" s="1"/>
      <c r="L179" s="3">
        <f>L66</f>
        <v>1095.4698881105437</v>
      </c>
    </row>
    <row r="180" spans="1:16">
      <c r="A180" s="27" t="str">
        <f>"Liquidation of "&amp;A88</f>
        <v>Liquidation of Accounts Payable</v>
      </c>
      <c r="G180" s="6"/>
      <c r="H180" s="1"/>
      <c r="L180" s="3">
        <f>-L88</f>
        <v>-8420.024386934585</v>
      </c>
    </row>
    <row r="181" spans="1:16">
      <c r="A181" s="27" t="str">
        <f>"Liquidation of "&amp;A89</f>
        <v>Liquidation of Income Taxes Payable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>
        <f>-L160</f>
        <v>-7284.6756387568203</v>
      </c>
    </row>
    <row r="182" spans="1:16">
      <c r="A182" s="28" t="s">
        <v>156</v>
      </c>
      <c r="B182" s="3">
        <f t="shared" ref="B182:L182" si="84">SUM(B162:B181)</f>
        <v>-1614800</v>
      </c>
      <c r="C182" s="3">
        <f t="shared" si="84"/>
        <v>28182.480176870769</v>
      </c>
      <c r="D182" s="3">
        <f t="shared" si="84"/>
        <v>36588.459613180195</v>
      </c>
      <c r="E182" s="3">
        <f t="shared" si="84"/>
        <v>44305.271678282814</v>
      </c>
      <c r="F182" s="19">
        <f t="shared" si="84"/>
        <v>52048.257655677182</v>
      </c>
      <c r="G182" s="19">
        <f t="shared" si="84"/>
        <v>-188900.61643974271</v>
      </c>
      <c r="H182" s="19">
        <f t="shared" si="84"/>
        <v>55172.835494528204</v>
      </c>
      <c r="I182" s="19">
        <f t="shared" si="84"/>
        <v>66232.910888692335</v>
      </c>
      <c r="J182" s="19">
        <f t="shared" si="84"/>
        <v>73045.884300317935</v>
      </c>
      <c r="K182" s="19">
        <f t="shared" si="84"/>
        <v>79949.482207190362</v>
      </c>
      <c r="L182" s="19">
        <f t="shared" si="84"/>
        <v>2164950.084774523</v>
      </c>
    </row>
    <row r="183" spans="1:16">
      <c r="A183" s="28" t="s">
        <v>157</v>
      </c>
      <c r="B183" s="45">
        <f t="shared" ref="B183:L183" si="85">-PV($L$138,B158,,B182)</f>
        <v>-1614800</v>
      </c>
      <c r="C183" s="45">
        <f t="shared" si="85"/>
        <v>25857.855793900828</v>
      </c>
      <c r="D183" s="45">
        <f t="shared" si="85"/>
        <v>30801.418940266751</v>
      </c>
      <c r="E183" s="45">
        <f t="shared" si="85"/>
        <v>34221.2052247014</v>
      </c>
      <c r="F183" s="45">
        <f t="shared" si="85"/>
        <v>36885.815661881985</v>
      </c>
      <c r="G183" s="45">
        <f t="shared" si="85"/>
        <v>-122828.70407111045</v>
      </c>
      <c r="H183" s="45">
        <f t="shared" si="85"/>
        <v>32915.851757091121</v>
      </c>
      <c r="I183" s="45">
        <f t="shared" si="85"/>
        <v>36254.918638293042</v>
      </c>
      <c r="J183" s="45">
        <f t="shared" si="85"/>
        <v>36686.150420441823</v>
      </c>
      <c r="K183" s="45">
        <f t="shared" si="85"/>
        <v>36841.333859755927</v>
      </c>
      <c r="L183" s="45">
        <f t="shared" si="85"/>
        <v>915336.7028300002</v>
      </c>
    </row>
    <row r="184" spans="1:16">
      <c r="A184" s="27"/>
      <c r="B184" s="27"/>
      <c r="C184" s="1"/>
      <c r="D184" s="1"/>
      <c r="E184" s="1"/>
      <c r="F184" s="1"/>
      <c r="G184" s="6"/>
      <c r="H184" s="1"/>
    </row>
    <row r="185" spans="1:16">
      <c r="A185" s="27" t="s">
        <v>158</v>
      </c>
      <c r="B185" s="27"/>
      <c r="C185" s="1"/>
      <c r="D185" s="1"/>
      <c r="E185" s="1"/>
      <c r="G185" s="6"/>
      <c r="H185" s="1"/>
      <c r="L185" s="3">
        <f>SUM(B183:L183)</f>
        <v>-551827.45094477723</v>
      </c>
    </row>
    <row r="186" spans="1:16">
      <c r="A186" s="27"/>
      <c r="B186" s="27"/>
      <c r="C186" s="1"/>
      <c r="D186" s="1"/>
      <c r="E186" s="1"/>
      <c r="F186" s="1"/>
      <c r="G186" s="6"/>
      <c r="H186" s="1"/>
    </row>
    <row r="187" spans="1:16">
      <c r="A187" s="27" t="s">
        <v>159</v>
      </c>
      <c r="B187" s="27"/>
      <c r="C187" s="1"/>
      <c r="D187" s="1"/>
      <c r="E187" s="1"/>
      <c r="G187" s="6"/>
      <c r="H187" s="1"/>
      <c r="L187" s="46">
        <f>IRR(B182:L182)</f>
        <v>4.2725275015869979E-2</v>
      </c>
    </row>
    <row r="188" spans="1:16">
      <c r="A188" s="27"/>
      <c r="B188" s="27"/>
      <c r="C188" s="1"/>
      <c r="D188" s="1"/>
      <c r="E188" s="1"/>
      <c r="F188" s="47"/>
      <c r="G188" s="6"/>
      <c r="H188" s="1"/>
    </row>
    <row r="189" spans="1:16">
      <c r="A189" s="27"/>
      <c r="B189" s="27"/>
      <c r="C189" s="1"/>
      <c r="D189" s="1"/>
      <c r="E189" s="1"/>
      <c r="F189" s="1"/>
      <c r="G189" s="6"/>
      <c r="H189" s="1"/>
    </row>
    <row r="190" spans="1:16">
      <c r="A190" s="27"/>
      <c r="B190" s="27"/>
      <c r="C190" s="1"/>
      <c r="D190" s="1"/>
      <c r="E190" s="1"/>
      <c r="F190" s="1"/>
      <c r="G190" s="6"/>
      <c r="H190" s="1"/>
    </row>
    <row r="191" spans="1:16">
      <c r="A191" s="72" t="s">
        <v>42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3" spans="1:16">
      <c r="A193" s="16" t="str">
        <f>Master!A240</f>
        <v>http://timbercreekgolf.com/</v>
      </c>
      <c r="B193" s="17" t="s">
        <v>43</v>
      </c>
    </row>
    <row r="194" spans="1:16" ht="63">
      <c r="A194" s="16" t="str">
        <f>Master!A241</f>
        <v>http://www.loopnet.com/xNet/MainSite/Listing/Profile/Profile.aspx?LID=18148605&amp;SRID=3289558223&amp;StepID=101&amp;jli=y</v>
      </c>
      <c r="B194" s="17" t="s">
        <v>44</v>
      </c>
    </row>
    <row r="196" spans="1:16">
      <c r="A196" s="64" t="str">
        <f>Master!A243</f>
        <v>Timber Creek Golf Course</v>
      </c>
      <c r="B196" s="3" t="s">
        <v>45</v>
      </c>
    </row>
    <row r="198" spans="1:16">
      <c r="C198" s="71" t="s">
        <v>38</v>
      </c>
      <c r="D198" s="71"/>
      <c r="E198" s="71"/>
      <c r="F198" s="71"/>
      <c r="G198" s="71"/>
      <c r="H198" s="71"/>
      <c r="I198" s="71"/>
      <c r="J198" s="71"/>
      <c r="K198" s="71"/>
      <c r="L198" s="74"/>
      <c r="M198" s="70" t="s">
        <v>51</v>
      </c>
      <c r="N198" s="71"/>
      <c r="O198" s="71"/>
      <c r="P198" s="71"/>
    </row>
    <row r="199" spans="1:16">
      <c r="C199" s="65">
        <f>Master!C246</f>
        <v>2014</v>
      </c>
      <c r="D199" s="2">
        <f>C199+1</f>
        <v>2015</v>
      </c>
      <c r="E199" s="2">
        <f t="shared" ref="E199:L199" si="86">D199+1</f>
        <v>2016</v>
      </c>
      <c r="F199" s="2">
        <f t="shared" si="86"/>
        <v>2017</v>
      </c>
      <c r="G199" s="2">
        <f t="shared" si="86"/>
        <v>2018</v>
      </c>
      <c r="H199" s="2">
        <f t="shared" si="86"/>
        <v>2019</v>
      </c>
      <c r="I199" s="2">
        <f t="shared" si="86"/>
        <v>2020</v>
      </c>
      <c r="J199" s="2">
        <f t="shared" si="86"/>
        <v>2021</v>
      </c>
      <c r="K199" s="2">
        <f t="shared" si="86"/>
        <v>2022</v>
      </c>
      <c r="L199" s="2">
        <f t="shared" si="86"/>
        <v>2023</v>
      </c>
      <c r="M199" s="21"/>
    </row>
    <row r="200" spans="1:16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3"/>
    </row>
    <row r="201" spans="1:16">
      <c r="A201" s="3" t="s">
        <v>36</v>
      </c>
      <c r="M201" s="7">
        <f>Master!M248</f>
        <v>1.2500000000000001E-2</v>
      </c>
    </row>
    <row r="202" spans="1:16">
      <c r="A202" s="76" t="s">
        <v>68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6"/>
    </row>
    <row r="203" spans="1:16">
      <c r="A203" s="3" t="s">
        <v>52</v>
      </c>
      <c r="C203" s="7">
        <f>Master!C250</f>
        <v>0.2</v>
      </c>
      <c r="D203" s="6">
        <f>C203*(1+$M203)</f>
        <v>0.2</v>
      </c>
      <c r="E203" s="6">
        <f>D203*(1+$M203)</f>
        <v>0.2</v>
      </c>
      <c r="F203" s="6">
        <f>E203*(1+$M203)</f>
        <v>0.2</v>
      </c>
      <c r="G203" s="6">
        <f t="shared" ref="G203:L203" si="87">F203*(1+$M203)</f>
        <v>0.2</v>
      </c>
      <c r="H203" s="6">
        <f t="shared" si="87"/>
        <v>0.2</v>
      </c>
      <c r="I203" s="6">
        <f t="shared" si="87"/>
        <v>0.2</v>
      </c>
      <c r="J203" s="6">
        <f t="shared" si="87"/>
        <v>0.2</v>
      </c>
      <c r="K203" s="6">
        <f t="shared" si="87"/>
        <v>0.2</v>
      </c>
      <c r="L203" s="6">
        <f t="shared" si="87"/>
        <v>0.2</v>
      </c>
      <c r="M203" s="7">
        <f>Master!M250</f>
        <v>0</v>
      </c>
      <c r="N203" s="3" t="s">
        <v>53</v>
      </c>
    </row>
    <row r="204" spans="1:16">
      <c r="A204" s="76" t="s">
        <v>69</v>
      </c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6"/>
    </row>
    <row r="205" spans="1:16">
      <c r="A205" s="62" t="s">
        <v>177</v>
      </c>
      <c r="B205" s="62"/>
      <c r="C205" s="7">
        <f>Master!C252</f>
        <v>0.2</v>
      </c>
      <c r="D205" s="6">
        <f>C205*(1+$M205)</f>
        <v>0.2</v>
      </c>
      <c r="E205" s="6">
        <f>D205*(1+$M205)</f>
        <v>0.2</v>
      </c>
      <c r="F205" s="6">
        <f>E205*(1+$M205)</f>
        <v>0.2</v>
      </c>
      <c r="G205" s="6">
        <f t="shared" ref="G205:L205" si="88">F205*(1+$M205)</f>
        <v>0.2</v>
      </c>
      <c r="H205" s="6">
        <f t="shared" si="88"/>
        <v>0.2</v>
      </c>
      <c r="I205" s="6">
        <f t="shared" si="88"/>
        <v>0.2</v>
      </c>
      <c r="J205" s="6">
        <f t="shared" si="88"/>
        <v>0.2</v>
      </c>
      <c r="K205" s="6">
        <f t="shared" si="88"/>
        <v>0.2</v>
      </c>
      <c r="L205" s="6">
        <f t="shared" si="88"/>
        <v>0.2</v>
      </c>
      <c r="M205" s="7">
        <f>Master!M252</f>
        <v>0</v>
      </c>
      <c r="N205" s="3" t="s">
        <v>53</v>
      </c>
    </row>
    <row r="206" spans="1:16">
      <c r="A206" s="3" t="s">
        <v>37</v>
      </c>
      <c r="M206" s="7">
        <f>Master!M253</f>
        <v>0.03</v>
      </c>
      <c r="N206" s="1" t="s">
        <v>63</v>
      </c>
      <c r="O206" s="5"/>
      <c r="P206" s="5"/>
    </row>
    <row r="207" spans="1:16">
      <c r="A207" s="3" t="s">
        <v>41</v>
      </c>
      <c r="M207" s="66">
        <f>Master!M254</f>
        <v>20</v>
      </c>
      <c r="N207" s="3" t="s">
        <v>38</v>
      </c>
    </row>
    <row r="208" spans="1:16">
      <c r="A208" s="3" t="s">
        <v>55</v>
      </c>
      <c r="M208" s="7">
        <f>Master!M255</f>
        <v>0.05</v>
      </c>
      <c r="N208" s="3" t="s">
        <v>57</v>
      </c>
    </row>
    <row r="209" spans="1:15">
      <c r="A209" s="3" t="s">
        <v>54</v>
      </c>
      <c r="M209" s="66">
        <f>Master!M256</f>
        <v>10</v>
      </c>
      <c r="N209" s="3" t="s">
        <v>38</v>
      </c>
    </row>
    <row r="210" spans="1:15">
      <c r="A210" s="3" t="s">
        <v>56</v>
      </c>
      <c r="M210" s="7">
        <f>Master!M257</f>
        <v>0.05</v>
      </c>
      <c r="N210" s="3" t="s">
        <v>57</v>
      </c>
    </row>
    <row r="211" spans="1:15" s="55" customFormat="1">
      <c r="A211" s="55" t="s">
        <v>62</v>
      </c>
      <c r="C211" s="7">
        <f>Master!C258</f>
        <v>0.11</v>
      </c>
      <c r="D211" s="57">
        <f>C211*(1+$M211)</f>
        <v>0.11</v>
      </c>
      <c r="E211" s="57">
        <f>D211*(1+$M211)</f>
        <v>0.11</v>
      </c>
      <c r="F211" s="57">
        <f>E211*(1+$M211)</f>
        <v>0.11</v>
      </c>
      <c r="G211" s="57">
        <f t="shared" ref="G211:L211" si="89">F211*(1+$M211)</f>
        <v>0.11</v>
      </c>
      <c r="H211" s="57">
        <f t="shared" si="89"/>
        <v>0.11</v>
      </c>
      <c r="I211" s="57">
        <f t="shared" si="89"/>
        <v>0.11</v>
      </c>
      <c r="J211" s="57">
        <f t="shared" si="89"/>
        <v>0.11</v>
      </c>
      <c r="K211" s="57">
        <f t="shared" si="89"/>
        <v>0.11</v>
      </c>
      <c r="L211" s="57">
        <f t="shared" si="89"/>
        <v>0.11</v>
      </c>
      <c r="M211" s="7">
        <f>Master!M258</f>
        <v>0</v>
      </c>
      <c r="N211" s="58" t="s">
        <v>53</v>
      </c>
    </row>
    <row r="212" spans="1:15">
      <c r="A212" s="76" t="s">
        <v>70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6"/>
    </row>
    <row r="213" spans="1:15">
      <c r="A213" s="76" t="s">
        <v>71</v>
      </c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6"/>
    </row>
    <row r="214" spans="1:15">
      <c r="A214" s="3" t="s">
        <v>59</v>
      </c>
      <c r="M214" s="3">
        <f>M225*(C70+C72)</f>
        <v>1147840</v>
      </c>
    </row>
    <row r="215" spans="1:15">
      <c r="A215" s="3" t="s">
        <v>60</v>
      </c>
      <c r="M215" s="7">
        <f>Master!M262</f>
        <v>0.05</v>
      </c>
    </row>
    <row r="216" spans="1:15">
      <c r="A216" s="76" t="s">
        <v>72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6"/>
    </row>
    <row r="217" spans="1:15">
      <c r="A217" s="3" t="s">
        <v>61</v>
      </c>
      <c r="M217" s="66">
        <f>Master!M264</f>
        <v>30</v>
      </c>
      <c r="N217" s="3" t="s">
        <v>38</v>
      </c>
    </row>
    <row r="218" spans="1:15">
      <c r="A218" s="3" t="str">
        <f>CONCATENATE("Retained Earnings, Beginning of ",C55)</f>
        <v>Retained Earnings, Beginning of 2014</v>
      </c>
      <c r="M218" s="4">
        <f>Master!M265</f>
        <v>0</v>
      </c>
      <c r="N218" s="18"/>
      <c r="O218" s="2"/>
    </row>
    <row r="219" spans="1:15">
      <c r="A219" s="3" t="s">
        <v>73</v>
      </c>
      <c r="C219" s="4">
        <f>Master!C266</f>
        <v>6000</v>
      </c>
      <c r="D219" s="3">
        <f>C219*(1+$M219)</f>
        <v>6180</v>
      </c>
      <c r="E219" s="3">
        <f t="shared" ref="E219:L219" si="90">D219*(1+$M219)</f>
        <v>6365.4000000000005</v>
      </c>
      <c r="F219" s="3">
        <f t="shared" si="90"/>
        <v>6556.362000000001</v>
      </c>
      <c r="G219" s="3">
        <f t="shared" si="90"/>
        <v>6753.0528600000016</v>
      </c>
      <c r="H219" s="3">
        <f t="shared" si="90"/>
        <v>6955.6444458000014</v>
      </c>
      <c r="I219" s="3">
        <f t="shared" si="90"/>
        <v>7164.3137791740019</v>
      </c>
      <c r="J219" s="3">
        <f t="shared" si="90"/>
        <v>7379.2431925492219</v>
      </c>
      <c r="K219" s="3">
        <f t="shared" si="90"/>
        <v>7600.6204883256987</v>
      </c>
      <c r="L219" s="3">
        <f t="shared" si="90"/>
        <v>7828.6391029754695</v>
      </c>
      <c r="M219" s="7">
        <f>Master!M266</f>
        <v>0.03</v>
      </c>
      <c r="N219" s="3" t="s">
        <v>53</v>
      </c>
    </row>
    <row r="220" spans="1:15">
      <c r="A220" s="3" t="s">
        <v>74</v>
      </c>
      <c r="M220" s="4">
        <f>Master!M267</f>
        <v>143</v>
      </c>
    </row>
    <row r="221" spans="1:15">
      <c r="A221" s="3" t="s">
        <v>75</v>
      </c>
      <c r="C221" s="4">
        <f>Master!C268</f>
        <v>103</v>
      </c>
      <c r="D221" s="22">
        <f>C221*(1+$M221)</f>
        <v>106.09</v>
      </c>
      <c r="E221" s="22">
        <f t="shared" ref="E221:L223" si="91">D221*(1+$M221)</f>
        <v>109.2727</v>
      </c>
      <c r="F221" s="22">
        <f t="shared" si="91"/>
        <v>112.550881</v>
      </c>
      <c r="G221" s="22">
        <f t="shared" si="91"/>
        <v>115.92740743</v>
      </c>
      <c r="H221" s="22">
        <f t="shared" si="91"/>
        <v>119.4052296529</v>
      </c>
      <c r="I221" s="22">
        <f t="shared" si="91"/>
        <v>122.987386542487</v>
      </c>
      <c r="J221" s="22">
        <f t="shared" si="91"/>
        <v>126.67700813876162</v>
      </c>
      <c r="K221" s="22">
        <f t="shared" si="91"/>
        <v>130.47731838292447</v>
      </c>
      <c r="L221" s="22">
        <f t="shared" si="91"/>
        <v>134.39163793441222</v>
      </c>
      <c r="M221" s="7">
        <f>Master!M268</f>
        <v>0.03</v>
      </c>
      <c r="N221" s="3" t="s">
        <v>53</v>
      </c>
    </row>
    <row r="222" spans="1:15">
      <c r="A222" s="3" t="s">
        <v>76</v>
      </c>
      <c r="C222" s="4">
        <f>Master!C269</f>
        <v>5600</v>
      </c>
      <c r="D222" s="4">
        <f>Master!D269</f>
        <v>5600</v>
      </c>
      <c r="E222" s="4">
        <f>Master!E269</f>
        <v>5600</v>
      </c>
      <c r="F222" s="4">
        <f>Master!F269</f>
        <v>5600</v>
      </c>
      <c r="G222" s="4">
        <f>Master!G269</f>
        <v>5600</v>
      </c>
      <c r="H222" s="4">
        <f>Master!H269</f>
        <v>8000</v>
      </c>
      <c r="I222" s="4">
        <f>Master!I269</f>
        <v>8000</v>
      </c>
      <c r="J222" s="4">
        <f>Master!J269</f>
        <v>8000</v>
      </c>
      <c r="K222" s="4">
        <f>Master!K269</f>
        <v>8000</v>
      </c>
      <c r="L222" s="4">
        <f>Master!L269</f>
        <v>8000</v>
      </c>
    </row>
    <row r="223" spans="1:15">
      <c r="A223" s="3" t="s">
        <v>77</v>
      </c>
      <c r="C223" s="4">
        <f>Master!C270</f>
        <v>4000</v>
      </c>
      <c r="D223" s="3">
        <f>C223*(1+$M223)</f>
        <v>3600</v>
      </c>
      <c r="E223" s="3">
        <f t="shared" si="91"/>
        <v>3240</v>
      </c>
      <c r="F223" s="3">
        <f t="shared" si="91"/>
        <v>2916</v>
      </c>
      <c r="G223" s="3">
        <f t="shared" si="91"/>
        <v>2624.4</v>
      </c>
      <c r="H223" s="3">
        <f t="shared" si="91"/>
        <v>2361.96</v>
      </c>
      <c r="I223" s="3">
        <f t="shared" si="91"/>
        <v>2125.7640000000001</v>
      </c>
      <c r="J223" s="3">
        <f t="shared" si="91"/>
        <v>1913.1876000000002</v>
      </c>
      <c r="K223" s="3">
        <f t="shared" si="91"/>
        <v>1721.8688400000003</v>
      </c>
      <c r="L223" s="3">
        <f t="shared" si="91"/>
        <v>1549.6819560000004</v>
      </c>
      <c r="M223" s="7">
        <f>Master!M270</f>
        <v>-0.1</v>
      </c>
      <c r="N223" s="3" t="s">
        <v>53</v>
      </c>
    </row>
    <row r="224" spans="1:15">
      <c r="A224" s="3" t="s">
        <v>78</v>
      </c>
      <c r="M224" s="4">
        <f>Master!M271</f>
        <v>45</v>
      </c>
    </row>
    <row r="225" spans="1:14">
      <c r="A225" s="3" t="s">
        <v>89</v>
      </c>
      <c r="M225" s="7">
        <f>Master!M272</f>
        <v>0.8</v>
      </c>
    </row>
    <row r="226" spans="1:14">
      <c r="A226" s="3" t="s">
        <v>90</v>
      </c>
      <c r="M226" s="4">
        <f>Master!M273</f>
        <v>400000</v>
      </c>
    </row>
    <row r="227" spans="1:14">
      <c r="A227" s="3" t="s">
        <v>85</v>
      </c>
      <c r="C227" s="24">
        <f>Master!C274</f>
        <v>10</v>
      </c>
      <c r="D227" s="22">
        <f t="shared" ref="D227:L227" si="92">C227*(1+$M$201)</f>
        <v>10.125</v>
      </c>
      <c r="E227" s="22">
        <f t="shared" si="92"/>
        <v>10.2515625</v>
      </c>
      <c r="F227" s="22">
        <f t="shared" si="92"/>
        <v>10.37970703125</v>
      </c>
      <c r="G227" s="22">
        <f t="shared" si="92"/>
        <v>10.509453369140624</v>
      </c>
      <c r="H227" s="22">
        <f t="shared" si="92"/>
        <v>10.640821536254881</v>
      </c>
      <c r="I227" s="22">
        <f t="shared" si="92"/>
        <v>10.773831805458066</v>
      </c>
      <c r="J227" s="22">
        <f t="shared" si="92"/>
        <v>10.908504703026292</v>
      </c>
      <c r="K227" s="22">
        <f t="shared" si="92"/>
        <v>11.04486101181412</v>
      </c>
      <c r="L227" s="22">
        <f t="shared" si="92"/>
        <v>11.182921774461796</v>
      </c>
    </row>
    <row r="228" spans="1:14">
      <c r="A228" s="3" t="s">
        <v>98</v>
      </c>
      <c r="D228" s="22"/>
      <c r="E228" s="22"/>
      <c r="F228" s="22"/>
      <c r="G228" s="22"/>
      <c r="H228" s="22"/>
      <c r="I228" s="22"/>
      <c r="J228" s="22"/>
      <c r="K228" s="22"/>
      <c r="L228" s="22"/>
      <c r="M228" s="7">
        <f>Master!M275</f>
        <v>0.25</v>
      </c>
    </row>
    <row r="229" spans="1:14">
      <c r="A229" s="3" t="s">
        <v>86</v>
      </c>
      <c r="C229" s="24">
        <f>Master!C276</f>
        <v>20</v>
      </c>
      <c r="D229" s="22">
        <f t="shared" ref="D229:L229" si="93">C229*(1+$M$201)</f>
        <v>20.25</v>
      </c>
      <c r="E229" s="22">
        <f t="shared" si="93"/>
        <v>20.503125000000001</v>
      </c>
      <c r="F229" s="22">
        <f t="shared" si="93"/>
        <v>20.759414062499999</v>
      </c>
      <c r="G229" s="22">
        <f t="shared" si="93"/>
        <v>21.018906738281249</v>
      </c>
      <c r="H229" s="22">
        <f t="shared" si="93"/>
        <v>21.281643072509763</v>
      </c>
      <c r="I229" s="22">
        <f t="shared" si="93"/>
        <v>21.547663610916132</v>
      </c>
      <c r="J229" s="22">
        <f t="shared" si="93"/>
        <v>21.817009406052584</v>
      </c>
      <c r="K229" s="22">
        <f t="shared" si="93"/>
        <v>22.089722023628241</v>
      </c>
      <c r="L229" s="22">
        <f t="shared" si="93"/>
        <v>22.365843548923593</v>
      </c>
    </row>
    <row r="230" spans="1:14">
      <c r="A230" s="3" t="s">
        <v>116</v>
      </c>
      <c r="D230" s="22"/>
      <c r="E230" s="22"/>
      <c r="F230" s="22"/>
      <c r="G230" s="22"/>
      <c r="H230" s="22"/>
      <c r="I230" s="22"/>
      <c r="J230" s="22"/>
      <c r="K230" s="22"/>
      <c r="L230" s="22"/>
      <c r="M230" s="24">
        <f>Master!M313</f>
        <v>300</v>
      </c>
    </row>
    <row r="231" spans="1:14">
      <c r="A231" s="3" t="s">
        <v>117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4">
        <f>Master!M278</f>
        <v>2</v>
      </c>
    </row>
    <row r="232" spans="1:14">
      <c r="A232" s="3" t="s">
        <v>118</v>
      </c>
      <c r="D232" s="22"/>
      <c r="E232" s="22"/>
      <c r="F232" s="22"/>
      <c r="G232" s="22"/>
      <c r="H232" s="22"/>
      <c r="I232" s="22"/>
      <c r="J232" s="22"/>
      <c r="K232" s="22"/>
      <c r="L232" s="22"/>
      <c r="M232" s="7">
        <f>Master!M279</f>
        <v>0.65</v>
      </c>
    </row>
    <row r="233" spans="1:14">
      <c r="A233" s="3" t="s">
        <v>120</v>
      </c>
      <c r="C233" s="4">
        <f>Master!C280</f>
        <v>1225</v>
      </c>
      <c r="D233" s="3">
        <f>C233*(1+$M$201)</f>
        <v>1240.3125</v>
      </c>
      <c r="E233" s="3">
        <f t="shared" ref="E233:L233" si="94">D233*(1+$M$201)</f>
        <v>1255.81640625</v>
      </c>
      <c r="F233" s="3">
        <f t="shared" si="94"/>
        <v>1271.514111328125</v>
      </c>
      <c r="G233" s="3">
        <f t="shared" si="94"/>
        <v>1287.4080377197265</v>
      </c>
      <c r="H233" s="3">
        <f t="shared" si="94"/>
        <v>1303.5006381912231</v>
      </c>
      <c r="I233" s="3">
        <f t="shared" si="94"/>
        <v>1319.7943961686133</v>
      </c>
      <c r="J233" s="3">
        <f t="shared" si="94"/>
        <v>1336.2918261207208</v>
      </c>
      <c r="K233" s="3">
        <f t="shared" si="94"/>
        <v>1352.9954739472298</v>
      </c>
      <c r="L233" s="3">
        <f t="shared" si="94"/>
        <v>1369.9079173715702</v>
      </c>
      <c r="M233" s="7"/>
    </row>
    <row r="234" spans="1:14">
      <c r="A234" s="3" t="s">
        <v>121</v>
      </c>
      <c r="C234" s="4">
        <f>Master!C281</f>
        <v>125</v>
      </c>
      <c r="D234" s="3">
        <f>C234*(1+$M234)</f>
        <v>127.5</v>
      </c>
      <c r="E234" s="3">
        <f t="shared" ref="E234:L234" si="95">D234*(1+$M234)</f>
        <v>130.05000000000001</v>
      </c>
      <c r="F234" s="3">
        <f t="shared" si="95"/>
        <v>132.65100000000001</v>
      </c>
      <c r="G234" s="3">
        <f t="shared" si="95"/>
        <v>135.30402000000001</v>
      </c>
      <c r="H234" s="3">
        <f t="shared" si="95"/>
        <v>138.0101004</v>
      </c>
      <c r="I234" s="3">
        <f t="shared" si="95"/>
        <v>140.77030240799999</v>
      </c>
      <c r="J234" s="3">
        <f t="shared" si="95"/>
        <v>143.58570845616001</v>
      </c>
      <c r="K234" s="3">
        <f t="shared" si="95"/>
        <v>146.45742262528321</v>
      </c>
      <c r="L234" s="3">
        <f t="shared" si="95"/>
        <v>149.38657107778889</v>
      </c>
      <c r="M234" s="7">
        <f>Master!M281</f>
        <v>0.02</v>
      </c>
      <c r="N234" s="3" t="s">
        <v>53</v>
      </c>
    </row>
    <row r="235" spans="1:14">
      <c r="A235" s="3" t="s">
        <v>84</v>
      </c>
      <c r="C235" s="24">
        <f>Master!C282</f>
        <v>10</v>
      </c>
      <c r="D235" s="22">
        <f t="shared" ref="D235:L235" si="96">C235*(1+$M$201)</f>
        <v>10.125</v>
      </c>
      <c r="E235" s="22">
        <f t="shared" si="96"/>
        <v>10.2515625</v>
      </c>
      <c r="F235" s="22">
        <f t="shared" si="96"/>
        <v>10.37970703125</v>
      </c>
      <c r="G235" s="22">
        <f t="shared" si="96"/>
        <v>10.509453369140624</v>
      </c>
      <c r="H235" s="22">
        <f t="shared" si="96"/>
        <v>10.640821536254881</v>
      </c>
      <c r="I235" s="22">
        <f t="shared" si="96"/>
        <v>10.773831805458066</v>
      </c>
      <c r="J235" s="22">
        <f t="shared" si="96"/>
        <v>10.908504703026292</v>
      </c>
      <c r="K235" s="22">
        <f t="shared" si="96"/>
        <v>11.04486101181412</v>
      </c>
      <c r="L235" s="22">
        <f t="shared" si="96"/>
        <v>11.182921774461796</v>
      </c>
    </row>
    <row r="236" spans="1:14">
      <c r="A236" s="3" t="s">
        <v>100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7">
        <f>Master!M283</f>
        <v>0.4</v>
      </c>
    </row>
    <row r="237" spans="1:14">
      <c r="A237" s="3" t="s">
        <v>87</v>
      </c>
      <c r="C237" s="24">
        <f>Master!C284</f>
        <v>7</v>
      </c>
      <c r="D237" s="22">
        <f t="shared" ref="D237:L237" si="97">C237*(1+$M$201)</f>
        <v>7.0874999999999995</v>
      </c>
      <c r="E237" s="22">
        <f t="shared" si="97"/>
        <v>7.1760937499999988</v>
      </c>
      <c r="F237" s="22">
        <f t="shared" si="97"/>
        <v>7.2657949218749982</v>
      </c>
      <c r="G237" s="22">
        <f t="shared" si="97"/>
        <v>7.3566173583984353</v>
      </c>
      <c r="H237" s="22">
        <f t="shared" si="97"/>
        <v>7.4485750753784155</v>
      </c>
      <c r="I237" s="22">
        <f t="shared" si="97"/>
        <v>7.5416822638206451</v>
      </c>
      <c r="J237" s="22">
        <f t="shared" si="97"/>
        <v>7.635953292118403</v>
      </c>
      <c r="K237" s="22">
        <f t="shared" si="97"/>
        <v>7.7314027082698829</v>
      </c>
      <c r="L237" s="22">
        <f t="shared" si="97"/>
        <v>7.828045242123256</v>
      </c>
    </row>
    <row r="238" spans="1:14">
      <c r="A238" s="3" t="s">
        <v>101</v>
      </c>
      <c r="D238" s="22"/>
      <c r="E238" s="22"/>
      <c r="F238" s="22"/>
      <c r="G238" s="22"/>
      <c r="H238" s="22"/>
      <c r="I238" s="22"/>
      <c r="J238" s="22"/>
      <c r="K238" s="22"/>
      <c r="L238" s="22"/>
      <c r="M238" s="7">
        <f>Master!M285</f>
        <v>0.5</v>
      </c>
    </row>
    <row r="239" spans="1:14">
      <c r="A239" s="3" t="s">
        <v>102</v>
      </c>
      <c r="M239" s="7">
        <f>Master!M286</f>
        <v>0.03</v>
      </c>
    </row>
    <row r="240" spans="1:14">
      <c r="A240" s="3" t="s">
        <v>126</v>
      </c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7">
        <f>Master!M287</f>
        <v>0.1</v>
      </c>
      <c r="N240" s="3" t="s">
        <v>125</v>
      </c>
    </row>
    <row r="241" spans="1:16">
      <c r="A241" s="3" t="s">
        <v>127</v>
      </c>
      <c r="C241" s="4">
        <f>Master!C288</f>
        <v>450</v>
      </c>
      <c r="D241" s="3">
        <f>C241*(1+$M$201)</f>
        <v>455.625</v>
      </c>
      <c r="E241" s="3">
        <f t="shared" ref="E241:L241" si="98">D241*(1+$M$201)</f>
        <v>461.3203125</v>
      </c>
      <c r="F241" s="3">
        <f t="shared" si="98"/>
        <v>467.08681640624997</v>
      </c>
      <c r="G241" s="3">
        <f t="shared" si="98"/>
        <v>472.92540161132808</v>
      </c>
      <c r="H241" s="3">
        <f t="shared" si="98"/>
        <v>478.83696913146969</v>
      </c>
      <c r="I241" s="3">
        <f t="shared" si="98"/>
        <v>484.82243124561302</v>
      </c>
      <c r="J241" s="3">
        <f t="shared" si="98"/>
        <v>490.88271163618316</v>
      </c>
      <c r="K241" s="3">
        <f t="shared" si="98"/>
        <v>497.01874553163543</v>
      </c>
      <c r="L241" s="3">
        <f t="shared" si="98"/>
        <v>503.23147985078083</v>
      </c>
    </row>
    <row r="242" spans="1:16">
      <c r="A242" s="3" t="s">
        <v>128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7">
        <f>Master!M289</f>
        <v>0.5</v>
      </c>
      <c r="N242" s="3" t="s">
        <v>125</v>
      </c>
    </row>
    <row r="243" spans="1:16">
      <c r="A243" s="3" t="s">
        <v>129</v>
      </c>
      <c r="C243" s="4">
        <f>Master!C290</f>
        <v>50</v>
      </c>
      <c r="D243" s="3">
        <f>C243*(1+$M$201)</f>
        <v>50.625</v>
      </c>
      <c r="E243" s="3">
        <f t="shared" ref="E243:L243" si="99">D243*(1+$M$201)</f>
        <v>51.2578125</v>
      </c>
      <c r="F243" s="3">
        <f t="shared" si="99"/>
        <v>51.898535156249999</v>
      </c>
      <c r="G243" s="3">
        <f t="shared" si="99"/>
        <v>52.54726684570312</v>
      </c>
      <c r="H243" s="3">
        <f t="shared" si="99"/>
        <v>53.204107681274408</v>
      </c>
      <c r="I243" s="3">
        <f t="shared" si="99"/>
        <v>53.869159027290337</v>
      </c>
      <c r="J243" s="3">
        <f t="shared" si="99"/>
        <v>54.542523515131464</v>
      </c>
      <c r="K243" s="3">
        <f t="shared" si="99"/>
        <v>55.224305059070602</v>
      </c>
      <c r="L243" s="3">
        <f t="shared" si="99"/>
        <v>55.914608872308982</v>
      </c>
    </row>
    <row r="244" spans="1:16">
      <c r="A244" s="3" t="s">
        <v>124</v>
      </c>
      <c r="M244" s="7">
        <f>Master!M291</f>
        <v>0.08</v>
      </c>
      <c r="N244" s="3" t="s">
        <v>104</v>
      </c>
    </row>
    <row r="245" spans="1:16">
      <c r="A245" s="3" t="s">
        <v>99</v>
      </c>
      <c r="C245" s="24">
        <f>Master!C292</f>
        <v>30</v>
      </c>
      <c r="D245" s="24">
        <f>Master!D292</f>
        <v>30</v>
      </c>
      <c r="E245" s="24">
        <f>Master!E292</f>
        <v>30</v>
      </c>
      <c r="F245" s="24">
        <f>Master!F292</f>
        <v>30</v>
      </c>
      <c r="G245" s="24">
        <f>Master!G292</f>
        <v>30</v>
      </c>
      <c r="H245" s="24">
        <f>Master!H292</f>
        <v>30</v>
      </c>
      <c r="I245" s="24">
        <f>Master!I292</f>
        <v>30</v>
      </c>
      <c r="J245" s="24">
        <f>Master!J292</f>
        <v>30</v>
      </c>
      <c r="K245" s="24">
        <f>Master!K292</f>
        <v>30</v>
      </c>
      <c r="L245" s="24">
        <f>Master!L292</f>
        <v>30</v>
      </c>
    </row>
    <row r="246" spans="1:16">
      <c r="A246" s="3" t="s">
        <v>130</v>
      </c>
      <c r="M246" s="7">
        <f>Master!M293</f>
        <v>0.75</v>
      </c>
    </row>
    <row r="247" spans="1:16">
      <c r="A247" s="3" t="s">
        <v>93</v>
      </c>
      <c r="C247" s="4">
        <f>Master!C294</f>
        <v>15000</v>
      </c>
      <c r="D247" s="3">
        <f>C247*(1+$M247)</f>
        <v>13500</v>
      </c>
      <c r="E247" s="3">
        <f t="shared" ref="E247:L247" si="100">D247*(1+$M247)</f>
        <v>12150</v>
      </c>
      <c r="F247" s="3">
        <f t="shared" si="100"/>
        <v>10935</v>
      </c>
      <c r="G247" s="3">
        <f t="shared" si="100"/>
        <v>9841.5</v>
      </c>
      <c r="H247" s="3">
        <f t="shared" si="100"/>
        <v>8857.35</v>
      </c>
      <c r="I247" s="3">
        <f t="shared" si="100"/>
        <v>7971.6150000000007</v>
      </c>
      <c r="J247" s="3">
        <f t="shared" si="100"/>
        <v>7174.4535000000005</v>
      </c>
      <c r="K247" s="3">
        <f t="shared" si="100"/>
        <v>6457.0081500000006</v>
      </c>
      <c r="L247" s="3">
        <f t="shared" si="100"/>
        <v>5811.3073350000004</v>
      </c>
      <c r="M247" s="7">
        <f>Master!M294</f>
        <v>-0.1</v>
      </c>
      <c r="N247" s="3" t="s">
        <v>53</v>
      </c>
    </row>
    <row r="248" spans="1:16">
      <c r="A248" s="3" t="s">
        <v>105</v>
      </c>
      <c r="M248" s="24">
        <f>Master!M295</f>
        <v>14</v>
      </c>
    </row>
    <row r="249" spans="1:16">
      <c r="A249" s="3" t="s">
        <v>106</v>
      </c>
      <c r="C249" s="24">
        <f>Master!C296</f>
        <v>8</v>
      </c>
      <c r="D249" s="22">
        <f>C249*(1+$M$201)</f>
        <v>8.1</v>
      </c>
      <c r="E249" s="22">
        <f t="shared" ref="E249:L250" si="101">D249*(1+$M$201)</f>
        <v>8.2012499999999999</v>
      </c>
      <c r="F249" s="22">
        <f t="shared" si="101"/>
        <v>8.3037656249999987</v>
      </c>
      <c r="G249" s="22">
        <f t="shared" si="101"/>
        <v>8.4075626953124978</v>
      </c>
      <c r="H249" s="22">
        <f t="shared" si="101"/>
        <v>8.5126572290039029</v>
      </c>
      <c r="I249" s="22">
        <f t="shared" si="101"/>
        <v>8.6190654443664521</v>
      </c>
      <c r="J249" s="22">
        <f t="shared" si="101"/>
        <v>8.7268037624210315</v>
      </c>
      <c r="K249" s="22">
        <f t="shared" si="101"/>
        <v>8.8358888094512942</v>
      </c>
      <c r="L249" s="22">
        <f t="shared" si="101"/>
        <v>8.946337419569435</v>
      </c>
    </row>
    <row r="250" spans="1:16">
      <c r="A250" s="3" t="s">
        <v>163</v>
      </c>
      <c r="C250" s="24">
        <f>Master!C297</f>
        <v>500</v>
      </c>
      <c r="D250" s="22">
        <f>C250*(1+$M$201)</f>
        <v>506.25</v>
      </c>
      <c r="E250" s="22">
        <f t="shared" si="101"/>
        <v>512.578125</v>
      </c>
      <c r="F250" s="22">
        <f t="shared" si="101"/>
        <v>518.9853515625</v>
      </c>
      <c r="G250" s="22">
        <f t="shared" si="101"/>
        <v>525.4726684570312</v>
      </c>
      <c r="H250" s="22">
        <f t="shared" si="101"/>
        <v>532.04107681274411</v>
      </c>
      <c r="I250" s="22">
        <f t="shared" si="101"/>
        <v>538.69159027290334</v>
      </c>
      <c r="J250" s="22">
        <f t="shared" si="101"/>
        <v>545.42523515131461</v>
      </c>
      <c r="K250" s="22">
        <f t="shared" si="101"/>
        <v>552.24305059070605</v>
      </c>
      <c r="L250" s="22">
        <f t="shared" si="101"/>
        <v>559.14608872308986</v>
      </c>
    </row>
    <row r="251" spans="1:16">
      <c r="A251" s="3" t="s">
        <v>107</v>
      </c>
      <c r="M251" s="7">
        <f>Master!M298</f>
        <v>0.02</v>
      </c>
      <c r="N251" s="1" t="s">
        <v>108</v>
      </c>
    </row>
    <row r="252" spans="1:16">
      <c r="A252" s="3" t="s">
        <v>164</v>
      </c>
      <c r="M252" s="7">
        <f>Master!M299</f>
        <v>0.02</v>
      </c>
      <c r="N252" s="3" t="s">
        <v>109</v>
      </c>
    </row>
    <row r="253" spans="1:16">
      <c r="A253" s="3" t="s">
        <v>110</v>
      </c>
      <c r="M253" s="7">
        <f>Master!M300</f>
        <v>0.05</v>
      </c>
      <c r="N253" s="3" t="s">
        <v>63</v>
      </c>
    </row>
    <row r="254" spans="1:16">
      <c r="A254" s="3" t="s">
        <v>111</v>
      </c>
      <c r="M254" s="7">
        <f>Master!M301</f>
        <v>0.02</v>
      </c>
      <c r="N254" s="3" t="s">
        <v>165</v>
      </c>
      <c r="O254" s="24">
        <f>Master!O301</f>
        <v>300</v>
      </c>
      <c r="P254" s="3" t="s">
        <v>112</v>
      </c>
    </row>
    <row r="255" spans="1:16">
      <c r="A255" s="3" t="s">
        <v>134</v>
      </c>
      <c r="M255" s="24">
        <f>Master!M302</f>
        <v>300</v>
      </c>
    </row>
    <row r="256" spans="1:16">
      <c r="A256" s="3" t="s">
        <v>135</v>
      </c>
      <c r="M256" s="24">
        <f>Master!M303</f>
        <v>200</v>
      </c>
    </row>
    <row r="257" spans="1:13">
      <c r="A257" s="3" t="s">
        <v>136</v>
      </c>
      <c r="M257" s="24">
        <f>Master!M304</f>
        <v>35</v>
      </c>
    </row>
    <row r="258" spans="1:13">
      <c r="A258" s="3" t="s">
        <v>114</v>
      </c>
      <c r="M258" s="24">
        <f>Master!M305</f>
        <v>5</v>
      </c>
    </row>
    <row r="259" spans="1:13">
      <c r="A259" s="3" t="s">
        <v>115</v>
      </c>
      <c r="M259" s="24">
        <f>Master!M306</f>
        <v>30</v>
      </c>
    </row>
    <row r="260" spans="1:13">
      <c r="A260" s="3" t="s">
        <v>91</v>
      </c>
      <c r="C260" s="4">
        <f>Master!C307</f>
        <v>40000</v>
      </c>
      <c r="D260" s="22">
        <f>C260*(1+$M$201)</f>
        <v>40500</v>
      </c>
      <c r="E260" s="22">
        <f t="shared" ref="E260:L260" si="102">D260*(1+$M$201)</f>
        <v>41006.25</v>
      </c>
      <c r="F260" s="22">
        <f t="shared" si="102"/>
        <v>41518.828125</v>
      </c>
      <c r="G260" s="22">
        <f t="shared" si="102"/>
        <v>42037.8134765625</v>
      </c>
      <c r="H260" s="22">
        <f t="shared" si="102"/>
        <v>42563.286145019527</v>
      </c>
      <c r="I260" s="22">
        <f t="shared" si="102"/>
        <v>43095.327221832267</v>
      </c>
      <c r="J260" s="22">
        <f t="shared" si="102"/>
        <v>43634.018812105169</v>
      </c>
      <c r="K260" s="22">
        <f t="shared" si="102"/>
        <v>44179.444047256482</v>
      </c>
      <c r="L260" s="22">
        <f t="shared" si="102"/>
        <v>44731.687097847185</v>
      </c>
    </row>
    <row r="261" spans="1:13">
      <c r="A261" s="33" t="s">
        <v>160</v>
      </c>
      <c r="B261" s="33"/>
      <c r="C261" s="7">
        <f>Master!C308</f>
        <v>5.0000000000000001E-4</v>
      </c>
      <c r="D261" s="35">
        <f>C261*(1+$M$261)</f>
        <v>5.0000000000000001E-4</v>
      </c>
      <c r="E261" s="35">
        <f t="shared" ref="E261:L261" si="103">D261*(1+$M$261)</f>
        <v>5.0000000000000001E-4</v>
      </c>
      <c r="F261" s="35">
        <f t="shared" si="103"/>
        <v>5.0000000000000001E-4</v>
      </c>
      <c r="G261" s="35">
        <f t="shared" si="103"/>
        <v>5.0000000000000001E-4</v>
      </c>
      <c r="H261" s="35">
        <f t="shared" si="103"/>
        <v>5.0000000000000001E-4</v>
      </c>
      <c r="I261" s="35">
        <f t="shared" si="103"/>
        <v>5.0000000000000001E-4</v>
      </c>
      <c r="J261" s="35">
        <f t="shared" si="103"/>
        <v>5.0000000000000001E-4</v>
      </c>
      <c r="K261" s="35">
        <f t="shared" si="103"/>
        <v>5.0000000000000001E-4</v>
      </c>
      <c r="L261" s="35">
        <f t="shared" si="103"/>
        <v>5.0000000000000001E-4</v>
      </c>
      <c r="M261" s="7">
        <f>Master!M308</f>
        <v>0</v>
      </c>
    </row>
    <row r="262" spans="1:13">
      <c r="A262" s="33" t="s">
        <v>161</v>
      </c>
      <c r="B262" s="33"/>
      <c r="C262" s="7">
        <f>Master!C309</f>
        <v>7.0000000000000007E-2</v>
      </c>
      <c r="D262" s="35">
        <f>C262*(1+$M$262)</f>
        <v>7.0000000000000007E-2</v>
      </c>
      <c r="E262" s="35">
        <f t="shared" ref="E262:L262" si="104">D262*(1+$M$262)</f>
        <v>7.0000000000000007E-2</v>
      </c>
      <c r="F262" s="35">
        <f t="shared" si="104"/>
        <v>7.0000000000000007E-2</v>
      </c>
      <c r="G262" s="35">
        <f t="shared" si="104"/>
        <v>7.0000000000000007E-2</v>
      </c>
      <c r="H262" s="35">
        <f t="shared" si="104"/>
        <v>7.0000000000000007E-2</v>
      </c>
      <c r="I262" s="35">
        <f t="shared" si="104"/>
        <v>7.0000000000000007E-2</v>
      </c>
      <c r="J262" s="35">
        <f t="shared" si="104"/>
        <v>7.0000000000000007E-2</v>
      </c>
      <c r="K262" s="35">
        <f t="shared" si="104"/>
        <v>7.0000000000000007E-2</v>
      </c>
      <c r="L262" s="35">
        <f t="shared" si="104"/>
        <v>7.0000000000000007E-2</v>
      </c>
      <c r="M262" s="7">
        <f>Master!M309</f>
        <v>0</v>
      </c>
    </row>
    <row r="263" spans="1:13">
      <c r="A263" s="69" t="s">
        <v>162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50"/>
    </row>
    <row r="264" spans="1:13">
      <c r="A264" s="33" t="s">
        <v>169</v>
      </c>
      <c r="B264" s="33"/>
      <c r="C264" s="24">
        <f>Master!C311</f>
        <v>0.5</v>
      </c>
      <c r="D264" s="43">
        <f>C264*(1+$M$264)</f>
        <v>0.5</v>
      </c>
      <c r="E264" s="43">
        <f t="shared" ref="E264:L264" si="105">D264*(1+$M$264)</f>
        <v>0.5</v>
      </c>
      <c r="F264" s="43">
        <f t="shared" si="105"/>
        <v>0.5</v>
      </c>
      <c r="G264" s="43">
        <f t="shared" si="105"/>
        <v>0.5</v>
      </c>
      <c r="H264" s="43">
        <f t="shared" si="105"/>
        <v>0.5</v>
      </c>
      <c r="I264" s="43">
        <f t="shared" si="105"/>
        <v>0.5</v>
      </c>
      <c r="J264" s="43">
        <f t="shared" si="105"/>
        <v>0.5</v>
      </c>
      <c r="K264" s="43">
        <f t="shared" si="105"/>
        <v>0.5</v>
      </c>
      <c r="L264" s="43">
        <f t="shared" si="105"/>
        <v>0.5</v>
      </c>
      <c r="M264" s="7">
        <f>Master!M311</f>
        <v>0</v>
      </c>
    </row>
    <row r="265" spans="1:13">
      <c r="M265" s="38"/>
    </row>
    <row r="274" spans="2:2">
      <c r="B274" s="6"/>
    </row>
  </sheetData>
  <mergeCells count="19">
    <mergeCell ref="A263:L263"/>
    <mergeCell ref="A84:L84"/>
    <mergeCell ref="A108:L108"/>
    <mergeCell ref="A142:L142"/>
    <mergeCell ref="A155:L155"/>
    <mergeCell ref="A191:P191"/>
    <mergeCell ref="C198:L198"/>
    <mergeCell ref="M198:P198"/>
    <mergeCell ref="A202:L202"/>
    <mergeCell ref="A204:L204"/>
    <mergeCell ref="A212:L212"/>
    <mergeCell ref="A213:L213"/>
    <mergeCell ref="A216:L216"/>
    <mergeCell ref="A57:L57"/>
    <mergeCell ref="A1:L1"/>
    <mergeCell ref="A2:L2"/>
    <mergeCell ref="A47:L47"/>
    <mergeCell ref="A52:L52"/>
    <mergeCell ref="A53:L53"/>
  </mergeCells>
  <pageMargins left="0.75" right="0.75" top="1" bottom="1" header="0.5" footer="0.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alculateDFN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ushThis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4"/>
  <sheetViews>
    <sheetView topLeftCell="A175" workbookViewId="0">
      <selection activeCell="L186" sqref="L186"/>
    </sheetView>
  </sheetViews>
  <sheetFormatPr defaultColWidth="10.875" defaultRowHeight="15.75"/>
  <cols>
    <col min="1" max="1" width="38.625" style="3" customWidth="1"/>
    <col min="2" max="2" width="18.5" style="3" bestFit="1" customWidth="1"/>
    <col min="3" max="3" width="12.5" style="3" bestFit="1" customWidth="1"/>
    <col min="4" max="4" width="13.875" style="3" bestFit="1" customWidth="1"/>
    <col min="5" max="6" width="13.5" style="3" bestFit="1" customWidth="1"/>
    <col min="7" max="7" width="14" style="3" bestFit="1" customWidth="1"/>
    <col min="8" max="11" width="13.5" style="3" bestFit="1" customWidth="1"/>
    <col min="12" max="12" width="14.125" style="3" bestFit="1" customWidth="1"/>
    <col min="13" max="13" width="11.5" style="3" bestFit="1" customWidth="1"/>
    <col min="14" max="14" width="28.625" style="3" bestFit="1" customWidth="1"/>
    <col min="15" max="15" width="10.125" style="3" bestFit="1" customWidth="1"/>
    <col min="16" max="16" width="11.125" style="3" bestFit="1" customWidth="1"/>
    <col min="17" max="16384" width="10.875" style="3"/>
  </cols>
  <sheetData>
    <row r="1" spans="1:12">
      <c r="A1" s="72" t="str">
        <f>A196</f>
        <v>Timber Creek Golf Course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C4" s="2">
        <f>C199</f>
        <v>2014</v>
      </c>
      <c r="D4" s="2">
        <f t="shared" ref="D4:L4" si="0">D199</f>
        <v>2015</v>
      </c>
      <c r="E4" s="2">
        <f t="shared" si="0"/>
        <v>2016</v>
      </c>
      <c r="F4" s="2">
        <f t="shared" si="0"/>
        <v>2017</v>
      </c>
      <c r="G4" s="2">
        <f t="shared" si="0"/>
        <v>2018</v>
      </c>
      <c r="H4" s="2">
        <f t="shared" si="0"/>
        <v>2019</v>
      </c>
      <c r="I4" s="2">
        <f t="shared" si="0"/>
        <v>2020</v>
      </c>
      <c r="J4" s="2">
        <f t="shared" si="0"/>
        <v>2021</v>
      </c>
      <c r="K4" s="2">
        <f t="shared" si="0"/>
        <v>2022</v>
      </c>
      <c r="L4" s="2">
        <f t="shared" si="0"/>
        <v>2023</v>
      </c>
    </row>
    <row r="5" spans="1:12">
      <c r="A5" s="3" t="s">
        <v>1</v>
      </c>
    </row>
    <row r="6" spans="1:12">
      <c r="A6" s="10" t="s">
        <v>83</v>
      </c>
      <c r="B6" s="10"/>
      <c r="C6" s="3">
        <f>($M$230*C245*$M$231*C229)*(1-$M$232)*(1-$M$239)</f>
        <v>122219.99999999999</v>
      </c>
      <c r="D6" s="3">
        <f>($M$230*D245*$M$231*D229)*(1-$M$232)*(1-$M$239)</f>
        <v>123747.74999999999</v>
      </c>
      <c r="E6" s="3">
        <f>($M$230*E245*$M$231*E229)*(1-$M$232)*(1-$M$239)</f>
        <v>125294.59687499999</v>
      </c>
      <c r="F6" s="3">
        <f>($M$230*F245*$M$231*F229)*(1-$M$232)*(1-$M$239)</f>
        <v>126860.77933593748</v>
      </c>
      <c r="G6" s="3">
        <f>($M$230*G245*$M$231*G229)*(1-$M$232)*(1-$M$239)</f>
        <v>128446.53907763673</v>
      </c>
      <c r="H6" s="3">
        <f t="shared" ref="H6:K6" si="1">($M$230*H245*$M$231*H229)*(1-$M$232)*(1-$M$239)</f>
        <v>130052.12081610716</v>
      </c>
      <c r="I6" s="3">
        <f t="shared" si="1"/>
        <v>131677.77232630848</v>
      </c>
      <c r="J6" s="3">
        <f t="shared" si="1"/>
        <v>133323.74448038734</v>
      </c>
      <c r="K6" s="3">
        <f t="shared" si="1"/>
        <v>134990.29128639217</v>
      </c>
      <c r="L6" s="3">
        <f>($M$230*L245*$M$231*L229)*(1-$M$232)*(1-$M$239)</f>
        <v>136677.66992747207</v>
      </c>
    </row>
    <row r="7" spans="1:12">
      <c r="A7" s="10" t="s">
        <v>166</v>
      </c>
      <c r="B7" s="10"/>
      <c r="C7" s="3">
        <f>($M$230*C245*$M$231*C229)*(1-$M$232)*$M$239</f>
        <v>3779.9999999999995</v>
      </c>
      <c r="D7" s="3">
        <f>($M$230*D245*$M$231*D229)*(1-$M$232)*$M$239</f>
        <v>3827.2499999999995</v>
      </c>
      <c r="E7" s="3">
        <f>($M$230*E245*$M$231*E229)*(1-$M$232)*$M$239</f>
        <v>3875.0906249999994</v>
      </c>
      <c r="F7" s="3">
        <f>($M$230*F245*$M$231*F229)*(1-$M$232)*$M$239</f>
        <v>3923.5292578124995</v>
      </c>
      <c r="G7" s="3">
        <f>($M$230*G245*$M$231*G229)*(1-$M$232)*$M$239</f>
        <v>3972.5733735351564</v>
      </c>
      <c r="H7" s="3">
        <f t="shared" ref="H7:K7" si="2">($M$230*H245*$M$231*H229)*(1-$M$232)*$M$239</f>
        <v>4022.230540704345</v>
      </c>
      <c r="I7" s="3">
        <f t="shared" si="2"/>
        <v>4072.5084224631482</v>
      </c>
      <c r="J7" s="3">
        <f t="shared" si="2"/>
        <v>4123.4147777439384</v>
      </c>
      <c r="K7" s="3">
        <f t="shared" si="2"/>
        <v>4174.9574624657371</v>
      </c>
      <c r="L7" s="3">
        <f>($M$230*L245*$M$231*L229)*(1-$M$232)*$M$239</f>
        <v>4227.144430746559</v>
      </c>
    </row>
    <row r="8" spans="1:12">
      <c r="A8" s="10" t="s">
        <v>81</v>
      </c>
      <c r="B8" s="10"/>
      <c r="C8" s="3">
        <f>C227*$M$228*$M$230*C245*$M$231</f>
        <v>45000</v>
      </c>
      <c r="D8" s="3">
        <f>D227*$M$228*$M$230*D245*$M$231</f>
        <v>45562.5</v>
      </c>
      <c r="E8" s="3">
        <f>E227*$M$228*$M$230*E245*$M$231</f>
        <v>46132.03125</v>
      </c>
      <c r="F8" s="3">
        <f>F227*$M$228*$M$230*F245*$M$231</f>
        <v>46708.681640625</v>
      </c>
      <c r="G8" s="3">
        <f>G227*$M$228*$M$230*G245*$M$231</f>
        <v>47292.540161132805</v>
      </c>
      <c r="H8" s="3">
        <f t="shared" ref="H8:K8" si="3">H227*$M$228*$M$230*H245*$M$231</f>
        <v>47883.696913146967</v>
      </c>
      <c r="I8" s="3">
        <f t="shared" si="3"/>
        <v>48482.243124561297</v>
      </c>
      <c r="J8" s="3">
        <f t="shared" si="3"/>
        <v>49088.271163618316</v>
      </c>
      <c r="K8" s="3">
        <f t="shared" si="3"/>
        <v>49701.874553163543</v>
      </c>
      <c r="L8" s="3">
        <f>L227*$M$228*$M$230*L245*$M$231</f>
        <v>50323.147985078082</v>
      </c>
    </row>
    <row r="9" spans="1:12">
      <c r="A9" s="10" t="s">
        <v>119</v>
      </c>
      <c r="B9" s="10"/>
      <c r="C9" s="3">
        <f>C233*C234</f>
        <v>153125</v>
      </c>
      <c r="D9" s="3">
        <f t="shared" ref="D9:L9" si="4">D233*D234</f>
        <v>158139.84375</v>
      </c>
      <c r="E9" s="3">
        <f t="shared" si="4"/>
        <v>163318.92363281251</v>
      </c>
      <c r="F9" s="3">
        <f t="shared" si="4"/>
        <v>168667.61838178712</v>
      </c>
      <c r="G9" s="3">
        <f t="shared" si="4"/>
        <v>174191.48288379065</v>
      </c>
      <c r="H9" s="3">
        <f t="shared" si="4"/>
        <v>179896.25394823478</v>
      </c>
      <c r="I9" s="3">
        <f t="shared" si="4"/>
        <v>185787.85626503945</v>
      </c>
      <c r="J9" s="3">
        <f t="shared" si="4"/>
        <v>191872.40855771946</v>
      </c>
      <c r="K9" s="3">
        <f t="shared" si="4"/>
        <v>198156.22993798481</v>
      </c>
      <c r="L9" s="3">
        <f t="shared" si="4"/>
        <v>204645.84646845382</v>
      </c>
    </row>
    <row r="10" spans="1:12">
      <c r="A10" s="10" t="s">
        <v>87</v>
      </c>
      <c r="B10" s="10"/>
      <c r="C10" s="3">
        <f>C237*$M$230*$M$231*$M$238</f>
        <v>2100</v>
      </c>
      <c r="D10" s="3">
        <f>D237*$M$230*$M$231*$M$238</f>
        <v>2126.25</v>
      </c>
      <c r="E10" s="3">
        <f>E237*$M$230*$M$231*$M$238</f>
        <v>2152.8281249999995</v>
      </c>
      <c r="F10" s="3">
        <f>F237*$M$230*$M$231*$M$238</f>
        <v>2179.7384765624993</v>
      </c>
      <c r="G10" s="3">
        <f>G237*$M$230*$M$231*$M$238</f>
        <v>2206.9852075195304</v>
      </c>
      <c r="H10" s="3">
        <f t="shared" ref="H10:K10" si="5">H237*$M$230*$M$231*$M$238</f>
        <v>2234.5725226135246</v>
      </c>
      <c r="I10" s="3">
        <f t="shared" si="5"/>
        <v>2262.5046791461937</v>
      </c>
      <c r="J10" s="3">
        <f t="shared" si="5"/>
        <v>2290.785987635521</v>
      </c>
      <c r="K10" s="3">
        <f t="shared" si="5"/>
        <v>2319.4208124809647</v>
      </c>
      <c r="L10" s="3">
        <f>L237*$M$230*$M$231*$M$238</f>
        <v>2348.4135726369768</v>
      </c>
    </row>
    <row r="11" spans="1:12">
      <c r="A11" s="10" t="s">
        <v>122</v>
      </c>
      <c r="B11" s="10"/>
      <c r="C11" s="3">
        <f>$M$240*C234*C241</f>
        <v>5625</v>
      </c>
      <c r="D11" s="3">
        <f>$M$240*D234*D241</f>
        <v>5809.21875</v>
      </c>
      <c r="E11" s="3">
        <f>$M$240*E234*E241</f>
        <v>5999.4706640625009</v>
      </c>
      <c r="F11" s="3">
        <f>$M$240*F234*F241</f>
        <v>6195.9533283105475</v>
      </c>
      <c r="G11" s="3">
        <f>$M$240*G234*G241</f>
        <v>6398.8707998127175</v>
      </c>
      <c r="H11" s="3">
        <f t="shared" ref="H11:K11" si="6">$M$240*H234*H241</f>
        <v>6608.4338185065835</v>
      </c>
      <c r="I11" s="3">
        <f t="shared" si="6"/>
        <v>6824.8600260626727</v>
      </c>
      <c r="J11" s="3">
        <f t="shared" si="6"/>
        <v>7048.3741919162258</v>
      </c>
      <c r="K11" s="3">
        <f t="shared" si="6"/>
        <v>7279.2084467014829</v>
      </c>
      <c r="L11" s="3">
        <f>$M$240*L234*L241</f>
        <v>7517.6025233309556</v>
      </c>
    </row>
    <row r="12" spans="1:12">
      <c r="A12" s="10" t="s">
        <v>123</v>
      </c>
      <c r="B12" s="10"/>
      <c r="C12" s="3">
        <f>C234*C243*$M$242</f>
        <v>3125</v>
      </c>
      <c r="D12" s="3">
        <f>D234*D243*$M$242</f>
        <v>3227.34375</v>
      </c>
      <c r="E12" s="3">
        <f>E234*E243*$M$242</f>
        <v>3333.0392578125002</v>
      </c>
      <c r="F12" s="3">
        <f>F234*F243*$M$242</f>
        <v>3442.1962935058596</v>
      </c>
      <c r="G12" s="3">
        <f>G234*G243*$M$242</f>
        <v>3554.9282221181761</v>
      </c>
      <c r="H12" s="3">
        <f t="shared" ref="H12:K12" si="7">H234*H243*$M$242</f>
        <v>3671.352121392546</v>
      </c>
      <c r="I12" s="3">
        <f t="shared" si="7"/>
        <v>3791.5889033681519</v>
      </c>
      <c r="J12" s="3">
        <f t="shared" si="7"/>
        <v>3915.7634399534591</v>
      </c>
      <c r="K12" s="3">
        <f t="shared" si="7"/>
        <v>4044.0046926119344</v>
      </c>
      <c r="L12" s="3">
        <f>L234*L243*$M$242</f>
        <v>4176.4458462949751</v>
      </c>
    </row>
    <row r="13" spans="1:12">
      <c r="A13" s="10" t="s">
        <v>124</v>
      </c>
      <c r="B13" s="10"/>
      <c r="C13" s="3">
        <f>C6*$M$244</f>
        <v>9777.5999999999985</v>
      </c>
      <c r="D13" s="3">
        <f>D6*$M$244</f>
        <v>9899.82</v>
      </c>
      <c r="E13" s="3">
        <f>E6*$M$244</f>
        <v>10023.56775</v>
      </c>
      <c r="F13" s="3">
        <f>F6*$M$244</f>
        <v>10148.862346874999</v>
      </c>
      <c r="G13" s="3">
        <f>G6*$M$244</f>
        <v>10275.723126210938</v>
      </c>
      <c r="H13" s="3">
        <f t="shared" ref="H13:K13" si="8">H6*$M$244</f>
        <v>10404.169665288573</v>
      </c>
      <c r="I13" s="3">
        <f t="shared" si="8"/>
        <v>10534.221786104679</v>
      </c>
      <c r="J13" s="3">
        <f t="shared" si="8"/>
        <v>10665.899558430987</v>
      </c>
      <c r="K13" s="3">
        <f t="shared" si="8"/>
        <v>10799.223302911374</v>
      </c>
      <c r="L13" s="3">
        <f>L6*$M$244</f>
        <v>10934.213594197767</v>
      </c>
    </row>
    <row r="14" spans="1:12">
      <c r="A14" s="10" t="s">
        <v>82</v>
      </c>
      <c r="B14" s="10"/>
      <c r="C14" s="3">
        <f>C235*C245*$M$230*$M$236*$M$231</f>
        <v>72000</v>
      </c>
      <c r="D14" s="3">
        <f>D235*D245*$M$230*$M$236*$M$231</f>
        <v>72900</v>
      </c>
      <c r="E14" s="3">
        <f>E235*E245*$M$230*$M$236*$M$231</f>
        <v>73811.25</v>
      </c>
      <c r="F14" s="3">
        <f>F235*F245*$M$230*$M$236*$M$231</f>
        <v>74733.890625</v>
      </c>
      <c r="G14" s="3">
        <f>G235*G245*$M$230*$M$236*$M$231</f>
        <v>75668.064257812497</v>
      </c>
      <c r="H14" s="3">
        <f t="shared" ref="H14:K14" si="9">H235*H245*$M$230*$M$236*$M$231</f>
        <v>76613.915061035135</v>
      </c>
      <c r="I14" s="3">
        <f t="shared" si="9"/>
        <v>77571.588999298081</v>
      </c>
      <c r="J14" s="3">
        <f t="shared" si="9"/>
        <v>78541.233861789311</v>
      </c>
      <c r="K14" s="3">
        <f t="shared" si="9"/>
        <v>79522.999285061669</v>
      </c>
      <c r="L14" s="3">
        <f>L235*L245*$M$230*$M$236*$M$231</f>
        <v>80517.036776124951</v>
      </c>
    </row>
    <row r="15" spans="1:12">
      <c r="A15" s="63" t="s">
        <v>12</v>
      </c>
      <c r="B15" s="63"/>
      <c r="C15" s="19">
        <f t="shared" ref="C15:L15" si="10">SUM(C6:C14)</f>
        <v>416752.6</v>
      </c>
      <c r="D15" s="19">
        <f t="shared" si="10"/>
        <v>425239.97625000001</v>
      </c>
      <c r="E15" s="19">
        <f t="shared" si="10"/>
        <v>433940.79817968747</v>
      </c>
      <c r="F15" s="19">
        <f t="shared" si="10"/>
        <v>442861.24968641601</v>
      </c>
      <c r="G15" s="19">
        <f t="shared" si="10"/>
        <v>452007.70710956922</v>
      </c>
      <c r="H15" s="19">
        <f t="shared" si="10"/>
        <v>461386.74540702964</v>
      </c>
      <c r="I15" s="19">
        <f t="shared" si="10"/>
        <v>471005.1445323521</v>
      </c>
      <c r="J15" s="19">
        <f t="shared" si="10"/>
        <v>480869.89601919451</v>
      </c>
      <c r="K15" s="19">
        <f t="shared" si="10"/>
        <v>490988.20977977366</v>
      </c>
      <c r="L15" s="19">
        <f t="shared" si="10"/>
        <v>501367.52112433611</v>
      </c>
    </row>
    <row r="17" spans="1:12">
      <c r="A17" s="3" t="s">
        <v>46</v>
      </c>
      <c r="C17" s="3">
        <f>(C11+C12+C13)/(1+$M$246)</f>
        <v>10587.199999999999</v>
      </c>
      <c r="D17" s="3">
        <f>(D11+D12+D13)/(1+$M$246)</f>
        <v>10820.789999999999</v>
      </c>
      <c r="E17" s="3">
        <f>(E11+E12+E13)/(1+$M$246)</f>
        <v>11060.615812499998</v>
      </c>
      <c r="F17" s="3">
        <f>(F11+F12+F13)/(1+$M$246)</f>
        <v>11306.863982109373</v>
      </c>
      <c r="G17" s="3">
        <f>(G11+G12+G13)/(1+$M$246)</f>
        <v>11559.726941795334</v>
      </c>
      <c r="H17" s="3">
        <f t="shared" ref="H17:K17" si="11">(H11+H12+H13)/(1+$M$246)</f>
        <v>11819.4032029644</v>
      </c>
      <c r="I17" s="3">
        <f t="shared" si="11"/>
        <v>12086.097551734574</v>
      </c>
      <c r="J17" s="3">
        <f t="shared" si="11"/>
        <v>12360.021251600385</v>
      </c>
      <c r="K17" s="3">
        <f t="shared" si="11"/>
        <v>12641.392252699879</v>
      </c>
      <c r="L17" s="3">
        <f>(L11+L12+L13)/(1+$M$246)</f>
        <v>12930.435407899256</v>
      </c>
    </row>
    <row r="18" spans="1:12">
      <c r="A18" s="3" t="s">
        <v>103</v>
      </c>
      <c r="C18" s="11">
        <f>C14/(1+$M$246)</f>
        <v>41142.857142857145</v>
      </c>
      <c r="D18" s="11">
        <f>D14/(1+$M$246)</f>
        <v>41657.142857142855</v>
      </c>
      <c r="E18" s="11">
        <f>E14/(1+$M$246)</f>
        <v>42177.857142857145</v>
      </c>
      <c r="F18" s="11">
        <f>F14/(1+$M$246)</f>
        <v>42705.080357142855</v>
      </c>
      <c r="G18" s="11">
        <f>G14/(1+$M$246)</f>
        <v>43238.893861607139</v>
      </c>
      <c r="H18" s="11">
        <f t="shared" ref="H18:K18" si="12">H14/(1+$M$246)</f>
        <v>43779.38003487722</v>
      </c>
      <c r="I18" s="11">
        <f t="shared" si="12"/>
        <v>44326.622285313191</v>
      </c>
      <c r="J18" s="11">
        <f t="shared" si="12"/>
        <v>44880.705063879606</v>
      </c>
      <c r="K18" s="11">
        <f t="shared" si="12"/>
        <v>45441.713877178096</v>
      </c>
      <c r="L18" s="11">
        <f>L14/(1+$M$246)</f>
        <v>46009.735300642831</v>
      </c>
    </row>
    <row r="19" spans="1:12">
      <c r="A19" s="10" t="s">
        <v>47</v>
      </c>
      <c r="C19" s="3">
        <f>C15-SUM(C17:C18)</f>
        <v>365022.54285714286</v>
      </c>
      <c r="D19" s="3">
        <f t="shared" ref="D19:L19" si="13">D15-SUM(D17:D18)</f>
        <v>372762.04339285713</v>
      </c>
      <c r="E19" s="3">
        <f t="shared" si="13"/>
        <v>380702.3252243303</v>
      </c>
      <c r="F19" s="3">
        <f t="shared" si="13"/>
        <v>388849.30534716375</v>
      </c>
      <c r="G19" s="3">
        <f t="shared" si="13"/>
        <v>397209.08630616672</v>
      </c>
      <c r="H19" s="3">
        <f t="shared" si="13"/>
        <v>405787.96216918802</v>
      </c>
      <c r="I19" s="3">
        <f t="shared" si="13"/>
        <v>414592.42469530436</v>
      </c>
      <c r="J19" s="3">
        <f t="shared" si="13"/>
        <v>423629.16970371455</v>
      </c>
      <c r="K19" s="3">
        <f t="shared" si="13"/>
        <v>432905.1036498957</v>
      </c>
      <c r="L19" s="3">
        <f t="shared" si="13"/>
        <v>442427.350415794</v>
      </c>
    </row>
    <row r="21" spans="1:12">
      <c r="A21" s="3" t="s">
        <v>21</v>
      </c>
    </row>
    <row r="22" spans="1:12">
      <c r="A22" s="10" t="s">
        <v>92</v>
      </c>
      <c r="B22" s="10"/>
      <c r="C22" s="3">
        <f>C260</f>
        <v>40000</v>
      </c>
      <c r="D22" s="3">
        <f t="shared" ref="D22:L22" si="14">D260</f>
        <v>40500</v>
      </c>
      <c r="E22" s="3">
        <f t="shared" si="14"/>
        <v>41006.25</v>
      </c>
      <c r="F22" s="3">
        <f t="shared" si="14"/>
        <v>41518.828125</v>
      </c>
      <c r="G22" s="3">
        <f t="shared" si="14"/>
        <v>42037.8134765625</v>
      </c>
      <c r="H22" s="3">
        <f t="shared" si="14"/>
        <v>42563.286145019527</v>
      </c>
      <c r="I22" s="3">
        <f t="shared" si="14"/>
        <v>43095.327221832267</v>
      </c>
      <c r="J22" s="3">
        <f t="shared" si="14"/>
        <v>43634.018812105169</v>
      </c>
      <c r="K22" s="3">
        <f t="shared" si="14"/>
        <v>44179.444047256482</v>
      </c>
      <c r="L22" s="3">
        <f t="shared" si="14"/>
        <v>44731.687097847185</v>
      </c>
    </row>
    <row r="23" spans="1:12">
      <c r="A23" s="10" t="s">
        <v>93</v>
      </c>
      <c r="B23" s="10"/>
      <c r="C23" s="3">
        <f>C247</f>
        <v>15000</v>
      </c>
      <c r="D23" s="3">
        <f t="shared" ref="D23:L23" si="15">D247</f>
        <v>13500</v>
      </c>
      <c r="E23" s="3">
        <f t="shared" si="15"/>
        <v>12150</v>
      </c>
      <c r="F23" s="3">
        <f t="shared" si="15"/>
        <v>10935</v>
      </c>
      <c r="G23" s="3">
        <f t="shared" si="15"/>
        <v>9841.5</v>
      </c>
      <c r="H23" s="3">
        <f t="shared" si="15"/>
        <v>8857.35</v>
      </c>
      <c r="I23" s="3">
        <f t="shared" si="15"/>
        <v>7971.6150000000007</v>
      </c>
      <c r="J23" s="3">
        <f t="shared" si="15"/>
        <v>7174.4535000000005</v>
      </c>
      <c r="K23" s="3">
        <f t="shared" si="15"/>
        <v>6457.0081500000006</v>
      </c>
      <c r="L23" s="3">
        <f t="shared" si="15"/>
        <v>5811.3073350000004</v>
      </c>
    </row>
    <row r="24" spans="1:12">
      <c r="A24" s="10" t="s">
        <v>88</v>
      </c>
      <c r="B24" s="10"/>
      <c r="C24" s="3">
        <f>$M$248*40*C245*C249</f>
        <v>134400</v>
      </c>
      <c r="D24" s="3">
        <f>$M$248*40*D245*D249</f>
        <v>136080</v>
      </c>
      <c r="E24" s="3">
        <f>$M$248*40*E245*E249</f>
        <v>137781</v>
      </c>
      <c r="F24" s="3">
        <f>$M$248*40*F245*F249</f>
        <v>139503.26249999998</v>
      </c>
      <c r="G24" s="3">
        <f>$M$248*40*G245*G249</f>
        <v>141247.05328124997</v>
      </c>
      <c r="H24" s="3">
        <f t="shared" ref="H24:K24" si="16">$M$248*40*H245*H249</f>
        <v>143012.64144726557</v>
      </c>
      <c r="I24" s="3">
        <f t="shared" si="16"/>
        <v>144800.29946535639</v>
      </c>
      <c r="J24" s="3">
        <f t="shared" si="16"/>
        <v>146610.30320867334</v>
      </c>
      <c r="K24" s="3">
        <f t="shared" si="16"/>
        <v>148442.93199878174</v>
      </c>
      <c r="L24" s="3">
        <f>$M$248*40*L245*L249</f>
        <v>150298.46864876652</v>
      </c>
    </row>
    <row r="25" spans="1:12">
      <c r="A25" s="10" t="s">
        <v>79</v>
      </c>
      <c r="B25" s="10"/>
      <c r="C25" s="3">
        <f>C15*$M$253</f>
        <v>20837.63</v>
      </c>
      <c r="D25" s="3">
        <f>D15*$M$253</f>
        <v>21261.998812500002</v>
      </c>
      <c r="E25" s="3">
        <f>E15*$M$253</f>
        <v>21697.039908984374</v>
      </c>
      <c r="F25" s="3">
        <f>F15*$M$253</f>
        <v>22143.062484320802</v>
      </c>
      <c r="G25" s="3">
        <f>G15*$M$253</f>
        <v>22600.385355478462</v>
      </c>
      <c r="H25" s="3">
        <f t="shared" ref="H25:K25" si="17">H15*$M$253</f>
        <v>23069.337270351483</v>
      </c>
      <c r="I25" s="3">
        <f t="shared" si="17"/>
        <v>23550.257226617607</v>
      </c>
      <c r="J25" s="3">
        <f t="shared" si="17"/>
        <v>24043.494800959728</v>
      </c>
      <c r="K25" s="3">
        <f t="shared" si="17"/>
        <v>24549.410488988684</v>
      </c>
      <c r="L25" s="3">
        <f>L15*$M$253</f>
        <v>25068.376056216806</v>
      </c>
    </row>
    <row r="26" spans="1:12">
      <c r="A26" s="10" t="s">
        <v>80</v>
      </c>
      <c r="B26" s="10"/>
      <c r="C26" s="3">
        <f>C15*$M$254+$O$254*$M$220</f>
        <v>51235.051999999996</v>
      </c>
      <c r="D26" s="3">
        <f>D15*$M$254+$O$254*$M$220</f>
        <v>51404.799525000002</v>
      </c>
      <c r="E26" s="3">
        <f>E15*$M$254+$O$254*$M$220</f>
        <v>51578.815963593748</v>
      </c>
      <c r="F26" s="3">
        <f>F15*$M$254+$O$254*$M$220</f>
        <v>51757.22499372832</v>
      </c>
      <c r="G26" s="3">
        <f>G15*$M$254+$O$254*$M$220</f>
        <v>51940.154142191386</v>
      </c>
      <c r="H26" s="3">
        <f t="shared" ref="H26:K26" si="18">H15*$M$254+$O$254*$M$220</f>
        <v>52127.734908140592</v>
      </c>
      <c r="I26" s="3">
        <f t="shared" si="18"/>
        <v>52320.102890647046</v>
      </c>
      <c r="J26" s="3">
        <f t="shared" si="18"/>
        <v>52517.39792038389</v>
      </c>
      <c r="K26" s="3">
        <f t="shared" si="18"/>
        <v>52719.764195595475</v>
      </c>
      <c r="L26" s="3">
        <f>L15*$M$254+$O$254*$M$220</f>
        <v>52927.350422486721</v>
      </c>
    </row>
    <row r="27" spans="1:12">
      <c r="A27" s="10" t="s">
        <v>167</v>
      </c>
      <c r="B27" s="10"/>
      <c r="C27" s="13">
        <f>C245*C250</f>
        <v>15000</v>
      </c>
      <c r="D27" s="13">
        <f t="shared" ref="D27:L27" si="19">D245*D250</f>
        <v>15187.5</v>
      </c>
      <c r="E27" s="13">
        <f t="shared" si="19"/>
        <v>15377.34375</v>
      </c>
      <c r="F27" s="13">
        <f t="shared" si="19"/>
        <v>15569.560546875</v>
      </c>
      <c r="G27" s="13">
        <f t="shared" si="19"/>
        <v>15764.180053710936</v>
      </c>
      <c r="H27" s="13">
        <f t="shared" si="19"/>
        <v>15961.232304382323</v>
      </c>
      <c r="I27" s="13">
        <f t="shared" si="19"/>
        <v>16160.7477081871</v>
      </c>
      <c r="J27" s="13">
        <f t="shared" si="19"/>
        <v>16362.757054539437</v>
      </c>
      <c r="K27" s="13">
        <f t="shared" si="19"/>
        <v>16567.29151772118</v>
      </c>
      <c r="L27" s="13">
        <f t="shared" si="19"/>
        <v>16774.382661692696</v>
      </c>
    </row>
    <row r="28" spans="1:12">
      <c r="A28" s="10" t="s">
        <v>94</v>
      </c>
      <c r="B28" s="10"/>
      <c r="C28" s="13">
        <f>C80*$M$251</f>
        <v>31406.04</v>
      </c>
      <c r="D28" s="13">
        <f>D80*$M$251</f>
        <v>30516.080000000002</v>
      </c>
      <c r="E28" s="13">
        <f>E80*$M$251</f>
        <v>29626.12</v>
      </c>
      <c r="F28" s="13">
        <f>F80*$M$251</f>
        <v>28736.16</v>
      </c>
      <c r="G28" s="13">
        <f>G80*$M$251</f>
        <v>27846.2</v>
      </c>
      <c r="H28" s="13">
        <f t="shared" ref="H28:K28" si="20">H80*$M$251</f>
        <v>31665.4</v>
      </c>
      <c r="I28" s="13">
        <f t="shared" si="20"/>
        <v>30540.600000000002</v>
      </c>
      <c r="J28" s="13">
        <f t="shared" si="20"/>
        <v>29415.8</v>
      </c>
      <c r="K28" s="13">
        <f t="shared" si="20"/>
        <v>28291</v>
      </c>
      <c r="L28" s="13">
        <f>L80*$M$251</f>
        <v>27166.2</v>
      </c>
    </row>
    <row r="29" spans="1:12">
      <c r="A29" s="10" t="s">
        <v>95</v>
      </c>
      <c r="B29" s="10"/>
      <c r="C29" s="13">
        <f>(C70+C74)*$M$252</f>
        <v>28148.04</v>
      </c>
      <c r="D29" s="13">
        <f>(D70+D74)*$M$252</f>
        <v>27600.080000000002</v>
      </c>
      <c r="E29" s="13">
        <f>(E70+E74)*$M$252</f>
        <v>27052.12</v>
      </c>
      <c r="F29" s="13">
        <f>(F70+F74)*$M$252</f>
        <v>26504.16</v>
      </c>
      <c r="G29" s="13">
        <f>(G70+G74)*$M$252</f>
        <v>25956.2</v>
      </c>
      <c r="H29" s="13">
        <f t="shared" ref="H29:K29" si="21">(H70+H74)*$M$252</f>
        <v>30117.4</v>
      </c>
      <c r="I29" s="13">
        <f t="shared" si="21"/>
        <v>29334.600000000002</v>
      </c>
      <c r="J29" s="13">
        <f t="shared" si="21"/>
        <v>28551.8</v>
      </c>
      <c r="K29" s="13">
        <f t="shared" si="21"/>
        <v>27769</v>
      </c>
      <c r="L29" s="13">
        <f>(L70+L74)*$M$252</f>
        <v>26986.2</v>
      </c>
    </row>
    <row r="30" spans="1:12">
      <c r="A30" s="63" t="s">
        <v>33</v>
      </c>
      <c r="B30" s="63"/>
      <c r="C30" s="19">
        <f t="shared" ref="C30:L30" si="22">SUM(C22:C29)</f>
        <v>336026.76199999999</v>
      </c>
      <c r="D30" s="19">
        <f t="shared" si="22"/>
        <v>336050.45833750005</v>
      </c>
      <c r="E30" s="19">
        <f t="shared" si="22"/>
        <v>336268.68962257809</v>
      </c>
      <c r="F30" s="19">
        <f t="shared" si="22"/>
        <v>336667.25864992407</v>
      </c>
      <c r="G30" s="19">
        <f t="shared" si="22"/>
        <v>337233.48630919331</v>
      </c>
      <c r="H30" s="19">
        <f t="shared" si="22"/>
        <v>347374.38207515952</v>
      </c>
      <c r="I30" s="19">
        <f t="shared" si="22"/>
        <v>347773.54951264034</v>
      </c>
      <c r="J30" s="19">
        <f t="shared" si="22"/>
        <v>348310.0252966616</v>
      </c>
      <c r="K30" s="19">
        <f t="shared" si="22"/>
        <v>348975.85039834358</v>
      </c>
      <c r="L30" s="19">
        <f t="shared" si="22"/>
        <v>349763.97222200991</v>
      </c>
    </row>
    <row r="31" spans="1:12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9" t="s">
        <v>32</v>
      </c>
      <c r="B32" s="9"/>
      <c r="C32" s="3">
        <f t="shared" ref="C32:L32" si="23">C19-C30</f>
        <v>28995.780857142876</v>
      </c>
      <c r="D32" s="3">
        <f t="shared" si="23"/>
        <v>36711.585055357078</v>
      </c>
      <c r="E32" s="3">
        <f t="shared" si="23"/>
        <v>44433.635601752205</v>
      </c>
      <c r="F32" s="3">
        <f t="shared" si="23"/>
        <v>52182.046697239683</v>
      </c>
      <c r="G32" s="3">
        <f t="shared" si="23"/>
        <v>59975.599996973411</v>
      </c>
      <c r="H32" s="3">
        <f t="shared" si="23"/>
        <v>58413.580094028497</v>
      </c>
      <c r="I32" s="3">
        <f t="shared" si="23"/>
        <v>66818.875182664022</v>
      </c>
      <c r="J32" s="3">
        <f t="shared" si="23"/>
        <v>75319.144407052954</v>
      </c>
      <c r="K32" s="3">
        <f t="shared" si="23"/>
        <v>83929.253251552116</v>
      </c>
      <c r="L32" s="3">
        <f t="shared" si="23"/>
        <v>92663.378193784098</v>
      </c>
    </row>
    <row r="33" spans="1:12">
      <c r="A33" s="9"/>
      <c r="B33" s="9"/>
    </row>
    <row r="34" spans="1:12">
      <c r="A34" s="9" t="s">
        <v>34</v>
      </c>
      <c r="B34" s="9"/>
    </row>
    <row r="35" spans="1:12">
      <c r="A35" s="10" t="s">
        <v>48</v>
      </c>
      <c r="B35" s="10"/>
      <c r="C35" s="3">
        <f>(C72-($M$208*C72))/$M$207</f>
        <v>27398</v>
      </c>
      <c r="D35" s="3">
        <f>(D72-($M$208*D72))/$M$207</f>
        <v>27398</v>
      </c>
      <c r="E35" s="3">
        <f>(E72-($M$208*E72))/$M$207</f>
        <v>27398</v>
      </c>
      <c r="F35" s="3">
        <f>(F72-($M$208*F72))/$M$207</f>
        <v>27398</v>
      </c>
      <c r="G35" s="3">
        <f>(G72-($M$208*G72))/$M$207</f>
        <v>27398</v>
      </c>
      <c r="H35" s="3">
        <f t="shared" ref="H35:K35" si="24">(H72-($M$208*H72))/$M$207</f>
        <v>39140</v>
      </c>
      <c r="I35" s="3">
        <f t="shared" si="24"/>
        <v>39140</v>
      </c>
      <c r="J35" s="3">
        <f t="shared" si="24"/>
        <v>39140</v>
      </c>
      <c r="K35" s="3">
        <f t="shared" si="24"/>
        <v>39140</v>
      </c>
      <c r="L35" s="3">
        <f>(L72-($M$208*L72))/$M$207</f>
        <v>39140</v>
      </c>
    </row>
    <row r="36" spans="1:12">
      <c r="A36" s="10" t="s">
        <v>49</v>
      </c>
      <c r="B36" s="10"/>
      <c r="C36" s="3">
        <f>(C76-($M$210*C76))/$M$209</f>
        <v>17100</v>
      </c>
      <c r="D36" s="3">
        <f>(D76-($M$210*D76))/$M$209</f>
        <v>17100</v>
      </c>
      <c r="E36" s="3">
        <f>(E76-($M$210*E76))/$M$209</f>
        <v>17100</v>
      </c>
      <c r="F36" s="3">
        <f>(F76-($M$210*F76))/$M$209</f>
        <v>17100</v>
      </c>
      <c r="G36" s="3">
        <f>(G76-($M$210*G76))/$M$209</f>
        <v>17100</v>
      </c>
      <c r="H36" s="3">
        <f t="shared" ref="H36:K36" si="25">(H76-($M$210*H76))/$M$209</f>
        <v>17100</v>
      </c>
      <c r="I36" s="3">
        <f t="shared" si="25"/>
        <v>17100</v>
      </c>
      <c r="J36" s="3">
        <f t="shared" si="25"/>
        <v>17100</v>
      </c>
      <c r="K36" s="3">
        <f t="shared" si="25"/>
        <v>17100</v>
      </c>
      <c r="L36" s="3">
        <f>(L76-($M$210*L76))/$M$209</f>
        <v>17100</v>
      </c>
    </row>
    <row r="37" spans="1:12">
      <c r="A37" s="10" t="s">
        <v>28</v>
      </c>
      <c r="B37" s="10"/>
      <c r="C37" s="13">
        <f>-CUMIPMT($M$215/12,$M$217*12,$M$214,(((C4+1)-$C$4)*12)-11,(((C4+1)-$C$4)*12),0)</f>
        <v>57007.406228428692</v>
      </c>
      <c r="D37" s="13">
        <f>-CUMIPMT($M$215/12,$M$217*12,$M$214,(((D4+1)-$C$4)*12)-11,(((D4+1)-$C$4)*12),0)</f>
        <v>56140.988002033526</v>
      </c>
      <c r="E37" s="13">
        <f>-CUMIPMT($M$215/12,$M$217*12,$M$214,(((E4+1)-$C$4)*12)-11,(((E4+1)-$C$4)*12),0)</f>
        <v>55230.242174816653</v>
      </c>
      <c r="F37" s="13">
        <f>-CUMIPMT($M$215/12,$M$217*12,$M$214,(((F4+1)-$C$4)*12)-11,(((F4+1)-$C$4)*12),0)</f>
        <v>54272.900862591501</v>
      </c>
      <c r="G37" s="13">
        <f>-CUMIPMT($M$215/12,$M$217*12,$M$214,(((G4+1)-$C$4)*12)-11,(((G4+1)-$C$4)*12),0)</f>
        <v>53266.580151912312</v>
      </c>
      <c r="H37" s="13">
        <f t="shared" ref="H37:K37" si="26">-CUMIPMT($M$215/12,$M$217*12,$M$214,(((H4+1)-$C$4)*12)-11,(((H4+1)-$C$4)*12),0)</f>
        <v>52208.77416379709</v>
      </c>
      <c r="I37" s="13">
        <f t="shared" si="26"/>
        <v>51096.848813739227</v>
      </c>
      <c r="J37" s="13">
        <f t="shared" si="26"/>
        <v>49928.035252469592</v>
      </c>
      <c r="K37" s="13">
        <f t="shared" si="26"/>
        <v>48699.4229711355</v>
      </c>
      <c r="L37" s="13">
        <f>-CUMIPMT($M$215/12,$M$217*12,$M$214,(((L4+1)-$C$4)*12)-11,(((L4+1)-$C$4)*12),0)</f>
        <v>47407.952553727533</v>
      </c>
    </row>
    <row r="38" spans="1:12">
      <c r="A38" s="10" t="s">
        <v>178</v>
      </c>
      <c r="B38" s="10"/>
      <c r="C38" s="13">
        <f t="shared" ref="C38:L38" si="27">C94*C211</f>
        <v>15476.918134554109</v>
      </c>
      <c r="D38" s="13">
        <f t="shared" si="27"/>
        <v>22038.025053863203</v>
      </c>
      <c r="E38" s="13">
        <f t="shared" si="27"/>
        <v>28457.083439133712</v>
      </c>
      <c r="F38" s="13">
        <f t="shared" si="27"/>
        <v>34713.324681112725</v>
      </c>
      <c r="G38" s="13">
        <f t="shared" si="27"/>
        <v>40781.093427922016</v>
      </c>
      <c r="H38" s="13">
        <f t="shared" si="27"/>
        <v>78346.260145147215</v>
      </c>
      <c r="I38" s="13">
        <f t="shared" si="27"/>
        <v>88964.278968140497</v>
      </c>
      <c r="J38" s="13">
        <f t="shared" si="27"/>
        <v>99845.726404721761</v>
      </c>
      <c r="K38" s="13">
        <f t="shared" si="27"/>
        <v>111009.63932538712</v>
      </c>
      <c r="L38" s="13">
        <f t="shared" si="27"/>
        <v>122475.65707558818</v>
      </c>
    </row>
    <row r="39" spans="1:12">
      <c r="A39" s="63" t="s">
        <v>35</v>
      </c>
      <c r="B39" s="63"/>
      <c r="C39" s="19">
        <f>SUM(C35:C38)</f>
        <v>116982.32436298281</v>
      </c>
      <c r="D39" s="19">
        <f>SUM(D35:D38)</f>
        <v>122677.01305589674</v>
      </c>
      <c r="E39" s="19">
        <f>SUM(E35:E38)</f>
        <v>128185.32561395036</v>
      </c>
      <c r="F39" s="19">
        <f>SUM(F35:F38)</f>
        <v>133484.22554370423</v>
      </c>
      <c r="G39" s="19">
        <f t="shared" ref="G39:L39" si="28">SUM(G35:G38)</f>
        <v>138545.67357983434</v>
      </c>
      <c r="H39" s="19">
        <f t="shared" si="28"/>
        <v>186795.0343089443</v>
      </c>
      <c r="I39" s="19">
        <f t="shared" si="28"/>
        <v>196301.12778187974</v>
      </c>
      <c r="J39" s="19">
        <f t="shared" si="28"/>
        <v>206013.76165719135</v>
      </c>
      <c r="K39" s="19">
        <f t="shared" si="28"/>
        <v>215949.06229652261</v>
      </c>
      <c r="L39" s="19">
        <f t="shared" si="28"/>
        <v>226123.60962931573</v>
      </c>
    </row>
    <row r="40" spans="1:12">
      <c r="A40" s="63"/>
      <c r="B40" s="6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>
      <c r="A41" s="3" t="s">
        <v>24</v>
      </c>
      <c r="C41" s="19">
        <f>C32-C39</f>
        <v>-87986.543505839931</v>
      </c>
      <c r="D41" s="19">
        <f>D32-D39</f>
        <v>-85965.428000539658</v>
      </c>
      <c r="E41" s="19">
        <f>E32-E39</f>
        <v>-83751.69001219816</v>
      </c>
      <c r="F41" s="19">
        <f>F32-F39</f>
        <v>-81302.178846464551</v>
      </c>
      <c r="G41" s="19">
        <f t="shared" ref="G41:L41" si="29">G32-G39</f>
        <v>-78570.073582860932</v>
      </c>
      <c r="H41" s="19">
        <f t="shared" si="29"/>
        <v>-128381.45421491581</v>
      </c>
      <c r="I41" s="19">
        <f t="shared" si="29"/>
        <v>-129482.25259921572</v>
      </c>
      <c r="J41" s="19">
        <f t="shared" si="29"/>
        <v>-130694.6172501384</v>
      </c>
      <c r="K41" s="19">
        <f t="shared" si="29"/>
        <v>-132019.80904497049</v>
      </c>
      <c r="L41" s="19">
        <f t="shared" si="29"/>
        <v>-133460.23143553163</v>
      </c>
    </row>
    <row r="42" spans="1:12">
      <c r="A42" s="3" t="s">
        <v>11</v>
      </c>
      <c r="C42" s="3">
        <f t="shared" ref="C42:L42" si="30">IF(C41&gt;0,C203*C41,0)</f>
        <v>0</v>
      </c>
      <c r="D42" s="3">
        <f t="shared" si="30"/>
        <v>0</v>
      </c>
      <c r="E42" s="3">
        <f t="shared" si="30"/>
        <v>0</v>
      </c>
      <c r="F42" s="3">
        <f t="shared" si="30"/>
        <v>0</v>
      </c>
      <c r="G42" s="3">
        <f t="shared" si="30"/>
        <v>0</v>
      </c>
      <c r="H42" s="3">
        <f t="shared" si="30"/>
        <v>0</v>
      </c>
      <c r="I42" s="3">
        <f t="shared" si="30"/>
        <v>0</v>
      </c>
      <c r="J42" s="3">
        <f t="shared" si="30"/>
        <v>0</v>
      </c>
      <c r="K42" s="3">
        <f t="shared" si="30"/>
        <v>0</v>
      </c>
      <c r="L42" s="3">
        <f t="shared" si="30"/>
        <v>0</v>
      </c>
    </row>
    <row r="43" spans="1:12" ht="16.5" thickBot="1">
      <c r="A43" s="3" t="s">
        <v>13</v>
      </c>
      <c r="C43" s="14">
        <f>C41-C42</f>
        <v>-87986.543505839931</v>
      </c>
      <c r="D43" s="14">
        <f>D41-D42</f>
        <v>-85965.428000539658</v>
      </c>
      <c r="E43" s="14">
        <f>E41-E42</f>
        <v>-83751.69001219816</v>
      </c>
      <c r="F43" s="14">
        <f>F41-F42</f>
        <v>-81302.178846464551</v>
      </c>
      <c r="G43" s="14">
        <f t="shared" ref="G43:L43" si="31">G41-G42</f>
        <v>-78570.073582860932</v>
      </c>
      <c r="H43" s="14">
        <f t="shared" si="31"/>
        <v>-128381.45421491581</v>
      </c>
      <c r="I43" s="14">
        <f t="shared" si="31"/>
        <v>-129482.25259921572</v>
      </c>
      <c r="J43" s="14">
        <f t="shared" si="31"/>
        <v>-130694.6172501384</v>
      </c>
      <c r="K43" s="14">
        <f t="shared" si="31"/>
        <v>-132019.80904497049</v>
      </c>
      <c r="L43" s="14">
        <f t="shared" si="31"/>
        <v>-133460.23143553163</v>
      </c>
    </row>
    <row r="44" spans="1:12" ht="16.5" thickTop="1"/>
    <row r="47" spans="1:12">
      <c r="A47" s="72" t="s">
        <v>30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>
      <c r="A48" s="3" t="s">
        <v>31</v>
      </c>
      <c r="C48" s="3">
        <f t="shared" ref="C48:L48" si="32">C82-C104</f>
        <v>0</v>
      </c>
      <c r="D48" s="3">
        <f t="shared" si="32"/>
        <v>0</v>
      </c>
      <c r="E48" s="3">
        <f t="shared" si="32"/>
        <v>0</v>
      </c>
      <c r="F48" s="3">
        <f t="shared" si="32"/>
        <v>0</v>
      </c>
      <c r="G48" s="3">
        <f t="shared" si="32"/>
        <v>0</v>
      </c>
      <c r="H48" s="3">
        <f t="shared" si="32"/>
        <v>0</v>
      </c>
      <c r="I48" s="3">
        <f t="shared" si="32"/>
        <v>0</v>
      </c>
      <c r="J48" s="3">
        <f t="shared" si="32"/>
        <v>0</v>
      </c>
      <c r="K48" s="3">
        <f t="shared" si="32"/>
        <v>0</v>
      </c>
      <c r="L48" s="3">
        <f t="shared" si="32"/>
        <v>0</v>
      </c>
    </row>
    <row r="52" spans="1:12">
      <c r="A52" s="72" t="str">
        <f>A196</f>
        <v>Timber Creek Golf Course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>
      <c r="A53" s="72" t="s">
        <v>2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C55" s="2">
        <f>C199</f>
        <v>2014</v>
      </c>
      <c r="D55" s="2">
        <f t="shared" ref="D55:L55" si="33">D199</f>
        <v>2015</v>
      </c>
      <c r="E55" s="2">
        <f t="shared" si="33"/>
        <v>2016</v>
      </c>
      <c r="F55" s="2">
        <f t="shared" si="33"/>
        <v>2017</v>
      </c>
      <c r="G55" s="2">
        <f t="shared" si="33"/>
        <v>2018</v>
      </c>
      <c r="H55" s="2">
        <f t="shared" si="33"/>
        <v>2019</v>
      </c>
      <c r="I55" s="2">
        <f t="shared" si="33"/>
        <v>2020</v>
      </c>
      <c r="J55" s="2">
        <f t="shared" si="33"/>
        <v>2021</v>
      </c>
      <c r="K55" s="2">
        <f t="shared" si="33"/>
        <v>2022</v>
      </c>
      <c r="L55" s="2">
        <f t="shared" si="33"/>
        <v>2023</v>
      </c>
    </row>
    <row r="57" spans="1:12">
      <c r="A57" s="73" t="s">
        <v>3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</row>
    <row r="59" spans="1:12">
      <c r="A59" s="3" t="s">
        <v>4</v>
      </c>
    </row>
    <row r="60" spans="1:12">
      <c r="A60" s="10" t="s">
        <v>22</v>
      </c>
      <c r="B60" s="10"/>
      <c r="C60" s="3">
        <f>C15*$M$206</f>
        <v>12502.578</v>
      </c>
      <c r="D60" s="3">
        <f>D15*$M$206</f>
        <v>12757.1992875</v>
      </c>
      <c r="E60" s="3">
        <f>E15*$M$206</f>
        <v>13018.223945390624</v>
      </c>
      <c r="F60" s="3">
        <f>F15*$M$206</f>
        <v>13285.837490592479</v>
      </c>
      <c r="G60" s="3">
        <f>G15*$M$206</f>
        <v>13560.231213287076</v>
      </c>
      <c r="H60" s="3">
        <f t="shared" ref="H60:K60" si="34">H15*$M$206</f>
        <v>13841.602362210888</v>
      </c>
      <c r="I60" s="3">
        <f t="shared" si="34"/>
        <v>14130.154335970563</v>
      </c>
      <c r="J60" s="3">
        <f t="shared" si="34"/>
        <v>14426.096880575835</v>
      </c>
      <c r="K60" s="3">
        <f t="shared" si="34"/>
        <v>14729.646293393209</v>
      </c>
      <c r="L60" s="3">
        <f>L15*$M$206</f>
        <v>15041.025633730083</v>
      </c>
    </row>
    <row r="61" spans="1:12">
      <c r="A61" s="10" t="s">
        <v>23</v>
      </c>
      <c r="B61" s="26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>
      <c r="A62" s="10" t="s">
        <v>168</v>
      </c>
      <c r="B62" s="26"/>
    </row>
    <row r="63" spans="1:12">
      <c r="A63" s="10" t="s">
        <v>131</v>
      </c>
      <c r="B63" s="10"/>
      <c r="C63" s="3">
        <f>(C11/(1+$M$246))/($C$245*7)*$M$255</f>
        <v>4591.8367346938776</v>
      </c>
      <c r="D63" s="3">
        <f>(D11/(1+$M$246))/($C$245*7)*$M$255</f>
        <v>4742.2193877551026</v>
      </c>
      <c r="E63" s="3">
        <f>(E11/(1+$M$246))/($C$245*7)*$M$255</f>
        <v>4897.5270727040825</v>
      </c>
      <c r="F63" s="3">
        <f>(F11/(1+$M$246))/($C$245*7)*$M$255</f>
        <v>5057.9210843351402</v>
      </c>
      <c r="G63" s="3">
        <f>(G11/(1+$M$246))/($C$245*7)*$M$255</f>
        <v>5223.567999847116</v>
      </c>
      <c r="H63" s="3">
        <f t="shared" ref="H63:K63" si="35">(H11/(1+$M$246))/($C$245*7)*$M$255</f>
        <v>5394.6398518421083</v>
      </c>
      <c r="I63" s="3">
        <f t="shared" si="35"/>
        <v>5571.314306989937</v>
      </c>
      <c r="J63" s="3">
        <f t="shared" si="35"/>
        <v>5753.7748505438576</v>
      </c>
      <c r="K63" s="3">
        <f t="shared" si="35"/>
        <v>5942.2109768991695</v>
      </c>
      <c r="L63" s="3">
        <f>(L11/(1+$M$246))/($C$245*7)*$M$255</f>
        <v>6136.818386392616</v>
      </c>
    </row>
    <row r="64" spans="1:12">
      <c r="A64" s="10" t="s">
        <v>132</v>
      </c>
      <c r="B64" s="10"/>
      <c r="C64" s="3">
        <f>(C12/(1+$M$246))/($C$245*7)*$M$256</f>
        <v>1700.6802721088438</v>
      </c>
      <c r="D64" s="3">
        <f>(D12/(1+$M$246))/($C$245*7)*$M$256</f>
        <v>1756.3775510204082</v>
      </c>
      <c r="E64" s="3">
        <f>(E12/(1+$M$246))/($C$245*7)*$M$256</f>
        <v>1813.8989158163265</v>
      </c>
      <c r="F64" s="3">
        <f>(F12/(1+$M$246))/($C$245*7)*$M$256</f>
        <v>1873.3041053093114</v>
      </c>
      <c r="G64" s="3">
        <f>(G12/(1+$M$246))/($C$245*7)*$M$256</f>
        <v>1934.6548147581914</v>
      </c>
      <c r="H64" s="3">
        <f t="shared" ref="H64:K64" si="36">(H12/(1+$M$246))/($C$245*7)*$M$256</f>
        <v>1998.0147599415216</v>
      </c>
      <c r="I64" s="3">
        <f t="shared" si="36"/>
        <v>2063.4497433296065</v>
      </c>
      <c r="J64" s="3">
        <f t="shared" si="36"/>
        <v>2131.0277224236511</v>
      </c>
      <c r="K64" s="3">
        <f t="shared" si="36"/>
        <v>2200.8188803330258</v>
      </c>
      <c r="L64" s="3">
        <f>(L12/(1+$M$246))/($C$245*7)*$M$256</f>
        <v>2272.8956986639319</v>
      </c>
    </row>
    <row r="65" spans="1:13">
      <c r="A65" s="10" t="s">
        <v>133</v>
      </c>
      <c r="B65" s="10"/>
      <c r="C65" s="3">
        <f>(C13/(1+$M$246))/($C$245*7)*$M$257</f>
        <v>931.19999999999982</v>
      </c>
      <c r="D65" s="3">
        <f>(D13/(1+$M$246))/($C$245*7)*$M$257</f>
        <v>942.84</v>
      </c>
      <c r="E65" s="3">
        <f>(E13/(1+$M$246))/($C$245*7)*$M$257</f>
        <v>954.62549999999999</v>
      </c>
      <c r="F65" s="3">
        <f>(F13/(1+$M$246))/($C$245*7)*$M$257</f>
        <v>966.55831875000001</v>
      </c>
      <c r="G65" s="3">
        <f>(G13/(1+$M$246))/($C$245*7)*$M$257</f>
        <v>978.64029773437505</v>
      </c>
      <c r="H65" s="3">
        <f t="shared" ref="H65:K65" si="37">(H13/(1+$M$246))/($C$245*7)*$M$257</f>
        <v>990.87330145605449</v>
      </c>
      <c r="I65" s="3">
        <f t="shared" si="37"/>
        <v>1003.2592177242551</v>
      </c>
      <c r="J65" s="3">
        <f t="shared" si="37"/>
        <v>1015.7999579458083</v>
      </c>
      <c r="K65" s="3">
        <f t="shared" si="37"/>
        <v>1028.4974574201308</v>
      </c>
      <c r="L65" s="3">
        <f>(L13/(1+$M$246))/($C$245*7)*$M$257</f>
        <v>1041.3536756378826</v>
      </c>
    </row>
    <row r="66" spans="1:13">
      <c r="A66" s="10" t="s">
        <v>113</v>
      </c>
      <c r="B66" s="10"/>
      <c r="C66" s="3">
        <f>C18/(7*C245)*$M$258</f>
        <v>979.59183673469397</v>
      </c>
      <c r="D66" s="3">
        <f>D18/(7*D245)*$M$258</f>
        <v>991.83673469387759</v>
      </c>
      <c r="E66" s="3">
        <f>E18/(7*E245)*$M$258</f>
        <v>1004.2346938775511</v>
      </c>
      <c r="F66" s="3">
        <f>F18/(7*F245)*$M$258</f>
        <v>1016.7876275510205</v>
      </c>
      <c r="G66" s="3">
        <f>G18/(7*G245)*$M$258</f>
        <v>1029.497472895408</v>
      </c>
      <c r="H66" s="3">
        <f t="shared" ref="H66:K66" si="38">H18/(7*H245)*$M$258</f>
        <v>1042.3661913066005</v>
      </c>
      <c r="I66" s="3">
        <f t="shared" si="38"/>
        <v>1055.3957686979331</v>
      </c>
      <c r="J66" s="3">
        <f t="shared" si="38"/>
        <v>1068.5882158066574</v>
      </c>
      <c r="K66" s="3">
        <f t="shared" si="38"/>
        <v>1081.9455685042403</v>
      </c>
      <c r="L66" s="3">
        <f>L18/(7*L245)*$M$258</f>
        <v>1095.4698881105437</v>
      </c>
    </row>
    <row r="67" spans="1:13">
      <c r="A67" s="63" t="s">
        <v>14</v>
      </c>
      <c r="B67" s="63"/>
      <c r="C67" s="19">
        <f>SUM(C60:C66)</f>
        <v>20705.886843537413</v>
      </c>
      <c r="D67" s="19">
        <f t="shared" ref="D67:L67" si="39">SUM(D60:D66)</f>
        <v>21190.47296096939</v>
      </c>
      <c r="E67" s="19">
        <f t="shared" si="39"/>
        <v>21688.510127788584</v>
      </c>
      <c r="F67" s="19">
        <f t="shared" si="39"/>
        <v>22200.408626537952</v>
      </c>
      <c r="G67" s="19">
        <f t="shared" si="39"/>
        <v>22726.591798522168</v>
      </c>
      <c r="H67" s="19">
        <f t="shared" si="39"/>
        <v>23267.496466757169</v>
      </c>
      <c r="I67" s="19">
        <f t="shared" si="39"/>
        <v>23823.573372712293</v>
      </c>
      <c r="J67" s="19">
        <f t="shared" si="39"/>
        <v>24395.287627295809</v>
      </c>
      <c r="K67" s="19">
        <f t="shared" si="39"/>
        <v>24983.119176549775</v>
      </c>
      <c r="L67" s="19">
        <f t="shared" si="39"/>
        <v>25587.563282535055</v>
      </c>
    </row>
    <row r="69" spans="1:13">
      <c r="A69" s="3" t="s">
        <v>5</v>
      </c>
    </row>
    <row r="70" spans="1:13">
      <c r="A70" s="10" t="s">
        <v>39</v>
      </c>
      <c r="B70" s="10"/>
      <c r="C70" s="3">
        <f>$C$219*$M$220</f>
        <v>858000</v>
      </c>
      <c r="D70" s="3">
        <f>$C$219*$M$220</f>
        <v>858000</v>
      </c>
      <c r="E70" s="3">
        <f>$C$219*$M$220</f>
        <v>858000</v>
      </c>
      <c r="F70" s="3">
        <f>$C$219*$M$220</f>
        <v>858000</v>
      </c>
      <c r="G70" s="3">
        <f>$C$219*$M$220</f>
        <v>858000</v>
      </c>
      <c r="H70" s="3">
        <f t="shared" ref="H70:K70" si="40">$C$219*$M$220</f>
        <v>858000</v>
      </c>
      <c r="I70" s="3">
        <f t="shared" si="40"/>
        <v>858000</v>
      </c>
      <c r="J70" s="3">
        <f t="shared" si="40"/>
        <v>858000</v>
      </c>
      <c r="K70" s="3">
        <f t="shared" si="40"/>
        <v>858000</v>
      </c>
      <c r="L70" s="3">
        <f>$C$219*$M$220</f>
        <v>858000</v>
      </c>
    </row>
    <row r="71" spans="1:13">
      <c r="A71" s="10"/>
      <c r="B71" s="10"/>
    </row>
    <row r="72" spans="1:13">
      <c r="A72" s="10" t="s">
        <v>40</v>
      </c>
      <c r="B72" s="10"/>
      <c r="C72" s="3">
        <f>$C$221*C222</f>
        <v>576800</v>
      </c>
      <c r="D72" s="3">
        <f t="shared" ref="D72:L72" si="41">$C$221*D222</f>
        <v>576800</v>
      </c>
      <c r="E72" s="3">
        <f t="shared" si="41"/>
        <v>576800</v>
      </c>
      <c r="F72" s="3">
        <f t="shared" si="41"/>
        <v>576800</v>
      </c>
      <c r="G72" s="3">
        <f t="shared" si="41"/>
        <v>576800</v>
      </c>
      <c r="H72" s="3">
        <f t="shared" si="41"/>
        <v>824000</v>
      </c>
      <c r="I72" s="3">
        <f t="shared" si="41"/>
        <v>824000</v>
      </c>
      <c r="J72" s="3">
        <f t="shared" si="41"/>
        <v>824000</v>
      </c>
      <c r="K72" s="3">
        <f t="shared" si="41"/>
        <v>824000</v>
      </c>
      <c r="L72" s="3">
        <f t="shared" si="41"/>
        <v>824000</v>
      </c>
      <c r="M72" s="13"/>
    </row>
    <row r="73" spans="1:13">
      <c r="A73" s="63" t="s">
        <v>15</v>
      </c>
      <c r="B73" s="63"/>
      <c r="C73" s="11">
        <f>C35</f>
        <v>27398</v>
      </c>
      <c r="D73" s="11">
        <f t="shared" ref="D73:K73" si="42">D35+C73</f>
        <v>54796</v>
      </c>
      <c r="E73" s="11">
        <f t="shared" si="42"/>
        <v>82194</v>
      </c>
      <c r="F73" s="11">
        <f t="shared" si="42"/>
        <v>109592</v>
      </c>
      <c r="G73" s="11">
        <f t="shared" si="42"/>
        <v>136990</v>
      </c>
      <c r="H73" s="11">
        <f t="shared" si="42"/>
        <v>176130</v>
      </c>
      <c r="I73" s="11">
        <f t="shared" si="42"/>
        <v>215270</v>
      </c>
      <c r="J73" s="11">
        <f t="shared" si="42"/>
        <v>254410</v>
      </c>
      <c r="K73" s="11">
        <f t="shared" si="42"/>
        <v>293550</v>
      </c>
      <c r="L73" s="11">
        <f>L35+K73</f>
        <v>332690</v>
      </c>
    </row>
    <row r="74" spans="1:13">
      <c r="A74" s="63"/>
      <c r="B74" s="63"/>
      <c r="C74" s="13">
        <f t="shared" ref="C74:L74" si="43">C72-C73</f>
        <v>549402</v>
      </c>
      <c r="D74" s="13">
        <f t="shared" si="43"/>
        <v>522004</v>
      </c>
      <c r="E74" s="13">
        <f t="shared" si="43"/>
        <v>494606</v>
      </c>
      <c r="F74" s="13">
        <f t="shared" si="43"/>
        <v>467208</v>
      </c>
      <c r="G74" s="13">
        <f t="shared" si="43"/>
        <v>439810</v>
      </c>
      <c r="H74" s="13">
        <f t="shared" si="43"/>
        <v>647870</v>
      </c>
      <c r="I74" s="13">
        <f t="shared" si="43"/>
        <v>608730</v>
      </c>
      <c r="J74" s="13">
        <f t="shared" si="43"/>
        <v>569590</v>
      </c>
      <c r="K74" s="13">
        <f t="shared" si="43"/>
        <v>530450</v>
      </c>
      <c r="L74" s="13">
        <f t="shared" si="43"/>
        <v>491310</v>
      </c>
    </row>
    <row r="75" spans="1:13">
      <c r="A75" s="63"/>
      <c r="B75" s="6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3">
      <c r="A76" s="10" t="s">
        <v>58</v>
      </c>
      <c r="B76" s="10"/>
      <c r="C76" s="13">
        <f>$C$223*$M$224</f>
        <v>180000</v>
      </c>
      <c r="D76" s="13">
        <f>$C$223*$M$224</f>
        <v>180000</v>
      </c>
      <c r="E76" s="13">
        <f>$C$223*$M$224</f>
        <v>180000</v>
      </c>
      <c r="F76" s="13">
        <f>$C$223*$M$224</f>
        <v>180000</v>
      </c>
      <c r="G76" s="13">
        <f>$C$223*$M$224</f>
        <v>180000</v>
      </c>
      <c r="H76" s="13">
        <f t="shared" ref="H76:K76" si="44">$C$223*$M$224</f>
        <v>180000</v>
      </c>
      <c r="I76" s="13">
        <f t="shared" si="44"/>
        <v>180000</v>
      </c>
      <c r="J76" s="13">
        <f t="shared" si="44"/>
        <v>180000</v>
      </c>
      <c r="K76" s="13">
        <f t="shared" si="44"/>
        <v>180000</v>
      </c>
      <c r="L76" s="13">
        <f>$C$223*$M$224</f>
        <v>180000</v>
      </c>
    </row>
    <row r="77" spans="1:13">
      <c r="A77" s="63" t="s">
        <v>15</v>
      </c>
      <c r="B77" s="63"/>
      <c r="C77" s="11">
        <f>C36</f>
        <v>17100</v>
      </c>
      <c r="D77" s="11">
        <f t="shared" ref="D77:K77" si="45">D36+C77</f>
        <v>34200</v>
      </c>
      <c r="E77" s="11">
        <f t="shared" si="45"/>
        <v>51300</v>
      </c>
      <c r="F77" s="11">
        <f t="shared" si="45"/>
        <v>68400</v>
      </c>
      <c r="G77" s="11">
        <f t="shared" si="45"/>
        <v>85500</v>
      </c>
      <c r="H77" s="11">
        <f t="shared" si="45"/>
        <v>102600</v>
      </c>
      <c r="I77" s="11">
        <f t="shared" si="45"/>
        <v>119700</v>
      </c>
      <c r="J77" s="11">
        <f t="shared" si="45"/>
        <v>136800</v>
      </c>
      <c r="K77" s="11">
        <f t="shared" si="45"/>
        <v>153900</v>
      </c>
      <c r="L77" s="11">
        <f>L36+K77</f>
        <v>171000</v>
      </c>
    </row>
    <row r="78" spans="1:13">
      <c r="A78" s="63"/>
      <c r="B78" s="63"/>
      <c r="C78" s="13">
        <f>C76-C77</f>
        <v>162900</v>
      </c>
      <c r="D78" s="13">
        <f>D76-D77</f>
        <v>145800</v>
      </c>
      <c r="E78" s="13">
        <f>E76-E77</f>
        <v>128700</v>
      </c>
      <c r="F78" s="13">
        <f>F76-F77</f>
        <v>111600</v>
      </c>
      <c r="G78" s="13">
        <f t="shared" ref="G78:L78" si="46">G76-G77</f>
        <v>94500</v>
      </c>
      <c r="H78" s="13">
        <f t="shared" si="46"/>
        <v>77400</v>
      </c>
      <c r="I78" s="13">
        <f t="shared" si="46"/>
        <v>60300</v>
      </c>
      <c r="J78" s="13">
        <f t="shared" si="46"/>
        <v>43200</v>
      </c>
      <c r="K78" s="13">
        <f t="shared" si="46"/>
        <v>26100</v>
      </c>
      <c r="L78" s="13">
        <f t="shared" si="46"/>
        <v>9000</v>
      </c>
    </row>
    <row r="79" spans="1:13">
      <c r="A79" s="63"/>
      <c r="B79" s="6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5" t="s">
        <v>16</v>
      </c>
      <c r="B80" s="15"/>
      <c r="C80" s="19">
        <f t="shared" ref="C80:L80" si="47">C70+C74+C78</f>
        <v>1570302</v>
      </c>
      <c r="D80" s="19">
        <f t="shared" si="47"/>
        <v>1525804</v>
      </c>
      <c r="E80" s="19">
        <f t="shared" si="47"/>
        <v>1481306</v>
      </c>
      <c r="F80" s="19">
        <f t="shared" si="47"/>
        <v>1436808</v>
      </c>
      <c r="G80" s="19">
        <f t="shared" si="47"/>
        <v>1392310</v>
      </c>
      <c r="H80" s="19">
        <f t="shared" si="47"/>
        <v>1583270</v>
      </c>
      <c r="I80" s="19">
        <f t="shared" si="47"/>
        <v>1527030</v>
      </c>
      <c r="J80" s="19">
        <f t="shared" si="47"/>
        <v>1470790</v>
      </c>
      <c r="K80" s="19">
        <f t="shared" si="47"/>
        <v>1414550</v>
      </c>
      <c r="L80" s="19">
        <f t="shared" si="47"/>
        <v>1358310</v>
      </c>
    </row>
    <row r="81" spans="1:12">
      <c r="A81" s="15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6.5" thickBot="1">
      <c r="A82" s="3" t="s">
        <v>17</v>
      </c>
      <c r="C82" s="14">
        <f>C67+C80</f>
        <v>1591007.8868435374</v>
      </c>
      <c r="D82" s="14">
        <f t="shared" ref="D82:L82" si="48">D67+D80</f>
        <v>1546994.4729609694</v>
      </c>
      <c r="E82" s="14">
        <f t="shared" si="48"/>
        <v>1502994.5101277886</v>
      </c>
      <c r="F82" s="14">
        <f t="shared" si="48"/>
        <v>1459008.408626538</v>
      </c>
      <c r="G82" s="14">
        <f t="shared" si="48"/>
        <v>1415036.5917985223</v>
      </c>
      <c r="H82" s="14">
        <f t="shared" si="48"/>
        <v>1606537.4964667573</v>
      </c>
      <c r="I82" s="14">
        <f t="shared" si="48"/>
        <v>1550853.5733727124</v>
      </c>
      <c r="J82" s="14">
        <f t="shared" si="48"/>
        <v>1495185.2876272958</v>
      </c>
      <c r="K82" s="14">
        <f t="shared" si="48"/>
        <v>1439533.1191765498</v>
      </c>
      <c r="L82" s="14">
        <f t="shared" si="48"/>
        <v>1383897.5632825349</v>
      </c>
    </row>
    <row r="83" spans="1:12" ht="16.5" thickTop="1"/>
    <row r="84" spans="1:12">
      <c r="A84" s="73" t="s">
        <v>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6" spans="1:12">
      <c r="A86" s="3" t="s">
        <v>7</v>
      </c>
    </row>
    <row r="87" spans="1:12">
      <c r="A87" s="10" t="s">
        <v>10</v>
      </c>
      <c r="B87" s="10"/>
    </row>
    <row r="88" spans="1:12">
      <c r="A88" s="63" t="s">
        <v>96</v>
      </c>
      <c r="B88" s="63"/>
      <c r="C88" s="3">
        <f>(C17+C18)/(7*C245)*$M$259</f>
        <v>7390.0081632653055</v>
      </c>
      <c r="D88" s="3">
        <f>(D17+D18)/(7*D245)*$M$259</f>
        <v>7496.847551020408</v>
      </c>
      <c r="E88" s="3">
        <f>(E17+E18)/(7*E245)*$M$259</f>
        <v>7605.4961364795918</v>
      </c>
      <c r="F88" s="3">
        <f>(F17+F18)/(7*F245)*$M$259</f>
        <v>7715.9920484646045</v>
      </c>
      <c r="G88" s="3">
        <f>(G17+G18)/(7*G245)*$M$259</f>
        <v>7828.3744004860673</v>
      </c>
      <c r="H88" s="3">
        <f t="shared" ref="H88:K88" si="49">(H17+H18)/(7*H245)*$M$259</f>
        <v>7942.6833196916605</v>
      </c>
      <c r="I88" s="3">
        <f t="shared" si="49"/>
        <v>8058.9599767211093</v>
      </c>
      <c r="J88" s="3">
        <f t="shared" si="49"/>
        <v>8177.2466164971411</v>
      </c>
      <c r="K88" s="3">
        <f t="shared" si="49"/>
        <v>8297.5865899825676</v>
      </c>
      <c r="L88" s="3">
        <f>(L17+L18)/(7*L245)*$M$259</f>
        <v>8420.024386934585</v>
      </c>
    </row>
    <row r="89" spans="1:12">
      <c r="A89" s="63" t="s">
        <v>97</v>
      </c>
      <c r="B89" s="63"/>
      <c r="C89" s="11">
        <f t="shared" ref="C89:L89" si="50">C42</f>
        <v>0</v>
      </c>
      <c r="D89" s="11">
        <f t="shared" si="50"/>
        <v>0</v>
      </c>
      <c r="E89" s="11">
        <f t="shared" si="50"/>
        <v>0</v>
      </c>
      <c r="F89" s="11">
        <f t="shared" si="50"/>
        <v>0</v>
      </c>
      <c r="G89" s="11">
        <f t="shared" si="50"/>
        <v>0</v>
      </c>
      <c r="H89" s="11">
        <f t="shared" si="50"/>
        <v>0</v>
      </c>
      <c r="I89" s="11">
        <f t="shared" si="50"/>
        <v>0</v>
      </c>
      <c r="J89" s="11">
        <f t="shared" si="50"/>
        <v>0</v>
      </c>
      <c r="K89" s="11">
        <f t="shared" si="50"/>
        <v>0</v>
      </c>
      <c r="L89" s="11">
        <f t="shared" si="50"/>
        <v>0</v>
      </c>
    </row>
    <row r="90" spans="1:12">
      <c r="A90" s="15" t="s">
        <v>18</v>
      </c>
      <c r="B90" s="15"/>
      <c r="C90" s="3">
        <f t="shared" ref="C90:L90" si="51">SUM(C88:C89)</f>
        <v>7390.0081632653055</v>
      </c>
      <c r="D90" s="3">
        <f t="shared" si="51"/>
        <v>7496.847551020408</v>
      </c>
      <c r="E90" s="3">
        <f t="shared" si="51"/>
        <v>7605.4961364795918</v>
      </c>
      <c r="F90" s="3">
        <f t="shared" si="51"/>
        <v>7715.9920484646045</v>
      </c>
      <c r="G90" s="3">
        <f t="shared" si="51"/>
        <v>7828.3744004860673</v>
      </c>
      <c r="H90" s="3">
        <f t="shared" si="51"/>
        <v>7942.6833196916605</v>
      </c>
      <c r="I90" s="3">
        <f t="shared" si="51"/>
        <v>8058.9599767211093</v>
      </c>
      <c r="J90" s="3">
        <f t="shared" si="51"/>
        <v>8177.2466164971411</v>
      </c>
      <c r="K90" s="3">
        <f t="shared" si="51"/>
        <v>8297.5865899825676</v>
      </c>
      <c r="L90" s="3">
        <f t="shared" si="51"/>
        <v>8420.024386934585</v>
      </c>
    </row>
    <row r="92" spans="1:12">
      <c r="A92" s="10" t="s">
        <v>29</v>
      </c>
      <c r="B92" s="10"/>
    </row>
    <row r="93" spans="1:12">
      <c r="A93" s="63" t="s">
        <v>9</v>
      </c>
      <c r="B93" s="63"/>
      <c r="C93" s="3">
        <f>$M$214+CUMPRINC($M$215/12,$M$217*12,$M$214,1,((C55+1)-$C$55)*12,0)</f>
        <v>1130905.1664174383</v>
      </c>
      <c r="D93" s="3">
        <f>$M$214+CUMPRINC($M$215/12,$M$217*12,$M$214,1,((D55+1)-$C$55)*12,0)</f>
        <v>1113103.9146084813</v>
      </c>
      <c r="E93" s="3">
        <f>$M$214+CUMPRINC($M$215/12,$M$217*12,$M$214,1,((E55+1)-$C$55)*12,0)</f>
        <v>1094391.9169723075</v>
      </c>
      <c r="F93" s="3">
        <f>$M$214+CUMPRINC($M$215/12,$M$217*12,$M$214,1,((F55+1)-$C$55)*12,0)</f>
        <v>1074722.5780239087</v>
      </c>
      <c r="G93" s="3">
        <f>$M$214+CUMPRINC($M$215/12,$M$217*12,$M$214,1,((G55+1)-$C$55)*12,0)</f>
        <v>1054046.9183648303</v>
      </c>
      <c r="H93" s="3">
        <f t="shared" ref="H93:K93" si="52">$M$214+CUMPRINC($M$215/12,$M$217*12,$M$214,1,((H55+1)-$C$55)*12,0)</f>
        <v>1032313.4527176371</v>
      </c>
      <c r="I93" s="3">
        <f t="shared" si="52"/>
        <v>1009468.0617203858</v>
      </c>
      <c r="J93" s="3">
        <f t="shared" si="52"/>
        <v>985453.85716186487</v>
      </c>
      <c r="K93" s="3">
        <f t="shared" si="52"/>
        <v>960211.04032200994</v>
      </c>
      <c r="L93" s="3">
        <f>$M$214+CUMPRINC($M$215/12,$M$217*12,$M$214,1,((L55+1)-$C$55)*12,0)</f>
        <v>933676.75306474697</v>
      </c>
    </row>
    <row r="94" spans="1:12">
      <c r="A94" s="63" t="s">
        <v>50</v>
      </c>
      <c r="B94" s="63"/>
      <c r="C94" s="20">
        <v>140699.25576867373</v>
      </c>
      <c r="D94" s="20">
        <v>200345.68230784731</v>
      </c>
      <c r="E94" s="20">
        <v>258700.75853757921</v>
      </c>
      <c r="F94" s="20">
        <v>315575.67891920661</v>
      </c>
      <c r="G94" s="20">
        <v>370737.21298110922</v>
      </c>
      <c r="H94" s="20">
        <v>712238.72859224735</v>
      </c>
      <c r="I94" s="20">
        <v>808766.17243764084</v>
      </c>
      <c r="J94" s="20">
        <v>907688.42186110688</v>
      </c>
      <c r="K94" s="20">
        <v>1009178.539321701</v>
      </c>
      <c r="L94" s="20">
        <v>1113415.0643235289</v>
      </c>
    </row>
    <row r="95" spans="1:12">
      <c r="A95" s="15" t="s">
        <v>25</v>
      </c>
      <c r="B95" s="15"/>
      <c r="C95" s="19">
        <f t="shared" ref="C95:L95" si="53">SUM(C93:C94)</f>
        <v>1271604.422186112</v>
      </c>
      <c r="D95" s="19">
        <f t="shared" si="53"/>
        <v>1313449.5969163286</v>
      </c>
      <c r="E95" s="19">
        <f t="shared" si="53"/>
        <v>1353092.6755098868</v>
      </c>
      <c r="F95" s="19">
        <f t="shared" si="53"/>
        <v>1390298.2569431153</v>
      </c>
      <c r="G95" s="19">
        <f t="shared" si="53"/>
        <v>1424784.1313459396</v>
      </c>
      <c r="H95" s="19">
        <f t="shared" si="53"/>
        <v>1744552.1813098844</v>
      </c>
      <c r="I95" s="19">
        <f t="shared" si="53"/>
        <v>1818234.2341580265</v>
      </c>
      <c r="J95" s="19">
        <f t="shared" si="53"/>
        <v>1893142.2790229716</v>
      </c>
      <c r="K95" s="19">
        <f t="shared" si="53"/>
        <v>1969389.579643711</v>
      </c>
      <c r="L95" s="19">
        <f t="shared" si="53"/>
        <v>2047091.8173882759</v>
      </c>
    </row>
    <row r="96" spans="1:12">
      <c r="A96" s="15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3" t="s">
        <v>26</v>
      </c>
      <c r="C97" s="19">
        <f t="shared" ref="C97:L97" si="54">C90+C95</f>
        <v>1278994.4303493774</v>
      </c>
      <c r="D97" s="19">
        <f t="shared" si="54"/>
        <v>1320946.444467349</v>
      </c>
      <c r="E97" s="19">
        <f t="shared" si="54"/>
        <v>1360698.1716463664</v>
      </c>
      <c r="F97" s="19">
        <f t="shared" si="54"/>
        <v>1398014.24899158</v>
      </c>
      <c r="G97" s="19">
        <f t="shared" si="54"/>
        <v>1432612.5057464256</v>
      </c>
      <c r="H97" s="19">
        <f t="shared" si="54"/>
        <v>1752494.864629576</v>
      </c>
      <c r="I97" s="19">
        <f t="shared" si="54"/>
        <v>1826293.1941347476</v>
      </c>
      <c r="J97" s="19">
        <f t="shared" si="54"/>
        <v>1901319.5256394688</v>
      </c>
      <c r="K97" s="19">
        <f t="shared" si="54"/>
        <v>1977687.1662336935</v>
      </c>
      <c r="L97" s="19">
        <f t="shared" si="54"/>
        <v>2055511.8417752103</v>
      </c>
    </row>
    <row r="99" spans="1:12">
      <c r="A99" s="3" t="s">
        <v>8</v>
      </c>
    </row>
    <row r="100" spans="1:12">
      <c r="A100" s="10" t="s">
        <v>64</v>
      </c>
      <c r="B100" s="10"/>
      <c r="C100" s="3">
        <f>$M$226</f>
        <v>400000</v>
      </c>
      <c r="D100" s="3">
        <f>$M$226</f>
        <v>400000</v>
      </c>
      <c r="E100" s="3">
        <f>$M$226</f>
        <v>400000</v>
      </c>
      <c r="F100" s="3">
        <f>$M$226</f>
        <v>400000</v>
      </c>
      <c r="G100" s="3">
        <f>$M$226</f>
        <v>400000</v>
      </c>
      <c r="H100" s="3">
        <f t="shared" ref="H100:K100" si="55">$M$226</f>
        <v>400000</v>
      </c>
      <c r="I100" s="3">
        <f t="shared" si="55"/>
        <v>400000</v>
      </c>
      <c r="J100" s="3">
        <f t="shared" si="55"/>
        <v>400000</v>
      </c>
      <c r="K100" s="3">
        <f t="shared" si="55"/>
        <v>400000</v>
      </c>
      <c r="L100" s="3">
        <f>$M$226</f>
        <v>400000</v>
      </c>
    </row>
    <row r="101" spans="1:12">
      <c r="A101" s="10" t="s">
        <v>19</v>
      </c>
      <c r="B101" s="10"/>
      <c r="C101" s="11">
        <f>M218+C43</f>
        <v>-87986.543505839931</v>
      </c>
      <c r="D101" s="11">
        <f t="shared" ref="D101:K101" si="56">D43+C101</f>
        <v>-173951.9715063796</v>
      </c>
      <c r="E101" s="11">
        <f t="shared" si="56"/>
        <v>-257703.66151857778</v>
      </c>
      <c r="F101" s="11">
        <f t="shared" si="56"/>
        <v>-339005.84036504233</v>
      </c>
      <c r="G101" s="11">
        <f t="shared" si="56"/>
        <v>-417575.91394790326</v>
      </c>
      <c r="H101" s="11">
        <f t="shared" si="56"/>
        <v>-545957.36816281907</v>
      </c>
      <c r="I101" s="11">
        <f t="shared" si="56"/>
        <v>-675439.62076203479</v>
      </c>
      <c r="J101" s="11">
        <f t="shared" si="56"/>
        <v>-806134.23801217321</v>
      </c>
      <c r="K101" s="11">
        <f t="shared" si="56"/>
        <v>-938154.04705714365</v>
      </c>
      <c r="L101" s="11">
        <f>L43+K101</f>
        <v>-1071614.2784926752</v>
      </c>
    </row>
    <row r="102" spans="1:12">
      <c r="A102" s="3" t="s">
        <v>20</v>
      </c>
      <c r="C102" s="3">
        <f>SUM(C100:C101)</f>
        <v>312013.45649416005</v>
      </c>
      <c r="D102" s="3">
        <f>SUM(D100:D101)</f>
        <v>226048.0284936204</v>
      </c>
      <c r="E102" s="3">
        <f>SUM(E100:E101)</f>
        <v>142296.33848142222</v>
      </c>
      <c r="F102" s="3">
        <f>SUM(F100:F101)</f>
        <v>60994.159634957672</v>
      </c>
      <c r="G102" s="3">
        <f t="shared" ref="G102:L102" si="57">SUM(G100:G101)</f>
        <v>-17575.91394790326</v>
      </c>
      <c r="H102" s="3">
        <f t="shared" si="57"/>
        <v>-145957.36816281907</v>
      </c>
      <c r="I102" s="3">
        <f t="shared" si="57"/>
        <v>-275439.62076203479</v>
      </c>
      <c r="J102" s="3">
        <f t="shared" si="57"/>
        <v>-406134.23801217321</v>
      </c>
      <c r="K102" s="3">
        <f t="shared" si="57"/>
        <v>-538154.04705714365</v>
      </c>
      <c r="L102" s="3">
        <f t="shared" si="57"/>
        <v>-671614.27849267516</v>
      </c>
    </row>
    <row r="104" spans="1:12" ht="16.5" thickBot="1">
      <c r="A104" s="3" t="s">
        <v>27</v>
      </c>
      <c r="C104" s="14">
        <f>C97+C102</f>
        <v>1591007.8868435374</v>
      </c>
      <c r="D104" s="14">
        <f>D97+D102</f>
        <v>1546994.4729609694</v>
      </c>
      <c r="E104" s="14">
        <f>E97+E102</f>
        <v>1502994.5101277886</v>
      </c>
      <c r="F104" s="14">
        <f>F97+F102</f>
        <v>1459008.4086265378</v>
      </c>
      <c r="G104" s="14">
        <f t="shared" ref="G104:L104" si="58">G97+G102</f>
        <v>1415036.5917985223</v>
      </c>
      <c r="H104" s="14">
        <f t="shared" si="58"/>
        <v>1606537.4964667568</v>
      </c>
      <c r="I104" s="14">
        <f t="shared" si="58"/>
        <v>1550853.5733727128</v>
      </c>
      <c r="J104" s="14">
        <f t="shared" si="58"/>
        <v>1495185.2876272956</v>
      </c>
      <c r="K104" s="14">
        <f t="shared" si="58"/>
        <v>1439533.1191765498</v>
      </c>
      <c r="L104" s="14">
        <f t="shared" si="58"/>
        <v>1383897.5632825352</v>
      </c>
    </row>
    <row r="105" spans="1:12" ht="16.5" thickTop="1"/>
    <row r="108" spans="1:12">
      <c r="A108" s="75" t="s">
        <v>137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</row>
    <row r="109" spans="1:12">
      <c r="A109" s="27"/>
      <c r="B109" s="27"/>
      <c r="C109" s="1"/>
      <c r="D109" s="1"/>
      <c r="E109" s="1"/>
      <c r="F109" s="1"/>
      <c r="G109" s="6"/>
      <c r="H109" s="1"/>
    </row>
    <row r="110" spans="1:12">
      <c r="A110" s="27" t="s">
        <v>138</v>
      </c>
      <c r="B110" s="27"/>
      <c r="C110" s="1"/>
      <c r="D110" s="1"/>
      <c r="E110" s="1"/>
      <c r="F110" s="1"/>
      <c r="G110" s="6"/>
      <c r="H110" s="1"/>
    </row>
    <row r="111" spans="1:12">
      <c r="A111" s="28" t="s">
        <v>9</v>
      </c>
      <c r="B111" s="28"/>
      <c r="C111" s="3">
        <f>C93</f>
        <v>1130905.1664174383</v>
      </c>
      <c r="D111" s="3">
        <f t="shared" ref="D111:L112" si="59">D93</f>
        <v>1113103.9146084813</v>
      </c>
      <c r="E111" s="3">
        <f t="shared" si="59"/>
        <v>1094391.9169723075</v>
      </c>
      <c r="F111" s="3">
        <f t="shared" si="59"/>
        <v>1074722.5780239087</v>
      </c>
      <c r="G111" s="3">
        <f t="shared" si="59"/>
        <v>1054046.9183648303</v>
      </c>
      <c r="H111" s="3">
        <f t="shared" si="59"/>
        <v>1032313.4527176371</v>
      </c>
      <c r="I111" s="3">
        <f t="shared" si="59"/>
        <v>1009468.0617203858</v>
      </c>
      <c r="J111" s="3">
        <f t="shared" si="59"/>
        <v>985453.85716186487</v>
      </c>
      <c r="K111" s="3">
        <f t="shared" si="59"/>
        <v>960211.04032200994</v>
      </c>
      <c r="L111" s="3">
        <f t="shared" si="59"/>
        <v>933676.75306474697</v>
      </c>
    </row>
    <row r="112" spans="1:12">
      <c r="A112" s="28" t="s">
        <v>50</v>
      </c>
      <c r="B112" s="28"/>
      <c r="C112" s="11">
        <f>C94</f>
        <v>140699.25576867373</v>
      </c>
      <c r="D112" s="11">
        <f t="shared" si="59"/>
        <v>200345.68230784731</v>
      </c>
      <c r="E112" s="11">
        <f t="shared" si="59"/>
        <v>258700.75853757921</v>
      </c>
      <c r="F112" s="11">
        <f t="shared" si="59"/>
        <v>315575.67891920661</v>
      </c>
      <c r="G112" s="11">
        <f t="shared" si="59"/>
        <v>370737.21298110922</v>
      </c>
      <c r="H112" s="11">
        <f t="shared" si="59"/>
        <v>712238.72859224735</v>
      </c>
      <c r="I112" s="11">
        <f t="shared" si="59"/>
        <v>808766.17243764084</v>
      </c>
      <c r="J112" s="11">
        <f t="shared" si="59"/>
        <v>907688.42186110688</v>
      </c>
      <c r="K112" s="11">
        <f t="shared" si="59"/>
        <v>1009178.539321701</v>
      </c>
      <c r="L112" s="11">
        <f t="shared" si="59"/>
        <v>1113415.0643235289</v>
      </c>
    </row>
    <row r="113" spans="1:12">
      <c r="A113" s="29" t="s">
        <v>139</v>
      </c>
      <c r="B113" s="29"/>
      <c r="C113" s="3">
        <f>SUM(C111:C112)</f>
        <v>1271604.422186112</v>
      </c>
      <c r="D113" s="3">
        <f t="shared" ref="D113:L113" si="60">SUM(D111:D112)</f>
        <v>1313449.5969163286</v>
      </c>
      <c r="E113" s="3">
        <f t="shared" si="60"/>
        <v>1353092.6755098868</v>
      </c>
      <c r="F113" s="3">
        <f t="shared" si="60"/>
        <v>1390298.2569431153</v>
      </c>
      <c r="G113" s="3">
        <f t="shared" si="60"/>
        <v>1424784.1313459396</v>
      </c>
      <c r="H113" s="3">
        <f t="shared" si="60"/>
        <v>1744552.1813098844</v>
      </c>
      <c r="I113" s="3">
        <f t="shared" si="60"/>
        <v>1818234.2341580265</v>
      </c>
      <c r="J113" s="3">
        <f t="shared" si="60"/>
        <v>1893142.2790229716</v>
      </c>
      <c r="K113" s="3">
        <f t="shared" si="60"/>
        <v>1969389.579643711</v>
      </c>
      <c r="L113" s="3">
        <f t="shared" si="60"/>
        <v>2047091.8173882759</v>
      </c>
    </row>
    <row r="114" spans="1:12">
      <c r="A114" s="27"/>
      <c r="B114" s="27"/>
      <c r="C114" s="1"/>
      <c r="D114" s="1"/>
      <c r="E114" s="1"/>
      <c r="F114" s="1"/>
      <c r="G114" s="6"/>
      <c r="H114" s="1"/>
    </row>
    <row r="115" spans="1:12">
      <c r="A115" s="27" t="s">
        <v>140</v>
      </c>
      <c r="B115" s="27"/>
      <c r="C115" s="1"/>
      <c r="D115" s="1"/>
      <c r="E115" s="1"/>
      <c r="F115" s="1"/>
      <c r="G115" s="6"/>
      <c r="H115" s="1"/>
    </row>
    <row r="116" spans="1:12">
      <c r="A116" s="28" t="s">
        <v>9</v>
      </c>
      <c r="B116" s="28"/>
      <c r="C116" s="6">
        <f>C111/C113</f>
        <v>0.88935296754726056</v>
      </c>
      <c r="D116" s="6">
        <f t="shared" ref="D116:L116" si="61">D111/D113</f>
        <v>0.8474660293183599</v>
      </c>
      <c r="E116" s="6">
        <f t="shared" si="61"/>
        <v>0.80880780509724293</v>
      </c>
      <c r="F116" s="6">
        <f t="shared" si="61"/>
        <v>0.77301584221714337</v>
      </c>
      <c r="G116" s="6">
        <f t="shared" si="61"/>
        <v>0.73979411700010456</v>
      </c>
      <c r="H116" s="6">
        <f t="shared" si="61"/>
        <v>0.59173549738279074</v>
      </c>
      <c r="I116" s="6">
        <f t="shared" si="61"/>
        <v>0.55519142845082459</v>
      </c>
      <c r="J116" s="6">
        <f t="shared" si="61"/>
        <v>0.52053871918725836</v>
      </c>
      <c r="K116" s="6">
        <f t="shared" si="61"/>
        <v>0.48756784855931096</v>
      </c>
      <c r="L116" s="6">
        <f t="shared" si="61"/>
        <v>0.45609910856658692</v>
      </c>
    </row>
    <row r="117" spans="1:12">
      <c r="A117" s="28" t="s">
        <v>141</v>
      </c>
      <c r="B117" s="28"/>
      <c r="C117" s="30">
        <f>C112/C113</f>
        <v>0.11064703245273945</v>
      </c>
      <c r="D117" s="30">
        <f t="shared" ref="D117:L117" si="62">D112/D113</f>
        <v>0.15253397068164012</v>
      </c>
      <c r="E117" s="30">
        <f t="shared" si="62"/>
        <v>0.19119219490275699</v>
      </c>
      <c r="F117" s="30">
        <f t="shared" si="62"/>
        <v>0.2269841577828566</v>
      </c>
      <c r="G117" s="30">
        <f t="shared" si="62"/>
        <v>0.26020588299989544</v>
      </c>
      <c r="H117" s="30">
        <f t="shared" si="62"/>
        <v>0.4082645026172092</v>
      </c>
      <c r="I117" s="30">
        <f t="shared" si="62"/>
        <v>0.44480857154917547</v>
      </c>
      <c r="J117" s="30">
        <f t="shared" si="62"/>
        <v>0.47946128081274175</v>
      </c>
      <c r="K117" s="30">
        <f t="shared" si="62"/>
        <v>0.5124321514406891</v>
      </c>
      <c r="L117" s="30">
        <f t="shared" si="62"/>
        <v>0.54390089143341303</v>
      </c>
    </row>
    <row r="118" spans="1:12">
      <c r="A118" s="31" t="s">
        <v>142</v>
      </c>
      <c r="B118" s="31"/>
      <c r="C118" s="32">
        <f>SUM(C116:C117)</f>
        <v>1</v>
      </c>
      <c r="D118" s="32">
        <f t="shared" ref="D118:L118" si="63">SUM(D116:D117)</f>
        <v>1</v>
      </c>
      <c r="E118" s="32">
        <f t="shared" si="63"/>
        <v>0.99999999999999989</v>
      </c>
      <c r="F118" s="32">
        <f t="shared" si="63"/>
        <v>1</v>
      </c>
      <c r="G118" s="32">
        <f t="shared" si="63"/>
        <v>1</v>
      </c>
      <c r="H118" s="32">
        <f t="shared" si="63"/>
        <v>1</v>
      </c>
      <c r="I118" s="32">
        <f t="shared" si="63"/>
        <v>1</v>
      </c>
      <c r="J118" s="32">
        <f t="shared" si="63"/>
        <v>1</v>
      </c>
      <c r="K118" s="32">
        <f t="shared" si="63"/>
        <v>1</v>
      </c>
      <c r="L118" s="32">
        <f t="shared" si="63"/>
        <v>1</v>
      </c>
    </row>
    <row r="119" spans="1:12">
      <c r="A119" s="33"/>
      <c r="B119" s="33"/>
      <c r="C119" s="34"/>
      <c r="D119" s="34"/>
      <c r="E119" s="34"/>
      <c r="F119" s="34"/>
      <c r="G119" s="6"/>
      <c r="H119" s="1"/>
    </row>
    <row r="120" spans="1:12">
      <c r="A120" s="33" t="s">
        <v>143</v>
      </c>
      <c r="B120" s="33"/>
      <c r="C120" s="34"/>
      <c r="D120" s="34"/>
      <c r="E120" s="34"/>
      <c r="F120" s="34"/>
      <c r="G120" s="6"/>
      <c r="H120" s="1"/>
    </row>
    <row r="121" spans="1:12">
      <c r="A121" s="28" t="s">
        <v>9</v>
      </c>
      <c r="B121" s="28"/>
      <c r="C121" s="30">
        <f>$M$215</f>
        <v>0.05</v>
      </c>
      <c r="D121" s="30">
        <f>$M$215</f>
        <v>0.05</v>
      </c>
      <c r="E121" s="30">
        <f>$M$215</f>
        <v>0.05</v>
      </c>
      <c r="F121" s="30">
        <f>$M$215</f>
        <v>0.05</v>
      </c>
      <c r="G121" s="30">
        <f>$M$215</f>
        <v>0.05</v>
      </c>
      <c r="H121" s="30">
        <f t="shared" ref="H121:K121" si="64">$M$215</f>
        <v>0.05</v>
      </c>
      <c r="I121" s="30">
        <f t="shared" si="64"/>
        <v>0.05</v>
      </c>
      <c r="J121" s="30">
        <f t="shared" si="64"/>
        <v>0.05</v>
      </c>
      <c r="K121" s="30">
        <f t="shared" si="64"/>
        <v>0.05</v>
      </c>
      <c r="L121" s="30">
        <f>$M$215</f>
        <v>0.05</v>
      </c>
    </row>
    <row r="122" spans="1:12">
      <c r="A122" s="28" t="s">
        <v>141</v>
      </c>
      <c r="B122" s="28"/>
      <c r="C122" s="30">
        <f>C211</f>
        <v>0.11</v>
      </c>
      <c r="D122" s="30">
        <f t="shared" ref="D122:L122" si="65">D211</f>
        <v>0.11</v>
      </c>
      <c r="E122" s="30">
        <f t="shared" si="65"/>
        <v>0.11</v>
      </c>
      <c r="F122" s="30">
        <f t="shared" si="65"/>
        <v>0.11</v>
      </c>
      <c r="G122" s="30">
        <f t="shared" si="65"/>
        <v>0.11</v>
      </c>
      <c r="H122" s="30">
        <f t="shared" si="65"/>
        <v>0.11</v>
      </c>
      <c r="I122" s="30">
        <f t="shared" si="65"/>
        <v>0.11</v>
      </c>
      <c r="J122" s="30">
        <f t="shared" si="65"/>
        <v>0.11</v>
      </c>
      <c r="K122" s="30">
        <f t="shared" si="65"/>
        <v>0.11</v>
      </c>
      <c r="L122" s="30">
        <f t="shared" si="65"/>
        <v>0.11</v>
      </c>
    </row>
    <row r="123" spans="1:12">
      <c r="A123" s="33"/>
      <c r="B123" s="33"/>
      <c r="C123" s="34"/>
      <c r="D123" s="34"/>
      <c r="E123" s="34"/>
      <c r="F123" s="34"/>
      <c r="G123" s="6"/>
      <c r="H123" s="1"/>
    </row>
    <row r="124" spans="1:12">
      <c r="A124" s="33" t="s">
        <v>144</v>
      </c>
      <c r="B124" s="33"/>
      <c r="C124" s="30">
        <f>C116*C121+C117*C122</f>
        <v>5.6638821947164367E-2</v>
      </c>
      <c r="D124" s="30">
        <f t="shared" ref="D124:L124" si="66">D116*D121+D117*D122</f>
        <v>5.9152038240898416E-2</v>
      </c>
      <c r="E124" s="30">
        <f t="shared" si="66"/>
        <v>6.1471531694165422E-2</v>
      </c>
      <c r="F124" s="30">
        <f t="shared" si="66"/>
        <v>6.3619049466971403E-2</v>
      </c>
      <c r="G124" s="30">
        <f t="shared" si="66"/>
        <v>6.5612352979993738E-2</v>
      </c>
      <c r="H124" s="30">
        <f t="shared" si="66"/>
        <v>7.4495870157032545E-2</v>
      </c>
      <c r="I124" s="30">
        <f t="shared" si="66"/>
        <v>7.6688514292950538E-2</v>
      </c>
      <c r="J124" s="30">
        <f t="shared" si="66"/>
        <v>7.8767676848764512E-2</v>
      </c>
      <c r="K124" s="30">
        <f t="shared" si="66"/>
        <v>8.0745929086441348E-2</v>
      </c>
      <c r="L124" s="30">
        <f t="shared" si="66"/>
        <v>8.2634053486004777E-2</v>
      </c>
    </row>
    <row r="125" spans="1:12">
      <c r="A125" s="33"/>
      <c r="B125" s="33"/>
      <c r="C125" s="34"/>
      <c r="D125" s="34"/>
      <c r="E125" s="36"/>
      <c r="F125" s="34"/>
      <c r="G125" s="6"/>
      <c r="H125" s="1"/>
    </row>
    <row r="126" spans="1:12">
      <c r="A126" s="33" t="s">
        <v>145</v>
      </c>
      <c r="B126" s="33"/>
      <c r="C126" s="37">
        <f>C102</f>
        <v>312013.45649416005</v>
      </c>
      <c r="D126" s="37">
        <f t="shared" ref="D126:L126" si="67">D102</f>
        <v>226048.0284936204</v>
      </c>
      <c r="E126" s="37">
        <f t="shared" si="67"/>
        <v>142296.33848142222</v>
      </c>
      <c r="F126" s="37">
        <f t="shared" si="67"/>
        <v>60994.159634957672</v>
      </c>
      <c r="G126" s="37">
        <f t="shared" si="67"/>
        <v>-17575.91394790326</v>
      </c>
      <c r="H126" s="37">
        <f t="shared" si="67"/>
        <v>-145957.36816281907</v>
      </c>
      <c r="I126" s="37">
        <f t="shared" si="67"/>
        <v>-275439.62076203479</v>
      </c>
      <c r="J126" s="37">
        <f t="shared" si="67"/>
        <v>-406134.23801217321</v>
      </c>
      <c r="K126" s="37">
        <f t="shared" si="67"/>
        <v>-538154.04705714365</v>
      </c>
      <c r="L126" s="37">
        <f t="shared" si="67"/>
        <v>-671614.27849267516</v>
      </c>
    </row>
    <row r="127" spans="1:12">
      <c r="A127" s="33" t="s">
        <v>146</v>
      </c>
      <c r="B127" s="33"/>
      <c r="C127" s="38">
        <f>C113+C126</f>
        <v>1583617.878680272</v>
      </c>
      <c r="D127" s="38">
        <f t="shared" ref="D127:L127" si="68">D113+D126</f>
        <v>1539497.6254099491</v>
      </c>
      <c r="E127" s="38">
        <f t="shared" si="68"/>
        <v>1495389.0139913091</v>
      </c>
      <c r="F127" s="38">
        <f t="shared" si="68"/>
        <v>1451292.4165780731</v>
      </c>
      <c r="G127" s="38">
        <f t="shared" si="68"/>
        <v>1407208.2173980363</v>
      </c>
      <c r="H127" s="38">
        <f t="shared" si="68"/>
        <v>1598594.8131470652</v>
      </c>
      <c r="I127" s="38">
        <f t="shared" si="68"/>
        <v>1542794.6133959917</v>
      </c>
      <c r="J127" s="38">
        <f t="shared" si="68"/>
        <v>1487008.0410107984</v>
      </c>
      <c r="K127" s="38">
        <f t="shared" si="68"/>
        <v>1431235.5325865673</v>
      </c>
      <c r="L127" s="38">
        <f t="shared" si="68"/>
        <v>1375477.5388956007</v>
      </c>
    </row>
    <row r="128" spans="1:12">
      <c r="A128" s="33"/>
      <c r="B128" s="33"/>
      <c r="C128" s="34"/>
      <c r="D128" s="34"/>
      <c r="E128" s="34"/>
      <c r="F128" s="34"/>
      <c r="G128" s="6"/>
      <c r="H128" s="1"/>
    </row>
    <row r="129" spans="1:12">
      <c r="A129" s="27" t="s">
        <v>147</v>
      </c>
      <c r="B129" s="27"/>
      <c r="C129" s="1"/>
      <c r="D129" s="1"/>
      <c r="E129" s="1"/>
      <c r="F129" s="1"/>
      <c r="G129" s="6"/>
      <c r="H129" s="1"/>
    </row>
    <row r="130" spans="1:12">
      <c r="A130" s="28" t="s">
        <v>139</v>
      </c>
      <c r="B130" s="28"/>
      <c r="C130" s="6">
        <f>C113/C127</f>
        <v>0.80297427763686258</v>
      </c>
      <c r="D130" s="6">
        <f t="shared" ref="D130:L130" si="69">D113/D127</f>
        <v>0.85316766667085531</v>
      </c>
      <c r="E130" s="6">
        <f t="shared" si="69"/>
        <v>0.90484326342506538</v>
      </c>
      <c r="F130" s="6">
        <f t="shared" si="69"/>
        <v>0.95797252232684249</v>
      </c>
      <c r="G130" s="6">
        <f t="shared" si="69"/>
        <v>1.0124899170787971</v>
      </c>
      <c r="H130" s="6">
        <f t="shared" si="69"/>
        <v>1.0913035416870152</v>
      </c>
      <c r="I130" s="6">
        <f t="shared" si="69"/>
        <v>1.1785329157688322</v>
      </c>
      <c r="J130" s="6">
        <f t="shared" si="69"/>
        <v>1.2731217497224172</v>
      </c>
      <c r="K130" s="6">
        <f t="shared" si="69"/>
        <v>1.3760066284020891</v>
      </c>
      <c r="L130" s="6">
        <f t="shared" si="69"/>
        <v>1.4882771688383425</v>
      </c>
    </row>
    <row r="131" spans="1:12">
      <c r="A131" s="39" t="s">
        <v>145</v>
      </c>
      <c r="B131" s="39"/>
      <c r="C131" s="30">
        <f>C126/C127</f>
        <v>0.19702572236313751</v>
      </c>
      <c r="D131" s="30">
        <f t="shared" ref="D131:L131" si="70">D126/D127</f>
        <v>0.14683233332914469</v>
      </c>
      <c r="E131" s="30">
        <f t="shared" si="70"/>
        <v>9.5156736574934619E-2</v>
      </c>
      <c r="F131" s="30">
        <f t="shared" si="70"/>
        <v>4.202747767315744E-2</v>
      </c>
      <c r="G131" s="30">
        <f t="shared" si="70"/>
        <v>-1.2489917078797033E-2</v>
      </c>
      <c r="H131" s="30">
        <f t="shared" si="70"/>
        <v>-9.130354168701503E-2</v>
      </c>
      <c r="I131" s="30">
        <f t="shared" si="70"/>
        <v>-0.17853291576883229</v>
      </c>
      <c r="J131" s="30">
        <f t="shared" si="70"/>
        <v>-0.27312174972241721</v>
      </c>
      <c r="K131" s="30">
        <f t="shared" si="70"/>
        <v>-0.3760066284020892</v>
      </c>
      <c r="L131" s="30">
        <f t="shared" si="70"/>
        <v>-0.4882771688383426</v>
      </c>
    </row>
    <row r="132" spans="1:12">
      <c r="A132" s="31" t="s">
        <v>142</v>
      </c>
      <c r="B132" s="31"/>
      <c r="C132" s="32">
        <f>SUM(C130:C131)</f>
        <v>1</v>
      </c>
      <c r="D132" s="32">
        <f t="shared" ref="D132:L132" si="71">SUM(D130:D131)</f>
        <v>1</v>
      </c>
      <c r="E132" s="32">
        <f t="shared" si="71"/>
        <v>1</v>
      </c>
      <c r="F132" s="32">
        <f t="shared" si="71"/>
        <v>0.99999999999999989</v>
      </c>
      <c r="G132" s="32">
        <f t="shared" si="71"/>
        <v>1</v>
      </c>
      <c r="H132" s="32">
        <f t="shared" si="71"/>
        <v>1.0000000000000002</v>
      </c>
      <c r="I132" s="32">
        <f t="shared" si="71"/>
        <v>1</v>
      </c>
      <c r="J132" s="32">
        <f t="shared" si="71"/>
        <v>1</v>
      </c>
      <c r="K132" s="32">
        <f t="shared" si="71"/>
        <v>0.99999999999999989</v>
      </c>
      <c r="L132" s="32">
        <f t="shared" si="71"/>
        <v>0.99999999999999989</v>
      </c>
    </row>
    <row r="133" spans="1:12">
      <c r="A133" s="33"/>
      <c r="B133" s="33"/>
      <c r="C133" s="34"/>
      <c r="D133" s="34"/>
      <c r="E133" s="34"/>
      <c r="F133" s="34"/>
      <c r="G133" s="6"/>
      <c r="H133" s="1"/>
    </row>
    <row r="134" spans="1:12">
      <c r="A134" s="33" t="s">
        <v>148</v>
      </c>
      <c r="B134" s="33"/>
      <c r="C134" s="30">
        <f t="shared" ref="C134:L134" si="72">C151*(C262-C261)+C261</f>
        <v>0.14854832800796389</v>
      </c>
      <c r="D134" s="30">
        <f t="shared" si="72"/>
        <v>0.19678159590730274</v>
      </c>
      <c r="E134" s="30">
        <f t="shared" si="72"/>
        <v>0.29959957343674654</v>
      </c>
      <c r="F134" s="30">
        <f t="shared" si="72"/>
        <v>0.66892200686648862</v>
      </c>
      <c r="G134" s="30">
        <f t="shared" si="72"/>
        <v>-2.2183454015718387</v>
      </c>
      <c r="H134" s="30">
        <f t="shared" si="72"/>
        <v>-0.29702887876351303</v>
      </c>
      <c r="I134" s="30">
        <f t="shared" si="72"/>
        <v>-0.14826358301231107</v>
      </c>
      <c r="J134" s="30">
        <f t="shared" si="72"/>
        <v>-9.4336108313431921E-2</v>
      </c>
      <c r="K134" s="30">
        <f t="shared" si="72"/>
        <v>-6.6484866835037779E-2</v>
      </c>
      <c r="L134" s="30">
        <f t="shared" si="72"/>
        <v>-4.9484875874165543E-2</v>
      </c>
    </row>
    <row r="135" spans="1:12">
      <c r="A135" s="33"/>
      <c r="B135" s="33"/>
      <c r="C135" s="34"/>
      <c r="D135" s="34"/>
      <c r="E135" s="34"/>
      <c r="F135" s="34"/>
      <c r="G135" s="6"/>
      <c r="H135" s="1"/>
    </row>
    <row r="136" spans="1:12">
      <c r="A136" s="33" t="s">
        <v>149</v>
      </c>
      <c r="B136" s="33"/>
      <c r="C136" s="30">
        <f t="shared" ref="C136:L136" si="73">C130*C124*(1-C203)+C131*C134</f>
        <v>6.5651455342987122E-2</v>
      </c>
      <c r="D136" s="30">
        <f t="shared" si="73"/>
        <v>6.9267186039152134E-2</v>
      </c>
      <c r="E136" s="30">
        <f t="shared" si="73"/>
        <v>7.3006598764192063E-2</v>
      </c>
      <c r="F136" s="30">
        <f t="shared" si="73"/>
        <v>7.6869345737393624E-2</v>
      </c>
      <c r="G136" s="30">
        <f t="shared" si="73"/>
        <v>8.0852426780209874E-2</v>
      </c>
      <c r="H136" s="30">
        <f t="shared" si="73"/>
        <v>9.215787416917226E-2</v>
      </c>
      <c r="I136" s="30">
        <f t="shared" si="73"/>
        <v>9.8773880462042815E-2</v>
      </c>
      <c r="J136" s="30">
        <f t="shared" si="73"/>
        <v>0.10598991702158322</v>
      </c>
      <c r="K136" s="30">
        <f t="shared" si="73"/>
        <v>0.11388429752994711</v>
      </c>
      <c r="L136" s="30">
        <f t="shared" si="73"/>
        <v>0.12254823522958425</v>
      </c>
    </row>
    <row r="137" spans="1:12">
      <c r="A137" s="33"/>
      <c r="B137" s="33"/>
      <c r="C137" s="34"/>
      <c r="D137" s="34"/>
      <c r="E137" s="34"/>
      <c r="F137" s="34"/>
      <c r="G137" s="6"/>
      <c r="H137" s="1"/>
    </row>
    <row r="138" spans="1:12">
      <c r="A138" s="33" t="s">
        <v>150</v>
      </c>
      <c r="B138" s="33"/>
      <c r="C138" s="34"/>
      <c r="D138" s="34"/>
      <c r="E138" s="34"/>
      <c r="G138" s="6"/>
      <c r="H138" s="1"/>
      <c r="L138" s="40">
        <f>AVERAGE(C136:L136)</f>
        <v>8.9900121707626443E-2</v>
      </c>
    </row>
    <row r="139" spans="1:12">
      <c r="A139" s="33"/>
      <c r="B139" s="33"/>
      <c r="C139" s="34"/>
      <c r="D139" s="34"/>
      <c r="E139" s="34"/>
      <c r="F139" s="34"/>
      <c r="G139" s="6"/>
      <c r="H139" s="1"/>
    </row>
    <row r="140" spans="1:12">
      <c r="A140" s="33"/>
      <c r="B140" s="33"/>
      <c r="C140" s="34"/>
      <c r="D140" s="34"/>
      <c r="E140" s="34"/>
      <c r="F140" s="34"/>
      <c r="G140" s="6"/>
      <c r="H140" s="1"/>
    </row>
    <row r="141" spans="1:12">
      <c r="A141" s="33"/>
      <c r="B141" s="33"/>
      <c r="C141" s="34"/>
      <c r="D141" s="34"/>
      <c r="E141" s="34"/>
      <c r="F141" s="34"/>
      <c r="G141" s="6"/>
      <c r="H141" s="1"/>
    </row>
    <row r="142" spans="1:12">
      <c r="A142" s="75" t="s">
        <v>170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</row>
    <row r="143" spans="1:12">
      <c r="A143" s="33"/>
      <c r="B143" s="33"/>
      <c r="C143" s="34"/>
      <c r="D143" s="34"/>
      <c r="E143" s="34"/>
      <c r="F143" s="40"/>
      <c r="G143" s="6"/>
      <c r="H143" s="1"/>
    </row>
    <row r="144" spans="1:12">
      <c r="A144" s="33" t="s">
        <v>171</v>
      </c>
      <c r="B144" s="33"/>
      <c r="C144" s="34"/>
      <c r="D144" s="34"/>
      <c r="E144" s="34"/>
      <c r="F144" s="34"/>
      <c r="G144" s="6"/>
      <c r="H144" s="1"/>
    </row>
    <row r="145" spans="1:12">
      <c r="A145" s="39" t="s">
        <v>172</v>
      </c>
      <c r="B145" s="33"/>
      <c r="C145" s="51">
        <f>C130</f>
        <v>0.80297427763686258</v>
      </c>
      <c r="D145" s="51">
        <f t="shared" ref="D145:L146" si="74">D130</f>
        <v>0.85316766667085531</v>
      </c>
      <c r="E145" s="51">
        <f t="shared" si="74"/>
        <v>0.90484326342506538</v>
      </c>
      <c r="F145" s="51">
        <f t="shared" si="74"/>
        <v>0.95797252232684249</v>
      </c>
      <c r="G145" s="51">
        <f t="shared" si="74"/>
        <v>1.0124899170787971</v>
      </c>
      <c r="H145" s="51">
        <f t="shared" si="74"/>
        <v>1.0913035416870152</v>
      </c>
      <c r="I145" s="51">
        <f t="shared" si="74"/>
        <v>1.1785329157688322</v>
      </c>
      <c r="J145" s="51">
        <f t="shared" si="74"/>
        <v>1.2731217497224172</v>
      </c>
      <c r="K145" s="51">
        <f t="shared" si="74"/>
        <v>1.3760066284020891</v>
      </c>
      <c r="L145" s="51">
        <f t="shared" si="74"/>
        <v>1.4882771688383425</v>
      </c>
    </row>
    <row r="146" spans="1:12">
      <c r="A146" s="39" t="s">
        <v>173</v>
      </c>
      <c r="B146" s="33"/>
      <c r="C146" s="51">
        <f>C131</f>
        <v>0.19702572236313751</v>
      </c>
      <c r="D146" s="51">
        <f t="shared" si="74"/>
        <v>0.14683233332914469</v>
      </c>
      <c r="E146" s="51">
        <f t="shared" si="74"/>
        <v>9.5156736574934619E-2</v>
      </c>
      <c r="F146" s="51">
        <f t="shared" si="74"/>
        <v>4.202747767315744E-2</v>
      </c>
      <c r="G146" s="51">
        <f t="shared" si="74"/>
        <v>-1.2489917078797033E-2</v>
      </c>
      <c r="H146" s="51">
        <f t="shared" si="74"/>
        <v>-9.130354168701503E-2</v>
      </c>
      <c r="I146" s="51">
        <f t="shared" si="74"/>
        <v>-0.17853291576883229</v>
      </c>
      <c r="J146" s="51">
        <f t="shared" si="74"/>
        <v>-0.27312174972241721</v>
      </c>
      <c r="K146" s="51">
        <f t="shared" si="74"/>
        <v>-0.3760066284020892</v>
      </c>
      <c r="L146" s="51">
        <f t="shared" si="74"/>
        <v>-0.4882771688383426</v>
      </c>
    </row>
    <row r="147" spans="1:12">
      <c r="A147" s="31" t="s">
        <v>142</v>
      </c>
      <c r="B147" s="33"/>
      <c r="C147" s="53">
        <f>SUM(C145:C146)</f>
        <v>1</v>
      </c>
      <c r="D147" s="53">
        <f>SUM(D145:D146)</f>
        <v>1</v>
      </c>
      <c r="E147" s="53">
        <f>SUM(E145:E146)</f>
        <v>1</v>
      </c>
      <c r="F147" s="53">
        <f>SUM(F145:F146)</f>
        <v>0.99999999999999989</v>
      </c>
      <c r="G147" s="53">
        <f t="shared" ref="G147:L147" si="75">SUM(G145:G146)</f>
        <v>1</v>
      </c>
      <c r="H147" s="53">
        <f t="shared" si="75"/>
        <v>1.0000000000000002</v>
      </c>
      <c r="I147" s="53">
        <f t="shared" si="75"/>
        <v>1</v>
      </c>
      <c r="J147" s="53">
        <f t="shared" si="75"/>
        <v>1</v>
      </c>
      <c r="K147" s="53">
        <f t="shared" si="75"/>
        <v>0.99999999999999989</v>
      </c>
      <c r="L147" s="53">
        <f t="shared" si="75"/>
        <v>0.99999999999999989</v>
      </c>
    </row>
    <row r="148" spans="1:12">
      <c r="A148" s="33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3" t="s">
        <v>174</v>
      </c>
      <c r="B149" s="33"/>
      <c r="C149" s="34">
        <f>C264</f>
        <v>0.5</v>
      </c>
      <c r="D149" s="34">
        <f t="shared" ref="D149:L149" si="76">D264</f>
        <v>0.5</v>
      </c>
      <c r="E149" s="34">
        <f t="shared" si="76"/>
        <v>0.5</v>
      </c>
      <c r="F149" s="34">
        <f t="shared" si="76"/>
        <v>0.5</v>
      </c>
      <c r="G149" s="34">
        <f t="shared" si="76"/>
        <v>0.5</v>
      </c>
      <c r="H149" s="34">
        <f t="shared" si="76"/>
        <v>0.5</v>
      </c>
      <c r="I149" s="34">
        <f t="shared" si="76"/>
        <v>0.5</v>
      </c>
      <c r="J149" s="34">
        <f t="shared" si="76"/>
        <v>0.5</v>
      </c>
      <c r="K149" s="34">
        <f t="shared" si="76"/>
        <v>0.5</v>
      </c>
      <c r="L149" s="34">
        <f t="shared" si="76"/>
        <v>0.5</v>
      </c>
    </row>
    <row r="150" spans="1:12">
      <c r="A150" s="33"/>
      <c r="B150" s="33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3" t="s">
        <v>175</v>
      </c>
      <c r="B151" s="33"/>
      <c r="C151" s="52">
        <f t="shared" ref="C151:L151" si="77">(1+(1-C203)*(C145/C146))*C149</f>
        <v>2.1301917698987607</v>
      </c>
      <c r="D151" s="52">
        <f t="shared" si="77"/>
        <v>2.8241956245655069</v>
      </c>
      <c r="E151" s="52">
        <f t="shared" si="77"/>
        <v>4.3035909847013887</v>
      </c>
      <c r="F151" s="52">
        <f t="shared" si="77"/>
        <v>9.6175828326113475</v>
      </c>
      <c r="G151" s="52">
        <f t="shared" si="77"/>
        <v>-31.925833116141561</v>
      </c>
      <c r="H151" s="52">
        <f t="shared" si="77"/>
        <v>-4.2809910613455111</v>
      </c>
      <c r="I151" s="52">
        <f t="shared" si="77"/>
        <v>-2.140483208810231</v>
      </c>
      <c r="J151" s="52">
        <f t="shared" si="77"/>
        <v>-1.3645483210565743</v>
      </c>
      <c r="K151" s="52">
        <f t="shared" si="77"/>
        <v>-0.96381103359766573</v>
      </c>
      <c r="L151" s="52">
        <f t="shared" si="77"/>
        <v>-0.71920684711029548</v>
      </c>
    </row>
    <row r="152" spans="1:12">
      <c r="A152" s="33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>
      <c r="A153" s="33"/>
      <c r="B153" s="33"/>
      <c r="C153" s="34"/>
      <c r="D153" s="34"/>
      <c r="E153" s="34"/>
      <c r="F153" s="34"/>
      <c r="G153" s="6"/>
      <c r="H153" s="1"/>
    </row>
    <row r="154" spans="1:12">
      <c r="A154" s="33"/>
      <c r="B154" s="33"/>
      <c r="C154" s="34"/>
      <c r="D154" s="34"/>
      <c r="E154" s="34"/>
      <c r="F154" s="34"/>
      <c r="G154" s="6"/>
      <c r="H154" s="1"/>
    </row>
    <row r="155" spans="1:12">
      <c r="A155" s="75" t="s">
        <v>151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</row>
    <row r="156" spans="1:12">
      <c r="A156" s="33"/>
      <c r="B156" s="33"/>
      <c r="C156" s="34"/>
      <c r="D156" s="34"/>
      <c r="E156" s="34"/>
      <c r="F156" s="34"/>
      <c r="G156" s="6"/>
      <c r="H156" s="1"/>
    </row>
    <row r="157" spans="1:12">
      <c r="A157" s="61" t="str">
        <f>"Neutral Market Total FCF (Tee Times = " &amp; $M$230 &amp; ")"</f>
        <v>Neutral Market Total FCF (Tee Times = 300)</v>
      </c>
      <c r="B157" s="33"/>
      <c r="C157" s="34"/>
      <c r="D157" s="34"/>
      <c r="E157" s="34"/>
      <c r="F157" s="34"/>
      <c r="G157" s="6"/>
      <c r="H157" s="1"/>
    </row>
    <row r="158" spans="1:12">
      <c r="A158" s="41" t="s">
        <v>152</v>
      </c>
      <c r="B158" s="42">
        <v>0</v>
      </c>
      <c r="C158" s="43">
        <f>B158+1</f>
        <v>1</v>
      </c>
      <c r="D158" s="43">
        <f t="shared" ref="D158:K158" si="78">C158+1</f>
        <v>2</v>
      </c>
      <c r="E158" s="43">
        <f t="shared" si="78"/>
        <v>3</v>
      </c>
      <c r="F158" s="43">
        <f t="shared" si="78"/>
        <v>4</v>
      </c>
      <c r="G158" s="43">
        <f t="shared" si="78"/>
        <v>5</v>
      </c>
      <c r="H158" s="43">
        <f t="shared" si="78"/>
        <v>6</v>
      </c>
      <c r="I158" s="43">
        <f t="shared" si="78"/>
        <v>7</v>
      </c>
      <c r="J158" s="43">
        <f t="shared" si="78"/>
        <v>8</v>
      </c>
      <c r="K158" s="43">
        <f t="shared" si="78"/>
        <v>9</v>
      </c>
      <c r="L158" s="43">
        <f>K158+1</f>
        <v>10</v>
      </c>
    </row>
    <row r="159" spans="1:12">
      <c r="A159" s="33"/>
      <c r="B159" s="33"/>
      <c r="C159" s="34"/>
      <c r="D159" s="34"/>
      <c r="E159" s="34"/>
      <c r="F159" s="34"/>
      <c r="G159" s="6"/>
      <c r="H159" s="1"/>
    </row>
    <row r="160" spans="1:12">
      <c r="A160" s="33" t="s">
        <v>153</v>
      </c>
      <c r="B160" s="33"/>
      <c r="C160" s="38">
        <f t="shared" ref="C160:G160" si="79">IF((C32-C35-C36)&gt;0,(C32-C35-C36)*C203,0)</f>
        <v>0</v>
      </c>
      <c r="D160" s="38">
        <f t="shared" si="79"/>
        <v>0</v>
      </c>
      <c r="E160" s="38">
        <f t="shared" si="79"/>
        <v>0</v>
      </c>
      <c r="F160" s="38">
        <f t="shared" si="79"/>
        <v>1536.8093394479365</v>
      </c>
      <c r="G160" s="38">
        <f t="shared" si="79"/>
        <v>3095.5199993946826</v>
      </c>
      <c r="H160" s="38"/>
      <c r="I160" s="38"/>
      <c r="J160" s="38"/>
      <c r="K160" s="38"/>
      <c r="L160" s="38"/>
    </row>
    <row r="161" spans="1:12">
      <c r="A161" s="33"/>
      <c r="B161" s="33"/>
      <c r="C161" s="34"/>
      <c r="D161" s="34"/>
      <c r="E161" s="34"/>
      <c r="F161" s="34"/>
      <c r="G161" s="6"/>
      <c r="H161" s="1"/>
    </row>
    <row r="162" spans="1:12">
      <c r="A162" s="33" t="s">
        <v>154</v>
      </c>
      <c r="B162" s="33"/>
      <c r="C162" s="38">
        <f t="shared" ref="C162:G162" si="80">C32-C160</f>
        <v>28995.780857142876</v>
      </c>
      <c r="D162" s="38">
        <f t="shared" si="80"/>
        <v>36711.585055357078</v>
      </c>
      <c r="E162" s="38">
        <f t="shared" si="80"/>
        <v>44433.635601752205</v>
      </c>
      <c r="F162" s="38">
        <f t="shared" si="80"/>
        <v>50645.237357791746</v>
      </c>
      <c r="G162" s="38">
        <f t="shared" si="80"/>
        <v>56880.07999757873</v>
      </c>
      <c r="H162" s="38"/>
      <c r="I162" s="38"/>
      <c r="J162" s="38"/>
      <c r="K162" s="38"/>
      <c r="L162" s="38"/>
    </row>
    <row r="163" spans="1:12">
      <c r="A163" s="33" t="s">
        <v>39</v>
      </c>
      <c r="B163" s="44">
        <f>-C70</f>
        <v>-858000</v>
      </c>
      <c r="C163" s="38"/>
      <c r="D163" s="38"/>
      <c r="E163" s="38"/>
      <c r="G163" s="3">
        <f>G219*M220</f>
        <v>965686.55898000021</v>
      </c>
      <c r="H163" s="1"/>
      <c r="L163" s="38"/>
    </row>
    <row r="164" spans="1:12">
      <c r="A164" s="27" t="s">
        <v>155</v>
      </c>
      <c r="C164" s="38"/>
      <c r="D164" s="38"/>
      <c r="E164" s="38"/>
      <c r="G164" s="38">
        <f>-IF((G163-G70)&gt;0,(G163-G70)*G205,0)</f>
        <v>-21537.311796000042</v>
      </c>
      <c r="H164" s="1"/>
    </row>
    <row r="165" spans="1:12">
      <c r="A165" s="33" t="s">
        <v>40</v>
      </c>
      <c r="B165" s="44">
        <f>-C72</f>
        <v>-576800</v>
      </c>
      <c r="G165" s="3">
        <f>G222*G221</f>
        <v>649193.481608</v>
      </c>
      <c r="H165" s="1"/>
    </row>
    <row r="166" spans="1:12">
      <c r="A166" s="33" t="s">
        <v>176</v>
      </c>
      <c r="B166" s="44"/>
      <c r="H166" s="1"/>
    </row>
    <row r="167" spans="1:12">
      <c r="A167" s="27" t="s">
        <v>155</v>
      </c>
      <c r="G167" s="3">
        <f>-IF((G165-G74)&gt;0,(G165-G74)*G205,0)</f>
        <v>-41876.6963216</v>
      </c>
      <c r="H167" s="1"/>
    </row>
    <row r="168" spans="1:12">
      <c r="A168" s="27" t="s">
        <v>58</v>
      </c>
      <c r="B168" s="3">
        <f>-C76</f>
        <v>-180000</v>
      </c>
      <c r="G168" s="6"/>
      <c r="H168" s="1"/>
      <c r="L168" s="22"/>
    </row>
    <row r="169" spans="1:12">
      <c r="A169" s="27" t="s">
        <v>155</v>
      </c>
      <c r="G169" s="3">
        <f>-IF((G168-G78)&gt;0,(G168-G78)*G205,0)</f>
        <v>0</v>
      </c>
      <c r="H169" s="1"/>
    </row>
    <row r="170" spans="1:12">
      <c r="A170" s="27" t="str">
        <f>"Change in "&amp;A63</f>
        <v>Change in Golf Club Inventory</v>
      </c>
      <c r="C170" s="3">
        <f>-(C63)</f>
        <v>-4591.8367346938776</v>
      </c>
      <c r="D170" s="3">
        <f t="shared" ref="D170:G173" si="81">-(D63-C63)</f>
        <v>-150.38265306122503</v>
      </c>
      <c r="E170" s="3">
        <f t="shared" si="81"/>
        <v>-155.30768494897984</v>
      </c>
      <c r="F170" s="3">
        <f t="shared" si="81"/>
        <v>-160.39401163105777</v>
      </c>
      <c r="G170" s="3">
        <f t="shared" si="81"/>
        <v>-165.64691551197575</v>
      </c>
    </row>
    <row r="171" spans="1:12">
      <c r="A171" s="27" t="str">
        <f>"Change in "&amp;A64</f>
        <v>Change in Apparel Inventory</v>
      </c>
      <c r="C171" s="3">
        <f>-(C64)</f>
        <v>-1700.6802721088438</v>
      </c>
      <c r="D171" s="3">
        <f t="shared" si="81"/>
        <v>-55.697278911564354</v>
      </c>
      <c r="E171" s="3">
        <f t="shared" si="81"/>
        <v>-57.521364795918316</v>
      </c>
      <c r="F171" s="3">
        <f t="shared" si="81"/>
        <v>-59.405189492984846</v>
      </c>
      <c r="G171" s="3">
        <f t="shared" si="81"/>
        <v>-61.350709448880025</v>
      </c>
    </row>
    <row r="172" spans="1:12">
      <c r="A172" s="27" t="str">
        <f>"Change in "&amp;A65</f>
        <v>Change in Accessories Inventory</v>
      </c>
      <c r="C172" s="3">
        <f>-(C65)</f>
        <v>-931.19999999999982</v>
      </c>
      <c r="D172" s="3">
        <f t="shared" si="81"/>
        <v>-11.640000000000214</v>
      </c>
      <c r="E172" s="3">
        <f t="shared" si="81"/>
        <v>-11.785499999999956</v>
      </c>
      <c r="F172" s="3">
        <f t="shared" si="81"/>
        <v>-11.932818750000024</v>
      </c>
      <c r="G172" s="3">
        <f t="shared" si="81"/>
        <v>-12.081978984375041</v>
      </c>
    </row>
    <row r="173" spans="1:12">
      <c r="A173" s="27" t="str">
        <f>"Change in "&amp;A66</f>
        <v>Change in Meal Supplies</v>
      </c>
      <c r="C173" s="3">
        <f>-(C66)</f>
        <v>-979.59183673469397</v>
      </c>
      <c r="D173" s="3">
        <f t="shared" si="81"/>
        <v>-12.244897959183618</v>
      </c>
      <c r="E173" s="3">
        <f t="shared" si="81"/>
        <v>-12.397959183673493</v>
      </c>
      <c r="F173" s="3">
        <f t="shared" si="81"/>
        <v>-12.552933673469397</v>
      </c>
      <c r="G173" s="3">
        <f t="shared" si="81"/>
        <v>-12.709845344387531</v>
      </c>
    </row>
    <row r="174" spans="1:12">
      <c r="A174" s="27" t="str">
        <f>"Change in "&amp;A88</f>
        <v>Change in Accounts Payable</v>
      </c>
      <c r="C174" s="3">
        <f>C88</f>
        <v>7390.0081632653055</v>
      </c>
      <c r="D174" s="3">
        <f t="shared" ref="D174:G174" si="82">D88-C88</f>
        <v>106.83938775510251</v>
      </c>
      <c r="E174" s="3">
        <f t="shared" si="82"/>
        <v>108.64858545918378</v>
      </c>
      <c r="F174" s="3">
        <f t="shared" si="82"/>
        <v>110.49591198501275</v>
      </c>
      <c r="G174" s="3">
        <f t="shared" si="82"/>
        <v>112.38235202146279</v>
      </c>
    </row>
    <row r="175" spans="1:12">
      <c r="A175" s="27" t="str">
        <f>"Change in "&amp;A89</f>
        <v>Change in Income Taxes Payable</v>
      </c>
      <c r="C175" s="3">
        <f>C160</f>
        <v>0</v>
      </c>
      <c r="D175" s="3">
        <f t="shared" ref="D175:G175" si="83">D160-C160</f>
        <v>0</v>
      </c>
      <c r="E175" s="3">
        <f t="shared" si="83"/>
        <v>0</v>
      </c>
      <c r="F175" s="3">
        <f t="shared" si="83"/>
        <v>1536.8093394479365</v>
      </c>
      <c r="G175" s="3">
        <f t="shared" si="83"/>
        <v>1558.7106599467461</v>
      </c>
    </row>
    <row r="176" spans="1:12">
      <c r="A176" s="27" t="str">
        <f>"Liquidation of "&amp;A63</f>
        <v>Liquidation of Golf Club Inventory</v>
      </c>
      <c r="G176" s="60">
        <f t="shared" ref="G176:G181" si="84">G63</f>
        <v>5223.567999847116</v>
      </c>
      <c r="H176" s="1"/>
    </row>
    <row r="177" spans="1:16">
      <c r="A177" s="27" t="str">
        <f>"Liquidation of "&amp;A64</f>
        <v>Liquidation of Apparel Inventory</v>
      </c>
      <c r="G177" s="60">
        <f t="shared" si="84"/>
        <v>1934.6548147581914</v>
      </c>
      <c r="H177" s="1"/>
    </row>
    <row r="178" spans="1:16">
      <c r="A178" s="27" t="str">
        <f>"Liquidation of "&amp;A65</f>
        <v>Liquidation of Accessories Inventory</v>
      </c>
      <c r="G178" s="60">
        <f t="shared" si="84"/>
        <v>978.64029773437505</v>
      </c>
      <c r="H178" s="1"/>
    </row>
    <row r="179" spans="1:16">
      <c r="A179" s="27" t="str">
        <f>"Liquidation of "&amp;A66</f>
        <v>Liquidation of Meal Supplies</v>
      </c>
      <c r="G179" s="60">
        <f t="shared" si="84"/>
        <v>1029.497472895408</v>
      </c>
      <c r="H179" s="1"/>
    </row>
    <row r="180" spans="1:16">
      <c r="A180" s="27" t="str">
        <f>"Liquidation of "&amp;A88</f>
        <v>Liquidation of Accounts Payable</v>
      </c>
      <c r="G180" s="60">
        <f t="shared" si="84"/>
        <v>22726.591798522168</v>
      </c>
      <c r="H180" s="1"/>
    </row>
    <row r="181" spans="1:16">
      <c r="A181" s="27" t="str">
        <f>"Liquidation of "&amp;A89</f>
        <v>Liquidation of Income Taxes Payable</v>
      </c>
      <c r="B181" s="45"/>
      <c r="C181" s="45"/>
      <c r="D181" s="45"/>
      <c r="E181" s="45"/>
      <c r="F181" s="45"/>
      <c r="G181" s="45">
        <f t="shared" si="84"/>
        <v>0</v>
      </c>
      <c r="H181" s="45"/>
      <c r="I181" s="45"/>
      <c r="J181" s="45"/>
      <c r="K181" s="45"/>
      <c r="L181" s="45"/>
    </row>
    <row r="182" spans="1:16">
      <c r="A182" s="28" t="s">
        <v>156</v>
      </c>
      <c r="B182" s="3">
        <f t="shared" ref="B182:F182" si="85">SUM(B162:B181)</f>
        <v>-1614800</v>
      </c>
      <c r="C182" s="3">
        <f t="shared" si="85"/>
        <v>28182.480176870769</v>
      </c>
      <c r="D182" s="3">
        <f t="shared" si="85"/>
        <v>36588.459613180195</v>
      </c>
      <c r="E182" s="3">
        <f t="shared" si="85"/>
        <v>44305.271678282814</v>
      </c>
      <c r="F182" s="19">
        <f t="shared" si="85"/>
        <v>52048.257655677182</v>
      </c>
      <c r="G182" s="19">
        <f>SUM(G162:G181)</f>
        <v>1641658.368414415</v>
      </c>
      <c r="H182" s="19"/>
      <c r="I182" s="19"/>
      <c r="J182" s="19"/>
      <c r="K182" s="19"/>
      <c r="L182" s="19"/>
    </row>
    <row r="183" spans="1:16">
      <c r="A183" s="28" t="s">
        <v>157</v>
      </c>
      <c r="B183" s="45">
        <f t="shared" ref="B183:F183" si="86">-PV($L$138,B158,,B182)</f>
        <v>-1614800</v>
      </c>
      <c r="C183" s="45">
        <f t="shared" si="86"/>
        <v>25857.855793900828</v>
      </c>
      <c r="D183" s="45">
        <f t="shared" si="86"/>
        <v>30801.418940266751</v>
      </c>
      <c r="E183" s="45">
        <f t="shared" si="86"/>
        <v>34221.2052247014</v>
      </c>
      <c r="F183" s="45">
        <f t="shared" si="86"/>
        <v>36885.815661881985</v>
      </c>
      <c r="G183" s="45">
        <f>-PV($L$138,G158,,G182)</f>
        <v>1067454.2715648473</v>
      </c>
      <c r="H183" s="45"/>
      <c r="I183" s="45"/>
      <c r="J183" s="45"/>
      <c r="K183" s="45"/>
      <c r="L183" s="45"/>
    </row>
    <row r="184" spans="1:16">
      <c r="A184" s="27"/>
      <c r="B184" s="27"/>
      <c r="C184" s="1"/>
      <c r="D184" s="1"/>
      <c r="E184" s="1"/>
      <c r="F184" s="1"/>
      <c r="G184" s="6"/>
      <c r="H184" s="1"/>
    </row>
    <row r="185" spans="1:16">
      <c r="A185" s="27" t="s">
        <v>158</v>
      </c>
      <c r="B185" s="27"/>
      <c r="C185" s="1"/>
      <c r="D185" s="1"/>
      <c r="E185" s="1"/>
      <c r="G185" s="6"/>
      <c r="H185" s="1"/>
      <c r="L185" s="3">
        <f>SUM(B183:L183)</f>
        <v>-419579.43281440157</v>
      </c>
    </row>
    <row r="186" spans="1:16">
      <c r="A186" s="27"/>
      <c r="B186" s="27"/>
      <c r="C186" s="1"/>
      <c r="D186" s="1"/>
      <c r="E186" s="1"/>
      <c r="F186" s="1"/>
      <c r="G186" s="6"/>
      <c r="H186" s="1"/>
    </row>
    <row r="187" spans="1:16">
      <c r="A187" s="27" t="s">
        <v>159</v>
      </c>
      <c r="B187" s="27"/>
      <c r="C187" s="1"/>
      <c r="D187" s="1"/>
      <c r="E187" s="1"/>
      <c r="G187" s="6"/>
      <c r="H187" s="1"/>
      <c r="L187" s="46">
        <f>IRR(B182:L182)</f>
        <v>2.3243853803057712E-2</v>
      </c>
    </row>
    <row r="188" spans="1:16">
      <c r="A188" s="27"/>
      <c r="B188" s="27"/>
      <c r="C188" s="1"/>
      <c r="D188" s="1"/>
      <c r="E188" s="1"/>
      <c r="F188" s="47"/>
      <c r="G188" s="6"/>
      <c r="H188" s="1"/>
    </row>
    <row r="189" spans="1:16">
      <c r="A189" s="27"/>
      <c r="B189" s="27"/>
      <c r="C189" s="1"/>
      <c r="D189" s="1"/>
      <c r="E189" s="1"/>
      <c r="F189" s="1"/>
      <c r="G189" s="6"/>
      <c r="H189" s="1"/>
    </row>
    <row r="190" spans="1:16">
      <c r="A190" s="27"/>
      <c r="B190" s="27"/>
      <c r="C190" s="1"/>
      <c r="D190" s="1"/>
      <c r="E190" s="1"/>
      <c r="F190" s="1"/>
      <c r="G190" s="6"/>
      <c r="H190" s="1"/>
    </row>
    <row r="191" spans="1:16">
      <c r="A191" s="72" t="s">
        <v>42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3" spans="1:16">
      <c r="A193" s="16" t="str">
        <f>Master!A240</f>
        <v>http://timbercreekgolf.com/</v>
      </c>
      <c r="B193" s="17" t="s">
        <v>43</v>
      </c>
    </row>
    <row r="194" spans="1:16" ht="63">
      <c r="A194" s="16" t="str">
        <f>Master!A241</f>
        <v>http://www.loopnet.com/xNet/MainSite/Listing/Profile/Profile.aspx?LID=18148605&amp;SRID=3289558223&amp;StepID=101&amp;jli=y</v>
      </c>
      <c r="B194" s="17" t="s">
        <v>44</v>
      </c>
    </row>
    <row r="196" spans="1:16">
      <c r="A196" s="64" t="str">
        <f>Master!A243</f>
        <v>Timber Creek Golf Course</v>
      </c>
      <c r="B196" s="3" t="s">
        <v>45</v>
      </c>
    </row>
    <row r="198" spans="1:16">
      <c r="C198" s="71" t="s">
        <v>38</v>
      </c>
      <c r="D198" s="71"/>
      <c r="E198" s="71"/>
      <c r="F198" s="71"/>
      <c r="G198" s="71"/>
      <c r="H198" s="71"/>
      <c r="I198" s="71"/>
      <c r="J198" s="71"/>
      <c r="K198" s="71"/>
      <c r="L198" s="74"/>
      <c r="M198" s="70" t="s">
        <v>51</v>
      </c>
      <c r="N198" s="71"/>
      <c r="O198" s="71"/>
      <c r="P198" s="71"/>
    </row>
    <row r="199" spans="1:16">
      <c r="C199" s="65">
        <f>Master!C246</f>
        <v>2014</v>
      </c>
      <c r="D199" s="2">
        <f>C199+1</f>
        <v>2015</v>
      </c>
      <c r="E199" s="2">
        <f t="shared" ref="E199:K199" si="87">D199+1</f>
        <v>2016</v>
      </c>
      <c r="F199" s="2">
        <f t="shared" si="87"/>
        <v>2017</v>
      </c>
      <c r="G199" s="2">
        <f t="shared" si="87"/>
        <v>2018</v>
      </c>
      <c r="H199" s="2">
        <f t="shared" si="87"/>
        <v>2019</v>
      </c>
      <c r="I199" s="2">
        <f t="shared" si="87"/>
        <v>2020</v>
      </c>
      <c r="J199" s="2">
        <f t="shared" si="87"/>
        <v>2021</v>
      </c>
      <c r="K199" s="2">
        <f t="shared" si="87"/>
        <v>2022</v>
      </c>
      <c r="L199" s="2">
        <f>K199+1</f>
        <v>2023</v>
      </c>
      <c r="M199" s="21"/>
    </row>
    <row r="200" spans="1:16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3"/>
    </row>
    <row r="201" spans="1:16">
      <c r="A201" s="3" t="s">
        <v>36</v>
      </c>
      <c r="M201" s="7">
        <f>Master!M248</f>
        <v>1.2500000000000001E-2</v>
      </c>
    </row>
    <row r="202" spans="1:16">
      <c r="A202" s="76" t="s">
        <v>68</v>
      </c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6"/>
    </row>
    <row r="203" spans="1:16">
      <c r="A203" s="3" t="s">
        <v>52</v>
      </c>
      <c r="C203" s="7">
        <f>Master!C250</f>
        <v>0.2</v>
      </c>
      <c r="D203" s="6">
        <f>C203*(1+$M203)</f>
        <v>0.2</v>
      </c>
      <c r="E203" s="6">
        <f>D203*(1+$M203)</f>
        <v>0.2</v>
      </c>
      <c r="F203" s="6">
        <f>E203*(1+$M203)</f>
        <v>0.2</v>
      </c>
      <c r="G203" s="6">
        <f>F203*(1+$M203)</f>
        <v>0.2</v>
      </c>
      <c r="H203" s="6">
        <f t="shared" ref="H203:K203" si="88">G203*(1+$M203)</f>
        <v>0.2</v>
      </c>
      <c r="I203" s="6">
        <f t="shared" si="88"/>
        <v>0.2</v>
      </c>
      <c r="J203" s="6">
        <f t="shared" si="88"/>
        <v>0.2</v>
      </c>
      <c r="K203" s="6">
        <f t="shared" si="88"/>
        <v>0.2</v>
      </c>
      <c r="L203" s="6">
        <f>K203*(1+$M203)</f>
        <v>0.2</v>
      </c>
      <c r="M203" s="7">
        <f>Master!M250</f>
        <v>0</v>
      </c>
      <c r="N203" s="3" t="s">
        <v>53</v>
      </c>
    </row>
    <row r="204" spans="1:16">
      <c r="A204" s="76" t="s">
        <v>69</v>
      </c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6"/>
    </row>
    <row r="205" spans="1:16">
      <c r="A205" s="63" t="s">
        <v>177</v>
      </c>
      <c r="B205" s="63"/>
      <c r="C205" s="7">
        <f>Master!C252</f>
        <v>0.2</v>
      </c>
      <c r="D205" s="6">
        <f>C205*(1+$M205)</f>
        <v>0.2</v>
      </c>
      <c r="E205" s="6">
        <f>D205*(1+$M205)</f>
        <v>0.2</v>
      </c>
      <c r="F205" s="6">
        <f>E205*(1+$M205)</f>
        <v>0.2</v>
      </c>
      <c r="G205" s="6">
        <f>F205*(1+$M205)</f>
        <v>0.2</v>
      </c>
      <c r="H205" s="6">
        <f t="shared" ref="H205:K205" si="89">G205*(1+$M205)</f>
        <v>0.2</v>
      </c>
      <c r="I205" s="6">
        <f t="shared" si="89"/>
        <v>0.2</v>
      </c>
      <c r="J205" s="6">
        <f t="shared" si="89"/>
        <v>0.2</v>
      </c>
      <c r="K205" s="6">
        <f t="shared" si="89"/>
        <v>0.2</v>
      </c>
      <c r="L205" s="6">
        <f>K205*(1+$M205)</f>
        <v>0.2</v>
      </c>
      <c r="M205" s="7">
        <f>Master!M252</f>
        <v>0</v>
      </c>
      <c r="N205" s="3" t="s">
        <v>53</v>
      </c>
    </row>
    <row r="206" spans="1:16">
      <c r="A206" s="3" t="s">
        <v>37</v>
      </c>
      <c r="M206" s="7">
        <f>Master!M253</f>
        <v>0.03</v>
      </c>
      <c r="N206" s="1" t="s">
        <v>63</v>
      </c>
      <c r="O206" s="5"/>
      <c r="P206" s="5"/>
    </row>
    <row r="207" spans="1:16">
      <c r="A207" s="3" t="s">
        <v>41</v>
      </c>
      <c r="M207" s="66">
        <f>Master!M254</f>
        <v>20</v>
      </c>
      <c r="N207" s="3" t="s">
        <v>38</v>
      </c>
    </row>
    <row r="208" spans="1:16">
      <c r="A208" s="3" t="s">
        <v>55</v>
      </c>
      <c r="M208" s="7">
        <f>Master!M255</f>
        <v>0.05</v>
      </c>
      <c r="N208" s="3" t="s">
        <v>57</v>
      </c>
    </row>
    <row r="209" spans="1:15">
      <c r="A209" s="3" t="s">
        <v>54</v>
      </c>
      <c r="M209" s="66">
        <f>Master!M256</f>
        <v>10</v>
      </c>
      <c r="N209" s="3" t="s">
        <v>38</v>
      </c>
    </row>
    <row r="210" spans="1:15">
      <c r="A210" s="3" t="s">
        <v>56</v>
      </c>
      <c r="M210" s="7">
        <f>Master!M257</f>
        <v>0.05</v>
      </c>
      <c r="N210" s="3" t="s">
        <v>57</v>
      </c>
    </row>
    <row r="211" spans="1:15" s="55" customFormat="1">
      <c r="A211" s="55" t="s">
        <v>62</v>
      </c>
      <c r="C211" s="7">
        <f>Master!C258</f>
        <v>0.11</v>
      </c>
      <c r="D211" s="57">
        <f>C211*(1+$M211)</f>
        <v>0.11</v>
      </c>
      <c r="E211" s="57">
        <f>D211*(1+$M211)</f>
        <v>0.11</v>
      </c>
      <c r="F211" s="57">
        <f>E211*(1+$M211)</f>
        <v>0.11</v>
      </c>
      <c r="G211" s="57">
        <f>F211*(1+$M211)</f>
        <v>0.11</v>
      </c>
      <c r="H211" s="57">
        <f t="shared" ref="H211:K211" si="90">G211*(1+$M211)</f>
        <v>0.11</v>
      </c>
      <c r="I211" s="57">
        <f t="shared" si="90"/>
        <v>0.11</v>
      </c>
      <c r="J211" s="57">
        <f t="shared" si="90"/>
        <v>0.11</v>
      </c>
      <c r="K211" s="57">
        <f t="shared" si="90"/>
        <v>0.11</v>
      </c>
      <c r="L211" s="57">
        <f>K211*(1+$M211)</f>
        <v>0.11</v>
      </c>
      <c r="M211" s="7">
        <f>Master!M258</f>
        <v>0</v>
      </c>
      <c r="N211" s="58" t="s">
        <v>53</v>
      </c>
    </row>
    <row r="212" spans="1:15">
      <c r="A212" s="76" t="s">
        <v>70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6"/>
    </row>
    <row r="213" spans="1:15">
      <c r="A213" s="76" t="s">
        <v>71</v>
      </c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6"/>
    </row>
    <row r="214" spans="1:15">
      <c r="A214" s="3" t="s">
        <v>59</v>
      </c>
      <c r="M214" s="3">
        <f>M225*(C70+C72)</f>
        <v>1147840</v>
      </c>
    </row>
    <row r="215" spans="1:15">
      <c r="A215" s="3" t="s">
        <v>60</v>
      </c>
      <c r="M215" s="7">
        <f>Master!M262</f>
        <v>0.05</v>
      </c>
    </row>
    <row r="216" spans="1:15">
      <c r="A216" s="76" t="s">
        <v>72</v>
      </c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6"/>
    </row>
    <row r="217" spans="1:15">
      <c r="A217" s="3" t="s">
        <v>61</v>
      </c>
      <c r="M217" s="66">
        <f>Master!M264</f>
        <v>30</v>
      </c>
      <c r="N217" s="3" t="s">
        <v>38</v>
      </c>
    </row>
    <row r="218" spans="1:15">
      <c r="A218" s="3" t="str">
        <f>CONCATENATE("Retained Earnings, Beginning of ",C55)</f>
        <v>Retained Earnings, Beginning of 2014</v>
      </c>
      <c r="M218" s="4">
        <f>Master!M265</f>
        <v>0</v>
      </c>
      <c r="N218" s="18"/>
      <c r="O218" s="2"/>
    </row>
    <row r="219" spans="1:15">
      <c r="A219" s="3" t="s">
        <v>73</v>
      </c>
      <c r="C219" s="4">
        <f>Master!C266</f>
        <v>6000</v>
      </c>
      <c r="D219" s="3">
        <f>C219*(1+$M219)</f>
        <v>6180</v>
      </c>
      <c r="E219" s="3">
        <f>D219*(1+$M219)</f>
        <v>6365.4000000000005</v>
      </c>
      <c r="F219" s="3">
        <f>E219*(1+$M219)</f>
        <v>6556.362000000001</v>
      </c>
      <c r="G219" s="3">
        <f>F219*(1+$M219)</f>
        <v>6753.0528600000016</v>
      </c>
      <c r="H219" s="3">
        <f t="shared" ref="H219:K219" si="91">G219*(1+$M219)</f>
        <v>6955.6444458000014</v>
      </c>
      <c r="I219" s="3">
        <f t="shared" si="91"/>
        <v>7164.3137791740019</v>
      </c>
      <c r="J219" s="3">
        <f t="shared" si="91"/>
        <v>7379.2431925492219</v>
      </c>
      <c r="K219" s="3">
        <f t="shared" si="91"/>
        <v>7600.6204883256987</v>
      </c>
      <c r="L219" s="3">
        <f>K219*(1+$M219)</f>
        <v>7828.6391029754695</v>
      </c>
      <c r="M219" s="7">
        <f>Master!M266</f>
        <v>0.03</v>
      </c>
      <c r="N219" s="3" t="s">
        <v>53</v>
      </c>
    </row>
    <row r="220" spans="1:15">
      <c r="A220" s="3" t="s">
        <v>74</v>
      </c>
      <c r="M220" s="4">
        <f>Master!M267</f>
        <v>143</v>
      </c>
    </row>
    <row r="221" spans="1:15">
      <c r="A221" s="3" t="s">
        <v>75</v>
      </c>
      <c r="C221" s="4">
        <f>Master!C268</f>
        <v>103</v>
      </c>
      <c r="D221" s="22">
        <f>C221*(1+$M221)</f>
        <v>106.09</v>
      </c>
      <c r="E221" s="22">
        <f>D221*(1+$M221)</f>
        <v>109.2727</v>
      </c>
      <c r="F221" s="22">
        <f>E221*(1+$M221)</f>
        <v>112.550881</v>
      </c>
      <c r="G221" s="22">
        <f>F221*(1+$M221)</f>
        <v>115.92740743</v>
      </c>
      <c r="H221" s="22">
        <f t="shared" ref="H221:K223" si="92">G221*(1+$M221)</f>
        <v>119.4052296529</v>
      </c>
      <c r="I221" s="22">
        <f t="shared" si="92"/>
        <v>122.987386542487</v>
      </c>
      <c r="J221" s="22">
        <f t="shared" si="92"/>
        <v>126.67700813876162</v>
      </c>
      <c r="K221" s="22">
        <f t="shared" si="92"/>
        <v>130.47731838292447</v>
      </c>
      <c r="L221" s="22">
        <f>K221*(1+$M221)</f>
        <v>134.39163793441222</v>
      </c>
      <c r="M221" s="7">
        <f>Master!M268</f>
        <v>0.03</v>
      </c>
      <c r="N221" s="3" t="s">
        <v>53</v>
      </c>
    </row>
    <row r="222" spans="1:15">
      <c r="A222" s="3" t="s">
        <v>76</v>
      </c>
      <c r="C222" s="4">
        <f>Master!C269</f>
        <v>5600</v>
      </c>
      <c r="D222" s="4">
        <f>Master!D269</f>
        <v>5600</v>
      </c>
      <c r="E222" s="4">
        <f>Master!E269</f>
        <v>5600</v>
      </c>
      <c r="F222" s="4">
        <f>Master!F269</f>
        <v>5600</v>
      </c>
      <c r="G222" s="4">
        <f>Master!G269</f>
        <v>5600</v>
      </c>
      <c r="H222" s="4">
        <f>Master!H269</f>
        <v>8000</v>
      </c>
      <c r="I222" s="4">
        <f>Master!I269</f>
        <v>8000</v>
      </c>
      <c r="J222" s="4">
        <f>Master!J269</f>
        <v>8000</v>
      </c>
      <c r="K222" s="4">
        <f>Master!K269</f>
        <v>8000</v>
      </c>
      <c r="L222" s="4">
        <f>Master!L269</f>
        <v>8000</v>
      </c>
    </row>
    <row r="223" spans="1:15">
      <c r="A223" s="3" t="s">
        <v>77</v>
      </c>
      <c r="C223" s="4">
        <f>Master!C270</f>
        <v>4000</v>
      </c>
      <c r="D223" s="3">
        <f>C223*(1+$M223)</f>
        <v>3600</v>
      </c>
      <c r="E223" s="3">
        <f>D223*(1+$M223)</f>
        <v>3240</v>
      </c>
      <c r="F223" s="3">
        <f>E223*(1+$M223)</f>
        <v>2916</v>
      </c>
      <c r="G223" s="3">
        <f>F223*(1+$M223)</f>
        <v>2624.4</v>
      </c>
      <c r="H223" s="3">
        <f t="shared" si="92"/>
        <v>2361.96</v>
      </c>
      <c r="I223" s="3">
        <f t="shared" si="92"/>
        <v>2125.7640000000001</v>
      </c>
      <c r="J223" s="3">
        <f t="shared" si="92"/>
        <v>1913.1876000000002</v>
      </c>
      <c r="K223" s="3">
        <f t="shared" si="92"/>
        <v>1721.8688400000003</v>
      </c>
      <c r="L223" s="3">
        <f>K223*(1+$M223)</f>
        <v>1549.6819560000004</v>
      </c>
      <c r="M223" s="7">
        <f>Master!M270</f>
        <v>-0.1</v>
      </c>
      <c r="N223" s="3" t="s">
        <v>53</v>
      </c>
    </row>
    <row r="224" spans="1:15">
      <c r="A224" s="3" t="s">
        <v>78</v>
      </c>
      <c r="M224" s="4">
        <f>Master!M271</f>
        <v>45</v>
      </c>
    </row>
    <row r="225" spans="1:14">
      <c r="A225" s="3" t="s">
        <v>89</v>
      </c>
      <c r="M225" s="7">
        <f>Master!M272</f>
        <v>0.8</v>
      </c>
    </row>
    <row r="226" spans="1:14">
      <c r="A226" s="3" t="s">
        <v>90</v>
      </c>
      <c r="M226" s="4">
        <f>Master!M273</f>
        <v>400000</v>
      </c>
    </row>
    <row r="227" spans="1:14">
      <c r="A227" s="3" t="s">
        <v>85</v>
      </c>
      <c r="C227" s="24">
        <f>Master!C274</f>
        <v>10</v>
      </c>
      <c r="D227" s="22">
        <f>C227*(1+$M$201)</f>
        <v>10.125</v>
      </c>
      <c r="E227" s="22">
        <f>D227*(1+$M$201)</f>
        <v>10.2515625</v>
      </c>
      <c r="F227" s="22">
        <f>E227*(1+$M$201)</f>
        <v>10.37970703125</v>
      </c>
      <c r="G227" s="22">
        <f>F227*(1+$M$201)</f>
        <v>10.509453369140624</v>
      </c>
      <c r="H227" s="22">
        <f t="shared" ref="H227:K227" si="93">G227*(1+$M$201)</f>
        <v>10.640821536254881</v>
      </c>
      <c r="I227" s="22">
        <f t="shared" si="93"/>
        <v>10.773831805458066</v>
      </c>
      <c r="J227" s="22">
        <f t="shared" si="93"/>
        <v>10.908504703026292</v>
      </c>
      <c r="K227" s="22">
        <f t="shared" si="93"/>
        <v>11.04486101181412</v>
      </c>
      <c r="L227" s="22">
        <f>K227*(1+$M$201)</f>
        <v>11.182921774461796</v>
      </c>
    </row>
    <row r="228" spans="1:14">
      <c r="A228" s="3" t="s">
        <v>98</v>
      </c>
      <c r="D228" s="22"/>
      <c r="E228" s="22"/>
      <c r="F228" s="22"/>
      <c r="G228" s="22"/>
      <c r="H228" s="22"/>
      <c r="I228" s="22"/>
      <c r="J228" s="22"/>
      <c r="K228" s="22"/>
      <c r="L228" s="22"/>
      <c r="M228" s="7">
        <f>Master!M275</f>
        <v>0.25</v>
      </c>
    </row>
    <row r="229" spans="1:14">
      <c r="A229" s="3" t="s">
        <v>86</v>
      </c>
      <c r="C229" s="24">
        <f>Master!C276</f>
        <v>20</v>
      </c>
      <c r="D229" s="22">
        <f>C229*(1+$M$201)</f>
        <v>20.25</v>
      </c>
      <c r="E229" s="22">
        <f>D229*(1+$M$201)</f>
        <v>20.503125000000001</v>
      </c>
      <c r="F229" s="22">
        <f>E229*(1+$M$201)</f>
        <v>20.759414062499999</v>
      </c>
      <c r="G229" s="22">
        <f>F229*(1+$M$201)</f>
        <v>21.018906738281249</v>
      </c>
      <c r="H229" s="22">
        <f t="shared" ref="H229:K229" si="94">G229*(1+$M$201)</f>
        <v>21.281643072509763</v>
      </c>
      <c r="I229" s="22">
        <f t="shared" si="94"/>
        <v>21.547663610916132</v>
      </c>
      <c r="J229" s="22">
        <f t="shared" si="94"/>
        <v>21.817009406052584</v>
      </c>
      <c r="K229" s="22">
        <f t="shared" si="94"/>
        <v>22.089722023628241</v>
      </c>
      <c r="L229" s="22">
        <f>K229*(1+$M$201)</f>
        <v>22.365843548923593</v>
      </c>
    </row>
    <row r="230" spans="1:14">
      <c r="A230" s="3" t="s">
        <v>116</v>
      </c>
      <c r="D230" s="22"/>
      <c r="E230" s="22"/>
      <c r="F230" s="22"/>
      <c r="G230" s="22"/>
      <c r="H230" s="22"/>
      <c r="I230" s="22"/>
      <c r="J230" s="22"/>
      <c r="K230" s="22"/>
      <c r="L230" s="22"/>
      <c r="M230" s="24">
        <f>Master!M313</f>
        <v>300</v>
      </c>
    </row>
    <row r="231" spans="1:14">
      <c r="A231" s="3" t="s">
        <v>117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4">
        <f>Master!M278</f>
        <v>2</v>
      </c>
    </row>
    <row r="232" spans="1:14">
      <c r="A232" s="3" t="s">
        <v>118</v>
      </c>
      <c r="D232" s="22"/>
      <c r="E232" s="22"/>
      <c r="F232" s="22"/>
      <c r="G232" s="22"/>
      <c r="H232" s="22"/>
      <c r="I232" s="22"/>
      <c r="J232" s="22"/>
      <c r="K232" s="22"/>
      <c r="L232" s="22"/>
      <c r="M232" s="7">
        <f>Master!M279</f>
        <v>0.65</v>
      </c>
    </row>
    <row r="233" spans="1:14">
      <c r="A233" s="3" t="s">
        <v>120</v>
      </c>
      <c r="C233" s="4">
        <f>Master!C280</f>
        <v>1225</v>
      </c>
      <c r="D233" s="3">
        <f>C233*(1+$M$201)</f>
        <v>1240.3125</v>
      </c>
      <c r="E233" s="3">
        <f>D233*(1+$M$201)</f>
        <v>1255.81640625</v>
      </c>
      <c r="F233" s="3">
        <f>E233*(1+$M$201)</f>
        <v>1271.514111328125</v>
      </c>
      <c r="G233" s="3">
        <f>F233*(1+$M$201)</f>
        <v>1287.4080377197265</v>
      </c>
      <c r="H233" s="3">
        <f t="shared" ref="H233:K233" si="95">G233*(1+$M$201)</f>
        <v>1303.5006381912231</v>
      </c>
      <c r="I233" s="3">
        <f t="shared" si="95"/>
        <v>1319.7943961686133</v>
      </c>
      <c r="J233" s="3">
        <f t="shared" si="95"/>
        <v>1336.2918261207208</v>
      </c>
      <c r="K233" s="3">
        <f t="shared" si="95"/>
        <v>1352.9954739472298</v>
      </c>
      <c r="L233" s="3">
        <f>K233*(1+$M$201)</f>
        <v>1369.9079173715702</v>
      </c>
      <c r="M233" s="7"/>
    </row>
    <row r="234" spans="1:14">
      <c r="A234" s="3" t="s">
        <v>121</v>
      </c>
      <c r="C234" s="4">
        <f>Master!C281</f>
        <v>125</v>
      </c>
      <c r="D234" s="3">
        <f>C234*(1+$M234)</f>
        <v>127.5</v>
      </c>
      <c r="E234" s="3">
        <f>D234*(1+$M234)</f>
        <v>130.05000000000001</v>
      </c>
      <c r="F234" s="3">
        <f>E234*(1+$M234)</f>
        <v>132.65100000000001</v>
      </c>
      <c r="G234" s="3">
        <f>F234*(1+$M234)</f>
        <v>135.30402000000001</v>
      </c>
      <c r="H234" s="3">
        <f t="shared" ref="H234:K234" si="96">G234*(1+$M234)</f>
        <v>138.0101004</v>
      </c>
      <c r="I234" s="3">
        <f t="shared" si="96"/>
        <v>140.77030240799999</v>
      </c>
      <c r="J234" s="3">
        <f t="shared" si="96"/>
        <v>143.58570845616001</v>
      </c>
      <c r="K234" s="3">
        <f t="shared" si="96"/>
        <v>146.45742262528321</v>
      </c>
      <c r="L234" s="3">
        <f>K234*(1+$M234)</f>
        <v>149.38657107778889</v>
      </c>
      <c r="M234" s="7">
        <f>Master!M281</f>
        <v>0.02</v>
      </c>
      <c r="N234" s="3" t="s">
        <v>53</v>
      </c>
    </row>
    <row r="235" spans="1:14">
      <c r="A235" s="3" t="s">
        <v>84</v>
      </c>
      <c r="C235" s="24">
        <f>Master!C282</f>
        <v>10</v>
      </c>
      <c r="D235" s="22">
        <f>C235*(1+$M$201)</f>
        <v>10.125</v>
      </c>
      <c r="E235" s="22">
        <f>D235*(1+$M$201)</f>
        <v>10.2515625</v>
      </c>
      <c r="F235" s="22">
        <f>E235*(1+$M$201)</f>
        <v>10.37970703125</v>
      </c>
      <c r="G235" s="22">
        <f>F235*(1+$M$201)</f>
        <v>10.509453369140624</v>
      </c>
      <c r="H235" s="22">
        <f t="shared" ref="H235:K235" si="97">G235*(1+$M$201)</f>
        <v>10.640821536254881</v>
      </c>
      <c r="I235" s="22">
        <f t="shared" si="97"/>
        <v>10.773831805458066</v>
      </c>
      <c r="J235" s="22">
        <f t="shared" si="97"/>
        <v>10.908504703026292</v>
      </c>
      <c r="K235" s="22">
        <f t="shared" si="97"/>
        <v>11.04486101181412</v>
      </c>
      <c r="L235" s="22">
        <f>K235*(1+$M$201)</f>
        <v>11.182921774461796</v>
      </c>
    </row>
    <row r="236" spans="1:14">
      <c r="A236" s="3" t="s">
        <v>100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7">
        <f>Master!M283</f>
        <v>0.4</v>
      </c>
    </row>
    <row r="237" spans="1:14">
      <c r="A237" s="3" t="s">
        <v>87</v>
      </c>
      <c r="C237" s="24">
        <f>Master!C284</f>
        <v>7</v>
      </c>
      <c r="D237" s="22">
        <f>C237*(1+$M$201)</f>
        <v>7.0874999999999995</v>
      </c>
      <c r="E237" s="22">
        <f>D237*(1+$M$201)</f>
        <v>7.1760937499999988</v>
      </c>
      <c r="F237" s="22">
        <f>E237*(1+$M$201)</f>
        <v>7.2657949218749982</v>
      </c>
      <c r="G237" s="22">
        <f>F237*(1+$M$201)</f>
        <v>7.3566173583984353</v>
      </c>
      <c r="H237" s="22">
        <f t="shared" ref="H237:K237" si="98">G237*(1+$M$201)</f>
        <v>7.4485750753784155</v>
      </c>
      <c r="I237" s="22">
        <f t="shared" si="98"/>
        <v>7.5416822638206451</v>
      </c>
      <c r="J237" s="22">
        <f t="shared" si="98"/>
        <v>7.635953292118403</v>
      </c>
      <c r="K237" s="22">
        <f t="shared" si="98"/>
        <v>7.7314027082698829</v>
      </c>
      <c r="L237" s="22">
        <f>K237*(1+$M$201)</f>
        <v>7.828045242123256</v>
      </c>
    </row>
    <row r="238" spans="1:14">
      <c r="A238" s="3" t="s">
        <v>101</v>
      </c>
      <c r="D238" s="22"/>
      <c r="E238" s="22"/>
      <c r="F238" s="22"/>
      <c r="G238" s="22"/>
      <c r="H238" s="22"/>
      <c r="I238" s="22"/>
      <c r="J238" s="22"/>
      <c r="K238" s="22"/>
      <c r="L238" s="22"/>
      <c r="M238" s="7">
        <f>Master!M285</f>
        <v>0.5</v>
      </c>
    </row>
    <row r="239" spans="1:14">
      <c r="A239" s="3" t="s">
        <v>102</v>
      </c>
      <c r="M239" s="7">
        <f>Master!M286</f>
        <v>0.03</v>
      </c>
    </row>
    <row r="240" spans="1:14">
      <c r="A240" s="3" t="s">
        <v>126</v>
      </c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7">
        <f>Master!M287</f>
        <v>0.1</v>
      </c>
      <c r="N240" s="3" t="s">
        <v>125</v>
      </c>
    </row>
    <row r="241" spans="1:16">
      <c r="A241" s="3" t="s">
        <v>127</v>
      </c>
      <c r="C241" s="4">
        <f>Master!C288</f>
        <v>450</v>
      </c>
      <c r="D241" s="3">
        <f>C241*(1+$M$201)</f>
        <v>455.625</v>
      </c>
      <c r="E241" s="3">
        <f>D241*(1+$M$201)</f>
        <v>461.3203125</v>
      </c>
      <c r="F241" s="3">
        <f>E241*(1+$M$201)</f>
        <v>467.08681640624997</v>
      </c>
      <c r="G241" s="3">
        <f>F241*(1+$M$201)</f>
        <v>472.92540161132808</v>
      </c>
      <c r="H241" s="3">
        <f t="shared" ref="H241:K241" si="99">G241*(1+$M$201)</f>
        <v>478.83696913146969</v>
      </c>
      <c r="I241" s="3">
        <f t="shared" si="99"/>
        <v>484.82243124561302</v>
      </c>
      <c r="J241" s="3">
        <f t="shared" si="99"/>
        <v>490.88271163618316</v>
      </c>
      <c r="K241" s="3">
        <f t="shared" si="99"/>
        <v>497.01874553163543</v>
      </c>
      <c r="L241" s="3">
        <f>K241*(1+$M$201)</f>
        <v>503.23147985078083</v>
      </c>
    </row>
    <row r="242" spans="1:16">
      <c r="A242" s="3" t="s">
        <v>128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7">
        <f>Master!M289</f>
        <v>0.5</v>
      </c>
      <c r="N242" s="3" t="s">
        <v>125</v>
      </c>
    </row>
    <row r="243" spans="1:16">
      <c r="A243" s="3" t="s">
        <v>129</v>
      </c>
      <c r="C243" s="4">
        <f>Master!C290</f>
        <v>50</v>
      </c>
      <c r="D243" s="3">
        <f>C243*(1+$M$201)</f>
        <v>50.625</v>
      </c>
      <c r="E243" s="3">
        <f>D243*(1+$M$201)</f>
        <v>51.2578125</v>
      </c>
      <c r="F243" s="3">
        <f>E243*(1+$M$201)</f>
        <v>51.898535156249999</v>
      </c>
      <c r="G243" s="3">
        <f>F243*(1+$M$201)</f>
        <v>52.54726684570312</v>
      </c>
      <c r="H243" s="3">
        <f t="shared" ref="H243:K243" si="100">G243*(1+$M$201)</f>
        <v>53.204107681274408</v>
      </c>
      <c r="I243" s="3">
        <f t="shared" si="100"/>
        <v>53.869159027290337</v>
      </c>
      <c r="J243" s="3">
        <f t="shared" si="100"/>
        <v>54.542523515131464</v>
      </c>
      <c r="K243" s="3">
        <f t="shared" si="100"/>
        <v>55.224305059070602</v>
      </c>
      <c r="L243" s="3">
        <f>K243*(1+$M$201)</f>
        <v>55.914608872308982</v>
      </c>
    </row>
    <row r="244" spans="1:16">
      <c r="A244" s="3" t="s">
        <v>124</v>
      </c>
      <c r="M244" s="7">
        <f>Master!M291</f>
        <v>0.08</v>
      </c>
      <c r="N244" s="3" t="s">
        <v>104</v>
      </c>
    </row>
    <row r="245" spans="1:16">
      <c r="A245" s="3" t="s">
        <v>99</v>
      </c>
      <c r="C245" s="24">
        <f>Master!C292</f>
        <v>30</v>
      </c>
      <c r="D245" s="24">
        <f>Master!D292</f>
        <v>30</v>
      </c>
      <c r="E245" s="24">
        <f>Master!E292</f>
        <v>30</v>
      </c>
      <c r="F245" s="24">
        <f>Master!F292</f>
        <v>30</v>
      </c>
      <c r="G245" s="24">
        <f>Master!G292</f>
        <v>30</v>
      </c>
      <c r="H245" s="24">
        <f>Master!H292</f>
        <v>30</v>
      </c>
      <c r="I245" s="24">
        <f>Master!I292</f>
        <v>30</v>
      </c>
      <c r="J245" s="24">
        <f>Master!J292</f>
        <v>30</v>
      </c>
      <c r="K245" s="24">
        <f>Master!K292</f>
        <v>30</v>
      </c>
      <c r="L245" s="24">
        <f>Master!L292</f>
        <v>30</v>
      </c>
    </row>
    <row r="246" spans="1:16">
      <c r="A246" s="3" t="s">
        <v>130</v>
      </c>
      <c r="M246" s="7">
        <f>Master!M293</f>
        <v>0.75</v>
      </c>
    </row>
    <row r="247" spans="1:16">
      <c r="A247" s="3" t="s">
        <v>93</v>
      </c>
      <c r="C247" s="4">
        <f>Master!C294</f>
        <v>15000</v>
      </c>
      <c r="D247" s="3">
        <f>C247*(1+$M247)</f>
        <v>13500</v>
      </c>
      <c r="E247" s="3">
        <f>D247*(1+$M247)</f>
        <v>12150</v>
      </c>
      <c r="F247" s="3">
        <f>E247*(1+$M247)</f>
        <v>10935</v>
      </c>
      <c r="G247" s="3">
        <f>F247*(1+$M247)</f>
        <v>9841.5</v>
      </c>
      <c r="H247" s="3">
        <f t="shared" ref="H247:K247" si="101">G247*(1+$M247)</f>
        <v>8857.35</v>
      </c>
      <c r="I247" s="3">
        <f t="shared" si="101"/>
        <v>7971.6150000000007</v>
      </c>
      <c r="J247" s="3">
        <f t="shared" si="101"/>
        <v>7174.4535000000005</v>
      </c>
      <c r="K247" s="3">
        <f t="shared" si="101"/>
        <v>6457.0081500000006</v>
      </c>
      <c r="L247" s="3">
        <f>K247*(1+$M247)</f>
        <v>5811.3073350000004</v>
      </c>
      <c r="M247" s="7">
        <f>Master!M294</f>
        <v>-0.1</v>
      </c>
      <c r="N247" s="3" t="s">
        <v>53</v>
      </c>
    </row>
    <row r="248" spans="1:16">
      <c r="A248" s="3" t="s">
        <v>105</v>
      </c>
      <c r="M248" s="24">
        <f>Master!M295</f>
        <v>14</v>
      </c>
    </row>
    <row r="249" spans="1:16">
      <c r="A249" s="3" t="s">
        <v>106</v>
      </c>
      <c r="C249" s="24">
        <f>Master!C296</f>
        <v>8</v>
      </c>
      <c r="D249" s="22">
        <f t="shared" ref="D249:G250" si="102">C249*(1+$M$201)</f>
        <v>8.1</v>
      </c>
      <c r="E249" s="22">
        <f t="shared" si="102"/>
        <v>8.2012499999999999</v>
      </c>
      <c r="F249" s="22">
        <f t="shared" si="102"/>
        <v>8.3037656249999987</v>
      </c>
      <c r="G249" s="22">
        <f t="shared" si="102"/>
        <v>8.4075626953124978</v>
      </c>
      <c r="H249" s="22">
        <f t="shared" ref="H249:K250" si="103">G249*(1+$M$201)</f>
        <v>8.5126572290039029</v>
      </c>
      <c r="I249" s="22">
        <f t="shared" si="103"/>
        <v>8.6190654443664521</v>
      </c>
      <c r="J249" s="22">
        <f t="shared" si="103"/>
        <v>8.7268037624210315</v>
      </c>
      <c r="K249" s="22">
        <f t="shared" si="103"/>
        <v>8.8358888094512942</v>
      </c>
      <c r="L249" s="22">
        <f>K249*(1+$M$201)</f>
        <v>8.946337419569435</v>
      </c>
    </row>
    <row r="250" spans="1:16">
      <c r="A250" s="3" t="s">
        <v>163</v>
      </c>
      <c r="C250" s="24">
        <f>Master!C297</f>
        <v>500</v>
      </c>
      <c r="D250" s="22">
        <f t="shared" si="102"/>
        <v>506.25</v>
      </c>
      <c r="E250" s="22">
        <f t="shared" si="102"/>
        <v>512.578125</v>
      </c>
      <c r="F250" s="22">
        <f t="shared" si="102"/>
        <v>518.9853515625</v>
      </c>
      <c r="G250" s="22">
        <f t="shared" si="102"/>
        <v>525.4726684570312</v>
      </c>
      <c r="H250" s="22">
        <f t="shared" si="103"/>
        <v>532.04107681274411</v>
      </c>
      <c r="I250" s="22">
        <f t="shared" si="103"/>
        <v>538.69159027290334</v>
      </c>
      <c r="J250" s="22">
        <f t="shared" si="103"/>
        <v>545.42523515131461</v>
      </c>
      <c r="K250" s="22">
        <f t="shared" si="103"/>
        <v>552.24305059070605</v>
      </c>
      <c r="L250" s="22">
        <f>K250*(1+$M$201)</f>
        <v>559.14608872308986</v>
      </c>
    </row>
    <row r="251" spans="1:16">
      <c r="A251" s="3" t="s">
        <v>107</v>
      </c>
      <c r="M251" s="7">
        <f>Master!M298</f>
        <v>0.02</v>
      </c>
      <c r="N251" s="1" t="s">
        <v>108</v>
      </c>
    </row>
    <row r="252" spans="1:16">
      <c r="A252" s="3" t="s">
        <v>164</v>
      </c>
      <c r="M252" s="7">
        <f>Master!M299</f>
        <v>0.02</v>
      </c>
      <c r="N252" s="3" t="s">
        <v>109</v>
      </c>
    </row>
    <row r="253" spans="1:16">
      <c r="A253" s="3" t="s">
        <v>110</v>
      </c>
      <c r="M253" s="7">
        <f>Master!M300</f>
        <v>0.05</v>
      </c>
      <c r="N253" s="3" t="s">
        <v>63</v>
      </c>
    </row>
    <row r="254" spans="1:16">
      <c r="A254" s="3" t="s">
        <v>111</v>
      </c>
      <c r="M254" s="7">
        <f>Master!M301</f>
        <v>0.02</v>
      </c>
      <c r="N254" s="3" t="s">
        <v>165</v>
      </c>
      <c r="O254" s="24">
        <f>Master!O301</f>
        <v>300</v>
      </c>
      <c r="P254" s="3" t="s">
        <v>112</v>
      </c>
    </row>
    <row r="255" spans="1:16">
      <c r="A255" s="3" t="s">
        <v>134</v>
      </c>
      <c r="M255" s="24">
        <f>Master!M302</f>
        <v>300</v>
      </c>
    </row>
    <row r="256" spans="1:16">
      <c r="A256" s="3" t="s">
        <v>135</v>
      </c>
      <c r="M256" s="24">
        <f>Master!M303</f>
        <v>200</v>
      </c>
    </row>
    <row r="257" spans="1:13">
      <c r="A257" s="3" t="s">
        <v>136</v>
      </c>
      <c r="M257" s="24">
        <f>Master!M304</f>
        <v>35</v>
      </c>
    </row>
    <row r="258" spans="1:13">
      <c r="A258" s="3" t="s">
        <v>114</v>
      </c>
      <c r="M258" s="24">
        <f>Master!M305</f>
        <v>5</v>
      </c>
    </row>
    <row r="259" spans="1:13">
      <c r="A259" s="3" t="s">
        <v>115</v>
      </c>
      <c r="M259" s="24">
        <f>Master!M306</f>
        <v>30</v>
      </c>
    </row>
    <row r="260" spans="1:13">
      <c r="A260" s="3" t="s">
        <v>91</v>
      </c>
      <c r="C260" s="4">
        <f>Master!C307</f>
        <v>40000</v>
      </c>
      <c r="D260" s="22">
        <f>C260*(1+$M$201)</f>
        <v>40500</v>
      </c>
      <c r="E260" s="22">
        <f>D260*(1+$M$201)</f>
        <v>41006.25</v>
      </c>
      <c r="F260" s="22">
        <f>E260*(1+$M$201)</f>
        <v>41518.828125</v>
      </c>
      <c r="G260" s="22">
        <f>F260*(1+$M$201)</f>
        <v>42037.8134765625</v>
      </c>
      <c r="H260" s="22">
        <f t="shared" ref="H260:K260" si="104">G260*(1+$M$201)</f>
        <v>42563.286145019527</v>
      </c>
      <c r="I260" s="22">
        <f t="shared" si="104"/>
        <v>43095.327221832267</v>
      </c>
      <c r="J260" s="22">
        <f t="shared" si="104"/>
        <v>43634.018812105169</v>
      </c>
      <c r="K260" s="22">
        <f t="shared" si="104"/>
        <v>44179.444047256482</v>
      </c>
      <c r="L260" s="22">
        <f>K260*(1+$M$201)</f>
        <v>44731.687097847185</v>
      </c>
    </row>
    <row r="261" spans="1:13">
      <c r="A261" s="33" t="s">
        <v>160</v>
      </c>
      <c r="B261" s="33"/>
      <c r="C261" s="7">
        <f>Master!C308</f>
        <v>5.0000000000000001E-4</v>
      </c>
      <c r="D261" s="35">
        <f>C261*(1+$M$261)</f>
        <v>5.0000000000000001E-4</v>
      </c>
      <c r="E261" s="35">
        <f>D261*(1+$M$261)</f>
        <v>5.0000000000000001E-4</v>
      </c>
      <c r="F261" s="35">
        <f>E261*(1+$M$261)</f>
        <v>5.0000000000000001E-4</v>
      </c>
      <c r="G261" s="35">
        <f>F261*(1+$M$261)</f>
        <v>5.0000000000000001E-4</v>
      </c>
      <c r="H261" s="35">
        <f t="shared" ref="H261:K261" si="105">G261*(1+$M$261)</f>
        <v>5.0000000000000001E-4</v>
      </c>
      <c r="I261" s="35">
        <f t="shared" si="105"/>
        <v>5.0000000000000001E-4</v>
      </c>
      <c r="J261" s="35">
        <f t="shared" si="105"/>
        <v>5.0000000000000001E-4</v>
      </c>
      <c r="K261" s="35">
        <f t="shared" si="105"/>
        <v>5.0000000000000001E-4</v>
      </c>
      <c r="L261" s="35">
        <f>K261*(1+$M$261)</f>
        <v>5.0000000000000001E-4</v>
      </c>
      <c r="M261" s="7">
        <f>Master!M308</f>
        <v>0</v>
      </c>
    </row>
    <row r="262" spans="1:13">
      <c r="A262" s="33" t="s">
        <v>161</v>
      </c>
      <c r="B262" s="33"/>
      <c r="C262" s="7">
        <f>Master!C309</f>
        <v>7.0000000000000007E-2</v>
      </c>
      <c r="D262" s="35">
        <f>C262*(1+$M$262)</f>
        <v>7.0000000000000007E-2</v>
      </c>
      <c r="E262" s="35">
        <f>D262*(1+$M$262)</f>
        <v>7.0000000000000007E-2</v>
      </c>
      <c r="F262" s="35">
        <f>E262*(1+$M$262)</f>
        <v>7.0000000000000007E-2</v>
      </c>
      <c r="G262" s="35">
        <f>F262*(1+$M$262)</f>
        <v>7.0000000000000007E-2</v>
      </c>
      <c r="H262" s="35">
        <f t="shared" ref="H262:K262" si="106">G262*(1+$M$262)</f>
        <v>7.0000000000000007E-2</v>
      </c>
      <c r="I262" s="35">
        <f t="shared" si="106"/>
        <v>7.0000000000000007E-2</v>
      </c>
      <c r="J262" s="35">
        <f t="shared" si="106"/>
        <v>7.0000000000000007E-2</v>
      </c>
      <c r="K262" s="35">
        <f t="shared" si="106"/>
        <v>7.0000000000000007E-2</v>
      </c>
      <c r="L262" s="35">
        <f>K262*(1+$M$262)</f>
        <v>7.0000000000000007E-2</v>
      </c>
      <c r="M262" s="7">
        <f>Master!M309</f>
        <v>0</v>
      </c>
    </row>
    <row r="263" spans="1:13">
      <c r="A263" s="69" t="s">
        <v>162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50"/>
    </row>
    <row r="264" spans="1:13">
      <c r="A264" s="33" t="s">
        <v>169</v>
      </c>
      <c r="B264" s="33"/>
      <c r="C264" s="24">
        <f>Master!C311</f>
        <v>0.5</v>
      </c>
      <c r="D264" s="43">
        <f>C264*(1+$M$264)</f>
        <v>0.5</v>
      </c>
      <c r="E264" s="43">
        <f>D264*(1+$M$264)</f>
        <v>0.5</v>
      </c>
      <c r="F264" s="43">
        <f>E264*(1+$M$264)</f>
        <v>0.5</v>
      </c>
      <c r="G264" s="43">
        <f>F264*(1+$M$264)</f>
        <v>0.5</v>
      </c>
      <c r="H264" s="43">
        <f t="shared" ref="H264:K264" si="107">G264*(1+$M$264)</f>
        <v>0.5</v>
      </c>
      <c r="I264" s="43">
        <f t="shared" si="107"/>
        <v>0.5</v>
      </c>
      <c r="J264" s="43">
        <f t="shared" si="107"/>
        <v>0.5</v>
      </c>
      <c r="K264" s="43">
        <f t="shared" si="107"/>
        <v>0.5</v>
      </c>
      <c r="L264" s="43">
        <f>K264*(1+$M$264)</f>
        <v>0.5</v>
      </c>
      <c r="M264" s="7">
        <f>Master!M311</f>
        <v>0</v>
      </c>
    </row>
    <row r="265" spans="1:13">
      <c r="M265" s="38"/>
    </row>
    <row r="274" spans="2:2">
      <c r="B274" s="6"/>
    </row>
  </sheetData>
  <mergeCells count="19">
    <mergeCell ref="A57:L57"/>
    <mergeCell ref="A1:L1"/>
    <mergeCell ref="A2:L2"/>
    <mergeCell ref="A47:L47"/>
    <mergeCell ref="A52:L52"/>
    <mergeCell ref="A53:L53"/>
    <mergeCell ref="A263:L263"/>
    <mergeCell ref="A84:L84"/>
    <mergeCell ref="A108:L108"/>
    <mergeCell ref="A142:L142"/>
    <mergeCell ref="A155:L155"/>
    <mergeCell ref="A191:P191"/>
    <mergeCell ref="C198:L198"/>
    <mergeCell ref="M198:P198"/>
    <mergeCell ref="A202:L202"/>
    <mergeCell ref="A204:L204"/>
    <mergeCell ref="A212:L212"/>
    <mergeCell ref="A213:L213"/>
    <mergeCell ref="A216:L21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calculateDFN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pushThis">
                <anchor moveWithCells="1" sizeWithCells="1">
                  <from>
                    <xdr:col>12</xdr:col>
                    <xdr:colOff>790575</xdr:colOff>
                    <xdr:row>140</xdr:row>
                    <xdr:rowOff>180975</xdr:rowOff>
                  </from>
                  <to>
                    <xdr:col>14</xdr:col>
                    <xdr:colOff>9525</xdr:colOff>
                    <xdr:row>144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Strong</vt:lpstr>
      <vt:lpstr>Weak</vt:lpstr>
      <vt:lpstr>Weak with Option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2013-12-06T21:05:10Z</dcterms:created>
  <dcterms:modified xsi:type="dcterms:W3CDTF">2019-07-26T22:11:54Z</dcterms:modified>
</cp:coreProperties>
</file>