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455" activeTab="4"/>
  </bookViews>
  <sheets>
    <sheet name="Mortgage" sheetId="3" r:id="rId1"/>
    <sheet name="Pro Forma Normal" sheetId="9" r:id="rId2"/>
    <sheet name="Pro Forma Good" sheetId="10" r:id="rId3"/>
    <sheet name="Pro Forma Bad" sheetId="11" r:id="rId4"/>
    <sheet name="Expected Value" sheetId="12" r:id="rId5"/>
  </sheets>
  <calcPr calcId="152511"/>
</workbook>
</file>

<file path=xl/calcChain.xml><?xml version="1.0" encoding="utf-8"?>
<calcChain xmlns="http://schemas.openxmlformats.org/spreadsheetml/2006/main">
  <c r="H173" i="9" l="1"/>
  <c r="C38" i="12" l="1"/>
  <c r="D38" i="12"/>
  <c r="E38" i="12"/>
  <c r="F38" i="12"/>
  <c r="G38" i="12"/>
  <c r="H38" i="12"/>
  <c r="I38" i="12"/>
  <c r="J38" i="12"/>
  <c r="K38" i="12"/>
  <c r="B38" i="12"/>
  <c r="B37" i="12"/>
  <c r="D36" i="12"/>
  <c r="F36" i="12"/>
  <c r="H36" i="12"/>
  <c r="J36" i="12"/>
  <c r="B35" i="12"/>
  <c r="C181" i="11"/>
  <c r="E175" i="11"/>
  <c r="F175" i="11"/>
  <c r="E36" i="12" s="1"/>
  <c r="G175" i="11"/>
  <c r="H175" i="11"/>
  <c r="G36" i="12" s="1"/>
  <c r="I175" i="11"/>
  <c r="J175" i="11"/>
  <c r="I36" i="12" s="1"/>
  <c r="K175" i="11"/>
  <c r="L175" i="11"/>
  <c r="K36" i="12" s="1"/>
  <c r="D188" i="9"/>
  <c r="C26" i="12" s="1"/>
  <c r="E188" i="9"/>
  <c r="D26" i="12" s="1"/>
  <c r="F188" i="9"/>
  <c r="E26" i="12" s="1"/>
  <c r="G188" i="9"/>
  <c r="F26" i="12" s="1"/>
  <c r="H188" i="9"/>
  <c r="G26" i="12" s="1"/>
  <c r="I188" i="9"/>
  <c r="H26" i="12" s="1"/>
  <c r="J188" i="9"/>
  <c r="I26" i="12" s="1"/>
  <c r="K188" i="9"/>
  <c r="J26" i="12" s="1"/>
  <c r="L188" i="9"/>
  <c r="K26" i="12" s="1"/>
  <c r="C188" i="9"/>
  <c r="B26" i="12" s="1"/>
  <c r="C182" i="9"/>
  <c r="B25" i="12" s="1"/>
  <c r="E176" i="9"/>
  <c r="D24" i="12" s="1"/>
  <c r="F176" i="9"/>
  <c r="E24" i="12" s="1"/>
  <c r="G176" i="9"/>
  <c r="F24" i="12" s="1"/>
  <c r="H176" i="9"/>
  <c r="G24" i="12" s="1"/>
  <c r="I176" i="9"/>
  <c r="H24" i="12" s="1"/>
  <c r="J176" i="9"/>
  <c r="I24" i="12" s="1"/>
  <c r="K176" i="9"/>
  <c r="J24" i="12" s="1"/>
  <c r="L176" i="9"/>
  <c r="K24" i="12" s="1"/>
  <c r="B23" i="12"/>
  <c r="B4" i="12"/>
  <c r="D7" i="12"/>
  <c r="H7" i="12"/>
  <c r="E176" i="10"/>
  <c r="F176" i="10"/>
  <c r="E7" i="12" s="1"/>
  <c r="G176" i="10"/>
  <c r="F7" i="12" s="1"/>
  <c r="H176" i="10"/>
  <c r="G7" i="12" s="1"/>
  <c r="I176" i="10"/>
  <c r="J176" i="10"/>
  <c r="I7" i="12" s="1"/>
  <c r="K176" i="10"/>
  <c r="J7" i="12" s="1"/>
  <c r="L176" i="10"/>
  <c r="K7" i="12" s="1"/>
  <c r="F23" i="11" l="1"/>
  <c r="G23" i="11"/>
  <c r="G24" i="11" s="1"/>
  <c r="H23" i="11"/>
  <c r="I23" i="11"/>
  <c r="I24" i="11" s="1"/>
  <c r="J23" i="11"/>
  <c r="K23" i="11"/>
  <c r="K24" i="11" s="1"/>
  <c r="L23" i="11"/>
  <c r="M23" i="11"/>
  <c r="M24" i="11" s="1"/>
  <c r="E23" i="11"/>
  <c r="F27" i="11"/>
  <c r="G27" i="11"/>
  <c r="H27" i="11"/>
  <c r="I27" i="11"/>
  <c r="J27" i="11"/>
  <c r="K27" i="11"/>
  <c r="L27" i="11"/>
  <c r="M27" i="11"/>
  <c r="F28" i="11"/>
  <c r="G28" i="11"/>
  <c r="H28" i="11"/>
  <c r="I28" i="11"/>
  <c r="J28" i="11"/>
  <c r="K28" i="11"/>
  <c r="L28" i="11"/>
  <c r="M28" i="11"/>
  <c r="F29" i="11"/>
  <c r="G29" i="11"/>
  <c r="H29" i="11"/>
  <c r="I29" i="11"/>
  <c r="J29" i="11"/>
  <c r="K29" i="11"/>
  <c r="L29" i="11"/>
  <c r="M29" i="11"/>
  <c r="E29" i="11"/>
  <c r="E28" i="11"/>
  <c r="E27" i="11"/>
  <c r="F23" i="9"/>
  <c r="G23" i="9"/>
  <c r="H23" i="9"/>
  <c r="I23" i="9"/>
  <c r="J23" i="9"/>
  <c r="K23" i="9"/>
  <c r="L23" i="9"/>
  <c r="M23" i="9"/>
  <c r="E23" i="9"/>
  <c r="F23" i="10"/>
  <c r="G23" i="10"/>
  <c r="H23" i="10"/>
  <c r="I23" i="10"/>
  <c r="J23" i="10"/>
  <c r="K23" i="10"/>
  <c r="L23" i="10"/>
  <c r="M23" i="10"/>
  <c r="E23" i="10"/>
  <c r="E24" i="10" s="1"/>
  <c r="F27" i="10"/>
  <c r="G27" i="10"/>
  <c r="H27" i="10"/>
  <c r="I27" i="10"/>
  <c r="J27" i="10"/>
  <c r="K27" i="10"/>
  <c r="L27" i="10"/>
  <c r="M27" i="10"/>
  <c r="F28" i="10"/>
  <c r="G28" i="10"/>
  <c r="H28" i="10"/>
  <c r="I28" i="10"/>
  <c r="J28" i="10"/>
  <c r="K28" i="10"/>
  <c r="L28" i="10"/>
  <c r="M28" i="10"/>
  <c r="F29" i="10"/>
  <c r="G29" i="10"/>
  <c r="H29" i="10"/>
  <c r="I29" i="10"/>
  <c r="J29" i="10"/>
  <c r="K29" i="10"/>
  <c r="L29" i="10"/>
  <c r="M29" i="10"/>
  <c r="E29" i="10"/>
  <c r="E28" i="10"/>
  <c r="E27" i="10"/>
  <c r="F27" i="9"/>
  <c r="G27" i="9"/>
  <c r="H27" i="9"/>
  <c r="I27" i="9"/>
  <c r="J27" i="9"/>
  <c r="K27" i="9"/>
  <c r="L27" i="9"/>
  <c r="M27" i="9"/>
  <c r="F28" i="9"/>
  <c r="G28" i="9"/>
  <c r="H28" i="9"/>
  <c r="I28" i="9"/>
  <c r="J28" i="9"/>
  <c r="K28" i="9"/>
  <c r="L28" i="9"/>
  <c r="M28" i="9"/>
  <c r="F29" i="9"/>
  <c r="G29" i="9"/>
  <c r="H29" i="9"/>
  <c r="I29" i="9"/>
  <c r="J29" i="9"/>
  <c r="K29" i="9"/>
  <c r="L29" i="9"/>
  <c r="M29" i="9"/>
  <c r="E29" i="9"/>
  <c r="E28" i="9"/>
  <c r="E27" i="9"/>
  <c r="D174" i="11"/>
  <c r="M168" i="11"/>
  <c r="M147" i="11"/>
  <c r="L147" i="11"/>
  <c r="L138" i="11" s="1"/>
  <c r="K147" i="11"/>
  <c r="J147" i="11"/>
  <c r="J138" i="11" s="1"/>
  <c r="I147" i="11"/>
  <c r="H147" i="11"/>
  <c r="H138" i="11" s="1"/>
  <c r="G147" i="11"/>
  <c r="F147" i="11"/>
  <c r="F138" i="11" s="1"/>
  <c r="E147" i="11"/>
  <c r="M146" i="11"/>
  <c r="M138" i="11" s="1"/>
  <c r="L146" i="11"/>
  <c r="K146" i="11"/>
  <c r="J146" i="11"/>
  <c r="I146" i="11"/>
  <c r="I138" i="11" s="1"/>
  <c r="H146" i="11"/>
  <c r="G146" i="11"/>
  <c r="F146" i="11"/>
  <c r="E146" i="11"/>
  <c r="E138" i="11" s="1"/>
  <c r="M140" i="11"/>
  <c r="L140" i="11"/>
  <c r="K140" i="11"/>
  <c r="J140" i="11"/>
  <c r="I140" i="11"/>
  <c r="H140" i="11"/>
  <c r="G140" i="11"/>
  <c r="F140" i="11"/>
  <c r="E140" i="11"/>
  <c r="K138" i="11"/>
  <c r="G138" i="11"/>
  <c r="D138" i="11"/>
  <c r="M112" i="11"/>
  <c r="M92" i="11" s="1"/>
  <c r="L112" i="11"/>
  <c r="K112" i="11"/>
  <c r="J112" i="11"/>
  <c r="I112" i="11"/>
  <c r="I92" i="11" s="1"/>
  <c r="H112" i="11"/>
  <c r="G112" i="11"/>
  <c r="F112" i="11"/>
  <c r="E112" i="11"/>
  <c r="E92" i="11" s="1"/>
  <c r="D112" i="11"/>
  <c r="C165" i="11" s="1"/>
  <c r="M111" i="11"/>
  <c r="L111" i="11"/>
  <c r="K111" i="11"/>
  <c r="K93" i="11" s="1"/>
  <c r="J111" i="11"/>
  <c r="J93" i="11" s="1"/>
  <c r="I111" i="11"/>
  <c r="H111" i="11"/>
  <c r="G111" i="11"/>
  <c r="G93" i="11" s="1"/>
  <c r="F111" i="11"/>
  <c r="F93" i="11" s="1"/>
  <c r="E111" i="11"/>
  <c r="D111" i="11"/>
  <c r="M110" i="11"/>
  <c r="L110" i="11"/>
  <c r="K110" i="11"/>
  <c r="J110" i="11"/>
  <c r="I110" i="11"/>
  <c r="H110" i="11"/>
  <c r="G110" i="11"/>
  <c r="F110" i="11"/>
  <c r="E110" i="11"/>
  <c r="D110" i="11"/>
  <c r="C167" i="11" s="1"/>
  <c r="M98" i="11"/>
  <c r="L98" i="11"/>
  <c r="K98" i="11"/>
  <c r="J98" i="11"/>
  <c r="I98" i="11"/>
  <c r="H98" i="11"/>
  <c r="G98" i="11"/>
  <c r="F98" i="11"/>
  <c r="E98" i="11"/>
  <c r="D98" i="11"/>
  <c r="M93" i="11"/>
  <c r="L93" i="11"/>
  <c r="I93" i="11"/>
  <c r="H93" i="11"/>
  <c r="E93" i="11"/>
  <c r="D93" i="11"/>
  <c r="D115" i="11" s="1"/>
  <c r="L92" i="11"/>
  <c r="K92" i="11"/>
  <c r="J92" i="11"/>
  <c r="H92" i="11"/>
  <c r="G92" i="11"/>
  <c r="F92" i="11"/>
  <c r="D92" i="11"/>
  <c r="D114" i="11" s="1"/>
  <c r="D90" i="11"/>
  <c r="M89" i="11"/>
  <c r="L89" i="11"/>
  <c r="K89" i="11"/>
  <c r="J89" i="11"/>
  <c r="I89" i="11"/>
  <c r="H89" i="11"/>
  <c r="G89" i="11"/>
  <c r="F89" i="11"/>
  <c r="E89" i="11"/>
  <c r="D89" i="11"/>
  <c r="D83" i="11"/>
  <c r="D76" i="11"/>
  <c r="D75" i="11"/>
  <c r="D60" i="11"/>
  <c r="L113" i="11" s="1"/>
  <c r="L94" i="11" s="1"/>
  <c r="E52" i="11"/>
  <c r="E90" i="11" s="1"/>
  <c r="M48" i="11"/>
  <c r="L48" i="11"/>
  <c r="K48" i="11"/>
  <c r="J48" i="11"/>
  <c r="I48" i="11"/>
  <c r="H48" i="11"/>
  <c r="G48" i="11"/>
  <c r="F48" i="11"/>
  <c r="E48" i="11"/>
  <c r="M47" i="11"/>
  <c r="L47" i="11"/>
  <c r="K47" i="11"/>
  <c r="J47" i="11"/>
  <c r="I47" i="11"/>
  <c r="H47" i="11"/>
  <c r="G47" i="11"/>
  <c r="F47" i="11"/>
  <c r="E47" i="11"/>
  <c r="M46" i="11"/>
  <c r="L46" i="11"/>
  <c r="K46" i="11"/>
  <c r="J46" i="11"/>
  <c r="I46" i="11"/>
  <c r="H46" i="11"/>
  <c r="G46" i="11"/>
  <c r="F46" i="11"/>
  <c r="E46" i="11"/>
  <c r="L24" i="11"/>
  <c r="J24" i="11"/>
  <c r="H24" i="11"/>
  <c r="F24" i="11"/>
  <c r="E24" i="11"/>
  <c r="D24" i="11"/>
  <c r="D79" i="11" s="1"/>
  <c r="M17" i="11"/>
  <c r="L17" i="11"/>
  <c r="K17" i="11"/>
  <c r="J17" i="11"/>
  <c r="I17" i="11"/>
  <c r="H17" i="11"/>
  <c r="G17" i="11"/>
  <c r="F17" i="11"/>
  <c r="E17" i="11"/>
  <c r="D17" i="11"/>
  <c r="E15" i="11"/>
  <c r="F14" i="11"/>
  <c r="E14" i="11"/>
  <c r="E13" i="11"/>
  <c r="E7" i="11"/>
  <c r="E79" i="11" s="1"/>
  <c r="E6" i="11"/>
  <c r="E76" i="11" s="1"/>
  <c r="F5" i="11"/>
  <c r="F78" i="11" s="1"/>
  <c r="E5" i="11"/>
  <c r="E4" i="11"/>
  <c r="E75" i="11" s="1"/>
  <c r="D175" i="10"/>
  <c r="M168" i="10"/>
  <c r="M147" i="10"/>
  <c r="L147" i="10"/>
  <c r="L138" i="10" s="1"/>
  <c r="K147" i="10"/>
  <c r="J147" i="10"/>
  <c r="J138" i="10" s="1"/>
  <c r="I147" i="10"/>
  <c r="H147" i="10"/>
  <c r="H138" i="10" s="1"/>
  <c r="G147" i="10"/>
  <c r="F147" i="10"/>
  <c r="F138" i="10" s="1"/>
  <c r="E147" i="10"/>
  <c r="M146" i="10"/>
  <c r="M138" i="10" s="1"/>
  <c r="L146" i="10"/>
  <c r="K146" i="10"/>
  <c r="J146" i="10"/>
  <c r="I146" i="10"/>
  <c r="I138" i="10" s="1"/>
  <c r="H146" i="10"/>
  <c r="G146" i="10"/>
  <c r="F146" i="10"/>
  <c r="E146" i="10"/>
  <c r="E138" i="10" s="1"/>
  <c r="M140" i="10"/>
  <c r="L140" i="10"/>
  <c r="K140" i="10"/>
  <c r="J140" i="10"/>
  <c r="I140" i="10"/>
  <c r="H140" i="10"/>
  <c r="G140" i="10"/>
  <c r="F140" i="10"/>
  <c r="E140" i="10"/>
  <c r="K138" i="10"/>
  <c r="G138" i="10"/>
  <c r="D138" i="10"/>
  <c r="M112" i="10"/>
  <c r="M92" i="10" s="1"/>
  <c r="L112" i="10"/>
  <c r="L92" i="10" s="1"/>
  <c r="L95" i="10" s="1"/>
  <c r="L156" i="10" s="1"/>
  <c r="L160" i="10" s="1"/>
  <c r="K112" i="10"/>
  <c r="J112" i="10"/>
  <c r="I112" i="10"/>
  <c r="I92" i="10" s="1"/>
  <c r="H112" i="10"/>
  <c r="H92" i="10" s="1"/>
  <c r="G112" i="10"/>
  <c r="F112" i="10"/>
  <c r="E112" i="10"/>
  <c r="E92" i="10" s="1"/>
  <c r="D112" i="10"/>
  <c r="C165" i="10" s="1"/>
  <c r="M111" i="10"/>
  <c r="L111" i="10"/>
  <c r="K111" i="10"/>
  <c r="K93" i="10" s="1"/>
  <c r="J111" i="10"/>
  <c r="J93" i="10" s="1"/>
  <c r="I111" i="10"/>
  <c r="H111" i="10"/>
  <c r="G111" i="10"/>
  <c r="G93" i="10" s="1"/>
  <c r="F111" i="10"/>
  <c r="F93" i="10" s="1"/>
  <c r="E111" i="10"/>
  <c r="D111" i="10"/>
  <c r="M110" i="10"/>
  <c r="L110" i="10"/>
  <c r="K110" i="10"/>
  <c r="J110" i="10"/>
  <c r="I110" i="10"/>
  <c r="H110" i="10"/>
  <c r="G110" i="10"/>
  <c r="F110" i="10"/>
  <c r="E110" i="10"/>
  <c r="D110" i="10"/>
  <c r="C167" i="10" s="1"/>
  <c r="M98" i="10"/>
  <c r="L98" i="10"/>
  <c r="K98" i="10"/>
  <c r="J98" i="10"/>
  <c r="I98" i="10"/>
  <c r="H98" i="10"/>
  <c r="G98" i="10"/>
  <c r="F98" i="10"/>
  <c r="E98" i="10"/>
  <c r="D98" i="10"/>
  <c r="M93" i="10"/>
  <c r="L93" i="10"/>
  <c r="I93" i="10"/>
  <c r="H93" i="10"/>
  <c r="E93" i="10"/>
  <c r="D93" i="10"/>
  <c r="D115" i="10" s="1"/>
  <c r="K92" i="10"/>
  <c r="J92" i="10"/>
  <c r="G92" i="10"/>
  <c r="F92" i="10"/>
  <c r="D90" i="10"/>
  <c r="M89" i="10"/>
  <c r="L89" i="10"/>
  <c r="K89" i="10"/>
  <c r="J89" i="10"/>
  <c r="I89" i="10"/>
  <c r="H89" i="10"/>
  <c r="G89" i="10"/>
  <c r="F89" i="10"/>
  <c r="E89" i="10"/>
  <c r="D89" i="10"/>
  <c r="D83" i="10"/>
  <c r="D76" i="10"/>
  <c r="D75" i="10"/>
  <c r="D60" i="10"/>
  <c r="L113" i="10" s="1"/>
  <c r="L94" i="10" s="1"/>
  <c r="E52" i="10"/>
  <c r="E90" i="10" s="1"/>
  <c r="M48" i="10"/>
  <c r="L48" i="10"/>
  <c r="K48" i="10"/>
  <c r="J48" i="10"/>
  <c r="I48" i="10"/>
  <c r="H48" i="10"/>
  <c r="G48" i="10"/>
  <c r="F48" i="10"/>
  <c r="E48" i="10"/>
  <c r="M47" i="10"/>
  <c r="L47" i="10"/>
  <c r="K47" i="10"/>
  <c r="J47" i="10"/>
  <c r="I47" i="10"/>
  <c r="H47" i="10"/>
  <c r="G47" i="10"/>
  <c r="F47" i="10"/>
  <c r="E47" i="10"/>
  <c r="M46" i="10"/>
  <c r="L46" i="10"/>
  <c r="K46" i="10"/>
  <c r="J46" i="10"/>
  <c r="I46" i="10"/>
  <c r="H46" i="10"/>
  <c r="G46" i="10"/>
  <c r="F46" i="10"/>
  <c r="E46" i="10"/>
  <c r="M24" i="10"/>
  <c r="L24" i="10"/>
  <c r="K24" i="10"/>
  <c r="J24" i="10"/>
  <c r="I24" i="10"/>
  <c r="H24" i="10"/>
  <c r="G24" i="10"/>
  <c r="F24" i="10"/>
  <c r="D24" i="10"/>
  <c r="D79" i="10" s="1"/>
  <c r="M17" i="10"/>
  <c r="L17" i="10"/>
  <c r="K17" i="10"/>
  <c r="J17" i="10"/>
  <c r="I17" i="10"/>
  <c r="H17" i="10"/>
  <c r="G17" i="10"/>
  <c r="F17" i="10"/>
  <c r="E17" i="10"/>
  <c r="D17" i="10"/>
  <c r="E15" i="10"/>
  <c r="E83" i="10" s="1"/>
  <c r="F14" i="10"/>
  <c r="E14" i="10"/>
  <c r="E13" i="10"/>
  <c r="E7" i="10"/>
  <c r="F7" i="10" s="1"/>
  <c r="F79" i="10" s="1"/>
  <c r="E6" i="10"/>
  <c r="E5" i="10"/>
  <c r="F5" i="10" s="1"/>
  <c r="F78" i="10" s="1"/>
  <c r="E4" i="10"/>
  <c r="E75" i="10" s="1"/>
  <c r="E78" i="10" l="1"/>
  <c r="D92" i="10"/>
  <c r="D114" i="10" s="1"/>
  <c r="E114" i="10" s="1"/>
  <c r="E78" i="11"/>
  <c r="F7" i="11"/>
  <c r="F79" i="11" s="1"/>
  <c r="E83" i="11"/>
  <c r="L95" i="11"/>
  <c r="L156" i="11" s="1"/>
  <c r="L160" i="11" s="1"/>
  <c r="E79" i="10"/>
  <c r="D124" i="10"/>
  <c r="D124" i="11"/>
  <c r="E76" i="10"/>
  <c r="E115" i="10"/>
  <c r="F115" i="10" s="1"/>
  <c r="G115" i="10" s="1"/>
  <c r="H115" i="10" s="1"/>
  <c r="I115" i="10" s="1"/>
  <c r="J115" i="10" s="1"/>
  <c r="K115" i="10" s="1"/>
  <c r="L115" i="10" s="1"/>
  <c r="M115" i="10" s="1"/>
  <c r="E115" i="11"/>
  <c r="F115" i="11" s="1"/>
  <c r="G115" i="11" s="1"/>
  <c r="H115" i="11" s="1"/>
  <c r="I115" i="11" s="1"/>
  <c r="J115" i="11" s="1"/>
  <c r="K115" i="11" s="1"/>
  <c r="L115" i="11" s="1"/>
  <c r="M115" i="11" s="1"/>
  <c r="K19" i="11"/>
  <c r="E114" i="11"/>
  <c r="D172" i="11"/>
  <c r="D175" i="11" s="1"/>
  <c r="C36" i="12" s="1"/>
  <c r="E18" i="11"/>
  <c r="E81" i="11" s="1"/>
  <c r="G18" i="11"/>
  <c r="G19" i="11" s="1"/>
  <c r="I18" i="11"/>
  <c r="I19" i="11" s="1"/>
  <c r="K18" i="11"/>
  <c r="M18" i="11"/>
  <c r="M19" i="11" s="1"/>
  <c r="E124" i="11"/>
  <c r="F4" i="11"/>
  <c r="G5" i="11"/>
  <c r="F6" i="11"/>
  <c r="G7" i="11"/>
  <c r="F13" i="11"/>
  <c r="G14" i="11"/>
  <c r="F15" i="11"/>
  <c r="D18" i="11"/>
  <c r="D81" i="11" s="1"/>
  <c r="F18" i="11"/>
  <c r="F19" i="11" s="1"/>
  <c r="F82" i="11" s="1"/>
  <c r="H18" i="11"/>
  <c r="H19" i="11" s="1"/>
  <c r="J18" i="11"/>
  <c r="J19" i="11" s="1"/>
  <c r="L18" i="11"/>
  <c r="L19" i="11" s="1"/>
  <c r="F52" i="11"/>
  <c r="E113" i="11"/>
  <c r="E94" i="11" s="1"/>
  <c r="E95" i="11" s="1"/>
  <c r="E156" i="11" s="1"/>
  <c r="E160" i="11" s="1"/>
  <c r="G113" i="11"/>
  <c r="G94" i="11" s="1"/>
  <c r="G95" i="11" s="1"/>
  <c r="G156" i="11" s="1"/>
  <c r="G160" i="11" s="1"/>
  <c r="I113" i="11"/>
  <c r="I94" i="11" s="1"/>
  <c r="I95" i="11" s="1"/>
  <c r="I156" i="11" s="1"/>
  <c r="I160" i="11" s="1"/>
  <c r="K113" i="11"/>
  <c r="K94" i="11" s="1"/>
  <c r="K95" i="11" s="1"/>
  <c r="K156" i="11" s="1"/>
  <c r="K160" i="11" s="1"/>
  <c r="M113" i="11"/>
  <c r="D78" i="11"/>
  <c r="D113" i="11"/>
  <c r="F113" i="11"/>
  <c r="F94" i="11" s="1"/>
  <c r="F95" i="11" s="1"/>
  <c r="F156" i="11" s="1"/>
  <c r="F160" i="11" s="1"/>
  <c r="H113" i="11"/>
  <c r="H94" i="11" s="1"/>
  <c r="H95" i="11" s="1"/>
  <c r="H156" i="11" s="1"/>
  <c r="H160" i="11" s="1"/>
  <c r="J113" i="11"/>
  <c r="J94" i="11" s="1"/>
  <c r="J95" i="11" s="1"/>
  <c r="J156" i="11" s="1"/>
  <c r="J160" i="11" s="1"/>
  <c r="D172" i="10"/>
  <c r="D176" i="10" s="1"/>
  <c r="C7" i="12" s="1"/>
  <c r="E18" i="10"/>
  <c r="E81" i="10" s="1"/>
  <c r="G18" i="10"/>
  <c r="G19" i="10" s="1"/>
  <c r="I18" i="10"/>
  <c r="I19" i="10" s="1"/>
  <c r="K18" i="10"/>
  <c r="K19" i="10" s="1"/>
  <c r="M18" i="10"/>
  <c r="M19" i="10" s="1"/>
  <c r="E124" i="10"/>
  <c r="F4" i="10"/>
  <c r="G5" i="10"/>
  <c r="F6" i="10"/>
  <c r="G7" i="10"/>
  <c r="F13" i="10"/>
  <c r="G14" i="10"/>
  <c r="F15" i="10"/>
  <c r="D18" i="10"/>
  <c r="D81" i="10" s="1"/>
  <c r="F18" i="10"/>
  <c r="F19" i="10" s="1"/>
  <c r="F82" i="10" s="1"/>
  <c r="H18" i="10"/>
  <c r="H19" i="10" s="1"/>
  <c r="J18" i="10"/>
  <c r="J19" i="10" s="1"/>
  <c r="L18" i="10"/>
  <c r="L19" i="10" s="1"/>
  <c r="F52" i="10"/>
  <c r="E113" i="10"/>
  <c r="E94" i="10" s="1"/>
  <c r="E95" i="10" s="1"/>
  <c r="E156" i="10" s="1"/>
  <c r="E160" i="10" s="1"/>
  <c r="G113" i="10"/>
  <c r="G94" i="10" s="1"/>
  <c r="G95" i="10" s="1"/>
  <c r="G156" i="10" s="1"/>
  <c r="G160" i="10" s="1"/>
  <c r="I113" i="10"/>
  <c r="I94" i="10" s="1"/>
  <c r="I95" i="10" s="1"/>
  <c r="I156" i="10" s="1"/>
  <c r="I160" i="10" s="1"/>
  <c r="K113" i="10"/>
  <c r="K94" i="10" s="1"/>
  <c r="K95" i="10" s="1"/>
  <c r="K156" i="10" s="1"/>
  <c r="K160" i="10" s="1"/>
  <c r="M113" i="10"/>
  <c r="D78" i="10"/>
  <c r="D113" i="10"/>
  <c r="F113" i="10"/>
  <c r="F94" i="10" s="1"/>
  <c r="F95" i="10" s="1"/>
  <c r="F156" i="10" s="1"/>
  <c r="F160" i="10" s="1"/>
  <c r="H113" i="10"/>
  <c r="H94" i="10" s="1"/>
  <c r="H95" i="10" s="1"/>
  <c r="H156" i="10" s="1"/>
  <c r="H160" i="10" s="1"/>
  <c r="J113" i="10"/>
  <c r="J94" i="10" s="1"/>
  <c r="J95" i="10" s="1"/>
  <c r="J156" i="10" s="1"/>
  <c r="J160" i="10" s="1"/>
  <c r="D175" i="9"/>
  <c r="M168" i="9"/>
  <c r="F146" i="9"/>
  <c r="G146" i="9"/>
  <c r="H146" i="9"/>
  <c r="I146" i="9"/>
  <c r="J146" i="9"/>
  <c r="K146" i="9"/>
  <c r="L146" i="9"/>
  <c r="M146" i="9"/>
  <c r="F147" i="9"/>
  <c r="G147" i="9"/>
  <c r="G138" i="9" s="1"/>
  <c r="H147" i="9"/>
  <c r="I147" i="9"/>
  <c r="I138" i="9" s="1"/>
  <c r="J147" i="9"/>
  <c r="K147" i="9"/>
  <c r="K138" i="9" s="1"/>
  <c r="L147" i="9"/>
  <c r="M147" i="9"/>
  <c r="M138" i="9" s="1"/>
  <c r="E147" i="9"/>
  <c r="E146" i="9"/>
  <c r="F140" i="9"/>
  <c r="G140" i="9"/>
  <c r="H140" i="9"/>
  <c r="I140" i="9"/>
  <c r="J140" i="9"/>
  <c r="K140" i="9"/>
  <c r="L140" i="9"/>
  <c r="M140" i="9"/>
  <c r="E140" i="9"/>
  <c r="F138" i="9"/>
  <c r="H138" i="9"/>
  <c r="J138" i="9"/>
  <c r="L138" i="9"/>
  <c r="D138" i="9"/>
  <c r="D90" i="9"/>
  <c r="E17" i="9"/>
  <c r="F17" i="9"/>
  <c r="G17" i="9"/>
  <c r="H17" i="9"/>
  <c r="I17" i="9"/>
  <c r="J17" i="9"/>
  <c r="K17" i="9"/>
  <c r="L17" i="9"/>
  <c r="M17" i="9"/>
  <c r="D17" i="9"/>
  <c r="F48" i="9"/>
  <c r="G48" i="9"/>
  <c r="H48" i="9"/>
  <c r="I48" i="9"/>
  <c r="J48" i="9"/>
  <c r="K48" i="9"/>
  <c r="L48" i="9"/>
  <c r="M48" i="9"/>
  <c r="E48" i="9"/>
  <c r="F47" i="9"/>
  <c r="G47" i="9"/>
  <c r="H47" i="9"/>
  <c r="I47" i="9"/>
  <c r="J47" i="9"/>
  <c r="K47" i="9"/>
  <c r="L47" i="9"/>
  <c r="M47" i="9"/>
  <c r="E47" i="9"/>
  <c r="F46" i="9"/>
  <c r="G46" i="9"/>
  <c r="H46" i="9"/>
  <c r="I46" i="9"/>
  <c r="J46" i="9"/>
  <c r="K46" i="9"/>
  <c r="L46" i="9"/>
  <c r="M46" i="9"/>
  <c r="E46" i="9"/>
  <c r="G5" i="3"/>
  <c r="E98" i="9"/>
  <c r="F98" i="9"/>
  <c r="G98" i="9"/>
  <c r="H98" i="9"/>
  <c r="I98" i="9"/>
  <c r="J98" i="9"/>
  <c r="K98" i="9"/>
  <c r="L98" i="9"/>
  <c r="M98" i="9"/>
  <c r="D98" i="9"/>
  <c r="E138" i="9" l="1"/>
  <c r="D94" i="11"/>
  <c r="C169" i="11"/>
  <c r="F90" i="11"/>
  <c r="F124" i="11" s="1"/>
  <c r="G52" i="11"/>
  <c r="F83" i="11"/>
  <c r="G15" i="11"/>
  <c r="G79" i="11"/>
  <c r="H7" i="11"/>
  <c r="G78" i="11"/>
  <c r="H5" i="11"/>
  <c r="E19" i="11"/>
  <c r="E82" i="11" s="1"/>
  <c r="E84" i="11" s="1"/>
  <c r="M94" i="11"/>
  <c r="M95" i="11" s="1"/>
  <c r="M156" i="11" s="1"/>
  <c r="M160" i="11" s="1"/>
  <c r="G82" i="11"/>
  <c r="H14" i="11"/>
  <c r="F81" i="11"/>
  <c r="G13" i="11"/>
  <c r="F76" i="11"/>
  <c r="G6" i="11"/>
  <c r="F75" i="11"/>
  <c r="F84" i="11" s="1"/>
  <c r="G4" i="11"/>
  <c r="F114" i="11"/>
  <c r="D19" i="11"/>
  <c r="D82" i="11" s="1"/>
  <c r="D84" i="11" s="1"/>
  <c r="D94" i="10"/>
  <c r="C169" i="10"/>
  <c r="F90" i="10"/>
  <c r="F124" i="10" s="1"/>
  <c r="G52" i="10"/>
  <c r="F83" i="10"/>
  <c r="G15" i="10"/>
  <c r="G79" i="10"/>
  <c r="H7" i="10"/>
  <c r="G78" i="10"/>
  <c r="H5" i="10"/>
  <c r="E19" i="10"/>
  <c r="E82" i="10" s="1"/>
  <c r="E84" i="10" s="1"/>
  <c r="M94" i="10"/>
  <c r="M95" i="10" s="1"/>
  <c r="M156" i="10" s="1"/>
  <c r="M160" i="10" s="1"/>
  <c r="G82" i="10"/>
  <c r="H14" i="10"/>
  <c r="F81" i="10"/>
  <c r="G13" i="10"/>
  <c r="F76" i="10"/>
  <c r="G6" i="10"/>
  <c r="F75" i="10"/>
  <c r="G4" i="10"/>
  <c r="F114" i="10"/>
  <c r="D19" i="10"/>
  <c r="D82" i="10" s="1"/>
  <c r="D84" i="10" s="1"/>
  <c r="M112" i="9"/>
  <c r="L112" i="9"/>
  <c r="L92" i="9" s="1"/>
  <c r="K112" i="9"/>
  <c r="K92" i="9" s="1"/>
  <c r="J112" i="9"/>
  <c r="J92" i="9" s="1"/>
  <c r="I112" i="9"/>
  <c r="I92" i="9" s="1"/>
  <c r="H112" i="9"/>
  <c r="H92" i="9" s="1"/>
  <c r="G112" i="9"/>
  <c r="G92" i="9" s="1"/>
  <c r="F112" i="9"/>
  <c r="F92" i="9" s="1"/>
  <c r="E112" i="9"/>
  <c r="E92" i="9" s="1"/>
  <c r="D112" i="9"/>
  <c r="M111" i="9"/>
  <c r="L111" i="9"/>
  <c r="K111" i="9"/>
  <c r="J111" i="9"/>
  <c r="I111" i="9"/>
  <c r="H111" i="9"/>
  <c r="G111" i="9"/>
  <c r="F111" i="9"/>
  <c r="E111" i="9"/>
  <c r="D111" i="9"/>
  <c r="M110" i="9"/>
  <c r="L110" i="9"/>
  <c r="L93" i="9" s="1"/>
  <c r="K110" i="9"/>
  <c r="K93" i="9" s="1"/>
  <c r="J110" i="9"/>
  <c r="J93" i="9" s="1"/>
  <c r="I110" i="9"/>
  <c r="H110" i="9"/>
  <c r="H93" i="9" s="1"/>
  <c r="G110" i="9"/>
  <c r="G93" i="9" s="1"/>
  <c r="F110" i="9"/>
  <c r="F93" i="9" s="1"/>
  <c r="E110" i="9"/>
  <c r="D110" i="9"/>
  <c r="E52" i="9"/>
  <c r="F52" i="9" s="1"/>
  <c r="G52" i="9" s="1"/>
  <c r="H52" i="9" s="1"/>
  <c r="I52" i="9" s="1"/>
  <c r="J52" i="9" s="1"/>
  <c r="K52" i="9" s="1"/>
  <c r="L52" i="9" s="1"/>
  <c r="M52" i="9" s="1"/>
  <c r="M90" i="9" s="1"/>
  <c r="M89" i="9"/>
  <c r="L89" i="9"/>
  <c r="K89" i="9"/>
  <c r="J89" i="9"/>
  <c r="I89" i="9"/>
  <c r="H89" i="9"/>
  <c r="G89" i="9"/>
  <c r="F89" i="9"/>
  <c r="E89" i="9"/>
  <c r="D89" i="9"/>
  <c r="D124" i="9" s="1"/>
  <c r="D83" i="9"/>
  <c r="E18" i="9"/>
  <c r="E19" i="9" s="1"/>
  <c r="F18" i="9"/>
  <c r="G18" i="9"/>
  <c r="H18" i="9"/>
  <c r="I18" i="9"/>
  <c r="J18" i="9"/>
  <c r="K18" i="9"/>
  <c r="L18" i="9"/>
  <c r="M18" i="9"/>
  <c r="F19" i="9"/>
  <c r="G19" i="9"/>
  <c r="H19" i="9"/>
  <c r="I19" i="9"/>
  <c r="J19" i="9"/>
  <c r="K19" i="9"/>
  <c r="L19" i="9"/>
  <c r="M19" i="9"/>
  <c r="D18" i="9"/>
  <c r="D19" i="9" s="1"/>
  <c r="D82" i="9" s="1"/>
  <c r="D76" i="9"/>
  <c r="D75" i="9"/>
  <c r="C188" i="11" l="1"/>
  <c r="C175" i="11"/>
  <c r="B36" i="12" s="1"/>
  <c r="B39" i="12" s="1"/>
  <c r="E93" i="9"/>
  <c r="I93" i="9"/>
  <c r="M93" i="9"/>
  <c r="C193" i="10"/>
  <c r="C176" i="10"/>
  <c r="B7" i="12" s="1"/>
  <c r="B16" i="12" s="1"/>
  <c r="E109" i="11"/>
  <c r="E88" i="11"/>
  <c r="E122" i="11" s="1"/>
  <c r="E87" i="11"/>
  <c r="E86" i="11"/>
  <c r="D109" i="11"/>
  <c r="D88" i="11"/>
  <c r="D122" i="11" s="1"/>
  <c r="D87" i="11"/>
  <c r="D86" i="11"/>
  <c r="G114" i="11"/>
  <c r="G75" i="11"/>
  <c r="H4" i="11"/>
  <c r="G76" i="11"/>
  <c r="H6" i="11"/>
  <c r="G81" i="11"/>
  <c r="H13" i="11"/>
  <c r="H82" i="11"/>
  <c r="I14" i="11"/>
  <c r="D116" i="11"/>
  <c r="D95" i="11"/>
  <c r="D156" i="11" s="1"/>
  <c r="D160" i="11" s="1"/>
  <c r="F109" i="11"/>
  <c r="F88" i="11"/>
  <c r="F122" i="11" s="1"/>
  <c r="F87" i="11"/>
  <c r="F86" i="11"/>
  <c r="H78" i="11"/>
  <c r="I5" i="11"/>
  <c r="H79" i="11"/>
  <c r="I7" i="11"/>
  <c r="G83" i="11"/>
  <c r="H15" i="11"/>
  <c r="G90" i="11"/>
  <c r="G124" i="11" s="1"/>
  <c r="H52" i="11"/>
  <c r="D109" i="10"/>
  <c r="D88" i="10"/>
  <c r="D122" i="10" s="1"/>
  <c r="D87" i="10"/>
  <c r="D86" i="10"/>
  <c r="E109" i="10"/>
  <c r="E88" i="10"/>
  <c r="E122" i="10" s="1"/>
  <c r="E87" i="10"/>
  <c r="E86" i="10"/>
  <c r="D116" i="10"/>
  <c r="D95" i="10"/>
  <c r="D156" i="10" s="1"/>
  <c r="D160" i="10" s="1"/>
  <c r="G75" i="10"/>
  <c r="H4" i="10"/>
  <c r="G76" i="10"/>
  <c r="H6" i="10"/>
  <c r="G81" i="10"/>
  <c r="H13" i="10"/>
  <c r="H82" i="10"/>
  <c r="I14" i="10"/>
  <c r="G114" i="10"/>
  <c r="H78" i="10"/>
  <c r="I5" i="10"/>
  <c r="H79" i="10"/>
  <c r="I7" i="10"/>
  <c r="G83" i="10"/>
  <c r="H15" i="10"/>
  <c r="G90" i="10"/>
  <c r="G124" i="10" s="1"/>
  <c r="H52" i="10"/>
  <c r="F84" i="10"/>
  <c r="D93" i="9"/>
  <c r="D115" i="9" s="1"/>
  <c r="E115" i="9" s="1"/>
  <c r="F115" i="9" s="1"/>
  <c r="G115" i="9" s="1"/>
  <c r="H115" i="9" s="1"/>
  <c r="I115" i="9" s="1"/>
  <c r="J115" i="9" s="1"/>
  <c r="K115" i="9" s="1"/>
  <c r="L115" i="9" s="1"/>
  <c r="M115" i="9" s="1"/>
  <c r="C167" i="9"/>
  <c r="D92" i="9"/>
  <c r="D114" i="9" s="1"/>
  <c r="C165" i="9"/>
  <c r="M92" i="9"/>
  <c r="M124" i="9"/>
  <c r="E114" i="9"/>
  <c r="F114" i="9" s="1"/>
  <c r="G114" i="9" s="1"/>
  <c r="E90" i="9"/>
  <c r="E124" i="9" s="1"/>
  <c r="G90" i="9"/>
  <c r="G124" i="9" s="1"/>
  <c r="I90" i="9"/>
  <c r="I124" i="9" s="1"/>
  <c r="K90" i="9"/>
  <c r="K124" i="9" s="1"/>
  <c r="F90" i="9"/>
  <c r="F124" i="9" s="1"/>
  <c r="H90" i="9"/>
  <c r="H124" i="9" s="1"/>
  <c r="J90" i="9"/>
  <c r="J124" i="9" s="1"/>
  <c r="L90" i="9"/>
  <c r="L124" i="9" s="1"/>
  <c r="D81" i="9"/>
  <c r="D60" i="9"/>
  <c r="E24" i="9"/>
  <c r="F24" i="9"/>
  <c r="G24" i="9"/>
  <c r="H24" i="9"/>
  <c r="I24" i="9"/>
  <c r="J24" i="9"/>
  <c r="K24" i="9"/>
  <c r="L24" i="9"/>
  <c r="M24" i="9"/>
  <c r="D24" i="9"/>
  <c r="E14" i="9"/>
  <c r="E15" i="9"/>
  <c r="E13" i="9"/>
  <c r="E81" i="9" s="1"/>
  <c r="E5" i="9"/>
  <c r="E6" i="9"/>
  <c r="E7" i="9"/>
  <c r="E4" i="9"/>
  <c r="D155" i="11" l="1"/>
  <c r="D157" i="11" s="1"/>
  <c r="D172" i="9"/>
  <c r="D176" i="9" s="1"/>
  <c r="C24" i="12" s="1"/>
  <c r="D158" i="11"/>
  <c r="D180" i="11" s="1"/>
  <c r="E116" i="11"/>
  <c r="D117" i="11"/>
  <c r="F155" i="11"/>
  <c r="F157" i="11" s="1"/>
  <c r="G84" i="11"/>
  <c r="E155" i="11"/>
  <c r="E157" i="11" s="1"/>
  <c r="H90" i="11"/>
  <c r="H124" i="11" s="1"/>
  <c r="I52" i="11"/>
  <c r="H83" i="11"/>
  <c r="I15" i="11"/>
  <c r="I79" i="11"/>
  <c r="J7" i="11"/>
  <c r="I78" i="11"/>
  <c r="J5" i="11"/>
  <c r="F179" i="11"/>
  <c r="F177" i="11"/>
  <c r="I82" i="11"/>
  <c r="J14" i="11"/>
  <c r="H81" i="11"/>
  <c r="I13" i="11"/>
  <c r="H76" i="11"/>
  <c r="I6" i="11"/>
  <c r="H75" i="11"/>
  <c r="I4" i="11"/>
  <c r="H114" i="11"/>
  <c r="D179" i="11"/>
  <c r="D119" i="11"/>
  <c r="D177" i="11"/>
  <c r="D181" i="11" s="1"/>
  <c r="C37" i="12" s="1"/>
  <c r="E179" i="11"/>
  <c r="E177" i="11"/>
  <c r="H90" i="10"/>
  <c r="H124" i="10" s="1"/>
  <c r="I52" i="10"/>
  <c r="H83" i="10"/>
  <c r="I15" i="10"/>
  <c r="I79" i="10"/>
  <c r="J7" i="10"/>
  <c r="I78" i="10"/>
  <c r="J5" i="10"/>
  <c r="H114" i="10"/>
  <c r="I82" i="10"/>
  <c r="J14" i="10"/>
  <c r="H81" i="10"/>
  <c r="I13" i="10"/>
  <c r="H76" i="10"/>
  <c r="I6" i="10"/>
  <c r="H75" i="10"/>
  <c r="I4" i="10"/>
  <c r="E182" i="10"/>
  <c r="E180" i="10"/>
  <c r="D182" i="10"/>
  <c r="D180" i="10"/>
  <c r="F109" i="10"/>
  <c r="F88" i="10"/>
  <c r="F122" i="10" s="1"/>
  <c r="F87" i="10"/>
  <c r="F86" i="10"/>
  <c r="E116" i="10"/>
  <c r="D117" i="10"/>
  <c r="D119" i="10" s="1"/>
  <c r="G84" i="10"/>
  <c r="E155" i="10"/>
  <c r="E157" i="10" s="1"/>
  <c r="D155" i="10"/>
  <c r="D157" i="10" s="1"/>
  <c r="M113" i="9"/>
  <c r="K113" i="9"/>
  <c r="K94" i="9" s="1"/>
  <c r="K95" i="9" s="1"/>
  <c r="K156" i="9" s="1"/>
  <c r="K160" i="9" s="1"/>
  <c r="I113" i="9"/>
  <c r="I94" i="9" s="1"/>
  <c r="I95" i="9" s="1"/>
  <c r="I156" i="9" s="1"/>
  <c r="I160" i="9" s="1"/>
  <c r="G113" i="9"/>
  <c r="G94" i="9" s="1"/>
  <c r="G95" i="9" s="1"/>
  <c r="G156" i="9" s="1"/>
  <c r="G160" i="9" s="1"/>
  <c r="E113" i="9"/>
  <c r="E94" i="9" s="1"/>
  <c r="E95" i="9" s="1"/>
  <c r="E156" i="9" s="1"/>
  <c r="E160" i="9" s="1"/>
  <c r="L113" i="9"/>
  <c r="L94" i="9" s="1"/>
  <c r="L95" i="9" s="1"/>
  <c r="L156" i="9" s="1"/>
  <c r="L160" i="9" s="1"/>
  <c r="J113" i="9"/>
  <c r="J94" i="9" s="1"/>
  <c r="J95" i="9" s="1"/>
  <c r="J156" i="9" s="1"/>
  <c r="J160" i="9" s="1"/>
  <c r="H113" i="9"/>
  <c r="H94" i="9" s="1"/>
  <c r="H95" i="9" s="1"/>
  <c r="H156" i="9" s="1"/>
  <c r="H160" i="9" s="1"/>
  <c r="F113" i="9"/>
  <c r="F94" i="9" s="1"/>
  <c r="F95" i="9" s="1"/>
  <c r="F156" i="9" s="1"/>
  <c r="F160" i="9" s="1"/>
  <c r="D113" i="9"/>
  <c r="C169" i="9" s="1"/>
  <c r="C189" i="9" s="1"/>
  <c r="H114" i="9"/>
  <c r="F4" i="9"/>
  <c r="E75" i="9"/>
  <c r="F6" i="9"/>
  <c r="E76" i="9"/>
  <c r="D78" i="9"/>
  <c r="D79" i="9"/>
  <c r="F7" i="9"/>
  <c r="E79" i="9"/>
  <c r="F5" i="9"/>
  <c r="E78" i="9"/>
  <c r="F14" i="9"/>
  <c r="E82" i="9"/>
  <c r="F13" i="9"/>
  <c r="F15" i="9"/>
  <c r="E83" i="9"/>
  <c r="H84" i="11" l="1"/>
  <c r="C176" i="9"/>
  <c r="B24" i="12" s="1"/>
  <c r="B27" i="12" s="1"/>
  <c r="H84" i="10"/>
  <c r="H88" i="10" s="1"/>
  <c r="H122" i="10" s="1"/>
  <c r="I114" i="11"/>
  <c r="H109" i="11"/>
  <c r="H88" i="11"/>
  <c r="H122" i="11" s="1"/>
  <c r="H87" i="11"/>
  <c r="H86" i="11"/>
  <c r="F158" i="11"/>
  <c r="F159" i="11" s="1"/>
  <c r="F161" i="11" s="1"/>
  <c r="F116" i="11"/>
  <c r="E117" i="11"/>
  <c r="E119" i="11" s="1"/>
  <c r="D159" i="11"/>
  <c r="D161" i="11" s="1"/>
  <c r="I75" i="11"/>
  <c r="J4" i="11"/>
  <c r="I76" i="11"/>
  <c r="J6" i="11"/>
  <c r="I81" i="11"/>
  <c r="J13" i="11"/>
  <c r="J82" i="11"/>
  <c r="K14" i="11"/>
  <c r="J78" i="11"/>
  <c r="K5" i="11"/>
  <c r="J79" i="11"/>
  <c r="K7" i="11"/>
  <c r="I83" i="11"/>
  <c r="J15" i="11"/>
  <c r="I90" i="11"/>
  <c r="I124" i="11" s="1"/>
  <c r="J52" i="11"/>
  <c r="E158" i="11"/>
  <c r="E180" i="11" s="1"/>
  <c r="E181" i="11" s="1"/>
  <c r="D37" i="12" s="1"/>
  <c r="G109" i="11"/>
  <c r="G88" i="11"/>
  <c r="G122" i="11" s="1"/>
  <c r="G87" i="11"/>
  <c r="G86" i="11"/>
  <c r="G109" i="10"/>
  <c r="G88" i="10"/>
  <c r="G122" i="10" s="1"/>
  <c r="G87" i="10"/>
  <c r="G155" i="10" s="1"/>
  <c r="G157" i="10" s="1"/>
  <c r="G86" i="10"/>
  <c r="D158" i="10"/>
  <c r="D183" i="10" s="1"/>
  <c r="D184" i="10" s="1"/>
  <c r="C10" i="12" s="1"/>
  <c r="E158" i="10"/>
  <c r="F116" i="10"/>
  <c r="E117" i="10"/>
  <c r="E119" i="10" s="1"/>
  <c r="H109" i="10"/>
  <c r="I114" i="10"/>
  <c r="F155" i="10"/>
  <c r="F157" i="10" s="1"/>
  <c r="F182" i="10"/>
  <c r="F180" i="10"/>
  <c r="I75" i="10"/>
  <c r="J4" i="10"/>
  <c r="I76" i="10"/>
  <c r="J6" i="10"/>
  <c r="I81" i="10"/>
  <c r="J13" i="10"/>
  <c r="J82" i="10"/>
  <c r="K14" i="10"/>
  <c r="J78" i="10"/>
  <c r="K5" i="10"/>
  <c r="J79" i="10"/>
  <c r="K7" i="10"/>
  <c r="I83" i="10"/>
  <c r="J15" i="10"/>
  <c r="I90" i="10"/>
  <c r="I124" i="10" s="1"/>
  <c r="J52" i="10"/>
  <c r="M94" i="9"/>
  <c r="M95" i="9" s="1"/>
  <c r="M156" i="9" s="1"/>
  <c r="M160" i="9" s="1"/>
  <c r="D94" i="9"/>
  <c r="D116" i="9" s="1"/>
  <c r="G4" i="3"/>
  <c r="I114" i="9"/>
  <c r="E84" i="9"/>
  <c r="D84" i="9"/>
  <c r="G15" i="9"/>
  <c r="F83" i="9"/>
  <c r="G13" i="9"/>
  <c r="F81" i="9"/>
  <c r="G14" i="9"/>
  <c r="F82" i="9"/>
  <c r="G5" i="9"/>
  <c r="F78" i="9"/>
  <c r="G7" i="9"/>
  <c r="F79" i="9"/>
  <c r="G6" i="9"/>
  <c r="F76" i="9"/>
  <c r="G4" i="9"/>
  <c r="F75" i="9"/>
  <c r="F84" i="9" s="1"/>
  <c r="C35" i="12" l="1"/>
  <c r="C39" i="12" s="1"/>
  <c r="D188" i="11"/>
  <c r="D95" i="9"/>
  <c r="D156" i="9" s="1"/>
  <c r="D160" i="9" s="1"/>
  <c r="E35" i="12"/>
  <c r="G155" i="11"/>
  <c r="G157" i="11" s="1"/>
  <c r="G158" i="11" s="1"/>
  <c r="G180" i="11" s="1"/>
  <c r="H155" i="11"/>
  <c r="H157" i="11" s="1"/>
  <c r="H158" i="11" s="1"/>
  <c r="H159" i="11" s="1"/>
  <c r="H161" i="11" s="1"/>
  <c r="H87" i="10"/>
  <c r="H155" i="10" s="1"/>
  <c r="H157" i="10" s="1"/>
  <c r="H158" i="10" s="1"/>
  <c r="H86" i="10"/>
  <c r="E183" i="10"/>
  <c r="E184" i="10" s="1"/>
  <c r="D10" i="12" s="1"/>
  <c r="E159" i="11"/>
  <c r="E161" i="11" s="1"/>
  <c r="E159" i="10"/>
  <c r="E161" i="10" s="1"/>
  <c r="D159" i="10"/>
  <c r="D161" i="10" s="1"/>
  <c r="G179" i="11"/>
  <c r="G177" i="11"/>
  <c r="J90" i="11"/>
  <c r="J124" i="11" s="1"/>
  <c r="K52" i="11"/>
  <c r="J83" i="11"/>
  <c r="K15" i="11"/>
  <c r="K79" i="11"/>
  <c r="L7" i="11"/>
  <c r="K78" i="11"/>
  <c r="L5" i="11"/>
  <c r="K82" i="11"/>
  <c r="L14" i="11"/>
  <c r="J81" i="11"/>
  <c r="K13" i="11"/>
  <c r="J76" i="11"/>
  <c r="K6" i="11"/>
  <c r="J75" i="11"/>
  <c r="K4" i="11"/>
  <c r="H179" i="11"/>
  <c r="H177" i="11"/>
  <c r="J114" i="11"/>
  <c r="I84" i="11"/>
  <c r="F180" i="11"/>
  <c r="F181" i="11" s="1"/>
  <c r="E37" i="12" s="1"/>
  <c r="G116" i="11"/>
  <c r="F117" i="11"/>
  <c r="F119" i="11" s="1"/>
  <c r="G158" i="10"/>
  <c r="G159" i="10" s="1"/>
  <c r="G161" i="10" s="1"/>
  <c r="F158" i="10"/>
  <c r="F183" i="10" s="1"/>
  <c r="F184" i="10" s="1"/>
  <c r="E10" i="12" s="1"/>
  <c r="J90" i="10"/>
  <c r="J124" i="10" s="1"/>
  <c r="K52" i="10"/>
  <c r="J83" i="10"/>
  <c r="K15" i="10"/>
  <c r="K79" i="10"/>
  <c r="L7" i="10"/>
  <c r="K78" i="10"/>
  <c r="L5" i="10"/>
  <c r="K82" i="10"/>
  <c r="L14" i="10"/>
  <c r="J81" i="10"/>
  <c r="K13" i="10"/>
  <c r="J76" i="10"/>
  <c r="K6" i="10"/>
  <c r="J75" i="10"/>
  <c r="J84" i="10" s="1"/>
  <c r="K4" i="10"/>
  <c r="J114" i="10"/>
  <c r="H182" i="10"/>
  <c r="H180" i="10"/>
  <c r="G182" i="10"/>
  <c r="G180" i="10"/>
  <c r="I84" i="10"/>
  <c r="G116" i="10"/>
  <c r="F117" i="10"/>
  <c r="F119" i="10" s="1"/>
  <c r="F109" i="9"/>
  <c r="D109" i="9"/>
  <c r="E109" i="9"/>
  <c r="F178" i="9" s="1"/>
  <c r="G6" i="3"/>
  <c r="H6" i="3"/>
  <c r="C1" i="3" s="1"/>
  <c r="E6" i="3" s="1"/>
  <c r="E116" i="9"/>
  <c r="D117" i="9"/>
  <c r="J114" i="9"/>
  <c r="D86" i="9"/>
  <c r="D88" i="9"/>
  <c r="D122" i="9" s="1"/>
  <c r="D87" i="9"/>
  <c r="E86" i="9"/>
  <c r="E88" i="9"/>
  <c r="E122" i="9" s="1"/>
  <c r="E87" i="9"/>
  <c r="F86" i="9"/>
  <c r="F88" i="9"/>
  <c r="F122" i="9" s="1"/>
  <c r="F87" i="9"/>
  <c r="H4" i="9"/>
  <c r="G75" i="9"/>
  <c r="H6" i="9"/>
  <c r="G76" i="9"/>
  <c r="H7" i="9"/>
  <c r="G79" i="9"/>
  <c r="H5" i="9"/>
  <c r="G78" i="9"/>
  <c r="H14" i="9"/>
  <c r="G82" i="9"/>
  <c r="H13" i="9"/>
  <c r="G81" i="9"/>
  <c r="H15" i="9"/>
  <c r="G83" i="9"/>
  <c r="H92" i="3"/>
  <c r="H91" i="3"/>
  <c r="H90" i="3"/>
  <c r="H89" i="3"/>
  <c r="H88" i="3"/>
  <c r="I18" i="3"/>
  <c r="C3" i="3"/>
  <c r="E188" i="11" l="1"/>
  <c r="D35" i="12"/>
  <c r="D39" i="12" s="1"/>
  <c r="G35" i="12"/>
  <c r="F4" i="12"/>
  <c r="G181" i="11"/>
  <c r="F37" i="12" s="1"/>
  <c r="E39" i="12"/>
  <c r="D193" i="10"/>
  <c r="C4" i="12"/>
  <c r="C16" i="12" s="1"/>
  <c r="J84" i="11"/>
  <c r="J109" i="11" s="1"/>
  <c r="D4" i="12"/>
  <c r="D16" i="12" s="1"/>
  <c r="E193" i="10"/>
  <c r="F188" i="11"/>
  <c r="M129" i="11"/>
  <c r="K129" i="11"/>
  <c r="I129" i="11"/>
  <c r="G129" i="11"/>
  <c r="E129" i="11"/>
  <c r="M129" i="10"/>
  <c r="K129" i="10"/>
  <c r="I129" i="10"/>
  <c r="G129" i="10"/>
  <c r="E129" i="10"/>
  <c r="L129" i="11"/>
  <c r="J129" i="11"/>
  <c r="H129" i="11"/>
  <c r="F129" i="11"/>
  <c r="D129" i="11"/>
  <c r="L129" i="10"/>
  <c r="J129" i="10"/>
  <c r="H129" i="10"/>
  <c r="F129" i="10"/>
  <c r="D129" i="10"/>
  <c r="H183" i="10"/>
  <c r="H184" i="10" s="1"/>
  <c r="G10" i="12" s="1"/>
  <c r="F155" i="9"/>
  <c r="F157" i="9" s="1"/>
  <c r="F180" i="9"/>
  <c r="H116" i="11"/>
  <c r="G117" i="11"/>
  <c r="G119" i="11" s="1"/>
  <c r="I109" i="11"/>
  <c r="I88" i="11"/>
  <c r="I122" i="11" s="1"/>
  <c r="I87" i="11"/>
  <c r="I86" i="11"/>
  <c r="K114" i="11"/>
  <c r="J87" i="11"/>
  <c r="G159" i="11"/>
  <c r="G161" i="11" s="1"/>
  <c r="K75" i="11"/>
  <c r="L4" i="11"/>
  <c r="K76" i="11"/>
  <c r="L6" i="11"/>
  <c r="K81" i="11"/>
  <c r="L13" i="11"/>
  <c r="L82" i="11"/>
  <c r="M14" i="11"/>
  <c r="M82" i="11" s="1"/>
  <c r="L78" i="11"/>
  <c r="M5" i="11"/>
  <c r="M78" i="11" s="1"/>
  <c r="L79" i="11"/>
  <c r="M7" i="11"/>
  <c r="M79" i="11" s="1"/>
  <c r="K83" i="11"/>
  <c r="L15" i="11"/>
  <c r="K90" i="11"/>
  <c r="K124" i="11" s="1"/>
  <c r="L52" i="11"/>
  <c r="H180" i="11"/>
  <c r="H181" i="11" s="1"/>
  <c r="G37" i="12" s="1"/>
  <c r="I109" i="10"/>
  <c r="I88" i="10"/>
  <c r="I122" i="10" s="1"/>
  <c r="I87" i="10"/>
  <c r="I86" i="10"/>
  <c r="K114" i="10"/>
  <c r="J109" i="10"/>
  <c r="J88" i="10"/>
  <c r="J122" i="10" s="1"/>
  <c r="J87" i="10"/>
  <c r="J86" i="10"/>
  <c r="F159" i="10"/>
  <c r="F161" i="10" s="1"/>
  <c r="H159" i="10"/>
  <c r="H161" i="10" s="1"/>
  <c r="H116" i="10"/>
  <c r="G117" i="10"/>
  <c r="G119" i="10" s="1"/>
  <c r="K75" i="10"/>
  <c r="L4" i="10"/>
  <c r="K76" i="10"/>
  <c r="L6" i="10"/>
  <c r="K81" i="10"/>
  <c r="L13" i="10"/>
  <c r="L82" i="10"/>
  <c r="M14" i="10"/>
  <c r="M82" i="10" s="1"/>
  <c r="L78" i="10"/>
  <c r="M5" i="10"/>
  <c r="M78" i="10" s="1"/>
  <c r="L79" i="10"/>
  <c r="M7" i="10"/>
  <c r="M79" i="10" s="1"/>
  <c r="K83" i="10"/>
  <c r="L15" i="10"/>
  <c r="K90" i="10"/>
  <c r="K124" i="10" s="1"/>
  <c r="L52" i="10"/>
  <c r="G183" i="10"/>
  <c r="G184" i="10" s="1"/>
  <c r="F10" i="12" s="1"/>
  <c r="D155" i="9"/>
  <c r="D157" i="9" s="1"/>
  <c r="D158" i="9" s="1"/>
  <c r="D119" i="9"/>
  <c r="E180" i="9"/>
  <c r="D180" i="9"/>
  <c r="E178" i="9"/>
  <c r="D178" i="9"/>
  <c r="F158" i="9"/>
  <c r="F159" i="9" s="1"/>
  <c r="F161" i="9" s="1"/>
  <c r="E155" i="9"/>
  <c r="E157" i="9" s="1"/>
  <c r="M129" i="9"/>
  <c r="I129" i="9"/>
  <c r="E129" i="9"/>
  <c r="J129" i="9"/>
  <c r="F129" i="9"/>
  <c r="K129" i="9"/>
  <c r="G129" i="9"/>
  <c r="L129" i="9"/>
  <c r="H129" i="9"/>
  <c r="D129" i="9"/>
  <c r="F116" i="9"/>
  <c r="E117" i="9"/>
  <c r="E119" i="9" s="1"/>
  <c r="K114" i="9"/>
  <c r="G84" i="9"/>
  <c r="I15" i="9"/>
  <c r="H83" i="9"/>
  <c r="I13" i="9"/>
  <c r="H81" i="9"/>
  <c r="I14" i="9"/>
  <c r="H82" i="9"/>
  <c r="I5" i="9"/>
  <c r="H78" i="9"/>
  <c r="I7" i="9"/>
  <c r="H79" i="9"/>
  <c r="I6" i="9"/>
  <c r="H76" i="9"/>
  <c r="I4" i="9"/>
  <c r="H75" i="9"/>
  <c r="H84" i="9" s="1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2" i="3"/>
  <c r="B90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C7" i="3"/>
  <c r="B95" i="3"/>
  <c r="B94" i="3"/>
  <c r="B93" i="3"/>
  <c r="B91" i="3"/>
  <c r="B89" i="3"/>
  <c r="B18" i="3"/>
  <c r="B17" i="3"/>
  <c r="B16" i="3"/>
  <c r="B15" i="3"/>
  <c r="B14" i="3"/>
  <c r="B13" i="3"/>
  <c r="B12" i="3"/>
  <c r="B11" i="3"/>
  <c r="B10" i="3"/>
  <c r="B9" i="3"/>
  <c r="B8" i="3"/>
  <c r="B7" i="3"/>
  <c r="I155" i="10" l="1"/>
  <c r="I157" i="10" s="1"/>
  <c r="E23" i="12"/>
  <c r="F189" i="9"/>
  <c r="E4" i="12"/>
  <c r="E16" i="12" s="1"/>
  <c r="F193" i="10"/>
  <c r="J86" i="11"/>
  <c r="G193" i="10"/>
  <c r="G39" i="12"/>
  <c r="J88" i="11"/>
  <c r="J122" i="11" s="1"/>
  <c r="G4" i="12"/>
  <c r="G16" i="12" s="1"/>
  <c r="H193" i="10"/>
  <c r="F35" i="12"/>
  <c r="F39" i="12" s="1"/>
  <c r="G188" i="11"/>
  <c r="F16" i="12"/>
  <c r="H188" i="11"/>
  <c r="J155" i="10"/>
  <c r="J157" i="10" s="1"/>
  <c r="J158" i="10" s="1"/>
  <c r="I116" i="11"/>
  <c r="H117" i="11"/>
  <c r="H119" i="11" s="1"/>
  <c r="K84" i="11"/>
  <c r="J155" i="11"/>
  <c r="J157" i="11" s="1"/>
  <c r="I155" i="11"/>
  <c r="I157" i="11" s="1"/>
  <c r="L90" i="11"/>
  <c r="L124" i="11" s="1"/>
  <c r="M52" i="11"/>
  <c r="M90" i="11" s="1"/>
  <c r="M124" i="11" s="1"/>
  <c r="L83" i="11"/>
  <c r="M15" i="11"/>
  <c r="M83" i="11" s="1"/>
  <c r="L81" i="11"/>
  <c r="M13" i="11"/>
  <c r="M81" i="11" s="1"/>
  <c r="L76" i="11"/>
  <c r="M6" i="11"/>
  <c r="M76" i="11" s="1"/>
  <c r="L75" i="11"/>
  <c r="L84" i="11" s="1"/>
  <c r="M4" i="11"/>
  <c r="M75" i="11" s="1"/>
  <c r="J179" i="11"/>
  <c r="J177" i="11"/>
  <c r="L114" i="11"/>
  <c r="I179" i="11"/>
  <c r="I177" i="11"/>
  <c r="I158" i="10"/>
  <c r="I183" i="10" s="1"/>
  <c r="I116" i="10"/>
  <c r="H117" i="10"/>
  <c r="H119" i="10" s="1"/>
  <c r="J182" i="10"/>
  <c r="J180" i="10"/>
  <c r="L114" i="10"/>
  <c r="I182" i="10"/>
  <c r="I180" i="10"/>
  <c r="K84" i="10"/>
  <c r="L90" i="10"/>
  <c r="L124" i="10" s="1"/>
  <c r="M52" i="10"/>
  <c r="M90" i="10" s="1"/>
  <c r="M124" i="10" s="1"/>
  <c r="L83" i="10"/>
  <c r="M15" i="10"/>
  <c r="M83" i="10" s="1"/>
  <c r="L81" i="10"/>
  <c r="M13" i="10"/>
  <c r="M81" i="10" s="1"/>
  <c r="L76" i="10"/>
  <c r="M6" i="10"/>
  <c r="M76" i="10" s="1"/>
  <c r="L75" i="10"/>
  <c r="L84" i="10" s="1"/>
  <c r="M4" i="10"/>
  <c r="M75" i="10" s="1"/>
  <c r="D159" i="9"/>
  <c r="D161" i="9" s="1"/>
  <c r="D181" i="9"/>
  <c r="D182" i="9" s="1"/>
  <c r="C25" i="12" s="1"/>
  <c r="H109" i="9"/>
  <c r="G109" i="9"/>
  <c r="G178" i="9" s="1"/>
  <c r="E158" i="9"/>
  <c r="F181" i="9" s="1"/>
  <c r="F182" i="9" s="1"/>
  <c r="E25" i="12" s="1"/>
  <c r="D7" i="3"/>
  <c r="E7" i="3" s="1"/>
  <c r="C8" i="3" s="1"/>
  <c r="D8" i="3" s="1"/>
  <c r="E8" i="3" s="1"/>
  <c r="G116" i="9"/>
  <c r="F117" i="9"/>
  <c r="F119" i="9" s="1"/>
  <c r="L114" i="9"/>
  <c r="H86" i="9"/>
  <c r="H88" i="9"/>
  <c r="H122" i="9" s="1"/>
  <c r="H87" i="9"/>
  <c r="G86" i="9"/>
  <c r="G88" i="9"/>
  <c r="G122" i="9" s="1"/>
  <c r="G180" i="9" s="1"/>
  <c r="G87" i="9"/>
  <c r="J4" i="9"/>
  <c r="I75" i="9"/>
  <c r="J6" i="9"/>
  <c r="I76" i="9"/>
  <c r="J7" i="9"/>
  <c r="I79" i="9"/>
  <c r="J5" i="9"/>
  <c r="I78" i="9"/>
  <c r="J14" i="9"/>
  <c r="I82" i="9"/>
  <c r="J13" i="9"/>
  <c r="I81" i="9"/>
  <c r="J15" i="9"/>
  <c r="I83" i="9"/>
  <c r="C23" i="12" l="1"/>
  <c r="C27" i="12" s="1"/>
  <c r="D189" i="9"/>
  <c r="I184" i="10"/>
  <c r="H10" i="12" s="1"/>
  <c r="I181" i="11"/>
  <c r="H37" i="12" s="1"/>
  <c r="E27" i="12"/>
  <c r="M84" i="11"/>
  <c r="M84" i="10"/>
  <c r="M88" i="10" s="1"/>
  <c r="M122" i="10" s="1"/>
  <c r="J183" i="10"/>
  <c r="J184" i="10" s="1"/>
  <c r="I10" i="12" s="1"/>
  <c r="G155" i="9"/>
  <c r="G157" i="9" s="1"/>
  <c r="H180" i="9"/>
  <c r="H178" i="9"/>
  <c r="H155" i="9"/>
  <c r="H157" i="9" s="1"/>
  <c r="H158" i="9" s="1"/>
  <c r="E181" i="9"/>
  <c r="E182" i="9" s="1"/>
  <c r="D25" i="12" s="1"/>
  <c r="E159" i="9"/>
  <c r="E161" i="9" s="1"/>
  <c r="M109" i="11"/>
  <c r="M88" i="11"/>
  <c r="M122" i="11" s="1"/>
  <c r="M87" i="11"/>
  <c r="M86" i="11"/>
  <c r="J158" i="11"/>
  <c r="J159" i="11" s="1"/>
  <c r="J161" i="11" s="1"/>
  <c r="K109" i="11"/>
  <c r="K88" i="11"/>
  <c r="K122" i="11" s="1"/>
  <c r="K87" i="11"/>
  <c r="K86" i="11"/>
  <c r="J116" i="11"/>
  <c r="I117" i="11"/>
  <c r="I119" i="11" s="1"/>
  <c r="M114" i="11"/>
  <c r="L109" i="11"/>
  <c r="L88" i="11"/>
  <c r="L122" i="11" s="1"/>
  <c r="L87" i="11"/>
  <c r="L86" i="11"/>
  <c r="I158" i="11"/>
  <c r="I180" i="11" s="1"/>
  <c r="M86" i="10"/>
  <c r="L109" i="10"/>
  <c r="L88" i="10"/>
  <c r="L122" i="10" s="1"/>
  <c r="L87" i="10"/>
  <c r="L86" i="10"/>
  <c r="K109" i="10"/>
  <c r="K88" i="10"/>
  <c r="K122" i="10" s="1"/>
  <c r="K87" i="10"/>
  <c r="K86" i="10"/>
  <c r="M114" i="10"/>
  <c r="J116" i="10"/>
  <c r="I117" i="10"/>
  <c r="I119" i="10" s="1"/>
  <c r="J159" i="10"/>
  <c r="J161" i="10" s="1"/>
  <c r="I159" i="10"/>
  <c r="I161" i="10" s="1"/>
  <c r="G158" i="9"/>
  <c r="G181" i="9" s="1"/>
  <c r="G182" i="9" s="1"/>
  <c r="F25" i="12" s="1"/>
  <c r="H116" i="9"/>
  <c r="G117" i="9"/>
  <c r="G119" i="9" s="1"/>
  <c r="M114" i="9"/>
  <c r="O165" i="9" s="1"/>
  <c r="M166" i="9" s="1"/>
  <c r="I84" i="9"/>
  <c r="K15" i="9"/>
  <c r="J83" i="9"/>
  <c r="K13" i="9"/>
  <c r="J81" i="9"/>
  <c r="K14" i="9"/>
  <c r="J82" i="9"/>
  <c r="K5" i="9"/>
  <c r="J78" i="9"/>
  <c r="K7" i="9"/>
  <c r="J79" i="9"/>
  <c r="K6" i="9"/>
  <c r="J76" i="9"/>
  <c r="K4" i="9"/>
  <c r="J75" i="9"/>
  <c r="J84" i="9" s="1"/>
  <c r="C9" i="3"/>
  <c r="M109" i="10" l="1"/>
  <c r="M87" i="10"/>
  <c r="H4" i="12"/>
  <c r="H16" i="12" s="1"/>
  <c r="I193" i="10"/>
  <c r="I4" i="12"/>
  <c r="I16" i="12" s="1"/>
  <c r="J193" i="10"/>
  <c r="I35" i="12"/>
  <c r="E189" i="9"/>
  <c r="D23" i="12"/>
  <c r="D27" i="12" s="1"/>
  <c r="K155" i="10"/>
  <c r="K157" i="10" s="1"/>
  <c r="K158" i="10" s="1"/>
  <c r="K183" i="10" s="1"/>
  <c r="L155" i="10"/>
  <c r="L157" i="10" s="1"/>
  <c r="L158" i="10" s="1"/>
  <c r="G159" i="9"/>
  <c r="G161" i="9" s="1"/>
  <c r="H159" i="9"/>
  <c r="H161" i="9" s="1"/>
  <c r="H181" i="9"/>
  <c r="H182" i="9" s="1"/>
  <c r="G25" i="12" s="1"/>
  <c r="K116" i="11"/>
  <c r="J117" i="11"/>
  <c r="J119" i="11" s="1"/>
  <c r="I159" i="11"/>
  <c r="I161" i="11" s="1"/>
  <c r="L155" i="11"/>
  <c r="L157" i="11" s="1"/>
  <c r="K155" i="11"/>
  <c r="K157" i="11" s="1"/>
  <c r="M155" i="11"/>
  <c r="M157" i="11" s="1"/>
  <c r="L179" i="11"/>
  <c r="L177" i="11"/>
  <c r="O165" i="11"/>
  <c r="M166" i="11" s="1"/>
  <c r="K179" i="11"/>
  <c r="K177" i="11"/>
  <c r="M185" i="11"/>
  <c r="M179" i="11"/>
  <c r="M177" i="11"/>
  <c r="M183" i="11"/>
  <c r="J180" i="11"/>
  <c r="J181" i="11" s="1"/>
  <c r="I37" i="12" s="1"/>
  <c r="K116" i="10"/>
  <c r="J117" i="10"/>
  <c r="J119" i="10" s="1"/>
  <c r="O165" i="10"/>
  <c r="M166" i="10" s="1"/>
  <c r="K182" i="10"/>
  <c r="K180" i="10"/>
  <c r="L182" i="10"/>
  <c r="L180" i="10"/>
  <c r="M155" i="10"/>
  <c r="M157" i="10" s="1"/>
  <c r="M188" i="10"/>
  <c r="M182" i="10"/>
  <c r="M180" i="10"/>
  <c r="M186" i="10"/>
  <c r="I109" i="9"/>
  <c r="I178" i="9" s="1"/>
  <c r="J109" i="9"/>
  <c r="I116" i="9"/>
  <c r="H117" i="9"/>
  <c r="H119" i="9" s="1"/>
  <c r="J86" i="9"/>
  <c r="J88" i="9"/>
  <c r="J122" i="9" s="1"/>
  <c r="J87" i="9"/>
  <c r="I86" i="9"/>
  <c r="I88" i="9"/>
  <c r="I122" i="9" s="1"/>
  <c r="I180" i="9" s="1"/>
  <c r="I87" i="9"/>
  <c r="L4" i="9"/>
  <c r="K75" i="9"/>
  <c r="L6" i="9"/>
  <c r="K76" i="9"/>
  <c r="L7" i="9"/>
  <c r="K79" i="9"/>
  <c r="L5" i="9"/>
  <c r="K78" i="9"/>
  <c r="L14" i="9"/>
  <c r="K82" i="9"/>
  <c r="L13" i="9"/>
  <c r="K81" i="9"/>
  <c r="L15" i="9"/>
  <c r="K83" i="9"/>
  <c r="D9" i="3"/>
  <c r="E9" i="3" s="1"/>
  <c r="K184" i="10" l="1"/>
  <c r="J10" i="12" s="1"/>
  <c r="I188" i="11"/>
  <c r="H35" i="12"/>
  <c r="H39" i="12" s="1"/>
  <c r="G23" i="12"/>
  <c r="G27" i="12" s="1"/>
  <c r="H189" i="9"/>
  <c r="J188" i="11"/>
  <c r="I39" i="12"/>
  <c r="F23" i="12"/>
  <c r="F27" i="12" s="1"/>
  <c r="G189" i="9"/>
  <c r="J155" i="9"/>
  <c r="J157" i="9" s="1"/>
  <c r="L183" i="10"/>
  <c r="L184" i="10" s="1"/>
  <c r="K10" i="12" s="1"/>
  <c r="J180" i="9"/>
  <c r="J178" i="9"/>
  <c r="K158" i="11"/>
  <c r="K180" i="11" s="1"/>
  <c r="K181" i="11" s="1"/>
  <c r="J37" i="12" s="1"/>
  <c r="M158" i="11"/>
  <c r="M159" i="11" s="1"/>
  <c r="M161" i="11" s="1"/>
  <c r="L35" i="12" s="1"/>
  <c r="L158" i="11"/>
  <c r="L159" i="11" s="1"/>
  <c r="L161" i="11" s="1"/>
  <c r="L116" i="11"/>
  <c r="K117" i="11"/>
  <c r="K119" i="11" s="1"/>
  <c r="M158" i="10"/>
  <c r="M183" i="10" s="1"/>
  <c r="M184" i="10" s="1"/>
  <c r="L10" i="12" s="1"/>
  <c r="L116" i="10"/>
  <c r="K117" i="10"/>
  <c r="K119" i="10" s="1"/>
  <c r="L159" i="10"/>
  <c r="L161" i="10" s="1"/>
  <c r="K159" i="10"/>
  <c r="K161" i="10" s="1"/>
  <c r="J158" i="9"/>
  <c r="I155" i="9"/>
  <c r="I157" i="9" s="1"/>
  <c r="J116" i="9"/>
  <c r="I117" i="9"/>
  <c r="I119" i="9" s="1"/>
  <c r="K84" i="9"/>
  <c r="M15" i="9"/>
  <c r="M83" i="9" s="1"/>
  <c r="L83" i="9"/>
  <c r="M13" i="9"/>
  <c r="M81" i="9" s="1"/>
  <c r="L81" i="9"/>
  <c r="M14" i="9"/>
  <c r="M82" i="9" s="1"/>
  <c r="L82" i="9"/>
  <c r="M5" i="9"/>
  <c r="M78" i="9" s="1"/>
  <c r="L78" i="9"/>
  <c r="M7" i="9"/>
  <c r="M79" i="9" s="1"/>
  <c r="L79" i="9"/>
  <c r="M6" i="9"/>
  <c r="M76" i="9" s="1"/>
  <c r="L76" i="9"/>
  <c r="M4" i="9"/>
  <c r="M75" i="9" s="1"/>
  <c r="L75" i="9"/>
  <c r="L84" i="9" s="1"/>
  <c r="C10" i="3"/>
  <c r="M84" i="9" l="1"/>
  <c r="K35" i="12"/>
  <c r="L193" i="10"/>
  <c r="K4" i="12"/>
  <c r="K16" i="12" s="1"/>
  <c r="K193" i="10"/>
  <c r="J4" i="12"/>
  <c r="J16" i="12" s="1"/>
  <c r="M159" i="10"/>
  <c r="M161" i="10" s="1"/>
  <c r="L4" i="12" s="1"/>
  <c r="J159" i="9"/>
  <c r="J161" i="9" s="1"/>
  <c r="L180" i="11"/>
  <c r="L181" i="11" s="1"/>
  <c r="K37" i="12" s="1"/>
  <c r="M180" i="11"/>
  <c r="M181" i="11" s="1"/>
  <c r="L37" i="12" s="1"/>
  <c r="K159" i="11"/>
  <c r="K161" i="11" s="1"/>
  <c r="M116" i="11"/>
  <c r="L117" i="11"/>
  <c r="L119" i="11" s="1"/>
  <c r="M116" i="10"/>
  <c r="L117" i="10"/>
  <c r="L119" i="10" s="1"/>
  <c r="M109" i="9"/>
  <c r="I158" i="9"/>
  <c r="I181" i="9" s="1"/>
  <c r="I182" i="9" s="1"/>
  <c r="H25" i="12" s="1"/>
  <c r="L109" i="9"/>
  <c r="L178" i="9" s="1"/>
  <c r="K109" i="9"/>
  <c r="K178" i="9" s="1"/>
  <c r="K116" i="9"/>
  <c r="J117" i="9"/>
  <c r="J119" i="9" s="1"/>
  <c r="L86" i="9"/>
  <c r="L88" i="9"/>
  <c r="L122" i="9" s="1"/>
  <c r="L87" i="9"/>
  <c r="K86" i="9"/>
  <c r="K88" i="9"/>
  <c r="K122" i="9" s="1"/>
  <c r="K180" i="9" s="1"/>
  <c r="K87" i="9"/>
  <c r="M86" i="9"/>
  <c r="M88" i="9"/>
  <c r="M122" i="9" s="1"/>
  <c r="M87" i="9"/>
  <c r="D10" i="3"/>
  <c r="E10" i="3" s="1"/>
  <c r="L188" i="11" l="1"/>
  <c r="I23" i="12"/>
  <c r="K39" i="12"/>
  <c r="J35" i="12"/>
  <c r="J39" i="12" s="1"/>
  <c r="K188" i="11"/>
  <c r="M186" i="9"/>
  <c r="M180" i="9"/>
  <c r="M178" i="9"/>
  <c r="M184" i="9"/>
  <c r="J181" i="9"/>
  <c r="J182" i="9" s="1"/>
  <c r="I25" i="12" s="1"/>
  <c r="K155" i="9"/>
  <c r="K157" i="9" s="1"/>
  <c r="K158" i="9" s="1"/>
  <c r="L180" i="9"/>
  <c r="I159" i="9"/>
  <c r="I161" i="9" s="1"/>
  <c r="O169" i="11"/>
  <c r="M170" i="11" s="1"/>
  <c r="M117" i="11"/>
  <c r="M119" i="11" s="1"/>
  <c r="O169" i="10"/>
  <c r="M170" i="10" s="1"/>
  <c r="M117" i="10"/>
  <c r="M119" i="10" s="1"/>
  <c r="L155" i="9"/>
  <c r="L157" i="9" s="1"/>
  <c r="M155" i="9"/>
  <c r="M157" i="9" s="1"/>
  <c r="L116" i="9"/>
  <c r="K117" i="9"/>
  <c r="K119" i="9" s="1"/>
  <c r="C11" i="3"/>
  <c r="J189" i="9" l="1"/>
  <c r="I27" i="12"/>
  <c r="I189" i="9"/>
  <c r="H23" i="12"/>
  <c r="H27" i="12" s="1"/>
  <c r="M175" i="11"/>
  <c r="L36" i="12" s="1"/>
  <c r="K181" i="9"/>
  <c r="K182" i="9" s="1"/>
  <c r="J25" i="12" s="1"/>
  <c r="K159" i="9"/>
  <c r="K161" i="9" s="1"/>
  <c r="M171" i="11"/>
  <c r="M171" i="10"/>
  <c r="M176" i="10" s="1"/>
  <c r="L7" i="12" s="1"/>
  <c r="M158" i="9"/>
  <c r="M159" i="9"/>
  <c r="M161" i="9" s="1"/>
  <c r="L23" i="12" s="1"/>
  <c r="L158" i="9"/>
  <c r="M116" i="9"/>
  <c r="L117" i="9"/>
  <c r="L119" i="9" s="1"/>
  <c r="D11" i="3"/>
  <c r="E11" i="3" s="1"/>
  <c r="J23" i="12" l="1"/>
  <c r="J27" i="12" s="1"/>
  <c r="K189" i="9"/>
  <c r="L159" i="9"/>
  <c r="L161" i="9" s="1"/>
  <c r="L181" i="9"/>
  <c r="L182" i="9" s="1"/>
  <c r="K25" i="12" s="1"/>
  <c r="M181" i="9"/>
  <c r="M182" i="9" s="1"/>
  <c r="L25" i="12" s="1"/>
  <c r="M117" i="9"/>
  <c r="M119" i="9" s="1"/>
  <c r="O169" i="9"/>
  <c r="M170" i="9" s="1"/>
  <c r="C12" i="3"/>
  <c r="D12" i="3" s="1"/>
  <c r="E12" i="3" s="1"/>
  <c r="M171" i="9" l="1"/>
  <c r="M176" i="9"/>
  <c r="L24" i="12" s="1"/>
  <c r="K23" i="12"/>
  <c r="K27" i="12" s="1"/>
  <c r="L189" i="9"/>
  <c r="C13" i="3"/>
  <c r="D13" i="3" s="1"/>
  <c r="E13" i="3" s="1"/>
  <c r="C14" i="3" l="1"/>
  <c r="D14" i="3" s="1"/>
  <c r="E14" i="3" s="1"/>
  <c r="C15" i="3" l="1"/>
  <c r="D15" i="3" s="1"/>
  <c r="E15" i="3" s="1"/>
  <c r="C16" i="3" l="1"/>
  <c r="D16" i="3" s="1"/>
  <c r="E16" i="3" s="1"/>
  <c r="C17" i="3" l="1"/>
  <c r="D17" i="3" s="1"/>
  <c r="E17" i="3" s="1"/>
  <c r="C18" i="3" l="1"/>
  <c r="D97" i="9" l="1"/>
  <c r="D99" i="9" s="1"/>
  <c r="D101" i="9" s="1"/>
  <c r="D97" i="10"/>
  <c r="D99" i="10" s="1"/>
  <c r="D101" i="10" s="1"/>
  <c r="D97" i="11"/>
  <c r="D99" i="11" s="1"/>
  <c r="D101" i="11" s="1"/>
  <c r="D18" i="3"/>
  <c r="E18" i="3" s="1"/>
  <c r="D102" i="10" l="1"/>
  <c r="D123" i="10" s="1"/>
  <c r="D126" i="9"/>
  <c r="D126" i="11"/>
  <c r="D139" i="11" s="1"/>
  <c r="D126" i="10"/>
  <c r="D139" i="10" s="1"/>
  <c r="D102" i="11"/>
  <c r="D123" i="11" s="1"/>
  <c r="D139" i="9"/>
  <c r="D102" i="9"/>
  <c r="D123" i="9" s="1"/>
  <c r="C19" i="3"/>
  <c r="D103" i="10" l="1"/>
  <c r="D130" i="10" s="1"/>
  <c r="D103" i="11"/>
  <c r="D130" i="11" s="1"/>
  <c r="D142" i="10"/>
  <c r="D132" i="10"/>
  <c r="D134" i="10" s="1"/>
  <c r="D143" i="10"/>
  <c r="D142" i="11"/>
  <c r="D103" i="9"/>
  <c r="D130" i="9" s="1"/>
  <c r="D19" i="3"/>
  <c r="E19" i="3" s="1"/>
  <c r="D145" i="10" l="1"/>
  <c r="D149" i="10"/>
  <c r="D132" i="11"/>
  <c r="D134" i="11" s="1"/>
  <c r="D143" i="11"/>
  <c r="D149" i="11" s="1"/>
  <c r="D132" i="9"/>
  <c r="D134" i="9" s="1"/>
  <c r="D143" i="9"/>
  <c r="D142" i="9"/>
  <c r="C20" i="3"/>
  <c r="D145" i="11" l="1"/>
  <c r="D149" i="9"/>
  <c r="D145" i="9"/>
  <c r="D20" i="3"/>
  <c r="E20" i="3" s="1"/>
  <c r="C21" i="3" l="1"/>
  <c r="D21" i="3" l="1"/>
  <c r="E21" i="3" s="1"/>
  <c r="C22" i="3" l="1"/>
  <c r="D22" i="3" l="1"/>
  <c r="E22" i="3" s="1"/>
  <c r="C23" i="3" l="1"/>
  <c r="D23" i="3" l="1"/>
  <c r="E23" i="3" s="1"/>
  <c r="C24" i="3" l="1"/>
  <c r="D24" i="3" s="1"/>
  <c r="E24" i="3" s="1"/>
  <c r="C25" i="3" l="1"/>
  <c r="D25" i="3" l="1"/>
  <c r="E25" i="3" s="1"/>
  <c r="C26" i="3" s="1"/>
  <c r="D26" i="3" s="1"/>
  <c r="E26" i="3" s="1"/>
  <c r="C27" i="3" l="1"/>
  <c r="D27" i="3" l="1"/>
  <c r="E27" i="3" s="1"/>
  <c r="C28" i="3" s="1"/>
  <c r="D28" i="3" s="1"/>
  <c r="E28" i="3" s="1"/>
  <c r="C29" i="3" l="1"/>
  <c r="D29" i="3" l="1"/>
  <c r="E29" i="3" s="1"/>
  <c r="C30" i="3" s="1"/>
  <c r="D30" i="3" l="1"/>
  <c r="E30" i="3" s="1"/>
  <c r="E126" i="9" l="1"/>
  <c r="E126" i="11"/>
  <c r="E139" i="11" s="1"/>
  <c r="E126" i="10"/>
  <c r="E139" i="10" s="1"/>
  <c r="E139" i="9"/>
  <c r="C31" i="3"/>
  <c r="D31" i="3" l="1"/>
  <c r="E31" i="3" s="1"/>
  <c r="C32" i="3" l="1"/>
  <c r="D32" i="3" l="1"/>
  <c r="E32" i="3" s="1"/>
  <c r="C33" i="3" l="1"/>
  <c r="D33" i="3" l="1"/>
  <c r="E33" i="3" s="1"/>
  <c r="C34" i="3" l="1"/>
  <c r="D34" i="3" l="1"/>
  <c r="E34" i="3" s="1"/>
  <c r="C35" i="3" l="1"/>
  <c r="D35" i="3" l="1"/>
  <c r="E35" i="3" s="1"/>
  <c r="C36" i="3" l="1"/>
  <c r="E97" i="11" l="1"/>
  <c r="E99" i="11" s="1"/>
  <c r="E101" i="11" s="1"/>
  <c r="E97" i="10"/>
  <c r="E99" i="10" s="1"/>
  <c r="E101" i="10" s="1"/>
  <c r="D36" i="3"/>
  <c r="E36" i="3" s="1"/>
  <c r="C37" i="3" s="1"/>
  <c r="D37" i="3" s="1"/>
  <c r="E37" i="3" s="1"/>
  <c r="E97" i="9"/>
  <c r="E102" i="10" l="1"/>
  <c r="E123" i="10" s="1"/>
  <c r="E102" i="11"/>
  <c r="E123" i="11" s="1"/>
  <c r="E99" i="9"/>
  <c r="E101" i="9" s="1"/>
  <c r="E102" i="9" s="1"/>
  <c r="E123" i="9" s="1"/>
  <c r="C38" i="3"/>
  <c r="D38" i="3" s="1"/>
  <c r="E38" i="3" s="1"/>
  <c r="E103" i="11" l="1"/>
  <c r="E130" i="11" s="1"/>
  <c r="E103" i="10"/>
  <c r="E130" i="10" s="1"/>
  <c r="E142" i="10" s="1"/>
  <c r="E143" i="11"/>
  <c r="E142" i="11"/>
  <c r="E132" i="11"/>
  <c r="E134" i="11" s="1"/>
  <c r="E143" i="10"/>
  <c r="E103" i="9"/>
  <c r="E130" i="9" s="1"/>
  <c r="C39" i="3"/>
  <c r="D39" i="3" s="1"/>
  <c r="E39" i="3" s="1"/>
  <c r="E132" i="10" l="1"/>
  <c r="E134" i="10" s="1"/>
  <c r="E145" i="11"/>
  <c r="E149" i="11"/>
  <c r="E145" i="10"/>
  <c r="E149" i="10"/>
  <c r="E143" i="9"/>
  <c r="E142" i="9"/>
  <c r="E132" i="9"/>
  <c r="E134" i="9" s="1"/>
  <c r="C40" i="3"/>
  <c r="D40" i="3" s="1"/>
  <c r="E40" i="3" s="1"/>
  <c r="E149" i="9" l="1"/>
  <c r="E145" i="9"/>
  <c r="C41" i="3"/>
  <c r="D41" i="3" s="1"/>
  <c r="E41" i="3" s="1"/>
  <c r="C42" i="3" l="1"/>
  <c r="F97" i="9" l="1"/>
  <c r="F99" i="9" s="1"/>
  <c r="F101" i="9" s="1"/>
  <c r="F97" i="10"/>
  <c r="F99" i="10" s="1"/>
  <c r="F101" i="10" s="1"/>
  <c r="F97" i="11"/>
  <c r="F99" i="11" s="1"/>
  <c r="F101" i="11" s="1"/>
  <c r="D42" i="3"/>
  <c r="E42" i="3" s="1"/>
  <c r="F102" i="10" l="1"/>
  <c r="F123" i="10" s="1"/>
  <c r="F126" i="9"/>
  <c r="F139" i="9" s="1"/>
  <c r="F126" i="11"/>
  <c r="F126" i="10"/>
  <c r="F102" i="11"/>
  <c r="F123" i="11" s="1"/>
  <c r="F103" i="11"/>
  <c r="F130" i="11" s="1"/>
  <c r="F139" i="11"/>
  <c r="F102" i="9"/>
  <c r="F123" i="9" s="1"/>
  <c r="C43" i="3"/>
  <c r="F139" i="10" l="1"/>
  <c r="F132" i="11"/>
  <c r="F134" i="11" s="1"/>
  <c r="F143" i="11"/>
  <c r="F142" i="11"/>
  <c r="F103" i="10"/>
  <c r="F130" i="10" s="1"/>
  <c r="F132" i="10" s="1"/>
  <c r="F134" i="10" s="1"/>
  <c r="F103" i="9"/>
  <c r="F130" i="9" s="1"/>
  <c r="D43" i="3"/>
  <c r="E43" i="3" s="1"/>
  <c r="F145" i="11" l="1"/>
  <c r="F149" i="11"/>
  <c r="F143" i="10"/>
  <c r="F142" i="10"/>
  <c r="F132" i="9"/>
  <c r="F134" i="9" s="1"/>
  <c r="F143" i="9"/>
  <c r="F142" i="9"/>
  <c r="C44" i="3"/>
  <c r="F145" i="10" l="1"/>
  <c r="F149" i="10"/>
  <c r="F149" i="9"/>
  <c r="F145" i="9"/>
  <c r="D44" i="3"/>
  <c r="E44" i="3" s="1"/>
  <c r="C45" i="3" l="1"/>
  <c r="D45" i="3" l="1"/>
  <c r="E45" i="3" s="1"/>
  <c r="C46" i="3" l="1"/>
  <c r="D46" i="3" l="1"/>
  <c r="E46" i="3" s="1"/>
  <c r="C47" i="3" l="1"/>
  <c r="D47" i="3" l="1"/>
  <c r="E47" i="3" s="1"/>
  <c r="C48" i="3" l="1"/>
  <c r="D48" i="3" s="1"/>
  <c r="E48" i="3" s="1"/>
  <c r="C49" i="3" l="1"/>
  <c r="D49" i="3" s="1"/>
  <c r="E49" i="3" s="1"/>
  <c r="C50" i="3" l="1"/>
  <c r="D50" i="3" s="1"/>
  <c r="E50" i="3" s="1"/>
  <c r="C51" i="3" l="1"/>
  <c r="D51" i="3" s="1"/>
  <c r="E51" i="3" s="1"/>
  <c r="C52" i="3" l="1"/>
  <c r="D52" i="3" s="1"/>
  <c r="E52" i="3" s="1"/>
  <c r="C53" i="3" l="1"/>
  <c r="D53" i="3" s="1"/>
  <c r="E53" i="3" s="1"/>
  <c r="C54" i="3" l="1"/>
  <c r="G97" i="9" l="1"/>
  <c r="G99" i="9" s="1"/>
  <c r="G101" i="9" s="1"/>
  <c r="G102" i="9" s="1"/>
  <c r="G123" i="9" s="1"/>
  <c r="G97" i="10"/>
  <c r="G99" i="10" s="1"/>
  <c r="G101" i="10" s="1"/>
  <c r="G97" i="11"/>
  <c r="G99" i="11" s="1"/>
  <c r="G101" i="11" s="1"/>
  <c r="D54" i="3"/>
  <c r="E54" i="3" s="1"/>
  <c r="G102" i="10" l="1"/>
  <c r="G123" i="10" s="1"/>
  <c r="G126" i="9"/>
  <c r="G126" i="11"/>
  <c r="G139" i="11" s="1"/>
  <c r="G126" i="10"/>
  <c r="G102" i="11"/>
  <c r="G123" i="11" s="1"/>
  <c r="G139" i="9"/>
  <c r="G103" i="9"/>
  <c r="G130" i="9" s="1"/>
  <c r="C55" i="3"/>
  <c r="G139" i="10" l="1"/>
  <c r="G103" i="10"/>
  <c r="G130" i="10" s="1"/>
  <c r="G132" i="10" s="1"/>
  <c r="G134" i="10" s="1"/>
  <c r="G103" i="11"/>
  <c r="G130" i="11" s="1"/>
  <c r="G132" i="11" s="1"/>
  <c r="G134" i="11" s="1"/>
  <c r="G132" i="9"/>
  <c r="G134" i="9" s="1"/>
  <c r="G143" i="9"/>
  <c r="G142" i="9"/>
  <c r="D55" i="3"/>
  <c r="E55" i="3" s="1"/>
  <c r="G142" i="10" l="1"/>
  <c r="G143" i="10"/>
  <c r="G145" i="10"/>
  <c r="G149" i="10"/>
  <c r="G143" i="11"/>
  <c r="G142" i="11"/>
  <c r="G149" i="9"/>
  <c r="G145" i="9"/>
  <c r="C56" i="3"/>
  <c r="G145" i="11" l="1"/>
  <c r="G149" i="11"/>
  <c r="D56" i="3"/>
  <c r="E56" i="3" s="1"/>
  <c r="C57" i="3" l="1"/>
  <c r="D57" i="3" l="1"/>
  <c r="E57" i="3" s="1"/>
  <c r="C58" i="3" l="1"/>
  <c r="D58" i="3" l="1"/>
  <c r="E58" i="3" s="1"/>
  <c r="C59" i="3" l="1"/>
  <c r="D59" i="3" l="1"/>
  <c r="E59" i="3" s="1"/>
  <c r="C60" i="3" l="1"/>
  <c r="D60" i="3" s="1"/>
  <c r="E60" i="3" s="1"/>
  <c r="C61" i="3" l="1"/>
  <c r="D61" i="3" s="1"/>
  <c r="E61" i="3" s="1"/>
  <c r="C62" i="3" l="1"/>
  <c r="D62" i="3" s="1"/>
  <c r="E62" i="3" s="1"/>
  <c r="C63" i="3" l="1"/>
  <c r="D63" i="3" s="1"/>
  <c r="E63" i="3" s="1"/>
  <c r="C64" i="3" l="1"/>
  <c r="D64" i="3" s="1"/>
  <c r="E64" i="3" s="1"/>
  <c r="C65" i="3" l="1"/>
  <c r="D65" i="3" s="1"/>
  <c r="E65" i="3" s="1"/>
  <c r="C66" i="3" l="1"/>
  <c r="H97" i="9" l="1"/>
  <c r="H97" i="11"/>
  <c r="H99" i="11" s="1"/>
  <c r="H101" i="11" s="1"/>
  <c r="H97" i="10"/>
  <c r="H99" i="10" s="1"/>
  <c r="H101" i="10" s="1"/>
  <c r="H99" i="9"/>
  <c r="H101" i="9" s="1"/>
  <c r="D66" i="3"/>
  <c r="E66" i="3" s="1"/>
  <c r="H102" i="11" l="1"/>
  <c r="H123" i="11" s="1"/>
  <c r="H126" i="9"/>
  <c r="H126" i="11"/>
  <c r="H126" i="10"/>
  <c r="H139" i="10" s="1"/>
  <c r="H102" i="10"/>
  <c r="H123" i="10" s="1"/>
  <c r="H139" i="9"/>
  <c r="H102" i="9"/>
  <c r="H123" i="9" s="1"/>
  <c r="C67" i="3"/>
  <c r="H103" i="11" l="1"/>
  <c r="H130" i="11" s="1"/>
  <c r="H142" i="11" s="1"/>
  <c r="H139" i="11"/>
  <c r="H103" i="10"/>
  <c r="H130" i="10" s="1"/>
  <c r="H143" i="10" s="1"/>
  <c r="H132" i="11"/>
  <c r="H134" i="11" s="1"/>
  <c r="H143" i="11"/>
  <c r="H103" i="9"/>
  <c r="H130" i="9" s="1"/>
  <c r="H143" i="9" s="1"/>
  <c r="D67" i="3"/>
  <c r="E67" i="3" s="1"/>
  <c r="H145" i="11" l="1"/>
  <c r="H149" i="11"/>
  <c r="H132" i="9"/>
  <c r="H134" i="9" s="1"/>
  <c r="H132" i="10"/>
  <c r="H134" i="10" s="1"/>
  <c r="H142" i="10"/>
  <c r="H142" i="9"/>
  <c r="H149" i="9" s="1"/>
  <c r="C68" i="3"/>
  <c r="H145" i="10" l="1"/>
  <c r="H149" i="10"/>
  <c r="H145" i="9"/>
  <c r="D68" i="3"/>
  <c r="E68" i="3" s="1"/>
  <c r="C69" i="3" l="1"/>
  <c r="D69" i="3" l="1"/>
  <c r="E69" i="3" s="1"/>
  <c r="C70" i="3" l="1"/>
  <c r="D70" i="3" l="1"/>
  <c r="E70" i="3" s="1"/>
  <c r="C71" i="3" l="1"/>
  <c r="D71" i="3" l="1"/>
  <c r="E71" i="3" s="1"/>
  <c r="C72" i="3" l="1"/>
  <c r="D72" i="3" s="1"/>
  <c r="E72" i="3" s="1"/>
  <c r="C73" i="3" l="1"/>
  <c r="D73" i="3" s="1"/>
  <c r="E73" i="3" s="1"/>
  <c r="C74" i="3" l="1"/>
  <c r="D74" i="3" s="1"/>
  <c r="E74" i="3" s="1"/>
  <c r="C75" i="3" l="1"/>
  <c r="D75" i="3" s="1"/>
  <c r="E75" i="3" s="1"/>
  <c r="C76" i="3" l="1"/>
  <c r="D76" i="3" s="1"/>
  <c r="E76" i="3" s="1"/>
  <c r="C77" i="3" l="1"/>
  <c r="D77" i="3" s="1"/>
  <c r="E77" i="3" s="1"/>
  <c r="C78" i="3" l="1"/>
  <c r="I97" i="9" l="1"/>
  <c r="I99" i="9" s="1"/>
  <c r="I101" i="9" s="1"/>
  <c r="I102" i="9" s="1"/>
  <c r="I123" i="9" s="1"/>
  <c r="I97" i="10"/>
  <c r="I99" i="10" s="1"/>
  <c r="I101" i="10" s="1"/>
  <c r="I97" i="11"/>
  <c r="I99" i="11" s="1"/>
  <c r="I101" i="11" s="1"/>
  <c r="D78" i="3"/>
  <c r="E78" i="3" s="1"/>
  <c r="I102" i="10" l="1"/>
  <c r="I123" i="10" s="1"/>
  <c r="I126" i="9"/>
  <c r="I126" i="11"/>
  <c r="I126" i="10"/>
  <c r="I139" i="10" s="1"/>
  <c r="I102" i="11"/>
  <c r="I123" i="11" s="1"/>
  <c r="I139" i="9"/>
  <c r="I103" i="9"/>
  <c r="I130" i="9" s="1"/>
  <c r="I143" i="9" s="1"/>
  <c r="C79" i="3"/>
  <c r="I103" i="11" l="1"/>
  <c r="I130" i="11" s="1"/>
  <c r="I142" i="11" s="1"/>
  <c r="I139" i="11"/>
  <c r="I143" i="11"/>
  <c r="I132" i="11"/>
  <c r="I134" i="11" s="1"/>
  <c r="I103" i="10"/>
  <c r="I130" i="10" s="1"/>
  <c r="I132" i="10" s="1"/>
  <c r="I134" i="10" s="1"/>
  <c r="I142" i="9"/>
  <c r="I132" i="9"/>
  <c r="I134" i="9" s="1"/>
  <c r="D79" i="3"/>
  <c r="E79" i="3" s="1"/>
  <c r="I145" i="11" l="1"/>
  <c r="I143" i="10"/>
  <c r="I142" i="10"/>
  <c r="I149" i="11"/>
  <c r="I149" i="9"/>
  <c r="I145" i="9"/>
  <c r="C80" i="3"/>
  <c r="I145" i="10" l="1"/>
  <c r="I149" i="10"/>
  <c r="D80" i="3"/>
  <c r="E80" i="3" s="1"/>
  <c r="C81" i="3" l="1"/>
  <c r="D81" i="3" l="1"/>
  <c r="E81" i="3" s="1"/>
  <c r="C82" i="3" l="1"/>
  <c r="D82" i="3" l="1"/>
  <c r="E82" i="3" s="1"/>
  <c r="C83" i="3" l="1"/>
  <c r="D83" i="3" l="1"/>
  <c r="E83" i="3" s="1"/>
  <c r="C84" i="3" l="1"/>
  <c r="D84" i="3" s="1"/>
  <c r="E84" i="3" s="1"/>
  <c r="C85" i="3" l="1"/>
  <c r="D85" i="3" s="1"/>
  <c r="E85" i="3" s="1"/>
  <c r="C86" i="3" l="1"/>
  <c r="D86" i="3" s="1"/>
  <c r="E86" i="3" s="1"/>
  <c r="C87" i="3" l="1"/>
  <c r="D87" i="3" s="1"/>
  <c r="E87" i="3" s="1"/>
  <c r="C88" i="3" l="1"/>
  <c r="D88" i="3" s="1"/>
  <c r="E88" i="3" s="1"/>
  <c r="C89" i="3" l="1"/>
  <c r="D89" i="3" s="1"/>
  <c r="E89" i="3" s="1"/>
  <c r="C90" i="3" l="1"/>
  <c r="J97" i="9" l="1"/>
  <c r="J99" i="9" s="1"/>
  <c r="J101" i="9" s="1"/>
  <c r="J97" i="10"/>
  <c r="J99" i="10" s="1"/>
  <c r="J101" i="10" s="1"/>
  <c r="J97" i="11"/>
  <c r="J99" i="11" s="1"/>
  <c r="J101" i="11" s="1"/>
  <c r="D90" i="3"/>
  <c r="E90" i="3" s="1"/>
  <c r="J102" i="10" l="1"/>
  <c r="J123" i="10" s="1"/>
  <c r="J126" i="9"/>
  <c r="J126" i="11"/>
  <c r="J126" i="10"/>
  <c r="J139" i="10" s="1"/>
  <c r="J102" i="11"/>
  <c r="J123" i="11" s="1"/>
  <c r="J139" i="9"/>
  <c r="J102" i="9"/>
  <c r="J123" i="9" s="1"/>
  <c r="C91" i="3"/>
  <c r="J103" i="10" l="1"/>
  <c r="J130" i="10" s="1"/>
  <c r="J139" i="11"/>
  <c r="J103" i="11"/>
  <c r="J130" i="11" s="1"/>
  <c r="J132" i="11" s="1"/>
  <c r="J134" i="11" s="1"/>
  <c r="J142" i="10"/>
  <c r="J149" i="10" s="1"/>
  <c r="J132" i="10"/>
  <c r="J134" i="10" s="1"/>
  <c r="J143" i="10"/>
  <c r="J103" i="9"/>
  <c r="J130" i="9" s="1"/>
  <c r="J143" i="9" s="1"/>
  <c r="D91" i="3"/>
  <c r="E91" i="3" s="1"/>
  <c r="J132" i="9" l="1"/>
  <c r="J134" i="9" s="1"/>
  <c r="J142" i="9"/>
  <c r="J145" i="9" s="1"/>
  <c r="J145" i="10"/>
  <c r="J143" i="11"/>
  <c r="J142" i="11"/>
  <c r="J149" i="9"/>
  <c r="C92" i="3"/>
  <c r="J145" i="11" l="1"/>
  <c r="J149" i="11"/>
  <c r="D92" i="3"/>
  <c r="E92" i="3" s="1"/>
  <c r="C93" i="3" l="1"/>
  <c r="D93" i="3" l="1"/>
  <c r="E93" i="3" s="1"/>
  <c r="C94" i="3" l="1"/>
  <c r="D94" i="3" l="1"/>
  <c r="E94" i="3" s="1"/>
  <c r="C95" i="3" l="1"/>
  <c r="D95" i="3" l="1"/>
  <c r="E95" i="3" s="1"/>
  <c r="C96" i="3" l="1"/>
  <c r="D96" i="3" s="1"/>
  <c r="E96" i="3" s="1"/>
  <c r="C97" i="3" l="1"/>
  <c r="D97" i="3" s="1"/>
  <c r="E97" i="3" s="1"/>
  <c r="C98" i="3" l="1"/>
  <c r="D98" i="3" s="1"/>
  <c r="E98" i="3" s="1"/>
  <c r="C99" i="3" l="1"/>
  <c r="D99" i="3" s="1"/>
  <c r="E99" i="3" s="1"/>
  <c r="C100" i="3" l="1"/>
  <c r="D100" i="3" s="1"/>
  <c r="E100" i="3" s="1"/>
  <c r="C101" i="3" l="1"/>
  <c r="D101" i="3" s="1"/>
  <c r="E101" i="3" s="1"/>
  <c r="C102" i="3" l="1"/>
  <c r="K97" i="9" l="1"/>
  <c r="K97" i="10"/>
  <c r="K99" i="10" s="1"/>
  <c r="K101" i="10" s="1"/>
  <c r="K97" i="11"/>
  <c r="K99" i="11" s="1"/>
  <c r="K101" i="11" s="1"/>
  <c r="K99" i="9"/>
  <c r="K101" i="9" s="1"/>
  <c r="K102" i="9" s="1"/>
  <c r="K123" i="9" s="1"/>
  <c r="D102" i="3"/>
  <c r="E102" i="3" s="1"/>
  <c r="K126" i="9" l="1"/>
  <c r="K139" i="11" s="1"/>
  <c r="K126" i="11"/>
  <c r="K126" i="10"/>
  <c r="K139" i="10" s="1"/>
  <c r="K102" i="11"/>
  <c r="K123" i="11" s="1"/>
  <c r="K102" i="10"/>
  <c r="K123" i="10" s="1"/>
  <c r="K139" i="9"/>
  <c r="K103" i="9"/>
  <c r="K130" i="9" s="1"/>
  <c r="C103" i="3"/>
  <c r="K103" i="10" l="1"/>
  <c r="K130" i="10" s="1"/>
  <c r="K103" i="11"/>
  <c r="K130" i="11" s="1"/>
  <c r="K132" i="11" s="1"/>
  <c r="K134" i="11" s="1"/>
  <c r="K142" i="10"/>
  <c r="K142" i="11"/>
  <c r="K132" i="9"/>
  <c r="K134" i="9" s="1"/>
  <c r="K143" i="9"/>
  <c r="K142" i="9"/>
  <c r="D103" i="3"/>
  <c r="E103" i="3" s="1"/>
  <c r="K143" i="11" l="1"/>
  <c r="K145" i="11"/>
  <c r="K149" i="11"/>
  <c r="K132" i="10"/>
  <c r="K134" i="10" s="1"/>
  <c r="K143" i="10"/>
  <c r="K149" i="10" s="1"/>
  <c r="K149" i="9"/>
  <c r="K145" i="9"/>
  <c r="C104" i="3"/>
  <c r="K145" i="10" l="1"/>
  <c r="D104" i="3"/>
  <c r="E104" i="3" s="1"/>
  <c r="C105" i="3" l="1"/>
  <c r="D105" i="3" l="1"/>
  <c r="E105" i="3" s="1"/>
  <c r="C106" i="3" l="1"/>
  <c r="D106" i="3" l="1"/>
  <c r="E106" i="3" s="1"/>
  <c r="C107" i="3" l="1"/>
  <c r="D107" i="3" l="1"/>
  <c r="E107" i="3" s="1"/>
  <c r="C108" i="3" l="1"/>
  <c r="D108" i="3" s="1"/>
  <c r="E108" i="3" s="1"/>
  <c r="C109" i="3" l="1"/>
  <c r="D109" i="3" s="1"/>
  <c r="E109" i="3" s="1"/>
  <c r="C110" i="3" l="1"/>
  <c r="D110" i="3" s="1"/>
  <c r="E110" i="3" s="1"/>
  <c r="C111" i="3" l="1"/>
  <c r="D111" i="3" s="1"/>
  <c r="E111" i="3" s="1"/>
  <c r="C112" i="3" l="1"/>
  <c r="D112" i="3" s="1"/>
  <c r="E112" i="3" s="1"/>
  <c r="C113" i="3" l="1"/>
  <c r="D113" i="3" s="1"/>
  <c r="E113" i="3" s="1"/>
  <c r="C114" i="3" l="1"/>
  <c r="L97" i="9" l="1"/>
  <c r="L97" i="10"/>
  <c r="L99" i="10" s="1"/>
  <c r="L101" i="10" s="1"/>
  <c r="L97" i="11"/>
  <c r="L99" i="11" s="1"/>
  <c r="L101" i="11" s="1"/>
  <c r="L99" i="9"/>
  <c r="L101" i="9" s="1"/>
  <c r="D114" i="3"/>
  <c r="E114" i="3" s="1"/>
  <c r="L102" i="10" l="1"/>
  <c r="L123" i="10" s="1"/>
  <c r="L126" i="9"/>
  <c r="L126" i="11"/>
  <c r="L139" i="11" s="1"/>
  <c r="L126" i="10"/>
  <c r="L139" i="10" s="1"/>
  <c r="L102" i="11"/>
  <c r="L123" i="11" s="1"/>
  <c r="L139" i="9"/>
  <c r="L102" i="9"/>
  <c r="L123" i="9" s="1"/>
  <c r="C115" i="3"/>
  <c r="L103" i="10" l="1"/>
  <c r="L130" i="10" s="1"/>
  <c r="L132" i="10" s="1"/>
  <c r="L134" i="10" s="1"/>
  <c r="L103" i="11"/>
  <c r="L130" i="11" s="1"/>
  <c r="L142" i="11" s="1"/>
  <c r="L142" i="10"/>
  <c r="L143" i="10"/>
  <c r="L103" i="9"/>
  <c r="L130" i="9" s="1"/>
  <c r="L143" i="9" s="1"/>
  <c r="D115" i="3"/>
  <c r="E115" i="3" s="1"/>
  <c r="L145" i="10" l="1"/>
  <c r="L132" i="9"/>
  <c r="L134" i="9" s="1"/>
  <c r="L143" i="11"/>
  <c r="L149" i="11" s="1"/>
  <c r="L142" i="9"/>
  <c r="L145" i="9" s="1"/>
  <c r="L132" i="11"/>
  <c r="L134" i="11" s="1"/>
  <c r="L149" i="10"/>
  <c r="L149" i="9"/>
  <c r="C116" i="3"/>
  <c r="L145" i="11" l="1"/>
  <c r="D116" i="3"/>
  <c r="E116" i="3" s="1"/>
  <c r="C117" i="3" l="1"/>
  <c r="D117" i="3" l="1"/>
  <c r="E117" i="3" s="1"/>
  <c r="C118" i="3" l="1"/>
  <c r="D118" i="3" l="1"/>
  <c r="E118" i="3" s="1"/>
  <c r="C119" i="3" l="1"/>
  <c r="D119" i="3" l="1"/>
  <c r="E119" i="3" s="1"/>
  <c r="C120" i="3" l="1"/>
  <c r="D120" i="3" s="1"/>
  <c r="E120" i="3" s="1"/>
  <c r="C121" i="3" l="1"/>
  <c r="D121" i="3" s="1"/>
  <c r="E121" i="3" s="1"/>
  <c r="C122" i="3" l="1"/>
  <c r="D122" i="3" s="1"/>
  <c r="E122" i="3" s="1"/>
  <c r="C123" i="3" l="1"/>
  <c r="D123" i="3" s="1"/>
  <c r="E123" i="3" s="1"/>
  <c r="C124" i="3" l="1"/>
  <c r="D124" i="3" s="1"/>
  <c r="E124" i="3" s="1"/>
  <c r="C125" i="3" l="1"/>
  <c r="D125" i="3" s="1"/>
  <c r="E125" i="3" s="1"/>
  <c r="C126" i="3" l="1"/>
  <c r="M97" i="9" l="1"/>
  <c r="M99" i="9" s="1"/>
  <c r="M101" i="9" s="1"/>
  <c r="M102" i="9" s="1"/>
  <c r="M97" i="10"/>
  <c r="M99" i="10" s="1"/>
  <c r="M101" i="10" s="1"/>
  <c r="M102" i="10" s="1"/>
  <c r="M97" i="11"/>
  <c r="M99" i="11" s="1"/>
  <c r="M101" i="11" s="1"/>
  <c r="M102" i="11" s="1"/>
  <c r="D126" i="3"/>
  <c r="E126" i="3" s="1"/>
  <c r="M103" i="10" l="1"/>
  <c r="M130" i="10" s="1"/>
  <c r="M189" i="10"/>
  <c r="M193" i="10" s="1"/>
  <c r="M123" i="10"/>
  <c r="M126" i="9"/>
  <c r="M139" i="9" s="1"/>
  <c r="M126" i="11"/>
  <c r="M139" i="11" s="1"/>
  <c r="M126" i="10"/>
  <c r="M103" i="11"/>
  <c r="M130" i="11" s="1"/>
  <c r="M143" i="11" s="1"/>
  <c r="M186" i="11"/>
  <c r="M188" i="11" s="1"/>
  <c r="M123" i="11"/>
  <c r="M132" i="11" s="1"/>
  <c r="M134" i="11" s="1"/>
  <c r="M123" i="9"/>
  <c r="M187" i="9"/>
  <c r="M189" i="9" s="1"/>
  <c r="C193" i="9" s="1"/>
  <c r="M103" i="9"/>
  <c r="M130" i="9" s="1"/>
  <c r="C127" i="3"/>
  <c r="D127" i="3" s="1"/>
  <c r="E127" i="3" s="1"/>
  <c r="M142" i="10" l="1"/>
  <c r="M187" i="11"/>
  <c r="L38" i="12" s="1"/>
  <c r="L39" i="12" s="1"/>
  <c r="B42" i="12" s="1"/>
  <c r="C192" i="11"/>
  <c r="M188" i="9"/>
  <c r="L26" i="12" s="1"/>
  <c r="L27" i="12" s="1"/>
  <c r="B30" i="12" s="1"/>
  <c r="M139" i="10"/>
  <c r="M142" i="11"/>
  <c r="M145" i="11" s="1"/>
  <c r="M132" i="10"/>
  <c r="M134" i="10" s="1"/>
  <c r="M143" i="10"/>
  <c r="M145" i="10" s="1"/>
  <c r="M190" i="10"/>
  <c r="L13" i="12" s="1"/>
  <c r="L16" i="12" s="1"/>
  <c r="B19" i="12" s="1"/>
  <c r="C197" i="10"/>
  <c r="M132" i="9"/>
  <c r="M134" i="9" s="1"/>
  <c r="M143" i="9"/>
  <c r="M142" i="9"/>
  <c r="C128" i="3"/>
  <c r="D128" i="3" s="1"/>
  <c r="E128" i="3" s="1"/>
  <c r="M149" i="11" l="1"/>
  <c r="D150" i="11" s="1"/>
  <c r="M149" i="10"/>
  <c r="D150" i="10" s="1"/>
  <c r="M149" i="9"/>
  <c r="D150" i="9" s="1"/>
  <c r="B21" i="12" s="1"/>
  <c r="M145" i="9"/>
  <c r="C129" i="3"/>
  <c r="D129" i="3" s="1"/>
  <c r="E129" i="3" s="1"/>
  <c r="C28" i="12" l="1"/>
  <c r="E28" i="12"/>
  <c r="G28" i="12"/>
  <c r="I28" i="12"/>
  <c r="K28" i="12"/>
  <c r="B28" i="12"/>
  <c r="D28" i="12"/>
  <c r="F28" i="12"/>
  <c r="H28" i="12"/>
  <c r="J28" i="12"/>
  <c r="L28" i="12"/>
  <c r="L189" i="11"/>
  <c r="D189" i="11"/>
  <c r="G189" i="11"/>
  <c r="J189" i="11"/>
  <c r="M189" i="11"/>
  <c r="E189" i="11"/>
  <c r="B33" i="12"/>
  <c r="H189" i="11"/>
  <c r="K189" i="11"/>
  <c r="C189" i="11"/>
  <c r="F189" i="11"/>
  <c r="I189" i="11"/>
  <c r="L194" i="10"/>
  <c r="D194" i="10"/>
  <c r="G194" i="10"/>
  <c r="J194" i="10"/>
  <c r="M194" i="10"/>
  <c r="E194" i="10"/>
  <c r="B1" i="12"/>
  <c r="H194" i="10"/>
  <c r="K194" i="10"/>
  <c r="C194" i="10"/>
  <c r="F194" i="10"/>
  <c r="I194" i="10"/>
  <c r="L190" i="9"/>
  <c r="J190" i="9"/>
  <c r="H190" i="9"/>
  <c r="F190" i="9"/>
  <c r="D190" i="9"/>
  <c r="M190" i="9"/>
  <c r="K190" i="9"/>
  <c r="I190" i="9"/>
  <c r="G190" i="9"/>
  <c r="E190" i="9"/>
  <c r="C190" i="9"/>
  <c r="C130" i="3"/>
  <c r="D130" i="3" s="1"/>
  <c r="E130" i="3" s="1"/>
  <c r="C196" i="10" l="1"/>
  <c r="C191" i="11"/>
  <c r="E17" i="12"/>
  <c r="F17" i="12"/>
  <c r="C17" i="12"/>
  <c r="G17" i="12"/>
  <c r="K17" i="12"/>
  <c r="D17" i="12"/>
  <c r="H17" i="12"/>
  <c r="L17" i="12"/>
  <c r="I17" i="12"/>
  <c r="B17" i="12"/>
  <c r="J17" i="12"/>
  <c r="D40" i="12"/>
  <c r="F40" i="12"/>
  <c r="H40" i="12"/>
  <c r="J40" i="12"/>
  <c r="L40" i="12"/>
  <c r="C40" i="12"/>
  <c r="E40" i="12"/>
  <c r="G40" i="12"/>
  <c r="I40" i="12"/>
  <c r="K40" i="12"/>
  <c r="B40" i="12"/>
  <c r="B41" i="12" s="1"/>
  <c r="P4" i="12" s="1"/>
  <c r="B29" i="12"/>
  <c r="P3" i="12" s="1"/>
  <c r="C192" i="9"/>
  <c r="C131" i="3"/>
  <c r="D131" i="3" s="1"/>
  <c r="E131" i="3" s="1"/>
  <c r="B18" i="12" l="1"/>
  <c r="P2" i="12" s="1"/>
  <c r="P7" i="12" s="1"/>
  <c r="C132" i="3"/>
  <c r="D132" i="3" s="1"/>
  <c r="E132" i="3" s="1"/>
  <c r="C133" i="3" l="1"/>
  <c r="D133" i="3" s="1"/>
  <c r="E133" i="3" s="1"/>
  <c r="C134" i="3" l="1"/>
  <c r="D134" i="3" s="1"/>
  <c r="E134" i="3" s="1"/>
  <c r="C135" i="3" l="1"/>
  <c r="D135" i="3" s="1"/>
  <c r="E135" i="3" s="1"/>
  <c r="C136" i="3" l="1"/>
  <c r="D136" i="3" s="1"/>
  <c r="E136" i="3" s="1"/>
  <c r="C137" i="3" l="1"/>
  <c r="D137" i="3" s="1"/>
  <c r="E137" i="3" s="1"/>
  <c r="C138" i="3" l="1"/>
  <c r="D138" i="3" s="1"/>
  <c r="E138" i="3" s="1"/>
  <c r="C139" i="3" l="1"/>
  <c r="D139" i="3" s="1"/>
  <c r="E139" i="3" s="1"/>
  <c r="C140" i="3" l="1"/>
  <c r="D140" i="3" s="1"/>
  <c r="E140" i="3" s="1"/>
  <c r="C141" i="3" l="1"/>
  <c r="D141" i="3" s="1"/>
  <c r="E141" i="3" s="1"/>
  <c r="C142" i="3" l="1"/>
  <c r="D142" i="3" s="1"/>
  <c r="E142" i="3" s="1"/>
  <c r="C143" i="3" l="1"/>
  <c r="D143" i="3" s="1"/>
  <c r="E143" i="3" s="1"/>
  <c r="C144" i="3" l="1"/>
  <c r="D144" i="3" s="1"/>
  <c r="E144" i="3" s="1"/>
  <c r="C145" i="3" l="1"/>
  <c r="D145" i="3" s="1"/>
  <c r="E145" i="3" s="1"/>
  <c r="C146" i="3" l="1"/>
  <c r="D146" i="3" s="1"/>
  <c r="E146" i="3" s="1"/>
  <c r="C147" i="3" l="1"/>
  <c r="D147" i="3" s="1"/>
  <c r="E147" i="3" s="1"/>
  <c r="C148" i="3" l="1"/>
  <c r="D148" i="3" s="1"/>
  <c r="E148" i="3" s="1"/>
  <c r="C149" i="3" l="1"/>
  <c r="D149" i="3" s="1"/>
  <c r="E149" i="3" s="1"/>
  <c r="C150" i="3" l="1"/>
  <c r="D150" i="3" s="1"/>
  <c r="E150" i="3" s="1"/>
  <c r="C151" i="3" l="1"/>
  <c r="D151" i="3" s="1"/>
  <c r="E151" i="3" s="1"/>
  <c r="C152" i="3" l="1"/>
  <c r="D152" i="3" s="1"/>
  <c r="E152" i="3" s="1"/>
  <c r="C153" i="3" l="1"/>
  <c r="D153" i="3" s="1"/>
  <c r="E153" i="3" s="1"/>
  <c r="C154" i="3" l="1"/>
  <c r="D154" i="3" s="1"/>
  <c r="E154" i="3" s="1"/>
  <c r="C155" i="3" l="1"/>
  <c r="D155" i="3" s="1"/>
  <c r="E155" i="3" s="1"/>
  <c r="C156" i="3" l="1"/>
  <c r="D156" i="3" s="1"/>
  <c r="E156" i="3" s="1"/>
  <c r="C157" i="3" l="1"/>
  <c r="D157" i="3" s="1"/>
  <c r="E157" i="3" s="1"/>
  <c r="C158" i="3" l="1"/>
  <c r="D158" i="3" s="1"/>
  <c r="E158" i="3" s="1"/>
  <c r="C159" i="3" l="1"/>
  <c r="D159" i="3" s="1"/>
  <c r="E159" i="3" s="1"/>
  <c r="C160" i="3" l="1"/>
  <c r="D160" i="3" s="1"/>
  <c r="E160" i="3" s="1"/>
  <c r="C161" i="3" l="1"/>
  <c r="D161" i="3" s="1"/>
  <c r="E161" i="3" s="1"/>
  <c r="C162" i="3" l="1"/>
  <c r="D162" i="3" s="1"/>
  <c r="E162" i="3" s="1"/>
  <c r="C163" i="3" l="1"/>
  <c r="D163" i="3" s="1"/>
  <c r="E163" i="3" s="1"/>
  <c r="C164" i="3" l="1"/>
  <c r="D164" i="3" s="1"/>
  <c r="E164" i="3" s="1"/>
  <c r="C165" i="3" l="1"/>
  <c r="D165" i="3" s="1"/>
  <c r="E165" i="3" s="1"/>
  <c r="C166" i="3" l="1"/>
  <c r="D166" i="3" s="1"/>
  <c r="E166" i="3" s="1"/>
  <c r="C167" i="3" l="1"/>
  <c r="D167" i="3" s="1"/>
  <c r="E167" i="3" s="1"/>
  <c r="C168" i="3" l="1"/>
  <c r="D168" i="3" s="1"/>
  <c r="E168" i="3" s="1"/>
  <c r="C169" i="3" l="1"/>
  <c r="D169" i="3" s="1"/>
  <c r="E169" i="3" s="1"/>
  <c r="C170" i="3" l="1"/>
  <c r="D170" i="3" s="1"/>
  <c r="E170" i="3" s="1"/>
  <c r="C171" i="3" l="1"/>
  <c r="D171" i="3" s="1"/>
  <c r="E171" i="3" s="1"/>
  <c r="C172" i="3" l="1"/>
  <c r="D172" i="3" s="1"/>
  <c r="E172" i="3" s="1"/>
  <c r="C173" i="3" l="1"/>
  <c r="D173" i="3" s="1"/>
  <c r="E173" i="3" s="1"/>
  <c r="C174" i="3" l="1"/>
  <c r="D174" i="3" s="1"/>
  <c r="E174" i="3" s="1"/>
  <c r="C175" i="3" l="1"/>
  <c r="D175" i="3" s="1"/>
  <c r="E175" i="3" s="1"/>
  <c r="C176" i="3" l="1"/>
  <c r="D176" i="3" s="1"/>
  <c r="E176" i="3" s="1"/>
  <c r="C177" i="3" l="1"/>
  <c r="D177" i="3" s="1"/>
  <c r="E177" i="3" s="1"/>
  <c r="C178" i="3" l="1"/>
  <c r="D178" i="3" s="1"/>
  <c r="E178" i="3" s="1"/>
  <c r="C179" i="3" l="1"/>
  <c r="D179" i="3" s="1"/>
  <c r="E179" i="3" s="1"/>
  <c r="C180" i="3" l="1"/>
  <c r="D180" i="3" s="1"/>
  <c r="E180" i="3" s="1"/>
  <c r="C181" i="3" l="1"/>
  <c r="D181" i="3" s="1"/>
  <c r="E181" i="3" s="1"/>
  <c r="C182" i="3" l="1"/>
  <c r="D182" i="3" s="1"/>
  <c r="E182" i="3" s="1"/>
  <c r="C183" i="3" l="1"/>
  <c r="D183" i="3" s="1"/>
  <c r="E183" i="3" s="1"/>
  <c r="C184" i="3" l="1"/>
  <c r="D184" i="3" s="1"/>
  <c r="E184" i="3" s="1"/>
  <c r="C185" i="3" l="1"/>
  <c r="D185" i="3" s="1"/>
  <c r="E185" i="3" s="1"/>
  <c r="C186" i="3" l="1"/>
  <c r="D186" i="3" s="1"/>
  <c r="E186" i="3" s="1"/>
  <c r="C187" i="3" l="1"/>
  <c r="D187" i="3" s="1"/>
  <c r="E187" i="3" s="1"/>
  <c r="C188" i="3" l="1"/>
  <c r="D188" i="3" s="1"/>
  <c r="E188" i="3" s="1"/>
  <c r="C189" i="3" l="1"/>
  <c r="D189" i="3" s="1"/>
  <c r="E189" i="3" s="1"/>
  <c r="C190" i="3" l="1"/>
  <c r="D190" i="3" s="1"/>
  <c r="E190" i="3" s="1"/>
  <c r="C191" i="3" l="1"/>
  <c r="D191" i="3" s="1"/>
  <c r="E191" i="3" s="1"/>
  <c r="C192" i="3" l="1"/>
  <c r="D192" i="3" s="1"/>
  <c r="E192" i="3" s="1"/>
  <c r="C193" i="3" l="1"/>
  <c r="D193" i="3" s="1"/>
  <c r="E193" i="3" s="1"/>
  <c r="C194" i="3" l="1"/>
  <c r="D194" i="3" s="1"/>
  <c r="E194" i="3" s="1"/>
  <c r="C195" i="3" l="1"/>
  <c r="D195" i="3" s="1"/>
  <c r="E195" i="3" s="1"/>
  <c r="C196" i="3" l="1"/>
  <c r="D196" i="3" s="1"/>
  <c r="E196" i="3" s="1"/>
  <c r="C197" i="3" l="1"/>
  <c r="D197" i="3" s="1"/>
  <c r="E197" i="3" s="1"/>
  <c r="C198" i="3" l="1"/>
  <c r="D198" i="3" s="1"/>
  <c r="E198" i="3" s="1"/>
  <c r="C199" i="3" l="1"/>
  <c r="D199" i="3" s="1"/>
  <c r="E199" i="3" s="1"/>
  <c r="C200" i="3" l="1"/>
  <c r="D200" i="3" s="1"/>
  <c r="E200" i="3" s="1"/>
  <c r="C201" i="3" l="1"/>
  <c r="D201" i="3" s="1"/>
  <c r="E201" i="3" s="1"/>
  <c r="C202" i="3" l="1"/>
  <c r="D202" i="3" s="1"/>
  <c r="E202" i="3" s="1"/>
  <c r="C203" i="3" l="1"/>
  <c r="D203" i="3" s="1"/>
  <c r="E203" i="3" s="1"/>
  <c r="C204" i="3" l="1"/>
  <c r="D204" i="3" s="1"/>
  <c r="E204" i="3" s="1"/>
  <c r="C205" i="3" l="1"/>
  <c r="D205" i="3" s="1"/>
  <c r="E205" i="3" s="1"/>
  <c r="C206" i="3" l="1"/>
  <c r="D206" i="3" s="1"/>
  <c r="E206" i="3" s="1"/>
  <c r="C207" i="3" l="1"/>
  <c r="D207" i="3" s="1"/>
  <c r="E207" i="3" s="1"/>
  <c r="C208" i="3" l="1"/>
  <c r="D208" i="3" s="1"/>
  <c r="E208" i="3" s="1"/>
  <c r="C209" i="3" l="1"/>
  <c r="D209" i="3" s="1"/>
  <c r="E209" i="3" s="1"/>
  <c r="C210" i="3" l="1"/>
  <c r="D210" i="3" s="1"/>
  <c r="E210" i="3" s="1"/>
  <c r="C211" i="3" l="1"/>
  <c r="D211" i="3" s="1"/>
  <c r="E211" i="3" s="1"/>
  <c r="C212" i="3" l="1"/>
  <c r="D212" i="3" s="1"/>
  <c r="E212" i="3" s="1"/>
  <c r="C213" i="3" l="1"/>
  <c r="D213" i="3" s="1"/>
  <c r="E213" i="3" s="1"/>
  <c r="C214" i="3" l="1"/>
  <c r="D214" i="3" s="1"/>
  <c r="E214" i="3" s="1"/>
  <c r="C215" i="3" l="1"/>
  <c r="D215" i="3" s="1"/>
  <c r="E215" i="3" s="1"/>
  <c r="C216" i="3" l="1"/>
  <c r="D216" i="3" s="1"/>
  <c r="E216" i="3" s="1"/>
  <c r="C217" i="3" l="1"/>
  <c r="D217" i="3" s="1"/>
  <c r="E217" i="3" s="1"/>
  <c r="C218" i="3" l="1"/>
  <c r="D218" i="3" s="1"/>
  <c r="E218" i="3" s="1"/>
  <c r="C219" i="3" l="1"/>
  <c r="D219" i="3" s="1"/>
  <c r="E219" i="3" s="1"/>
  <c r="C220" i="3" l="1"/>
  <c r="D220" i="3" s="1"/>
  <c r="E220" i="3" s="1"/>
  <c r="C221" i="3" l="1"/>
  <c r="D221" i="3" s="1"/>
  <c r="E221" i="3" s="1"/>
  <c r="C222" i="3" l="1"/>
  <c r="D222" i="3" s="1"/>
  <c r="E222" i="3" s="1"/>
  <c r="C223" i="3" l="1"/>
  <c r="D223" i="3" s="1"/>
  <c r="E223" i="3" s="1"/>
  <c r="C224" i="3" l="1"/>
  <c r="D224" i="3" s="1"/>
  <c r="E224" i="3" s="1"/>
  <c r="C225" i="3" l="1"/>
  <c r="D225" i="3" s="1"/>
  <c r="E225" i="3" s="1"/>
  <c r="C226" i="3" l="1"/>
  <c r="D226" i="3" s="1"/>
  <c r="E226" i="3" s="1"/>
  <c r="C227" i="3" l="1"/>
  <c r="D227" i="3" s="1"/>
  <c r="E227" i="3" s="1"/>
  <c r="C228" i="3" l="1"/>
  <c r="D228" i="3" s="1"/>
  <c r="E228" i="3" s="1"/>
  <c r="C229" i="3" l="1"/>
  <c r="D229" i="3" s="1"/>
  <c r="E229" i="3" s="1"/>
  <c r="C230" i="3" l="1"/>
  <c r="D230" i="3" s="1"/>
  <c r="E230" i="3" s="1"/>
  <c r="C231" i="3" l="1"/>
  <c r="D231" i="3" s="1"/>
  <c r="E231" i="3" s="1"/>
  <c r="C232" i="3" l="1"/>
  <c r="D232" i="3" s="1"/>
  <c r="E232" i="3" s="1"/>
  <c r="C233" i="3" l="1"/>
  <c r="D233" i="3" s="1"/>
  <c r="E233" i="3" s="1"/>
  <c r="C234" i="3" l="1"/>
  <c r="D234" i="3" s="1"/>
  <c r="E234" i="3" s="1"/>
  <c r="C235" i="3" l="1"/>
  <c r="D235" i="3" s="1"/>
  <c r="E235" i="3" s="1"/>
  <c r="C236" i="3" l="1"/>
  <c r="D236" i="3" s="1"/>
  <c r="E236" i="3" s="1"/>
  <c r="C237" i="3" l="1"/>
  <c r="D237" i="3" s="1"/>
  <c r="E237" i="3" s="1"/>
  <c r="C238" i="3" l="1"/>
  <c r="D238" i="3" s="1"/>
  <c r="E238" i="3" s="1"/>
  <c r="C239" i="3" l="1"/>
  <c r="D239" i="3" s="1"/>
  <c r="E239" i="3" s="1"/>
  <c r="C240" i="3" l="1"/>
  <c r="D240" i="3" s="1"/>
  <c r="E240" i="3" s="1"/>
  <c r="C241" i="3" l="1"/>
  <c r="D241" i="3" s="1"/>
  <c r="E241" i="3" s="1"/>
  <c r="C242" i="3" l="1"/>
  <c r="D242" i="3" s="1"/>
  <c r="E242" i="3" s="1"/>
  <c r="C243" i="3" l="1"/>
  <c r="D243" i="3" s="1"/>
  <c r="E243" i="3" s="1"/>
  <c r="C244" i="3" l="1"/>
  <c r="D244" i="3" s="1"/>
  <c r="E244" i="3" s="1"/>
  <c r="C245" i="3" l="1"/>
  <c r="D245" i="3" s="1"/>
  <c r="E245" i="3" s="1"/>
  <c r="C246" i="3" l="1"/>
  <c r="D246" i="3" s="1"/>
  <c r="E246" i="3" s="1"/>
  <c r="C247" i="3" l="1"/>
  <c r="D247" i="3" s="1"/>
  <c r="E247" i="3" s="1"/>
  <c r="C248" i="3" l="1"/>
  <c r="D248" i="3" s="1"/>
  <c r="E248" i="3" s="1"/>
  <c r="C249" i="3" l="1"/>
  <c r="D249" i="3" s="1"/>
  <c r="E249" i="3" s="1"/>
  <c r="C250" i="3" l="1"/>
  <c r="D250" i="3" s="1"/>
  <c r="E250" i="3" s="1"/>
  <c r="C251" i="3" l="1"/>
  <c r="D251" i="3" s="1"/>
  <c r="E251" i="3" s="1"/>
  <c r="C252" i="3" l="1"/>
  <c r="D252" i="3" s="1"/>
  <c r="E252" i="3" s="1"/>
  <c r="C253" i="3" l="1"/>
  <c r="D253" i="3" s="1"/>
  <c r="E253" i="3" s="1"/>
  <c r="C254" i="3" l="1"/>
  <c r="D254" i="3" s="1"/>
  <c r="E254" i="3" s="1"/>
  <c r="C255" i="3" l="1"/>
  <c r="D255" i="3" s="1"/>
  <c r="E255" i="3" s="1"/>
  <c r="C256" i="3" l="1"/>
  <c r="D256" i="3" s="1"/>
  <c r="E256" i="3" s="1"/>
  <c r="C257" i="3" l="1"/>
  <c r="D257" i="3" s="1"/>
  <c r="E257" i="3" s="1"/>
  <c r="C258" i="3" l="1"/>
  <c r="D258" i="3" s="1"/>
  <c r="E258" i="3" s="1"/>
  <c r="C259" i="3" l="1"/>
  <c r="D259" i="3" s="1"/>
  <c r="E259" i="3" s="1"/>
  <c r="C260" i="3" l="1"/>
  <c r="D260" i="3" s="1"/>
  <c r="E260" i="3" s="1"/>
  <c r="C261" i="3" l="1"/>
  <c r="D261" i="3" s="1"/>
  <c r="E261" i="3" s="1"/>
  <c r="C262" i="3" l="1"/>
  <c r="D262" i="3" s="1"/>
  <c r="E262" i="3" s="1"/>
  <c r="C263" i="3" l="1"/>
  <c r="D263" i="3" s="1"/>
  <c r="E263" i="3" s="1"/>
  <c r="C264" i="3" l="1"/>
  <c r="D264" i="3" s="1"/>
  <c r="E264" i="3" s="1"/>
  <c r="C265" i="3" l="1"/>
  <c r="D265" i="3" s="1"/>
  <c r="E265" i="3" s="1"/>
  <c r="C266" i="3" l="1"/>
  <c r="D266" i="3" s="1"/>
  <c r="E266" i="3" s="1"/>
  <c r="C267" i="3" l="1"/>
  <c r="D267" i="3" s="1"/>
  <c r="E267" i="3" s="1"/>
  <c r="C268" i="3" l="1"/>
  <c r="D268" i="3" s="1"/>
  <c r="E268" i="3" s="1"/>
  <c r="C269" i="3" l="1"/>
  <c r="D269" i="3" s="1"/>
  <c r="E269" i="3" s="1"/>
  <c r="C270" i="3" l="1"/>
  <c r="D270" i="3" s="1"/>
  <c r="E270" i="3" s="1"/>
  <c r="C271" i="3" l="1"/>
  <c r="D271" i="3" s="1"/>
  <c r="E271" i="3" s="1"/>
  <c r="C272" i="3" l="1"/>
  <c r="D272" i="3" s="1"/>
  <c r="E272" i="3" s="1"/>
  <c r="C273" i="3" l="1"/>
  <c r="D273" i="3" s="1"/>
  <c r="E273" i="3" s="1"/>
  <c r="C274" i="3" l="1"/>
  <c r="D274" i="3" s="1"/>
  <c r="E274" i="3" s="1"/>
  <c r="C275" i="3" l="1"/>
  <c r="D275" i="3" s="1"/>
  <c r="E275" i="3" s="1"/>
  <c r="C276" i="3" l="1"/>
  <c r="D276" i="3" s="1"/>
  <c r="E276" i="3" s="1"/>
  <c r="C277" i="3" l="1"/>
  <c r="D277" i="3" s="1"/>
  <c r="E277" i="3" s="1"/>
  <c r="C278" i="3" l="1"/>
  <c r="D278" i="3" s="1"/>
  <c r="E278" i="3" s="1"/>
  <c r="C279" i="3" l="1"/>
  <c r="D279" i="3" s="1"/>
  <c r="E279" i="3" s="1"/>
  <c r="C280" i="3" l="1"/>
  <c r="D280" i="3" s="1"/>
  <c r="E280" i="3" s="1"/>
  <c r="C281" i="3" l="1"/>
  <c r="D281" i="3" s="1"/>
  <c r="E281" i="3" s="1"/>
  <c r="C282" i="3" l="1"/>
  <c r="D282" i="3" s="1"/>
  <c r="E282" i="3" s="1"/>
  <c r="C283" i="3" l="1"/>
  <c r="D283" i="3" s="1"/>
  <c r="E283" i="3" s="1"/>
  <c r="C284" i="3" l="1"/>
  <c r="D284" i="3" s="1"/>
  <c r="E284" i="3" s="1"/>
  <c r="C285" i="3" l="1"/>
  <c r="D285" i="3" s="1"/>
  <c r="E285" i="3" s="1"/>
  <c r="C286" i="3" l="1"/>
  <c r="D286" i="3" s="1"/>
  <c r="E286" i="3" s="1"/>
  <c r="C287" i="3" l="1"/>
  <c r="D287" i="3" s="1"/>
  <c r="E287" i="3" s="1"/>
  <c r="C288" i="3" l="1"/>
  <c r="D288" i="3" s="1"/>
  <c r="E288" i="3" s="1"/>
  <c r="C289" i="3" l="1"/>
  <c r="D289" i="3" s="1"/>
  <c r="E289" i="3" s="1"/>
  <c r="C290" i="3" l="1"/>
  <c r="D290" i="3" s="1"/>
  <c r="E290" i="3" s="1"/>
  <c r="C291" i="3" l="1"/>
  <c r="D291" i="3" s="1"/>
  <c r="E291" i="3" s="1"/>
  <c r="C292" i="3" l="1"/>
  <c r="D292" i="3" s="1"/>
  <c r="E292" i="3" s="1"/>
  <c r="C293" i="3" l="1"/>
  <c r="D293" i="3" s="1"/>
  <c r="E293" i="3" s="1"/>
  <c r="C294" i="3" l="1"/>
  <c r="D294" i="3" s="1"/>
  <c r="E294" i="3" s="1"/>
  <c r="C295" i="3" l="1"/>
  <c r="D295" i="3" s="1"/>
  <c r="E295" i="3" s="1"/>
  <c r="C296" i="3" l="1"/>
  <c r="D296" i="3" s="1"/>
  <c r="E296" i="3" s="1"/>
  <c r="C297" i="3" l="1"/>
  <c r="D297" i="3" s="1"/>
  <c r="E297" i="3" s="1"/>
  <c r="C298" i="3" l="1"/>
  <c r="D298" i="3" s="1"/>
  <c r="E298" i="3" s="1"/>
  <c r="C299" i="3" l="1"/>
  <c r="D299" i="3" s="1"/>
  <c r="E299" i="3" s="1"/>
  <c r="C300" i="3" l="1"/>
  <c r="D300" i="3" s="1"/>
  <c r="E300" i="3" s="1"/>
  <c r="C301" i="3" l="1"/>
  <c r="D301" i="3" s="1"/>
  <c r="E301" i="3" s="1"/>
  <c r="C302" i="3" l="1"/>
  <c r="D302" i="3" s="1"/>
  <c r="E302" i="3" s="1"/>
  <c r="C303" i="3" l="1"/>
  <c r="D303" i="3" s="1"/>
  <c r="E303" i="3" s="1"/>
  <c r="C304" i="3" l="1"/>
  <c r="D304" i="3" s="1"/>
  <c r="E304" i="3" s="1"/>
  <c r="C305" i="3" l="1"/>
  <c r="D305" i="3" s="1"/>
  <c r="E305" i="3" s="1"/>
  <c r="C306" i="3" l="1"/>
  <c r="D306" i="3" s="1"/>
  <c r="E306" i="3" s="1"/>
  <c r="C307" i="3" l="1"/>
  <c r="D307" i="3" s="1"/>
  <c r="E307" i="3" s="1"/>
  <c r="C308" i="3" l="1"/>
  <c r="D308" i="3" s="1"/>
  <c r="E308" i="3" s="1"/>
  <c r="C309" i="3" l="1"/>
  <c r="D309" i="3" s="1"/>
  <c r="E309" i="3" s="1"/>
  <c r="C310" i="3" l="1"/>
  <c r="D310" i="3" s="1"/>
  <c r="E310" i="3" s="1"/>
  <c r="C311" i="3" l="1"/>
  <c r="D311" i="3" s="1"/>
  <c r="E311" i="3" s="1"/>
  <c r="C312" i="3" l="1"/>
  <c r="D312" i="3" s="1"/>
  <c r="E312" i="3" s="1"/>
  <c r="C313" i="3" l="1"/>
  <c r="D313" i="3" s="1"/>
  <c r="E313" i="3" s="1"/>
  <c r="C314" i="3" l="1"/>
  <c r="D314" i="3" s="1"/>
  <c r="E314" i="3" s="1"/>
  <c r="C315" i="3" l="1"/>
  <c r="D315" i="3" s="1"/>
  <c r="E315" i="3" s="1"/>
  <c r="C316" i="3" l="1"/>
  <c r="D316" i="3" s="1"/>
  <c r="E316" i="3" s="1"/>
  <c r="C317" i="3" l="1"/>
  <c r="D317" i="3" s="1"/>
  <c r="E317" i="3" s="1"/>
  <c r="C318" i="3" l="1"/>
  <c r="D318" i="3" s="1"/>
  <c r="E318" i="3" s="1"/>
  <c r="C319" i="3" l="1"/>
  <c r="D319" i="3" s="1"/>
  <c r="E319" i="3" s="1"/>
  <c r="C320" i="3" l="1"/>
  <c r="D320" i="3" s="1"/>
  <c r="E320" i="3" s="1"/>
  <c r="C321" i="3" l="1"/>
  <c r="D321" i="3" s="1"/>
  <c r="E321" i="3" s="1"/>
  <c r="C322" i="3" l="1"/>
  <c r="D322" i="3" s="1"/>
  <c r="E322" i="3" s="1"/>
  <c r="C323" i="3" l="1"/>
  <c r="D323" i="3" s="1"/>
  <c r="E323" i="3" s="1"/>
  <c r="C324" i="3" l="1"/>
  <c r="D324" i="3" s="1"/>
  <c r="E324" i="3" s="1"/>
  <c r="C325" i="3" l="1"/>
  <c r="D325" i="3" s="1"/>
  <c r="E325" i="3" s="1"/>
  <c r="C326" i="3" l="1"/>
  <c r="D326" i="3" s="1"/>
  <c r="E326" i="3" s="1"/>
  <c r="C327" i="3" l="1"/>
  <c r="D327" i="3" s="1"/>
  <c r="E327" i="3" s="1"/>
  <c r="C328" i="3" l="1"/>
  <c r="D328" i="3" s="1"/>
  <c r="E328" i="3" s="1"/>
  <c r="C329" i="3" l="1"/>
  <c r="D329" i="3" s="1"/>
  <c r="E329" i="3" s="1"/>
  <c r="C330" i="3" l="1"/>
  <c r="D330" i="3" s="1"/>
  <c r="E330" i="3" s="1"/>
  <c r="C331" i="3" l="1"/>
  <c r="D331" i="3" s="1"/>
  <c r="E331" i="3" s="1"/>
  <c r="C332" i="3" l="1"/>
  <c r="D332" i="3" s="1"/>
  <c r="E332" i="3" s="1"/>
  <c r="C333" i="3" l="1"/>
  <c r="D333" i="3" s="1"/>
  <c r="E333" i="3" s="1"/>
  <c r="C334" i="3" l="1"/>
  <c r="D334" i="3" s="1"/>
  <c r="E334" i="3" s="1"/>
  <c r="C335" i="3" l="1"/>
  <c r="D335" i="3" s="1"/>
  <c r="E335" i="3" s="1"/>
  <c r="C336" i="3" l="1"/>
  <c r="D336" i="3" s="1"/>
  <c r="E336" i="3" s="1"/>
  <c r="C337" i="3" l="1"/>
  <c r="D337" i="3" s="1"/>
  <c r="E337" i="3" s="1"/>
  <c r="C338" i="3" l="1"/>
  <c r="D338" i="3" s="1"/>
  <c r="E338" i="3" s="1"/>
  <c r="C339" i="3" l="1"/>
  <c r="D339" i="3" s="1"/>
  <c r="E339" i="3" s="1"/>
  <c r="C340" i="3" l="1"/>
  <c r="D340" i="3" s="1"/>
  <c r="E340" i="3" s="1"/>
  <c r="C341" i="3" l="1"/>
  <c r="D341" i="3" s="1"/>
  <c r="E341" i="3" s="1"/>
  <c r="C342" i="3" l="1"/>
  <c r="D342" i="3" s="1"/>
  <c r="E342" i="3" s="1"/>
  <c r="C343" i="3" l="1"/>
  <c r="D343" i="3" s="1"/>
  <c r="E343" i="3" s="1"/>
  <c r="C344" i="3" l="1"/>
  <c r="D344" i="3" s="1"/>
  <c r="E344" i="3" s="1"/>
  <c r="C345" i="3" l="1"/>
  <c r="D345" i="3" s="1"/>
  <c r="E345" i="3" s="1"/>
  <c r="C346" i="3" l="1"/>
  <c r="D346" i="3" s="1"/>
  <c r="E346" i="3" s="1"/>
  <c r="C347" i="3" l="1"/>
  <c r="D347" i="3" s="1"/>
  <c r="E347" i="3" s="1"/>
  <c r="C348" i="3" l="1"/>
  <c r="D348" i="3" s="1"/>
  <c r="E348" i="3" s="1"/>
  <c r="C349" i="3" l="1"/>
  <c r="D349" i="3" s="1"/>
  <c r="E349" i="3" s="1"/>
  <c r="C350" i="3" l="1"/>
  <c r="D350" i="3" s="1"/>
  <c r="E350" i="3" s="1"/>
  <c r="C351" i="3" l="1"/>
  <c r="D351" i="3" s="1"/>
  <c r="E351" i="3" s="1"/>
  <c r="C352" i="3" l="1"/>
  <c r="D352" i="3" s="1"/>
  <c r="E352" i="3" s="1"/>
  <c r="C353" i="3" l="1"/>
  <c r="D353" i="3" s="1"/>
  <c r="E353" i="3" s="1"/>
  <c r="C354" i="3" l="1"/>
  <c r="D354" i="3" s="1"/>
  <c r="E354" i="3" s="1"/>
  <c r="C355" i="3" l="1"/>
  <c r="D355" i="3" s="1"/>
  <c r="E355" i="3" s="1"/>
  <c r="C356" i="3" l="1"/>
  <c r="D356" i="3" s="1"/>
  <c r="E356" i="3" s="1"/>
  <c r="C357" i="3" l="1"/>
  <c r="D357" i="3" s="1"/>
  <c r="E357" i="3" s="1"/>
  <c r="C358" i="3" l="1"/>
  <c r="D358" i="3" s="1"/>
  <c r="E358" i="3" s="1"/>
  <c r="C359" i="3" l="1"/>
  <c r="D359" i="3" s="1"/>
  <c r="E359" i="3" s="1"/>
  <c r="C360" i="3" l="1"/>
  <c r="D360" i="3" s="1"/>
  <c r="E360" i="3" s="1"/>
  <c r="C361" i="3" l="1"/>
  <c r="D361" i="3" s="1"/>
  <c r="E361" i="3" s="1"/>
  <c r="C362" i="3" l="1"/>
  <c r="D362" i="3" s="1"/>
  <c r="E362" i="3" s="1"/>
  <c r="C363" i="3" l="1"/>
  <c r="D363" i="3" s="1"/>
  <c r="E363" i="3" s="1"/>
  <c r="C364" i="3" l="1"/>
  <c r="D364" i="3" s="1"/>
  <c r="E364" i="3" s="1"/>
  <c r="C365" i="3" l="1"/>
  <c r="D365" i="3" s="1"/>
  <c r="E365" i="3" s="1"/>
  <c r="C366" i="3" l="1"/>
  <c r="D366" i="3" s="1"/>
  <c r="E366" i="3" s="1"/>
</calcChain>
</file>

<file path=xl/sharedStrings.xml><?xml version="1.0" encoding="utf-8"?>
<sst xmlns="http://schemas.openxmlformats.org/spreadsheetml/2006/main" count="539" uniqueCount="184">
  <si>
    <t>OUTSIDE NUMBERS/ASSUMPTIONS</t>
  </si>
  <si>
    <t>INCOME STATEMENT</t>
  </si>
  <si>
    <t>BALANCE SHEET</t>
  </si>
  <si>
    <t>Days of receivables</t>
  </si>
  <si>
    <t>Assets</t>
  </si>
  <si>
    <t>Accounts Receivable</t>
  </si>
  <si>
    <t>Minimum Cash Inventory</t>
  </si>
  <si>
    <t>Total Assets</t>
  </si>
  <si>
    <t>Liabilities and Equity</t>
  </si>
  <si>
    <t>Accounts Payable (Utilities)</t>
  </si>
  <si>
    <t>Income Tax Payable</t>
  </si>
  <si>
    <t>Mortgage Loan</t>
  </si>
  <si>
    <t>Extra Bank Loan</t>
  </si>
  <si>
    <t>Common Stock</t>
  </si>
  <si>
    <t>Retained Earnings</t>
  </si>
  <si>
    <t>Total Liabilities and Equity</t>
  </si>
  <si>
    <t>DFN (Discretionary Funds Needed)</t>
  </si>
  <si>
    <t>Mortgage Interest Expense</t>
  </si>
  <si>
    <t>Extra Bank Loan Interest Expense</t>
  </si>
  <si>
    <t>Taxable Income</t>
  </si>
  <si>
    <t>Income Tax Expense</t>
  </si>
  <si>
    <t>Net Income</t>
  </si>
  <si>
    <t>Payment</t>
  </si>
  <si>
    <t>Days of payables (Utilities Expense)</t>
  </si>
  <si>
    <t>FORECASTED PRO FORMA</t>
  </si>
  <si>
    <t>Cash Above Minimum(extra)</t>
  </si>
  <si>
    <t>Pro Kart</t>
  </si>
  <si>
    <t>Racing League</t>
  </si>
  <si>
    <t>Group Rental</t>
  </si>
  <si>
    <t>Total Revenue</t>
  </si>
  <si>
    <t>Fuel Expense</t>
  </si>
  <si>
    <t>Maintanace Expense</t>
  </si>
  <si>
    <t>Utilities Expense</t>
  </si>
  <si>
    <t>Total Expenses</t>
  </si>
  <si>
    <t>Rookie Kart</t>
  </si>
  <si>
    <t>Salary Exp</t>
  </si>
  <si>
    <t>Building</t>
  </si>
  <si>
    <t>sqft</t>
  </si>
  <si>
    <t>$/sqft</t>
  </si>
  <si>
    <t>Salaries &amp; Employees Payable</t>
  </si>
  <si>
    <t>Days of Payables (Wages)</t>
  </si>
  <si>
    <t xml:space="preserve">Yearly work Schedule </t>
  </si>
  <si>
    <t xml:space="preserve">Months </t>
  </si>
  <si>
    <t xml:space="preserve">Days Per Month </t>
  </si>
  <si>
    <t xml:space="preserve">Hours per Day </t>
  </si>
  <si>
    <t>All Day Passes</t>
  </si>
  <si>
    <t>One time ticket purchase</t>
  </si>
  <si>
    <t xml:space="preserve">Pro Kart Group Rate </t>
  </si>
  <si>
    <t>Pro Karts Single Race Rate</t>
  </si>
  <si>
    <t>Pro Karts All-Day Pass Rate</t>
  </si>
  <si>
    <t>Rookie Karts Single Race Rate</t>
  </si>
  <si>
    <t>Rookie Karts All-Day Pass Rate</t>
  </si>
  <si>
    <t>Rookie Kart Group Rate</t>
  </si>
  <si>
    <t>Total Groups/ year</t>
  </si>
  <si>
    <t>Racing League Rate</t>
  </si>
  <si>
    <t>Kart Values</t>
  </si>
  <si>
    <t>Land Dimensions</t>
  </si>
  <si>
    <t>Interest Rate</t>
  </si>
  <si>
    <t>Part Time Employees</t>
  </si>
  <si>
    <t>Full Time Employees</t>
  </si>
  <si>
    <t>Part Time Employee Expense</t>
  </si>
  <si>
    <t>Loan Balance</t>
  </si>
  <si>
    <t xml:space="preserve">Principle </t>
  </si>
  <si>
    <t>Interest</t>
  </si>
  <si>
    <t>Period</t>
  </si>
  <si>
    <t>Loan Amount</t>
  </si>
  <si>
    <t>Cash from Operations</t>
  </si>
  <si>
    <t xml:space="preserve">Operating Profit </t>
  </si>
  <si>
    <t>Less: Dep</t>
  </si>
  <si>
    <t xml:space="preserve">Taxable op profit </t>
  </si>
  <si>
    <t>Tax on Operations</t>
  </si>
  <si>
    <t>Net Operating Income</t>
  </si>
  <si>
    <t>Add Back Dep</t>
  </si>
  <si>
    <t>Cash from Expenditures</t>
  </si>
  <si>
    <t>Buy Bldg</t>
  </si>
  <si>
    <t xml:space="preserve">Cash from Changes in Working Capital </t>
  </si>
  <si>
    <t>Cash from liquidation of Working Capital</t>
  </si>
  <si>
    <t>Total Free Cash Flows</t>
  </si>
  <si>
    <t>PV of Total Free Cash Flows</t>
  </si>
  <si>
    <t>NPV</t>
  </si>
  <si>
    <t>IRR</t>
  </si>
  <si>
    <t>Book Value</t>
  </si>
  <si>
    <t>Rookie (84cc Kids Road Rat Racer XK )</t>
  </si>
  <si>
    <t>Pro Kart (Adult Kart Chassis XR )</t>
  </si>
  <si>
    <t>Runs per hour</t>
  </si>
  <si>
    <t>Rookie Karts Per Run</t>
  </si>
  <si>
    <t>Pro Karts Per Run</t>
  </si>
  <si>
    <t>Pro Kart Group Revenue</t>
  </si>
  <si>
    <t>Rookie Kart Group Reveue</t>
  </si>
  <si>
    <t>Pro Kart Single Ticket Revenue</t>
  </si>
  <si>
    <t>Single Tickets</t>
  </si>
  <si>
    <t>Rookie Kart Single Ticket Revenue</t>
  </si>
  <si>
    <t>All-Day Tickets</t>
  </si>
  <si>
    <t>Pro Kart All-Day Ticket Revenue</t>
  </si>
  <si>
    <t>Rookie Kart All-Day Ticket Revenue</t>
  </si>
  <si>
    <t xml:space="preserve">Occupancy Percentage </t>
  </si>
  <si>
    <t>Pro Kart Run Occupancy %</t>
  </si>
  <si>
    <t>Rookie Kart Run Occupancy %</t>
  </si>
  <si>
    <t>Rookie Runs Per Hour</t>
  </si>
  <si>
    <t>Pro Kart Runs Per Hour</t>
  </si>
  <si>
    <t>Break Down of Kart Ticket Purchases</t>
  </si>
  <si>
    <t>Pro Kart Group Party Sales</t>
  </si>
  <si>
    <t>Rookie Kart Group Party Sales</t>
  </si>
  <si>
    <t>Racing Leage Events</t>
  </si>
  <si>
    <t>Racing League Occupancy %</t>
  </si>
  <si>
    <t>Inflation</t>
  </si>
  <si>
    <t>S&amp;P</t>
  </si>
  <si>
    <t>Total Cash From Operations</t>
  </si>
  <si>
    <t>Inventory</t>
  </si>
  <si>
    <t>Accounts Payable</t>
  </si>
  <si>
    <t>Blended cost of debt</t>
  </si>
  <si>
    <t>Relevered beta</t>
  </si>
  <si>
    <t>Tbills</t>
  </si>
  <si>
    <t>WACC</t>
  </si>
  <si>
    <t>Current Debt %</t>
  </si>
  <si>
    <t>Curretn Equtiy %</t>
  </si>
  <si>
    <t>unlevered beta</t>
  </si>
  <si>
    <t>Cost of Equity (CAPM)</t>
  </si>
  <si>
    <t>Averag WACC</t>
  </si>
  <si>
    <t xml:space="preserve">Buy Equipment </t>
  </si>
  <si>
    <t xml:space="preserve">Buy Track </t>
  </si>
  <si>
    <t>Sell Building</t>
  </si>
  <si>
    <t>Sell Equipment</t>
  </si>
  <si>
    <t xml:space="preserve">Sell Track </t>
  </si>
  <si>
    <t>Pay taxes on Sales</t>
  </si>
  <si>
    <t>Accumulated Depreciation Building</t>
  </si>
  <si>
    <t>Accumulated Depreciation Karts</t>
  </si>
  <si>
    <t>Total Accumulated Depreciation</t>
  </si>
  <si>
    <t>Building Improvement</t>
  </si>
  <si>
    <t>WACC in 2013</t>
  </si>
  <si>
    <t>Total Acres</t>
  </si>
  <si>
    <t>$/Acre</t>
  </si>
  <si>
    <t>Fuel Expense Percentage</t>
  </si>
  <si>
    <t>Maintenance Expense</t>
  </si>
  <si>
    <t>Utilities</t>
  </si>
  <si>
    <t>Salary Expense Percentage Increase</t>
  </si>
  <si>
    <t>Part Time Employee Pay Rate</t>
  </si>
  <si>
    <t>Part Time Employee Hours Per Day</t>
  </si>
  <si>
    <t>Starting Salary Expense</t>
  </si>
  <si>
    <t>Building Depreciation Expense</t>
  </si>
  <si>
    <t>Go Karts Depreciation Expense</t>
  </si>
  <si>
    <t>Track Depreciation Expense</t>
  </si>
  <si>
    <t>Total Depreciation Expense</t>
  </si>
  <si>
    <t>Building Life</t>
  </si>
  <si>
    <t>Go Kart Life</t>
  </si>
  <si>
    <t>Track Life</t>
  </si>
  <si>
    <t>Track</t>
  </si>
  <si>
    <t>Accumulated Depreciation Track</t>
  </si>
  <si>
    <t>Extra Bank Loan Percent</t>
  </si>
  <si>
    <t>Income Tax Percent(0% if negative)</t>
  </si>
  <si>
    <t>Groups Per Week</t>
  </si>
  <si>
    <t>Weeks Per Month</t>
  </si>
  <si>
    <t>Sell %</t>
  </si>
  <si>
    <t>Track Improvement</t>
  </si>
  <si>
    <t>Buy New Karts</t>
  </si>
  <si>
    <t>Strong Market Total FCF</t>
    <phoneticPr fontId="0" type="noConversion"/>
  </si>
  <si>
    <t>Total FCF from Operations</t>
    <phoneticPr fontId="0" type="noConversion"/>
  </si>
  <si>
    <t>Addition of Optional Warehouse</t>
  </si>
  <si>
    <t>Total FCF from Capital Exp</t>
    <phoneticPr fontId="0" type="noConversion"/>
  </si>
  <si>
    <t>Total FCF from WC Changes</t>
    <phoneticPr fontId="0" type="noConversion"/>
  </si>
  <si>
    <t>Total FCF from WC Liquid</t>
    <phoneticPr fontId="0" type="noConversion"/>
  </si>
  <si>
    <t>TOTAL STRONG MARKET FCF</t>
    <phoneticPr fontId="0" type="noConversion"/>
  </si>
  <si>
    <t>PV of total FCf</t>
    <phoneticPr fontId="0" type="noConversion"/>
  </si>
  <si>
    <t>NPV</t>
    <phoneticPr fontId="0" type="noConversion"/>
  </si>
  <si>
    <t>IRR</t>
    <phoneticPr fontId="0" type="noConversion"/>
  </si>
  <si>
    <t>Neutral Market Total FCF</t>
    <phoneticPr fontId="0" type="noConversion"/>
  </si>
  <si>
    <t>Weak Market Total FCF</t>
    <phoneticPr fontId="0" type="noConversion"/>
  </si>
  <si>
    <t>Total Expenditures</t>
  </si>
  <si>
    <t>Total FCF From WC</t>
  </si>
  <si>
    <t>Total FCF From Liquidation</t>
  </si>
  <si>
    <t>WACC Strong</t>
  </si>
  <si>
    <t>WACC Neutral</t>
  </si>
  <si>
    <t>WACC Weak</t>
  </si>
  <si>
    <t>Total</t>
  </si>
  <si>
    <t>TOTAL Neutral MARKET FCF</t>
  </si>
  <si>
    <t>total</t>
  </si>
  <si>
    <t>TOTAL Weak MARKET FCF</t>
  </si>
  <si>
    <t>Probability</t>
  </si>
  <si>
    <t>Strong</t>
  </si>
  <si>
    <t>Neutral</t>
  </si>
  <si>
    <t>Weak</t>
  </si>
  <si>
    <t>NPV*Prob</t>
  </si>
  <si>
    <t>Whole Project</t>
  </si>
  <si>
    <t>Warehouse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</si>
</sst>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2" applyFont="1"/>
    <xf numFmtId="8" fontId="0" fillId="0" borderId="0" xfId="2" applyNumberFormat="1" applyFont="1"/>
    <xf numFmtId="44" fontId="0" fillId="3" borderId="1" xfId="2" applyFont="1" applyFill="1" applyBorder="1" applyAlignment="1">
      <alignment horizontal="center"/>
    </xf>
    <xf numFmtId="0" fontId="0" fillId="4" borderId="1" xfId="2" applyNumberFormat="1" applyFont="1" applyFill="1" applyBorder="1"/>
    <xf numFmtId="44" fontId="0" fillId="4" borderId="1" xfId="2" applyFont="1" applyFill="1" applyBorder="1"/>
    <xf numFmtId="165" fontId="0" fillId="4" borderId="1" xfId="3" applyNumberFormat="1" applyFont="1" applyFill="1" applyBorder="1"/>
    <xf numFmtId="0" fontId="0" fillId="2" borderId="0" xfId="0" applyFill="1"/>
    <xf numFmtId="8" fontId="0" fillId="2" borderId="0" xfId="2" applyNumberFormat="1" applyFont="1" applyFill="1"/>
    <xf numFmtId="44" fontId="0" fillId="2" borderId="0" xfId="2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0" fillId="0" borderId="0" xfId="0" applyFill="1" applyAlignment="1">
      <alignment horizontal="left"/>
    </xf>
    <xf numFmtId="0" fontId="3" fillId="0" borderId="3" xfId="0" applyFont="1" applyFill="1" applyBorder="1" applyAlignment="1">
      <alignment horizontal="left" indent="1"/>
    </xf>
    <xf numFmtId="9" fontId="0" fillId="0" borderId="0" xfId="3" applyFont="1"/>
    <xf numFmtId="9" fontId="0" fillId="0" borderId="0" xfId="0" applyNumberFormat="1"/>
    <xf numFmtId="164" fontId="0" fillId="0" borderId="0" xfId="0" applyNumberFormat="1"/>
    <xf numFmtId="164" fontId="0" fillId="0" borderId="0" xfId="2" applyNumberFormat="1" applyFont="1"/>
    <xf numFmtId="0" fontId="0" fillId="0" borderId="0" xfId="1" applyNumberFormat="1" applyFont="1"/>
    <xf numFmtId="0" fontId="0" fillId="0" borderId="0" xfId="2" applyNumberFormat="1" applyFont="1"/>
    <xf numFmtId="0" fontId="0" fillId="0" borderId="0" xfId="0" applyNumberFormat="1"/>
    <xf numFmtId="6" fontId="0" fillId="0" borderId="0" xfId="0" applyNumberFormat="1"/>
    <xf numFmtId="8" fontId="0" fillId="0" borderId="0" xfId="0" applyNumberFormat="1"/>
    <xf numFmtId="44" fontId="0" fillId="0" borderId="0" xfId="0" applyNumberFormat="1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8" fontId="0" fillId="4" borderId="1" xfId="2" applyNumberFormat="1" applyFont="1" applyFill="1" applyBorder="1"/>
    <xf numFmtId="10" fontId="0" fillId="0" borderId="0" xfId="3" applyNumberFormat="1" applyFont="1"/>
    <xf numFmtId="10" fontId="0" fillId="0" borderId="0" xfId="0" applyNumberFormat="1"/>
    <xf numFmtId="44" fontId="0" fillId="0" borderId="2" xfId="0" applyNumberFormat="1" applyBorder="1"/>
    <xf numFmtId="0" fontId="5" fillId="0" borderId="0" xfId="0" applyFont="1"/>
    <xf numFmtId="0" fontId="6" fillId="0" borderId="0" xfId="0" applyFont="1"/>
    <xf numFmtId="8" fontId="0" fillId="0" borderId="2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workbookViewId="0">
      <selection activeCell="D2" sqref="D2"/>
    </sheetView>
  </sheetViews>
  <sheetFormatPr defaultRowHeight="15" x14ac:dyDescent="0.25"/>
  <cols>
    <col min="2" max="2" width="13.5703125" style="1" bestFit="1" customWidth="1"/>
    <col min="3" max="3" width="12.5703125" style="1" bestFit="1" customWidth="1"/>
    <col min="4" max="4" width="10.7109375" style="1" bestFit="1" customWidth="1"/>
    <col min="5" max="5" width="12.42578125" style="1" bestFit="1" customWidth="1"/>
    <col min="6" max="6" width="11" bestFit="1" customWidth="1"/>
    <col min="7" max="8" width="10.85546875" bestFit="1" customWidth="1"/>
    <col min="9" max="9" width="14" bestFit="1" customWidth="1"/>
  </cols>
  <sheetData>
    <row r="1" spans="1:9" x14ac:dyDescent="0.25">
      <c r="B1" s="5" t="s">
        <v>65</v>
      </c>
      <c r="C1" s="35">
        <f>H6</f>
        <v>55546.142883379245</v>
      </c>
    </row>
    <row r="2" spans="1:9" x14ac:dyDescent="0.25">
      <c r="B2" s="5" t="s">
        <v>57</v>
      </c>
      <c r="C2" s="6">
        <v>7.1999999999999995E-2</v>
      </c>
    </row>
    <row r="3" spans="1:9" x14ac:dyDescent="0.25">
      <c r="B3" s="5" t="s">
        <v>64</v>
      </c>
      <c r="C3" s="4">
        <f>30*12</f>
        <v>360</v>
      </c>
    </row>
    <row r="4" spans="1:9" x14ac:dyDescent="0.25">
      <c r="G4" s="29">
        <f>SUM('Pro Forma Normal'!D110:D113)</f>
        <v>79351.632690541781</v>
      </c>
    </row>
    <row r="5" spans="1:9" x14ac:dyDescent="0.25">
      <c r="B5" s="3" t="s">
        <v>22</v>
      </c>
      <c r="C5" s="3" t="s">
        <v>63</v>
      </c>
      <c r="D5" s="3" t="s">
        <v>62</v>
      </c>
      <c r="E5" s="3" t="s">
        <v>61</v>
      </c>
      <c r="G5" s="23">
        <f>1-H5</f>
        <v>0.30000000000000004</v>
      </c>
      <c r="H5" s="23">
        <v>0.7</v>
      </c>
    </row>
    <row r="6" spans="1:9" x14ac:dyDescent="0.25">
      <c r="E6" s="1">
        <f>$C$1</f>
        <v>55546.142883379245</v>
      </c>
      <c r="G6" s="30">
        <f>G5*G4</f>
        <v>23805.489807162539</v>
      </c>
      <c r="H6" s="30">
        <f>G4*H5</f>
        <v>55546.142883379245</v>
      </c>
      <c r="I6" s="30"/>
    </row>
    <row r="7" spans="1:9" x14ac:dyDescent="0.25">
      <c r="A7">
        <v>1</v>
      </c>
      <c r="B7" s="2">
        <f t="shared" ref="B7:B70" si="0">PMT($C$2/12,$C$3,-$E$6)</f>
        <v>377.04066870632943</v>
      </c>
      <c r="C7" s="1">
        <f t="shared" ref="C7:C70" si="1">E6*($C$2/12)</f>
        <v>333.27685730027542</v>
      </c>
      <c r="D7" s="2">
        <f t="shared" ref="D7:D70" si="2">B7-C7</f>
        <v>43.763811406054003</v>
      </c>
      <c r="E7" s="1">
        <f t="shared" ref="E7:E70" si="3">E6-D7</f>
        <v>55502.379071973191</v>
      </c>
    </row>
    <row r="8" spans="1:9" x14ac:dyDescent="0.25">
      <c r="A8">
        <v>2</v>
      </c>
      <c r="B8" s="2">
        <f t="shared" si="0"/>
        <v>377.04066870632943</v>
      </c>
      <c r="C8" s="1">
        <f t="shared" si="1"/>
        <v>333.01427443183911</v>
      </c>
      <c r="D8" s="2">
        <f t="shared" si="2"/>
        <v>44.026394274490315</v>
      </c>
      <c r="E8" s="1">
        <f t="shared" si="3"/>
        <v>55458.352677698698</v>
      </c>
    </row>
    <row r="9" spans="1:9" x14ac:dyDescent="0.25">
      <c r="A9">
        <v>3</v>
      </c>
      <c r="B9" s="2">
        <f t="shared" si="0"/>
        <v>377.04066870632943</v>
      </c>
      <c r="C9" s="1">
        <f t="shared" si="1"/>
        <v>332.75011606619216</v>
      </c>
      <c r="D9" s="2">
        <f t="shared" si="2"/>
        <v>44.290552640137264</v>
      </c>
      <c r="E9" s="1">
        <f t="shared" si="3"/>
        <v>55414.062125058561</v>
      </c>
    </row>
    <row r="10" spans="1:9" x14ac:dyDescent="0.25">
      <c r="A10">
        <v>4</v>
      </c>
      <c r="B10" s="2">
        <f t="shared" si="0"/>
        <v>377.04066870632943</v>
      </c>
      <c r="C10" s="1">
        <f t="shared" si="1"/>
        <v>332.48437275035133</v>
      </c>
      <c r="D10" s="2">
        <f t="shared" si="2"/>
        <v>44.556295955978101</v>
      </c>
      <c r="E10" s="1">
        <f t="shared" si="3"/>
        <v>55369.505829102585</v>
      </c>
    </row>
    <row r="11" spans="1:9" x14ac:dyDescent="0.25">
      <c r="A11">
        <v>5</v>
      </c>
      <c r="B11" s="2">
        <f t="shared" si="0"/>
        <v>377.04066870632943</v>
      </c>
      <c r="C11" s="1">
        <f t="shared" si="1"/>
        <v>332.21703497461544</v>
      </c>
      <c r="D11" s="2">
        <f t="shared" si="2"/>
        <v>44.823633731713983</v>
      </c>
      <c r="E11" s="1">
        <f t="shared" si="3"/>
        <v>55324.682195370871</v>
      </c>
    </row>
    <row r="12" spans="1:9" x14ac:dyDescent="0.25">
      <c r="A12">
        <v>6</v>
      </c>
      <c r="B12" s="2">
        <f t="shared" si="0"/>
        <v>377.04066870632943</v>
      </c>
      <c r="C12" s="1">
        <f t="shared" si="1"/>
        <v>331.94809317222519</v>
      </c>
      <c r="D12" s="2">
        <f t="shared" si="2"/>
        <v>45.092575534104242</v>
      </c>
      <c r="E12" s="1">
        <f t="shared" si="3"/>
        <v>55279.58961983677</v>
      </c>
    </row>
    <row r="13" spans="1:9" x14ac:dyDescent="0.25">
      <c r="A13">
        <v>7</v>
      </c>
      <c r="B13" s="2">
        <f t="shared" si="0"/>
        <v>377.04066870632943</v>
      </c>
      <c r="C13" s="1">
        <f t="shared" si="1"/>
        <v>331.67753771902056</v>
      </c>
      <c r="D13" s="2">
        <f t="shared" si="2"/>
        <v>45.363130987308864</v>
      </c>
      <c r="E13" s="1">
        <f t="shared" si="3"/>
        <v>55234.226488849461</v>
      </c>
    </row>
    <row r="14" spans="1:9" x14ac:dyDescent="0.25">
      <c r="A14">
        <v>8</v>
      </c>
      <c r="B14" s="2">
        <f t="shared" si="0"/>
        <v>377.04066870632943</v>
      </c>
      <c r="C14" s="1">
        <f t="shared" si="1"/>
        <v>331.40535893309675</v>
      </c>
      <c r="D14" s="2">
        <f t="shared" si="2"/>
        <v>45.635309773232677</v>
      </c>
      <c r="E14" s="1">
        <f t="shared" si="3"/>
        <v>55188.591179076226</v>
      </c>
    </row>
    <row r="15" spans="1:9" x14ac:dyDescent="0.25">
      <c r="A15">
        <v>9</v>
      </c>
      <c r="B15" s="2">
        <f t="shared" si="0"/>
        <v>377.04066870632943</v>
      </c>
      <c r="C15" s="1">
        <f t="shared" si="1"/>
        <v>331.13154707445733</v>
      </c>
      <c r="D15" s="2">
        <f t="shared" si="2"/>
        <v>45.909121631872097</v>
      </c>
      <c r="E15" s="1">
        <f t="shared" si="3"/>
        <v>55142.682057444355</v>
      </c>
    </row>
    <row r="16" spans="1:9" x14ac:dyDescent="0.25">
      <c r="A16">
        <v>10</v>
      </c>
      <c r="B16" s="2">
        <f t="shared" si="0"/>
        <v>377.04066870632943</v>
      </c>
      <c r="C16" s="1">
        <f t="shared" si="1"/>
        <v>330.85609234466608</v>
      </c>
      <c r="D16" s="2">
        <f t="shared" si="2"/>
        <v>46.184576361663346</v>
      </c>
      <c r="E16" s="1">
        <f t="shared" si="3"/>
        <v>55096.49748108269</v>
      </c>
    </row>
    <row r="17" spans="1:9" x14ac:dyDescent="0.25">
      <c r="A17">
        <v>11</v>
      </c>
      <c r="B17" s="2">
        <f t="shared" si="0"/>
        <v>377.04066870632943</v>
      </c>
      <c r="C17" s="1">
        <f t="shared" si="1"/>
        <v>330.57898488649607</v>
      </c>
      <c r="D17" s="2">
        <f t="shared" si="2"/>
        <v>46.461683819833354</v>
      </c>
      <c r="E17" s="1">
        <f t="shared" si="3"/>
        <v>55050.035797262855</v>
      </c>
    </row>
    <row r="18" spans="1:9" x14ac:dyDescent="0.25">
      <c r="A18">
        <v>12</v>
      </c>
      <c r="B18" s="2">
        <f t="shared" si="0"/>
        <v>377.04066870632943</v>
      </c>
      <c r="C18" s="1">
        <f t="shared" si="1"/>
        <v>330.30021478357708</v>
      </c>
      <c r="D18" s="2">
        <f t="shared" si="2"/>
        <v>46.740453922752351</v>
      </c>
      <c r="E18" s="1">
        <f t="shared" si="3"/>
        <v>55003.295343340105</v>
      </c>
      <c r="I18">
        <f>5*12</f>
        <v>60</v>
      </c>
    </row>
    <row r="19" spans="1:9" x14ac:dyDescent="0.25">
      <c r="A19">
        <v>13</v>
      </c>
      <c r="B19" s="2">
        <f t="shared" si="0"/>
        <v>377.04066870632943</v>
      </c>
      <c r="C19" s="1">
        <f t="shared" si="1"/>
        <v>330.01977206004057</v>
      </c>
      <c r="D19" s="2">
        <f t="shared" si="2"/>
        <v>47.020896646288861</v>
      </c>
      <c r="E19" s="1">
        <f t="shared" si="3"/>
        <v>54956.274446693817</v>
      </c>
    </row>
    <row r="20" spans="1:9" x14ac:dyDescent="0.25">
      <c r="A20">
        <v>14</v>
      </c>
      <c r="B20" s="2">
        <f t="shared" si="0"/>
        <v>377.04066870632943</v>
      </c>
      <c r="C20" s="1">
        <f t="shared" si="1"/>
        <v>329.73764668016287</v>
      </c>
      <c r="D20" s="2">
        <f t="shared" si="2"/>
        <v>47.303022026166559</v>
      </c>
      <c r="E20" s="1">
        <f t="shared" si="3"/>
        <v>54908.971424667652</v>
      </c>
    </row>
    <row r="21" spans="1:9" x14ac:dyDescent="0.25">
      <c r="A21">
        <v>15</v>
      </c>
      <c r="B21" s="2">
        <f t="shared" si="0"/>
        <v>377.04066870632943</v>
      </c>
      <c r="C21" s="1">
        <f t="shared" si="1"/>
        <v>329.45382854800584</v>
      </c>
      <c r="D21" s="2">
        <f t="shared" si="2"/>
        <v>47.586840158323582</v>
      </c>
      <c r="E21" s="1">
        <f t="shared" si="3"/>
        <v>54861.384584509331</v>
      </c>
    </row>
    <row r="22" spans="1:9" x14ac:dyDescent="0.25">
      <c r="A22">
        <v>16</v>
      </c>
      <c r="B22" s="2">
        <f t="shared" si="0"/>
        <v>377.04066870632943</v>
      </c>
      <c r="C22" s="1">
        <f t="shared" si="1"/>
        <v>329.16830750705594</v>
      </c>
      <c r="D22" s="2">
        <f t="shared" si="2"/>
        <v>47.872361199273485</v>
      </c>
      <c r="E22" s="1">
        <f t="shared" si="3"/>
        <v>54813.512223310056</v>
      </c>
    </row>
    <row r="23" spans="1:9" x14ac:dyDescent="0.25">
      <c r="A23">
        <v>17</v>
      </c>
      <c r="B23" s="2">
        <f t="shared" si="0"/>
        <v>377.04066870632943</v>
      </c>
      <c r="C23" s="1">
        <f t="shared" si="1"/>
        <v>328.88107333986028</v>
      </c>
      <c r="D23" s="2">
        <f t="shared" si="2"/>
        <v>48.159595366469148</v>
      </c>
      <c r="E23" s="1">
        <f t="shared" si="3"/>
        <v>54765.35262794359</v>
      </c>
    </row>
    <row r="24" spans="1:9" x14ac:dyDescent="0.25">
      <c r="A24">
        <v>18</v>
      </c>
      <c r="B24" s="2">
        <f t="shared" si="0"/>
        <v>377.04066870632943</v>
      </c>
      <c r="C24" s="1">
        <f t="shared" si="1"/>
        <v>328.59211576766148</v>
      </c>
      <c r="D24" s="2">
        <f t="shared" si="2"/>
        <v>48.448552938667945</v>
      </c>
      <c r="E24" s="1">
        <f t="shared" si="3"/>
        <v>54716.904075004924</v>
      </c>
    </row>
    <row r="25" spans="1:9" x14ac:dyDescent="0.25">
      <c r="A25">
        <v>19</v>
      </c>
      <c r="B25" s="2">
        <f t="shared" si="0"/>
        <v>377.04066870632943</v>
      </c>
      <c r="C25" s="1">
        <f t="shared" si="1"/>
        <v>328.30142445002951</v>
      </c>
      <c r="D25" s="2">
        <f t="shared" si="2"/>
        <v>48.739244256299912</v>
      </c>
      <c r="E25" s="1">
        <f t="shared" si="3"/>
        <v>54668.164830748625</v>
      </c>
    </row>
    <row r="26" spans="1:9" x14ac:dyDescent="0.25">
      <c r="A26">
        <v>20</v>
      </c>
      <c r="B26" s="2">
        <f t="shared" si="0"/>
        <v>377.04066870632943</v>
      </c>
      <c r="C26" s="1">
        <f t="shared" si="1"/>
        <v>328.00898898449174</v>
      </c>
      <c r="D26" s="2">
        <f t="shared" si="2"/>
        <v>49.031679721837691</v>
      </c>
      <c r="E26" s="1">
        <f t="shared" si="3"/>
        <v>54619.133151026785</v>
      </c>
    </row>
    <row r="27" spans="1:9" x14ac:dyDescent="0.25">
      <c r="A27">
        <v>21</v>
      </c>
      <c r="B27" s="2">
        <f t="shared" si="0"/>
        <v>377.04066870632943</v>
      </c>
      <c r="C27" s="1">
        <f t="shared" si="1"/>
        <v>327.71479890616069</v>
      </c>
      <c r="D27" s="2">
        <f t="shared" si="2"/>
        <v>49.325869800168732</v>
      </c>
      <c r="E27" s="1">
        <f t="shared" si="3"/>
        <v>54569.807281226618</v>
      </c>
    </row>
    <row r="28" spans="1:9" x14ac:dyDescent="0.25">
      <c r="A28">
        <v>22</v>
      </c>
      <c r="B28" s="2">
        <f t="shared" si="0"/>
        <v>377.04066870632943</v>
      </c>
      <c r="C28" s="1">
        <f t="shared" si="1"/>
        <v>327.4188436873597</v>
      </c>
      <c r="D28" s="2">
        <f t="shared" si="2"/>
        <v>49.62182501896973</v>
      </c>
      <c r="E28" s="1">
        <f t="shared" si="3"/>
        <v>54520.185456207648</v>
      </c>
    </row>
    <row r="29" spans="1:9" x14ac:dyDescent="0.25">
      <c r="A29">
        <v>23</v>
      </c>
      <c r="B29" s="2">
        <f t="shared" si="0"/>
        <v>377.04066870632943</v>
      </c>
      <c r="C29" s="1">
        <f t="shared" si="1"/>
        <v>327.12111273724582</v>
      </c>
      <c r="D29" s="2">
        <f t="shared" si="2"/>
        <v>49.919555969083603</v>
      </c>
      <c r="E29" s="1">
        <f t="shared" si="3"/>
        <v>54470.265900238563</v>
      </c>
    </row>
    <row r="30" spans="1:9" x14ac:dyDescent="0.25">
      <c r="A30">
        <v>24</v>
      </c>
      <c r="B30" s="2">
        <f t="shared" si="0"/>
        <v>377.04066870632943</v>
      </c>
      <c r="C30" s="1">
        <f t="shared" si="1"/>
        <v>326.82159540143135</v>
      </c>
      <c r="D30" s="2">
        <f t="shared" si="2"/>
        <v>50.219073304898075</v>
      </c>
      <c r="E30" s="1">
        <f t="shared" si="3"/>
        <v>54420.046826933663</v>
      </c>
    </row>
    <row r="31" spans="1:9" x14ac:dyDescent="0.25">
      <c r="A31">
        <v>25</v>
      </c>
      <c r="B31" s="2">
        <f t="shared" si="0"/>
        <v>377.04066870632943</v>
      </c>
      <c r="C31" s="1">
        <f t="shared" si="1"/>
        <v>326.52028096160194</v>
      </c>
      <c r="D31" s="2">
        <f t="shared" si="2"/>
        <v>50.520387744727486</v>
      </c>
      <c r="E31" s="1">
        <f t="shared" si="3"/>
        <v>54369.526439188936</v>
      </c>
    </row>
    <row r="32" spans="1:9" x14ac:dyDescent="0.25">
      <c r="A32">
        <v>26</v>
      </c>
      <c r="B32" s="2">
        <f t="shared" si="0"/>
        <v>377.04066870632943</v>
      </c>
      <c r="C32" s="1">
        <f t="shared" si="1"/>
        <v>326.21715863513356</v>
      </c>
      <c r="D32" s="2">
        <f t="shared" si="2"/>
        <v>50.823510071195869</v>
      </c>
      <c r="E32" s="1">
        <f t="shared" si="3"/>
        <v>54318.702929117739</v>
      </c>
    </row>
    <row r="33" spans="1:5" x14ac:dyDescent="0.25">
      <c r="A33">
        <v>27</v>
      </c>
      <c r="B33" s="2">
        <f t="shared" si="0"/>
        <v>377.04066870632943</v>
      </c>
      <c r="C33" s="1">
        <f t="shared" si="1"/>
        <v>325.9122175747064</v>
      </c>
      <c r="D33" s="2">
        <f t="shared" si="2"/>
        <v>51.128451131623024</v>
      </c>
      <c r="E33" s="1">
        <f t="shared" si="3"/>
        <v>54267.574477986112</v>
      </c>
    </row>
    <row r="34" spans="1:5" x14ac:dyDescent="0.25">
      <c r="A34">
        <v>28</v>
      </c>
      <c r="B34" s="2">
        <f t="shared" si="0"/>
        <v>377.04066870632943</v>
      </c>
      <c r="C34" s="1">
        <f t="shared" si="1"/>
        <v>325.60544686791661</v>
      </c>
      <c r="D34" s="2">
        <f t="shared" si="2"/>
        <v>51.435221838412815</v>
      </c>
      <c r="E34" s="1">
        <f t="shared" si="3"/>
        <v>54216.139256147697</v>
      </c>
    </row>
    <row r="35" spans="1:5" x14ac:dyDescent="0.25">
      <c r="A35">
        <v>29</v>
      </c>
      <c r="B35" s="2">
        <f t="shared" si="0"/>
        <v>377.04066870632943</v>
      </c>
      <c r="C35" s="1">
        <f t="shared" si="1"/>
        <v>325.29683553688614</v>
      </c>
      <c r="D35" s="2">
        <f t="shared" si="2"/>
        <v>51.743833169443292</v>
      </c>
      <c r="E35" s="1">
        <f t="shared" si="3"/>
        <v>54164.395422978254</v>
      </c>
    </row>
    <row r="36" spans="1:5" x14ac:dyDescent="0.25">
      <c r="A36">
        <v>30</v>
      </c>
      <c r="B36" s="2">
        <f t="shared" si="0"/>
        <v>377.04066870632943</v>
      </c>
      <c r="C36" s="1">
        <f t="shared" si="1"/>
        <v>324.9863725378695</v>
      </c>
      <c r="D36" s="2">
        <f t="shared" si="2"/>
        <v>52.054296168459928</v>
      </c>
      <c r="E36" s="1">
        <f t="shared" si="3"/>
        <v>54112.341126809792</v>
      </c>
    </row>
    <row r="37" spans="1:5" x14ac:dyDescent="0.25">
      <c r="A37">
        <v>31</v>
      </c>
      <c r="B37" s="2">
        <f t="shared" si="0"/>
        <v>377.04066870632943</v>
      </c>
      <c r="C37" s="1">
        <f t="shared" si="1"/>
        <v>324.67404676085869</v>
      </c>
      <c r="D37" s="2">
        <f t="shared" si="2"/>
        <v>52.36662194547074</v>
      </c>
      <c r="E37" s="1">
        <f t="shared" si="3"/>
        <v>54059.974504864324</v>
      </c>
    </row>
    <row r="38" spans="1:5" x14ac:dyDescent="0.25">
      <c r="A38">
        <v>32</v>
      </c>
      <c r="B38" s="2">
        <f t="shared" si="0"/>
        <v>377.04066870632943</v>
      </c>
      <c r="C38" s="1">
        <f t="shared" si="1"/>
        <v>324.35984702918591</v>
      </c>
      <c r="D38" s="2">
        <f t="shared" si="2"/>
        <v>52.680821677143513</v>
      </c>
      <c r="E38" s="1">
        <f t="shared" si="3"/>
        <v>54007.293683187178</v>
      </c>
    </row>
    <row r="39" spans="1:5" x14ac:dyDescent="0.25">
      <c r="A39">
        <v>33</v>
      </c>
      <c r="B39" s="2">
        <f t="shared" si="0"/>
        <v>377.04066870632943</v>
      </c>
      <c r="C39" s="1">
        <f t="shared" si="1"/>
        <v>324.043762099123</v>
      </c>
      <c r="D39" s="2">
        <f t="shared" si="2"/>
        <v>52.996906607206427</v>
      </c>
      <c r="E39" s="1">
        <f t="shared" si="3"/>
        <v>53954.296776579969</v>
      </c>
    </row>
    <row r="40" spans="1:5" x14ac:dyDescent="0.25">
      <c r="A40">
        <v>34</v>
      </c>
      <c r="B40" s="2">
        <f t="shared" si="0"/>
        <v>377.04066870632943</v>
      </c>
      <c r="C40" s="1">
        <f t="shared" si="1"/>
        <v>323.72578065947977</v>
      </c>
      <c r="D40" s="2">
        <f t="shared" si="2"/>
        <v>53.31488804684966</v>
      </c>
      <c r="E40" s="1">
        <f t="shared" si="3"/>
        <v>53900.981888533119</v>
      </c>
    </row>
    <row r="41" spans="1:5" x14ac:dyDescent="0.25">
      <c r="A41">
        <v>35</v>
      </c>
      <c r="B41" s="2">
        <f t="shared" si="0"/>
        <v>377.04066870632943</v>
      </c>
      <c r="C41" s="1">
        <f t="shared" si="1"/>
        <v>323.40589133119869</v>
      </c>
      <c r="D41" s="2">
        <f t="shared" si="2"/>
        <v>53.634777375130739</v>
      </c>
      <c r="E41" s="1">
        <f t="shared" si="3"/>
        <v>53847.347111157986</v>
      </c>
    </row>
    <row r="42" spans="1:5" x14ac:dyDescent="0.25">
      <c r="A42">
        <v>36</v>
      </c>
      <c r="B42" s="2">
        <f t="shared" si="0"/>
        <v>377.04066870632943</v>
      </c>
      <c r="C42" s="1">
        <f t="shared" si="1"/>
        <v>323.08408266694789</v>
      </c>
      <c r="D42" s="2">
        <f t="shared" si="2"/>
        <v>53.956586039381534</v>
      </c>
      <c r="E42" s="1">
        <f t="shared" si="3"/>
        <v>53793.390525118601</v>
      </c>
    </row>
    <row r="43" spans="1:5" x14ac:dyDescent="0.25">
      <c r="A43">
        <v>37</v>
      </c>
      <c r="B43" s="2">
        <f t="shared" si="0"/>
        <v>377.04066870632943</v>
      </c>
      <c r="C43" s="1">
        <f t="shared" si="1"/>
        <v>322.76034315071155</v>
      </c>
      <c r="D43" s="2">
        <f t="shared" si="2"/>
        <v>54.280325555617878</v>
      </c>
      <c r="E43" s="1">
        <f t="shared" si="3"/>
        <v>53739.11019956298</v>
      </c>
    </row>
    <row r="44" spans="1:5" x14ac:dyDescent="0.25">
      <c r="A44">
        <v>38</v>
      </c>
      <c r="B44" s="2">
        <f t="shared" si="0"/>
        <v>377.04066870632943</v>
      </c>
      <c r="C44" s="1">
        <f t="shared" si="1"/>
        <v>322.43466119737786</v>
      </c>
      <c r="D44" s="2">
        <f t="shared" si="2"/>
        <v>54.606007508951564</v>
      </c>
      <c r="E44" s="1">
        <f t="shared" si="3"/>
        <v>53684.504192054032</v>
      </c>
    </row>
    <row r="45" spans="1:5" x14ac:dyDescent="0.25">
      <c r="A45">
        <v>39</v>
      </c>
      <c r="B45" s="2">
        <f t="shared" si="0"/>
        <v>377.04066870632943</v>
      </c>
      <c r="C45" s="1">
        <f t="shared" si="1"/>
        <v>322.10702515232413</v>
      </c>
      <c r="D45" s="2">
        <f t="shared" si="2"/>
        <v>54.9336435540053</v>
      </c>
      <c r="E45" s="1">
        <f t="shared" si="3"/>
        <v>53629.570548500029</v>
      </c>
    </row>
    <row r="46" spans="1:5" x14ac:dyDescent="0.25">
      <c r="A46">
        <v>40</v>
      </c>
      <c r="B46" s="2">
        <f t="shared" si="0"/>
        <v>377.04066870632943</v>
      </c>
      <c r="C46" s="1">
        <f t="shared" si="1"/>
        <v>321.77742329100016</v>
      </c>
      <c r="D46" s="2">
        <f t="shared" si="2"/>
        <v>55.263245415329266</v>
      </c>
      <c r="E46" s="1">
        <f t="shared" si="3"/>
        <v>53574.307303084701</v>
      </c>
    </row>
    <row r="47" spans="1:5" x14ac:dyDescent="0.25">
      <c r="A47">
        <v>41</v>
      </c>
      <c r="B47" s="2">
        <f t="shared" si="0"/>
        <v>377.04066870632943</v>
      </c>
      <c r="C47" s="1">
        <f t="shared" si="1"/>
        <v>321.44584381850814</v>
      </c>
      <c r="D47" s="2">
        <f t="shared" si="2"/>
        <v>55.594824887821289</v>
      </c>
      <c r="E47" s="1">
        <f t="shared" si="3"/>
        <v>53518.712478196881</v>
      </c>
    </row>
    <row r="48" spans="1:5" x14ac:dyDescent="0.25">
      <c r="A48">
        <v>42</v>
      </c>
      <c r="B48" s="2">
        <f t="shared" si="0"/>
        <v>377.04066870632943</v>
      </c>
      <c r="C48" s="1">
        <f t="shared" si="1"/>
        <v>321.11227486918125</v>
      </c>
      <c r="D48" s="2">
        <f t="shared" si="2"/>
        <v>55.928393837148178</v>
      </c>
      <c r="E48" s="1">
        <f t="shared" si="3"/>
        <v>53462.784084359737</v>
      </c>
    </row>
    <row r="49" spans="1:5" x14ac:dyDescent="0.25">
      <c r="A49">
        <v>43</v>
      </c>
      <c r="B49" s="2">
        <f t="shared" si="0"/>
        <v>377.04066870632943</v>
      </c>
      <c r="C49" s="1">
        <f t="shared" si="1"/>
        <v>320.77670450615841</v>
      </c>
      <c r="D49" s="2">
        <f t="shared" si="2"/>
        <v>56.263964200171017</v>
      </c>
      <c r="E49" s="1">
        <f t="shared" si="3"/>
        <v>53406.520120159563</v>
      </c>
    </row>
    <row r="50" spans="1:5" x14ac:dyDescent="0.25">
      <c r="A50">
        <v>44</v>
      </c>
      <c r="B50" s="2">
        <f t="shared" si="0"/>
        <v>377.04066870632943</v>
      </c>
      <c r="C50" s="1">
        <f t="shared" si="1"/>
        <v>320.43912072095736</v>
      </c>
      <c r="D50" s="2">
        <f t="shared" si="2"/>
        <v>56.601547985372065</v>
      </c>
      <c r="E50" s="1">
        <f t="shared" si="3"/>
        <v>53349.918572174189</v>
      </c>
    </row>
    <row r="51" spans="1:5" x14ac:dyDescent="0.25">
      <c r="A51">
        <v>45</v>
      </c>
      <c r="B51" s="2">
        <f t="shared" si="0"/>
        <v>377.04066870632943</v>
      </c>
      <c r="C51" s="1">
        <f t="shared" si="1"/>
        <v>320.09951143304511</v>
      </c>
      <c r="D51" s="2">
        <f t="shared" si="2"/>
        <v>56.941157273284318</v>
      </c>
      <c r="E51" s="1">
        <f t="shared" si="3"/>
        <v>53292.977414900903</v>
      </c>
    </row>
    <row r="52" spans="1:5" x14ac:dyDescent="0.25">
      <c r="A52">
        <v>46</v>
      </c>
      <c r="B52" s="2">
        <f t="shared" si="0"/>
        <v>377.04066870632943</v>
      </c>
      <c r="C52" s="1">
        <f t="shared" si="1"/>
        <v>319.75786448940539</v>
      </c>
      <c r="D52" s="2">
        <f t="shared" si="2"/>
        <v>57.282804216924035</v>
      </c>
      <c r="E52" s="1">
        <f t="shared" si="3"/>
        <v>53235.694610683975</v>
      </c>
    </row>
    <row r="53" spans="1:5" x14ac:dyDescent="0.25">
      <c r="A53">
        <v>47</v>
      </c>
      <c r="B53" s="2">
        <f t="shared" si="0"/>
        <v>377.04066870632943</v>
      </c>
      <c r="C53" s="1">
        <f t="shared" si="1"/>
        <v>319.41416766410379</v>
      </c>
      <c r="D53" s="2">
        <f t="shared" si="2"/>
        <v>57.626501042225641</v>
      </c>
      <c r="E53" s="1">
        <f t="shared" si="3"/>
        <v>53178.068109641747</v>
      </c>
    </row>
    <row r="54" spans="1:5" x14ac:dyDescent="0.25">
      <c r="A54">
        <v>48</v>
      </c>
      <c r="B54" s="2">
        <f t="shared" si="0"/>
        <v>377.04066870632943</v>
      </c>
      <c r="C54" s="1">
        <f t="shared" si="1"/>
        <v>319.06840865785045</v>
      </c>
      <c r="D54" s="2">
        <f t="shared" si="2"/>
        <v>57.972260048478972</v>
      </c>
      <c r="E54" s="1">
        <f t="shared" si="3"/>
        <v>53120.095849593265</v>
      </c>
    </row>
    <row r="55" spans="1:5" x14ac:dyDescent="0.25">
      <c r="A55">
        <v>49</v>
      </c>
      <c r="B55" s="2">
        <f t="shared" si="0"/>
        <v>377.04066870632943</v>
      </c>
      <c r="C55" s="1">
        <f t="shared" si="1"/>
        <v>318.72057509755956</v>
      </c>
      <c r="D55" s="2">
        <f t="shared" si="2"/>
        <v>58.320093608769866</v>
      </c>
      <c r="E55" s="1">
        <f t="shared" si="3"/>
        <v>53061.775755984498</v>
      </c>
    </row>
    <row r="56" spans="1:5" x14ac:dyDescent="0.25">
      <c r="A56">
        <v>50</v>
      </c>
      <c r="B56" s="2">
        <f t="shared" si="0"/>
        <v>377.04066870632943</v>
      </c>
      <c r="C56" s="1">
        <f t="shared" si="1"/>
        <v>318.37065453590697</v>
      </c>
      <c r="D56" s="2">
        <f t="shared" si="2"/>
        <v>58.670014170422462</v>
      </c>
      <c r="E56" s="1">
        <f t="shared" si="3"/>
        <v>53003.105741814077</v>
      </c>
    </row>
    <row r="57" spans="1:5" x14ac:dyDescent="0.25">
      <c r="A57">
        <v>51</v>
      </c>
      <c r="B57" s="2">
        <f t="shared" si="0"/>
        <v>377.04066870632943</v>
      </c>
      <c r="C57" s="1">
        <f t="shared" si="1"/>
        <v>318.01863445088441</v>
      </c>
      <c r="D57" s="2">
        <f t="shared" si="2"/>
        <v>59.022034255445021</v>
      </c>
      <c r="E57" s="1">
        <f t="shared" si="3"/>
        <v>52944.083707558631</v>
      </c>
    </row>
    <row r="58" spans="1:5" x14ac:dyDescent="0.25">
      <c r="A58">
        <v>52</v>
      </c>
      <c r="B58" s="2">
        <f t="shared" si="0"/>
        <v>377.04066870632943</v>
      </c>
      <c r="C58" s="1">
        <f t="shared" si="1"/>
        <v>317.66450224535174</v>
      </c>
      <c r="D58" s="2">
        <f t="shared" si="2"/>
        <v>59.376166460977686</v>
      </c>
      <c r="E58" s="1">
        <f t="shared" si="3"/>
        <v>52884.707541097654</v>
      </c>
    </row>
    <row r="59" spans="1:5" x14ac:dyDescent="0.25">
      <c r="A59">
        <v>53</v>
      </c>
      <c r="B59" s="2">
        <f t="shared" si="0"/>
        <v>377.04066870632943</v>
      </c>
      <c r="C59" s="1">
        <f t="shared" si="1"/>
        <v>317.3082452465859</v>
      </c>
      <c r="D59" s="2">
        <f t="shared" si="2"/>
        <v>59.732423459743529</v>
      </c>
      <c r="E59" s="1">
        <f t="shared" si="3"/>
        <v>52824.975117637914</v>
      </c>
    </row>
    <row r="60" spans="1:5" x14ac:dyDescent="0.25">
      <c r="A60">
        <v>54</v>
      </c>
      <c r="B60" s="2">
        <f t="shared" si="0"/>
        <v>377.04066870632943</v>
      </c>
      <c r="C60" s="1">
        <f t="shared" si="1"/>
        <v>316.94985070582743</v>
      </c>
      <c r="D60" s="2">
        <f t="shared" si="2"/>
        <v>60.090818000501997</v>
      </c>
      <c r="E60" s="1">
        <f t="shared" si="3"/>
        <v>52764.884299637415</v>
      </c>
    </row>
    <row r="61" spans="1:5" x14ac:dyDescent="0.25">
      <c r="A61">
        <v>55</v>
      </c>
      <c r="B61" s="2">
        <f t="shared" si="0"/>
        <v>377.04066870632943</v>
      </c>
      <c r="C61" s="1">
        <f t="shared" si="1"/>
        <v>316.58930579782447</v>
      </c>
      <c r="D61" s="2">
        <f t="shared" si="2"/>
        <v>60.451362908504962</v>
      </c>
      <c r="E61" s="1">
        <f t="shared" si="3"/>
        <v>52704.43293672891</v>
      </c>
    </row>
    <row r="62" spans="1:5" x14ac:dyDescent="0.25">
      <c r="A62">
        <v>56</v>
      </c>
      <c r="B62" s="2">
        <f t="shared" si="0"/>
        <v>377.04066870632943</v>
      </c>
      <c r="C62" s="1">
        <f t="shared" si="1"/>
        <v>316.22659762037341</v>
      </c>
      <c r="D62" s="2">
        <f t="shared" si="2"/>
        <v>60.814071085956016</v>
      </c>
      <c r="E62" s="1">
        <f t="shared" si="3"/>
        <v>52643.618865642951</v>
      </c>
    </row>
    <row r="63" spans="1:5" x14ac:dyDescent="0.25">
      <c r="A63">
        <v>57</v>
      </c>
      <c r="B63" s="2">
        <f t="shared" si="0"/>
        <v>377.04066870632943</v>
      </c>
      <c r="C63" s="1">
        <f t="shared" si="1"/>
        <v>315.86171319385767</v>
      </c>
      <c r="D63" s="2">
        <f t="shared" si="2"/>
        <v>61.178955512471759</v>
      </c>
      <c r="E63" s="1">
        <f t="shared" si="3"/>
        <v>52582.439910130481</v>
      </c>
    </row>
    <row r="64" spans="1:5" x14ac:dyDescent="0.25">
      <c r="A64">
        <v>58</v>
      </c>
      <c r="B64" s="2">
        <f t="shared" si="0"/>
        <v>377.04066870632943</v>
      </c>
      <c r="C64" s="1">
        <f t="shared" si="1"/>
        <v>315.49463946078282</v>
      </c>
      <c r="D64" s="2">
        <f t="shared" si="2"/>
        <v>61.546029245546606</v>
      </c>
      <c r="E64" s="1">
        <f t="shared" si="3"/>
        <v>52520.893880884934</v>
      </c>
    </row>
    <row r="65" spans="1:9" x14ac:dyDescent="0.25">
      <c r="A65">
        <v>59</v>
      </c>
      <c r="B65" s="2">
        <f t="shared" si="0"/>
        <v>377.04066870632943</v>
      </c>
      <c r="C65" s="1">
        <f t="shared" si="1"/>
        <v>315.12536328530956</v>
      </c>
      <c r="D65" s="2">
        <f t="shared" si="2"/>
        <v>61.915305421019866</v>
      </c>
      <c r="E65" s="1">
        <f t="shared" si="3"/>
        <v>52458.978575463916</v>
      </c>
    </row>
    <row r="66" spans="1:9" x14ac:dyDescent="0.25">
      <c r="A66">
        <v>60</v>
      </c>
      <c r="B66" s="2">
        <f t="shared" si="0"/>
        <v>377.04066870632943</v>
      </c>
      <c r="C66" s="1">
        <f t="shared" si="1"/>
        <v>314.75387145278347</v>
      </c>
      <c r="D66" s="2">
        <f t="shared" si="2"/>
        <v>62.286797253545956</v>
      </c>
      <c r="E66" s="1">
        <f t="shared" si="3"/>
        <v>52396.69177821037</v>
      </c>
    </row>
    <row r="67" spans="1:9" x14ac:dyDescent="0.25">
      <c r="A67">
        <v>61</v>
      </c>
      <c r="B67" s="2">
        <f t="shared" si="0"/>
        <v>377.04066870632943</v>
      </c>
      <c r="C67" s="1">
        <f t="shared" si="1"/>
        <v>314.38015066926221</v>
      </c>
      <c r="D67" s="2">
        <f t="shared" si="2"/>
        <v>62.66051803706722</v>
      </c>
      <c r="E67" s="1">
        <f t="shared" si="3"/>
        <v>52334.031260173302</v>
      </c>
    </row>
    <row r="68" spans="1:9" x14ac:dyDescent="0.25">
      <c r="A68">
        <v>62</v>
      </c>
      <c r="B68" s="2">
        <f t="shared" si="0"/>
        <v>377.04066870632943</v>
      </c>
      <c r="C68" s="1">
        <f t="shared" si="1"/>
        <v>314.00418756103977</v>
      </c>
      <c r="D68" s="2">
        <f t="shared" si="2"/>
        <v>63.036481145289656</v>
      </c>
      <c r="E68" s="1">
        <f t="shared" si="3"/>
        <v>52270.994779028013</v>
      </c>
    </row>
    <row r="69" spans="1:9" x14ac:dyDescent="0.25">
      <c r="A69">
        <v>63</v>
      </c>
      <c r="B69" s="2">
        <f t="shared" si="0"/>
        <v>377.04066870632943</v>
      </c>
      <c r="C69" s="1">
        <f t="shared" si="1"/>
        <v>313.62596867416806</v>
      </c>
      <c r="D69" s="2">
        <f t="shared" si="2"/>
        <v>63.414700032161363</v>
      </c>
      <c r="E69" s="1">
        <f t="shared" si="3"/>
        <v>52207.580078995852</v>
      </c>
    </row>
    <row r="70" spans="1:9" x14ac:dyDescent="0.25">
      <c r="A70">
        <v>64</v>
      </c>
      <c r="B70" s="2">
        <f t="shared" si="0"/>
        <v>377.04066870632943</v>
      </c>
      <c r="C70" s="1">
        <f t="shared" si="1"/>
        <v>313.24548047397508</v>
      </c>
      <c r="D70" s="2">
        <f t="shared" si="2"/>
        <v>63.795188232354349</v>
      </c>
      <c r="E70" s="1">
        <f t="shared" si="3"/>
        <v>52143.784890763498</v>
      </c>
    </row>
    <row r="71" spans="1:9" x14ac:dyDescent="0.25">
      <c r="A71">
        <v>65</v>
      </c>
      <c r="B71" s="2">
        <f t="shared" ref="B71:B134" si="4">PMT($C$2/12,$C$3,-$E$6)</f>
        <v>377.04066870632943</v>
      </c>
      <c r="C71" s="1">
        <f t="shared" ref="C71:C134" si="5">E70*($C$2/12)</f>
        <v>312.86270934458094</v>
      </c>
      <c r="D71" s="2">
        <f t="shared" ref="D71:D134" si="6">B71-C71</f>
        <v>64.177959361748492</v>
      </c>
      <c r="E71" s="1">
        <f t="shared" ref="E71:E134" si="7">E70-D71</f>
        <v>52079.606931401751</v>
      </c>
    </row>
    <row r="72" spans="1:9" x14ac:dyDescent="0.25">
      <c r="A72" s="7">
        <v>66</v>
      </c>
      <c r="B72" s="8">
        <f t="shared" si="4"/>
        <v>377.04066870632943</v>
      </c>
      <c r="C72" s="9">
        <f t="shared" si="5"/>
        <v>312.47764158841045</v>
      </c>
      <c r="D72" s="8">
        <f t="shared" si="6"/>
        <v>64.563027117918978</v>
      </c>
      <c r="E72" s="9">
        <f t="shared" si="7"/>
        <v>52015.043904283833</v>
      </c>
      <c r="F72" s="3" t="s">
        <v>22</v>
      </c>
      <c r="G72" s="3" t="s">
        <v>63</v>
      </c>
      <c r="H72" s="3" t="s">
        <v>62</v>
      </c>
      <c r="I72" s="3" t="s">
        <v>61</v>
      </c>
    </row>
    <row r="73" spans="1:9" x14ac:dyDescent="0.25">
      <c r="A73">
        <v>67</v>
      </c>
      <c r="B73" s="2">
        <f t="shared" si="4"/>
        <v>377.04066870632943</v>
      </c>
      <c r="C73" s="1">
        <f t="shared" si="5"/>
        <v>312.09026342570297</v>
      </c>
      <c r="D73" s="2">
        <f t="shared" si="6"/>
        <v>64.950405280626455</v>
      </c>
      <c r="E73" s="1">
        <f t="shared" si="7"/>
        <v>51950.093499003204</v>
      </c>
    </row>
    <row r="74" spans="1:9" x14ac:dyDescent="0.25">
      <c r="A74">
        <v>68</v>
      </c>
      <c r="B74" s="2">
        <f t="shared" si="4"/>
        <v>377.04066870632943</v>
      </c>
      <c r="C74" s="1">
        <f t="shared" si="5"/>
        <v>311.70056099401916</v>
      </c>
      <c r="D74" s="2">
        <f t="shared" si="6"/>
        <v>65.340107712310271</v>
      </c>
      <c r="E74" s="1">
        <f t="shared" si="7"/>
        <v>51884.753391290891</v>
      </c>
    </row>
    <row r="75" spans="1:9" x14ac:dyDescent="0.25">
      <c r="A75">
        <v>69</v>
      </c>
      <c r="B75" s="2">
        <f t="shared" si="4"/>
        <v>377.04066870632943</v>
      </c>
      <c r="C75" s="1">
        <f t="shared" si="5"/>
        <v>311.30852034774529</v>
      </c>
      <c r="D75" s="2">
        <f t="shared" si="6"/>
        <v>65.732148358584141</v>
      </c>
      <c r="E75" s="1">
        <f t="shared" si="7"/>
        <v>51819.021242932307</v>
      </c>
    </row>
    <row r="76" spans="1:9" x14ac:dyDescent="0.25">
      <c r="A76">
        <v>70</v>
      </c>
      <c r="B76" s="2">
        <f t="shared" si="4"/>
        <v>377.04066870632943</v>
      </c>
      <c r="C76" s="1">
        <f t="shared" si="5"/>
        <v>310.91412745759379</v>
      </c>
      <c r="D76" s="2">
        <f t="shared" si="6"/>
        <v>66.126541248735634</v>
      </c>
      <c r="E76" s="1">
        <f t="shared" si="7"/>
        <v>51752.894701683574</v>
      </c>
    </row>
    <row r="77" spans="1:9" x14ac:dyDescent="0.25">
      <c r="A77">
        <v>71</v>
      </c>
      <c r="B77" s="2">
        <f t="shared" si="4"/>
        <v>377.04066870632943</v>
      </c>
      <c r="C77" s="1">
        <f t="shared" si="5"/>
        <v>310.51736821010138</v>
      </c>
      <c r="D77" s="2">
        <f t="shared" si="6"/>
        <v>66.523300496228046</v>
      </c>
      <c r="E77" s="1">
        <f t="shared" si="7"/>
        <v>51686.371401187345</v>
      </c>
    </row>
    <row r="78" spans="1:9" x14ac:dyDescent="0.25">
      <c r="A78">
        <v>72</v>
      </c>
      <c r="B78" s="2">
        <f t="shared" si="4"/>
        <v>377.04066870632943</v>
      </c>
      <c r="C78" s="1">
        <f t="shared" si="5"/>
        <v>310.11822840712404</v>
      </c>
      <c r="D78" s="2">
        <f t="shared" si="6"/>
        <v>66.922440299205391</v>
      </c>
      <c r="E78" s="1">
        <f t="shared" si="7"/>
        <v>51619.448960888141</v>
      </c>
    </row>
    <row r="79" spans="1:9" x14ac:dyDescent="0.25">
      <c r="A79">
        <v>73</v>
      </c>
      <c r="B79" s="2">
        <f t="shared" si="4"/>
        <v>377.04066870632943</v>
      </c>
      <c r="C79" s="1">
        <f t="shared" si="5"/>
        <v>309.71669376532878</v>
      </c>
      <c r="D79" s="2">
        <f t="shared" si="6"/>
        <v>67.323974941000643</v>
      </c>
      <c r="E79" s="1">
        <f t="shared" si="7"/>
        <v>51552.124985947143</v>
      </c>
    </row>
    <row r="80" spans="1:9" x14ac:dyDescent="0.25">
      <c r="A80">
        <v>74</v>
      </c>
      <c r="B80" s="2">
        <f t="shared" si="4"/>
        <v>377.04066870632943</v>
      </c>
      <c r="C80" s="1">
        <f t="shared" si="5"/>
        <v>309.31274991568284</v>
      </c>
      <c r="D80" s="2">
        <f t="shared" si="6"/>
        <v>67.727918790646584</v>
      </c>
      <c r="E80" s="1">
        <f t="shared" si="7"/>
        <v>51484.397067156497</v>
      </c>
    </row>
    <row r="81" spans="1:8" x14ac:dyDescent="0.25">
      <c r="A81">
        <v>75</v>
      </c>
      <c r="B81" s="2">
        <f t="shared" si="4"/>
        <v>377.04066870632943</v>
      </c>
      <c r="C81" s="1">
        <f t="shared" si="5"/>
        <v>308.90638240293896</v>
      </c>
      <c r="D81" s="2">
        <f t="shared" si="6"/>
        <v>68.134286303390468</v>
      </c>
      <c r="E81" s="1">
        <f t="shared" si="7"/>
        <v>51416.262780853103</v>
      </c>
    </row>
    <row r="82" spans="1:8" x14ac:dyDescent="0.25">
      <c r="A82">
        <v>76</v>
      </c>
      <c r="B82" s="2">
        <f t="shared" si="4"/>
        <v>377.04066870632943</v>
      </c>
      <c r="C82" s="1">
        <f t="shared" si="5"/>
        <v>308.49757668511859</v>
      </c>
      <c r="D82" s="2">
        <f t="shared" si="6"/>
        <v>68.543092021210839</v>
      </c>
      <c r="E82" s="1">
        <f t="shared" si="7"/>
        <v>51347.719688831894</v>
      </c>
    </row>
    <row r="83" spans="1:8" x14ac:dyDescent="0.25">
      <c r="A83">
        <v>77</v>
      </c>
      <c r="B83" s="2">
        <f t="shared" si="4"/>
        <v>377.04066870632943</v>
      </c>
      <c r="C83" s="1">
        <f t="shared" si="5"/>
        <v>308.08631813299132</v>
      </c>
      <c r="D83" s="2">
        <f t="shared" si="6"/>
        <v>68.954350573338104</v>
      </c>
      <c r="E83" s="1">
        <f t="shared" si="7"/>
        <v>51278.765338258556</v>
      </c>
    </row>
    <row r="84" spans="1:8" x14ac:dyDescent="0.25">
      <c r="A84" s="7">
        <v>78</v>
      </c>
      <c r="B84" s="8">
        <f t="shared" si="4"/>
        <v>377.04066870632943</v>
      </c>
      <c r="C84" s="9">
        <f t="shared" si="5"/>
        <v>307.67259202955131</v>
      </c>
      <c r="D84" s="8">
        <f t="shared" si="6"/>
        <v>69.368076676778117</v>
      </c>
      <c r="E84" s="9">
        <f t="shared" si="7"/>
        <v>51209.397261581777</v>
      </c>
      <c r="F84">
        <v>2018</v>
      </c>
    </row>
    <row r="85" spans="1:8" x14ac:dyDescent="0.25">
      <c r="A85">
        <v>79</v>
      </c>
      <c r="B85" s="2">
        <f t="shared" si="4"/>
        <v>377.04066870632943</v>
      </c>
      <c r="C85" s="1">
        <f t="shared" si="5"/>
        <v>307.25638356949059</v>
      </c>
      <c r="D85" s="2">
        <f t="shared" si="6"/>
        <v>69.784285136838832</v>
      </c>
      <c r="E85" s="1">
        <f t="shared" si="7"/>
        <v>51139.612976444936</v>
      </c>
    </row>
    <row r="86" spans="1:8" x14ac:dyDescent="0.25">
      <c r="A86">
        <v>80</v>
      </c>
      <c r="B86" s="2">
        <f t="shared" si="4"/>
        <v>377.04066870632943</v>
      </c>
      <c r="C86" s="1">
        <f t="shared" si="5"/>
        <v>306.83767785866957</v>
      </c>
      <c r="D86" s="2">
        <f t="shared" si="6"/>
        <v>70.202990847659862</v>
      </c>
      <c r="E86" s="1">
        <f t="shared" si="7"/>
        <v>51069.409985597274</v>
      </c>
    </row>
    <row r="87" spans="1:8" x14ac:dyDescent="0.25">
      <c r="A87">
        <v>81</v>
      </c>
      <c r="B87" s="2">
        <f t="shared" si="4"/>
        <v>377.04066870632943</v>
      </c>
      <c r="C87" s="1">
        <f t="shared" si="5"/>
        <v>306.41645991358359</v>
      </c>
      <c r="D87" s="2">
        <f t="shared" si="6"/>
        <v>70.624208792745833</v>
      </c>
      <c r="E87" s="1">
        <f t="shared" si="7"/>
        <v>50998.785776804529</v>
      </c>
    </row>
    <row r="88" spans="1:8" x14ac:dyDescent="0.25">
      <c r="A88">
        <v>82</v>
      </c>
      <c r="B88" s="2">
        <f t="shared" si="4"/>
        <v>377.04066870632943</v>
      </c>
      <c r="C88" s="1">
        <f t="shared" si="5"/>
        <v>305.99271466082712</v>
      </c>
      <c r="D88" s="2">
        <f t="shared" si="6"/>
        <v>71.047954045502308</v>
      </c>
      <c r="E88" s="1">
        <f t="shared" si="7"/>
        <v>50927.737822759023</v>
      </c>
      <c r="G88">
        <v>7</v>
      </c>
      <c r="H88">
        <f>12*7</f>
        <v>84</v>
      </c>
    </row>
    <row r="89" spans="1:8" x14ac:dyDescent="0.25">
      <c r="A89">
        <v>83</v>
      </c>
      <c r="B89" s="2">
        <f t="shared" si="4"/>
        <v>377.04066870632943</v>
      </c>
      <c r="C89" s="1">
        <f t="shared" si="5"/>
        <v>305.56642693655408</v>
      </c>
      <c r="D89" s="2">
        <f t="shared" si="6"/>
        <v>71.474241769775347</v>
      </c>
      <c r="E89" s="1">
        <f t="shared" si="7"/>
        <v>50856.263580989245</v>
      </c>
      <c r="G89">
        <v>8</v>
      </c>
      <c r="H89">
        <f>12*G89</f>
        <v>96</v>
      </c>
    </row>
    <row r="90" spans="1:8" x14ac:dyDescent="0.25">
      <c r="A90">
        <v>84</v>
      </c>
      <c r="B90" s="2">
        <f t="shared" si="4"/>
        <v>377.04066870632943</v>
      </c>
      <c r="C90" s="1">
        <f t="shared" si="5"/>
        <v>305.13758148593541</v>
      </c>
      <c r="D90" s="2">
        <f t="shared" si="6"/>
        <v>71.903087220394013</v>
      </c>
      <c r="E90" s="1">
        <f t="shared" si="7"/>
        <v>50784.360493768851</v>
      </c>
      <c r="G90">
        <v>9</v>
      </c>
      <c r="H90">
        <f>12*G90</f>
        <v>108</v>
      </c>
    </row>
    <row r="91" spans="1:8" x14ac:dyDescent="0.25">
      <c r="A91">
        <v>85</v>
      </c>
      <c r="B91" s="2">
        <f t="shared" si="4"/>
        <v>377.04066870632943</v>
      </c>
      <c r="C91" s="1">
        <f t="shared" si="5"/>
        <v>304.70616296261306</v>
      </c>
      <c r="D91" s="2">
        <f t="shared" si="6"/>
        <v>72.334505743716363</v>
      </c>
      <c r="E91" s="1">
        <f t="shared" si="7"/>
        <v>50712.025988025132</v>
      </c>
      <c r="G91">
        <v>10</v>
      </c>
      <c r="H91">
        <f>12*G91</f>
        <v>120</v>
      </c>
    </row>
    <row r="92" spans="1:8" x14ac:dyDescent="0.25">
      <c r="A92">
        <v>86</v>
      </c>
      <c r="B92" s="2">
        <f t="shared" si="4"/>
        <v>377.04066870632943</v>
      </c>
      <c r="C92" s="1">
        <f t="shared" si="5"/>
        <v>304.27215592815077</v>
      </c>
      <c r="D92" s="2">
        <f t="shared" si="6"/>
        <v>72.76851277817866</v>
      </c>
      <c r="E92" s="1">
        <f t="shared" si="7"/>
        <v>50639.257475246952</v>
      </c>
      <c r="G92">
        <v>11</v>
      </c>
      <c r="H92">
        <f>12*G92</f>
        <v>132</v>
      </c>
    </row>
    <row r="93" spans="1:8" x14ac:dyDescent="0.25">
      <c r="A93">
        <v>87</v>
      </c>
      <c r="B93" s="2">
        <f t="shared" si="4"/>
        <v>377.04066870632943</v>
      </c>
      <c r="C93" s="1">
        <f t="shared" si="5"/>
        <v>303.8355448514817</v>
      </c>
      <c r="D93" s="2">
        <f t="shared" si="6"/>
        <v>73.205123854847727</v>
      </c>
      <c r="E93" s="1">
        <f t="shared" si="7"/>
        <v>50566.052351392107</v>
      </c>
    </row>
    <row r="94" spans="1:8" x14ac:dyDescent="0.25">
      <c r="A94">
        <v>88</v>
      </c>
      <c r="B94" s="2">
        <f t="shared" si="4"/>
        <v>377.04066870632943</v>
      </c>
      <c r="C94" s="1">
        <f t="shared" si="5"/>
        <v>303.39631410835261</v>
      </c>
      <c r="D94" s="2">
        <f t="shared" si="6"/>
        <v>73.644354597976815</v>
      </c>
      <c r="E94" s="1">
        <f t="shared" si="7"/>
        <v>50492.407996794129</v>
      </c>
    </row>
    <row r="95" spans="1:8" x14ac:dyDescent="0.25">
      <c r="A95">
        <v>89</v>
      </c>
      <c r="B95" s="2">
        <f t="shared" si="4"/>
        <v>377.04066870632943</v>
      </c>
      <c r="C95" s="1">
        <f t="shared" si="5"/>
        <v>302.95444798076471</v>
      </c>
      <c r="D95" s="2">
        <f t="shared" si="6"/>
        <v>74.086220725564715</v>
      </c>
      <c r="E95" s="1">
        <f t="shared" si="7"/>
        <v>50418.321776068566</v>
      </c>
    </row>
    <row r="96" spans="1:8" x14ac:dyDescent="0.25">
      <c r="A96" s="7">
        <v>90</v>
      </c>
      <c r="B96" s="8">
        <f t="shared" si="4"/>
        <v>377.04066870632943</v>
      </c>
      <c r="C96" s="9">
        <f t="shared" si="5"/>
        <v>302.50993065641137</v>
      </c>
      <c r="D96" s="8">
        <f t="shared" si="6"/>
        <v>74.530738049918057</v>
      </c>
      <c r="E96" s="9">
        <f t="shared" si="7"/>
        <v>50343.791038018644</v>
      </c>
      <c r="F96">
        <v>2019</v>
      </c>
    </row>
    <row r="97" spans="1:6" x14ac:dyDescent="0.25">
      <c r="A97">
        <v>91</v>
      </c>
      <c r="B97" s="2">
        <f t="shared" si="4"/>
        <v>377.04066870632943</v>
      </c>
      <c r="C97" s="1">
        <f t="shared" si="5"/>
        <v>302.06274622811185</v>
      </c>
      <c r="D97" s="2">
        <f t="shared" si="6"/>
        <v>74.977922478217579</v>
      </c>
      <c r="E97" s="1">
        <f t="shared" si="7"/>
        <v>50268.813115540426</v>
      </c>
    </row>
    <row r="98" spans="1:6" x14ac:dyDescent="0.25">
      <c r="A98">
        <v>92</v>
      </c>
      <c r="B98" s="2">
        <f t="shared" si="4"/>
        <v>377.04066870632943</v>
      </c>
      <c r="C98" s="1">
        <f t="shared" si="5"/>
        <v>301.61287869324252</v>
      </c>
      <c r="D98" s="2">
        <f t="shared" si="6"/>
        <v>75.427790013086906</v>
      </c>
      <c r="E98" s="1">
        <f t="shared" si="7"/>
        <v>50193.385325527343</v>
      </c>
    </row>
    <row r="99" spans="1:6" x14ac:dyDescent="0.25">
      <c r="A99">
        <v>93</v>
      </c>
      <c r="B99" s="2">
        <f t="shared" si="4"/>
        <v>377.04066870632943</v>
      </c>
      <c r="C99" s="1">
        <f t="shared" si="5"/>
        <v>301.16031195316401</v>
      </c>
      <c r="D99" s="2">
        <f t="shared" si="6"/>
        <v>75.880356753165415</v>
      </c>
      <c r="E99" s="1">
        <f t="shared" si="7"/>
        <v>50117.504968774178</v>
      </c>
    </row>
    <row r="100" spans="1:6" x14ac:dyDescent="0.25">
      <c r="A100">
        <v>94</v>
      </c>
      <c r="B100" s="2">
        <f t="shared" si="4"/>
        <v>377.04066870632943</v>
      </c>
      <c r="C100" s="1">
        <f t="shared" si="5"/>
        <v>300.70502981264502</v>
      </c>
      <c r="D100" s="2">
        <f t="shared" si="6"/>
        <v>76.335638893684404</v>
      </c>
      <c r="E100" s="1">
        <f t="shared" si="7"/>
        <v>50041.169329880497</v>
      </c>
    </row>
    <row r="101" spans="1:6" x14ac:dyDescent="0.25">
      <c r="A101">
        <v>95</v>
      </c>
      <c r="B101" s="2">
        <f t="shared" si="4"/>
        <v>377.04066870632943</v>
      </c>
      <c r="C101" s="1">
        <f t="shared" si="5"/>
        <v>300.24701597928293</v>
      </c>
      <c r="D101" s="2">
        <f t="shared" si="6"/>
        <v>76.793652727046492</v>
      </c>
      <c r="E101" s="1">
        <f t="shared" si="7"/>
        <v>49964.375677153454</v>
      </c>
    </row>
    <row r="102" spans="1:6" x14ac:dyDescent="0.25">
      <c r="A102">
        <v>96</v>
      </c>
      <c r="B102" s="2">
        <f t="shared" si="4"/>
        <v>377.04066870632943</v>
      </c>
      <c r="C102" s="1">
        <f t="shared" si="5"/>
        <v>299.7862540629207</v>
      </c>
      <c r="D102" s="2">
        <f t="shared" si="6"/>
        <v>77.254414643408722</v>
      </c>
      <c r="E102" s="1">
        <f t="shared" si="7"/>
        <v>49887.121262510045</v>
      </c>
    </row>
    <row r="103" spans="1:6" x14ac:dyDescent="0.25">
      <c r="A103">
        <v>97</v>
      </c>
      <c r="B103" s="2">
        <f t="shared" si="4"/>
        <v>377.04066870632943</v>
      </c>
      <c r="C103" s="1">
        <f t="shared" si="5"/>
        <v>299.32272757506024</v>
      </c>
      <c r="D103" s="2">
        <f t="shared" si="6"/>
        <v>77.717941131269185</v>
      </c>
      <c r="E103" s="1">
        <f t="shared" si="7"/>
        <v>49809.403321378777</v>
      </c>
    </row>
    <row r="104" spans="1:6" x14ac:dyDescent="0.25">
      <c r="A104">
        <v>98</v>
      </c>
      <c r="B104" s="2">
        <f t="shared" si="4"/>
        <v>377.04066870632943</v>
      </c>
      <c r="C104" s="1">
        <f t="shared" si="5"/>
        <v>298.8564199282726</v>
      </c>
      <c r="D104" s="2">
        <f t="shared" si="6"/>
        <v>78.184248778056826</v>
      </c>
      <c r="E104" s="1">
        <f t="shared" si="7"/>
        <v>49731.219072600717</v>
      </c>
    </row>
    <row r="105" spans="1:6" x14ac:dyDescent="0.25">
      <c r="A105">
        <v>99</v>
      </c>
      <c r="B105" s="2">
        <f t="shared" si="4"/>
        <v>377.04066870632943</v>
      </c>
      <c r="C105" s="1">
        <f t="shared" si="5"/>
        <v>298.38731443560425</v>
      </c>
      <c r="D105" s="2">
        <f t="shared" si="6"/>
        <v>78.653354270725174</v>
      </c>
      <c r="E105" s="1">
        <f t="shared" si="7"/>
        <v>49652.565718329992</v>
      </c>
    </row>
    <row r="106" spans="1:6" x14ac:dyDescent="0.25">
      <c r="A106">
        <v>100</v>
      </c>
      <c r="B106" s="2">
        <f t="shared" si="4"/>
        <v>377.04066870632943</v>
      </c>
      <c r="C106" s="1">
        <f t="shared" si="5"/>
        <v>297.91539430997989</v>
      </c>
      <c r="D106" s="2">
        <f t="shared" si="6"/>
        <v>79.125274396349539</v>
      </c>
      <c r="E106" s="1">
        <f t="shared" si="7"/>
        <v>49573.440443933643</v>
      </c>
    </row>
    <row r="107" spans="1:6" x14ac:dyDescent="0.25">
      <c r="A107">
        <v>101</v>
      </c>
      <c r="B107" s="2">
        <f t="shared" si="4"/>
        <v>377.04066870632943</v>
      </c>
      <c r="C107" s="1">
        <f t="shared" si="5"/>
        <v>297.44064266360181</v>
      </c>
      <c r="D107" s="2">
        <f t="shared" si="6"/>
        <v>79.60002604272762</v>
      </c>
      <c r="E107" s="1">
        <f t="shared" si="7"/>
        <v>49493.840417890919</v>
      </c>
    </row>
    <row r="108" spans="1:6" x14ac:dyDescent="0.25">
      <c r="A108" s="7">
        <v>102</v>
      </c>
      <c r="B108" s="8">
        <f t="shared" si="4"/>
        <v>377.04066870632943</v>
      </c>
      <c r="C108" s="9">
        <f t="shared" si="5"/>
        <v>296.96304250734545</v>
      </c>
      <c r="D108" s="8">
        <f t="shared" si="6"/>
        <v>80.077626198983978</v>
      </c>
      <c r="E108" s="9">
        <f t="shared" si="7"/>
        <v>49413.762791691937</v>
      </c>
      <c r="F108">
        <v>2020</v>
      </c>
    </row>
    <row r="109" spans="1:6" x14ac:dyDescent="0.25">
      <c r="A109">
        <v>103</v>
      </c>
      <c r="B109" s="2">
        <f t="shared" si="4"/>
        <v>377.04066870632943</v>
      </c>
      <c r="C109" s="1">
        <f t="shared" si="5"/>
        <v>296.48257675015157</v>
      </c>
      <c r="D109" s="2">
        <f t="shared" si="6"/>
        <v>80.558091956177861</v>
      </c>
      <c r="E109" s="1">
        <f t="shared" si="7"/>
        <v>49333.204699735761</v>
      </c>
    </row>
    <row r="110" spans="1:6" x14ac:dyDescent="0.25">
      <c r="A110">
        <v>104</v>
      </c>
      <c r="B110" s="2">
        <f t="shared" si="4"/>
        <v>377.04066870632943</v>
      </c>
      <c r="C110" s="1">
        <f t="shared" si="5"/>
        <v>295.99922819841453</v>
      </c>
      <c r="D110" s="2">
        <f t="shared" si="6"/>
        <v>81.041440507914899</v>
      </c>
      <c r="E110" s="1">
        <f t="shared" si="7"/>
        <v>49252.163259227847</v>
      </c>
    </row>
    <row r="111" spans="1:6" x14ac:dyDescent="0.25">
      <c r="A111">
        <v>105</v>
      </c>
      <c r="B111" s="2">
        <f t="shared" si="4"/>
        <v>377.04066870632943</v>
      </c>
      <c r="C111" s="1">
        <f t="shared" si="5"/>
        <v>295.51297955536705</v>
      </c>
      <c r="D111" s="2">
        <f t="shared" si="6"/>
        <v>81.527689150962374</v>
      </c>
      <c r="E111" s="1">
        <f t="shared" si="7"/>
        <v>49170.635570076884</v>
      </c>
    </row>
    <row r="112" spans="1:6" x14ac:dyDescent="0.25">
      <c r="A112">
        <v>106</v>
      </c>
      <c r="B112" s="2">
        <f t="shared" si="4"/>
        <v>377.04066870632943</v>
      </c>
      <c r="C112" s="1">
        <f t="shared" si="5"/>
        <v>295.02381342046124</v>
      </c>
      <c r="D112" s="2">
        <f t="shared" si="6"/>
        <v>82.016855285868189</v>
      </c>
      <c r="E112" s="1">
        <f t="shared" si="7"/>
        <v>49088.618714791017</v>
      </c>
    </row>
    <row r="113" spans="1:6" x14ac:dyDescent="0.25">
      <c r="A113">
        <v>107</v>
      </c>
      <c r="B113" s="2">
        <f t="shared" si="4"/>
        <v>377.04066870632943</v>
      </c>
      <c r="C113" s="1">
        <f t="shared" si="5"/>
        <v>294.53171228874606</v>
      </c>
      <c r="D113" s="2">
        <f t="shared" si="6"/>
        <v>82.508956417583363</v>
      </c>
      <c r="E113" s="1">
        <f t="shared" si="7"/>
        <v>49006.10975837343</v>
      </c>
    </row>
    <row r="114" spans="1:6" x14ac:dyDescent="0.25">
      <c r="A114">
        <v>108</v>
      </c>
      <c r="B114" s="2">
        <f t="shared" si="4"/>
        <v>377.04066870632943</v>
      </c>
      <c r="C114" s="1">
        <f t="shared" si="5"/>
        <v>294.03665855024053</v>
      </c>
      <c r="D114" s="2">
        <f t="shared" si="6"/>
        <v>83.004010156088896</v>
      </c>
      <c r="E114" s="1">
        <f t="shared" si="7"/>
        <v>48923.105748217342</v>
      </c>
    </row>
    <row r="115" spans="1:6" x14ac:dyDescent="0.25">
      <c r="A115">
        <v>109</v>
      </c>
      <c r="B115" s="2">
        <f t="shared" si="4"/>
        <v>377.04066870632943</v>
      </c>
      <c r="C115" s="1">
        <f t="shared" si="5"/>
        <v>293.538634489304</v>
      </c>
      <c r="D115" s="2">
        <f t="shared" si="6"/>
        <v>83.502034217025425</v>
      </c>
      <c r="E115" s="1">
        <f t="shared" si="7"/>
        <v>48839.603714000317</v>
      </c>
    </row>
    <row r="116" spans="1:6" x14ac:dyDescent="0.25">
      <c r="A116">
        <v>110</v>
      </c>
      <c r="B116" s="2">
        <f t="shared" si="4"/>
        <v>377.04066870632943</v>
      </c>
      <c r="C116" s="1">
        <f t="shared" si="5"/>
        <v>293.03762228400188</v>
      </c>
      <c r="D116" s="2">
        <f t="shared" si="6"/>
        <v>84.003046422327543</v>
      </c>
      <c r="E116" s="1">
        <f t="shared" si="7"/>
        <v>48755.600667577986</v>
      </c>
    </row>
    <row r="117" spans="1:6" x14ac:dyDescent="0.25">
      <c r="A117">
        <v>111</v>
      </c>
      <c r="B117" s="2">
        <f t="shared" si="4"/>
        <v>377.04066870632943</v>
      </c>
      <c r="C117" s="1">
        <f t="shared" si="5"/>
        <v>292.53360400546791</v>
      </c>
      <c r="D117" s="2">
        <f t="shared" si="6"/>
        <v>84.50706470086152</v>
      </c>
      <c r="E117" s="1">
        <f t="shared" si="7"/>
        <v>48671.093602877125</v>
      </c>
    </row>
    <row r="118" spans="1:6" x14ac:dyDescent="0.25">
      <c r="A118">
        <v>112</v>
      </c>
      <c r="B118" s="2">
        <f t="shared" si="4"/>
        <v>377.04066870632943</v>
      </c>
      <c r="C118" s="1">
        <f t="shared" si="5"/>
        <v>292.0265616172627</v>
      </c>
      <c r="D118" s="2">
        <f t="shared" si="6"/>
        <v>85.014107089066727</v>
      </c>
      <c r="E118" s="1">
        <f t="shared" si="7"/>
        <v>48586.079495788057</v>
      </c>
    </row>
    <row r="119" spans="1:6" x14ac:dyDescent="0.25">
      <c r="A119">
        <v>113</v>
      </c>
      <c r="B119" s="2">
        <f t="shared" si="4"/>
        <v>377.04066870632943</v>
      </c>
      <c r="C119" s="1">
        <f t="shared" si="5"/>
        <v>291.51647697472833</v>
      </c>
      <c r="D119" s="2">
        <f t="shared" si="6"/>
        <v>85.524191731601093</v>
      </c>
      <c r="E119" s="1">
        <f t="shared" si="7"/>
        <v>48500.555304056455</v>
      </c>
    </row>
    <row r="120" spans="1:6" x14ac:dyDescent="0.25">
      <c r="A120" s="7">
        <v>114</v>
      </c>
      <c r="B120" s="8">
        <f t="shared" si="4"/>
        <v>377.04066870632943</v>
      </c>
      <c r="C120" s="9">
        <f t="shared" si="5"/>
        <v>291.00333182433872</v>
      </c>
      <c r="D120" s="8">
        <f t="shared" si="6"/>
        <v>86.037336881990711</v>
      </c>
      <c r="E120" s="9">
        <f t="shared" si="7"/>
        <v>48414.517967174463</v>
      </c>
      <c r="F120">
        <v>2021</v>
      </c>
    </row>
    <row r="121" spans="1:6" x14ac:dyDescent="0.25">
      <c r="A121">
        <v>115</v>
      </c>
      <c r="B121" s="2">
        <f t="shared" si="4"/>
        <v>377.04066870632943</v>
      </c>
      <c r="C121" s="1">
        <f t="shared" si="5"/>
        <v>290.48710780304674</v>
      </c>
      <c r="D121" s="2">
        <f t="shared" si="6"/>
        <v>86.553560903282687</v>
      </c>
      <c r="E121" s="1">
        <f t="shared" si="7"/>
        <v>48327.964406271181</v>
      </c>
    </row>
    <row r="122" spans="1:6" x14ac:dyDescent="0.25">
      <c r="A122">
        <v>116</v>
      </c>
      <c r="B122" s="2">
        <f t="shared" si="4"/>
        <v>377.04066870632943</v>
      </c>
      <c r="C122" s="1">
        <f t="shared" si="5"/>
        <v>289.96778643762707</v>
      </c>
      <c r="D122" s="2">
        <f t="shared" si="6"/>
        <v>87.072882268702358</v>
      </c>
      <c r="E122" s="1">
        <f t="shared" si="7"/>
        <v>48240.89152400248</v>
      </c>
    </row>
    <row r="123" spans="1:6" x14ac:dyDescent="0.25">
      <c r="A123">
        <v>117</v>
      </c>
      <c r="B123" s="2">
        <f t="shared" si="4"/>
        <v>377.04066870632943</v>
      </c>
      <c r="C123" s="1">
        <f t="shared" si="5"/>
        <v>289.44534914401487</v>
      </c>
      <c r="D123" s="2">
        <f t="shared" si="6"/>
        <v>87.595319562314558</v>
      </c>
      <c r="E123" s="1">
        <f t="shared" si="7"/>
        <v>48153.296204440165</v>
      </c>
    </row>
    <row r="124" spans="1:6" x14ac:dyDescent="0.25">
      <c r="A124">
        <v>118</v>
      </c>
      <c r="B124" s="2">
        <f t="shared" si="4"/>
        <v>377.04066870632943</v>
      </c>
      <c r="C124" s="1">
        <f t="shared" si="5"/>
        <v>288.91977722664097</v>
      </c>
      <c r="D124" s="2">
        <f t="shared" si="6"/>
        <v>88.120891479688453</v>
      </c>
      <c r="E124" s="1">
        <f t="shared" si="7"/>
        <v>48065.175312960477</v>
      </c>
    </row>
    <row r="125" spans="1:6" x14ac:dyDescent="0.25">
      <c r="A125">
        <v>119</v>
      </c>
      <c r="B125" s="2">
        <f t="shared" si="4"/>
        <v>377.04066870632943</v>
      </c>
      <c r="C125" s="1">
        <f t="shared" si="5"/>
        <v>288.39105187776283</v>
      </c>
      <c r="D125" s="2">
        <f t="shared" si="6"/>
        <v>88.649616828566593</v>
      </c>
      <c r="E125" s="1">
        <f t="shared" si="7"/>
        <v>47976.52569613191</v>
      </c>
    </row>
    <row r="126" spans="1:6" x14ac:dyDescent="0.25">
      <c r="A126">
        <v>120</v>
      </c>
      <c r="B126" s="2">
        <f t="shared" si="4"/>
        <v>377.04066870632943</v>
      </c>
      <c r="C126" s="1">
        <f t="shared" si="5"/>
        <v>287.85915417679144</v>
      </c>
      <c r="D126" s="2">
        <f t="shared" si="6"/>
        <v>89.181514529537992</v>
      </c>
      <c r="E126" s="1">
        <f t="shared" si="7"/>
        <v>47887.34418160237</v>
      </c>
    </row>
    <row r="127" spans="1:6" x14ac:dyDescent="0.25">
      <c r="A127">
        <v>121</v>
      </c>
      <c r="B127" s="2">
        <f t="shared" si="4"/>
        <v>377.04066870632943</v>
      </c>
      <c r="C127" s="1">
        <f t="shared" si="5"/>
        <v>287.32406508961418</v>
      </c>
      <c r="D127" s="2">
        <f t="shared" si="6"/>
        <v>89.716603616715247</v>
      </c>
      <c r="E127" s="1">
        <f t="shared" si="7"/>
        <v>47797.627577985651</v>
      </c>
    </row>
    <row r="128" spans="1:6" x14ac:dyDescent="0.25">
      <c r="A128">
        <v>122</v>
      </c>
      <c r="B128" s="2">
        <f t="shared" si="4"/>
        <v>377.04066870632943</v>
      </c>
      <c r="C128" s="1">
        <f t="shared" si="5"/>
        <v>286.78576546791385</v>
      </c>
      <c r="D128" s="2">
        <f t="shared" si="6"/>
        <v>90.254903238415579</v>
      </c>
      <c r="E128" s="1">
        <f t="shared" si="7"/>
        <v>47707.372674747239</v>
      </c>
    </row>
    <row r="129" spans="1:6" x14ac:dyDescent="0.25">
      <c r="A129">
        <v>123</v>
      </c>
      <c r="B129" s="2">
        <f t="shared" si="4"/>
        <v>377.04066870632943</v>
      </c>
      <c r="C129" s="1">
        <f t="shared" si="5"/>
        <v>286.2442360484834</v>
      </c>
      <c r="D129" s="2">
        <f t="shared" si="6"/>
        <v>90.796432657846026</v>
      </c>
      <c r="E129" s="1">
        <f t="shared" si="7"/>
        <v>47616.576242089395</v>
      </c>
    </row>
    <row r="130" spans="1:6" x14ac:dyDescent="0.25">
      <c r="A130">
        <v>124</v>
      </c>
      <c r="B130" s="2">
        <f t="shared" si="4"/>
        <v>377.04066870632943</v>
      </c>
      <c r="C130" s="1">
        <f t="shared" si="5"/>
        <v>285.69945745253631</v>
      </c>
      <c r="D130" s="2">
        <f t="shared" si="6"/>
        <v>91.341211253793119</v>
      </c>
      <c r="E130" s="1">
        <f t="shared" si="7"/>
        <v>47525.235030835604</v>
      </c>
    </row>
    <row r="131" spans="1:6" x14ac:dyDescent="0.25">
      <c r="A131">
        <v>125</v>
      </c>
      <c r="B131" s="2">
        <f t="shared" si="4"/>
        <v>377.04066870632943</v>
      </c>
      <c r="C131" s="1">
        <f t="shared" si="5"/>
        <v>285.15141018501356</v>
      </c>
      <c r="D131" s="2">
        <f t="shared" si="6"/>
        <v>91.889258521315867</v>
      </c>
      <c r="E131" s="1">
        <f t="shared" si="7"/>
        <v>47433.345772314286</v>
      </c>
    </row>
    <row r="132" spans="1:6" x14ac:dyDescent="0.25">
      <c r="A132" s="7">
        <v>126</v>
      </c>
      <c r="B132" s="8">
        <f t="shared" si="4"/>
        <v>377.04066870632943</v>
      </c>
      <c r="C132" s="9">
        <f t="shared" si="5"/>
        <v>284.6000746338857</v>
      </c>
      <c r="D132" s="8">
        <f t="shared" si="6"/>
        <v>92.44059407244373</v>
      </c>
      <c r="E132" s="9">
        <f t="shared" si="7"/>
        <v>47340.905178241839</v>
      </c>
      <c r="F132">
        <v>2022</v>
      </c>
    </row>
    <row r="133" spans="1:6" x14ac:dyDescent="0.25">
      <c r="A133">
        <v>127</v>
      </c>
      <c r="B133" s="2">
        <f t="shared" si="4"/>
        <v>377.04066870632943</v>
      </c>
      <c r="C133" s="1">
        <f t="shared" si="5"/>
        <v>284.04543106945101</v>
      </c>
      <c r="D133" s="2">
        <f t="shared" si="6"/>
        <v>92.995237636878414</v>
      </c>
      <c r="E133" s="1">
        <f t="shared" si="7"/>
        <v>47247.909940604957</v>
      </c>
    </row>
    <row r="134" spans="1:6" x14ac:dyDescent="0.25">
      <c r="A134">
        <v>128</v>
      </c>
      <c r="B134" s="2">
        <f t="shared" si="4"/>
        <v>377.04066870632943</v>
      </c>
      <c r="C134" s="1">
        <f t="shared" si="5"/>
        <v>283.48745964362973</v>
      </c>
      <c r="D134" s="2">
        <f t="shared" si="6"/>
        <v>93.553209062699693</v>
      </c>
      <c r="E134" s="1">
        <f t="shared" si="7"/>
        <v>47154.356731542255</v>
      </c>
    </row>
    <row r="135" spans="1:6" x14ac:dyDescent="0.25">
      <c r="A135">
        <v>129</v>
      </c>
      <c r="B135" s="2">
        <f t="shared" ref="B135:B198" si="8">PMT($C$2/12,$C$3,-$E$6)</f>
        <v>377.04066870632943</v>
      </c>
      <c r="C135" s="1">
        <f t="shared" ref="C135:C198" si="9">E134*($C$2/12)</f>
        <v>282.92614038925348</v>
      </c>
      <c r="D135" s="2">
        <f t="shared" ref="D135:D198" si="10">B135-C135</f>
        <v>94.114528317075951</v>
      </c>
      <c r="E135" s="1">
        <f t="shared" ref="E135:E198" si="11">E134-D135</f>
        <v>47060.242203225178</v>
      </c>
    </row>
    <row r="136" spans="1:6" x14ac:dyDescent="0.25">
      <c r="A136">
        <v>130</v>
      </c>
      <c r="B136" s="2">
        <f t="shared" si="8"/>
        <v>377.04066870632943</v>
      </c>
      <c r="C136" s="1">
        <f t="shared" si="9"/>
        <v>282.36145321935101</v>
      </c>
      <c r="D136" s="2">
        <f t="shared" si="10"/>
        <v>94.679215486978421</v>
      </c>
      <c r="E136" s="1">
        <f t="shared" si="11"/>
        <v>46965.562987738202</v>
      </c>
    </row>
    <row r="137" spans="1:6" x14ac:dyDescent="0.25">
      <c r="A137">
        <v>131</v>
      </c>
      <c r="B137" s="2">
        <f t="shared" si="8"/>
        <v>377.04066870632943</v>
      </c>
      <c r="C137" s="1">
        <f t="shared" si="9"/>
        <v>281.79337792642917</v>
      </c>
      <c r="D137" s="2">
        <f t="shared" si="10"/>
        <v>95.247290779900254</v>
      </c>
      <c r="E137" s="1">
        <f t="shared" si="11"/>
        <v>46870.3156969583</v>
      </c>
    </row>
    <row r="138" spans="1:6" x14ac:dyDescent="0.25">
      <c r="A138">
        <v>132</v>
      </c>
      <c r="B138" s="2">
        <f t="shared" si="8"/>
        <v>377.04066870632943</v>
      </c>
      <c r="C138" s="1">
        <f t="shared" si="9"/>
        <v>281.22189418174975</v>
      </c>
      <c r="D138" s="2">
        <f t="shared" si="10"/>
        <v>95.81877452457968</v>
      </c>
      <c r="E138" s="1">
        <f t="shared" si="11"/>
        <v>46774.496922433718</v>
      </c>
    </row>
    <row r="139" spans="1:6" x14ac:dyDescent="0.25">
      <c r="A139">
        <v>133</v>
      </c>
      <c r="B139" s="2">
        <f t="shared" si="8"/>
        <v>377.04066870632943</v>
      </c>
      <c r="C139" s="1">
        <f t="shared" si="9"/>
        <v>280.64698153460228</v>
      </c>
      <c r="D139" s="2">
        <f t="shared" si="10"/>
        <v>96.393687171727152</v>
      </c>
      <c r="E139" s="1">
        <f t="shared" si="11"/>
        <v>46678.103235261988</v>
      </c>
    </row>
    <row r="140" spans="1:6" x14ac:dyDescent="0.25">
      <c r="A140">
        <v>134</v>
      </c>
      <c r="B140" s="2">
        <f t="shared" si="8"/>
        <v>377.04066870632943</v>
      </c>
      <c r="C140" s="1">
        <f t="shared" si="9"/>
        <v>280.06861941157189</v>
      </c>
      <c r="D140" s="2">
        <f t="shared" si="10"/>
        <v>96.972049294757539</v>
      </c>
      <c r="E140" s="1">
        <f t="shared" si="11"/>
        <v>46581.131185967228</v>
      </c>
    </row>
    <row r="141" spans="1:6" x14ac:dyDescent="0.25">
      <c r="A141">
        <v>135</v>
      </c>
      <c r="B141" s="2">
        <f t="shared" si="8"/>
        <v>377.04066870632943</v>
      </c>
      <c r="C141" s="1">
        <f t="shared" si="9"/>
        <v>279.48678711580334</v>
      </c>
      <c r="D141" s="2">
        <f t="shared" si="10"/>
        <v>97.553881590526089</v>
      </c>
      <c r="E141" s="1">
        <f t="shared" si="11"/>
        <v>46483.577304376704</v>
      </c>
    </row>
    <row r="142" spans="1:6" x14ac:dyDescent="0.25">
      <c r="A142">
        <v>136</v>
      </c>
      <c r="B142" s="2">
        <f t="shared" si="8"/>
        <v>377.04066870632943</v>
      </c>
      <c r="C142" s="1">
        <f t="shared" si="9"/>
        <v>278.90146382626017</v>
      </c>
      <c r="D142" s="2">
        <f t="shared" si="10"/>
        <v>98.139204880069258</v>
      </c>
      <c r="E142" s="1">
        <f t="shared" si="11"/>
        <v>46385.438099496634</v>
      </c>
    </row>
    <row r="143" spans="1:6" x14ac:dyDescent="0.25">
      <c r="A143">
        <v>137</v>
      </c>
      <c r="B143" s="2">
        <f t="shared" si="8"/>
        <v>377.04066870632943</v>
      </c>
      <c r="C143" s="1">
        <f t="shared" si="9"/>
        <v>278.31262859697978</v>
      </c>
      <c r="D143" s="2">
        <f t="shared" si="10"/>
        <v>98.728040109349649</v>
      </c>
      <c r="E143" s="1">
        <f t="shared" si="11"/>
        <v>46286.710059387282</v>
      </c>
    </row>
    <row r="144" spans="1:6" x14ac:dyDescent="0.25">
      <c r="A144" s="7">
        <v>138</v>
      </c>
      <c r="B144" s="8">
        <f t="shared" si="8"/>
        <v>377.04066870632943</v>
      </c>
      <c r="C144" s="9">
        <f t="shared" si="9"/>
        <v>277.72026035632365</v>
      </c>
      <c r="D144" s="8">
        <f t="shared" si="10"/>
        <v>99.320408350005778</v>
      </c>
      <c r="E144" s="9">
        <f t="shared" si="11"/>
        <v>46187.38965103728</v>
      </c>
      <c r="F144">
        <v>2023</v>
      </c>
    </row>
    <row r="145" spans="1:5" x14ac:dyDescent="0.25">
      <c r="A145">
        <v>139</v>
      </c>
      <c r="B145" s="2">
        <f t="shared" si="8"/>
        <v>377.04066870632943</v>
      </c>
      <c r="C145" s="1">
        <f t="shared" si="9"/>
        <v>277.12433790622362</v>
      </c>
      <c r="D145" s="2">
        <f t="shared" si="10"/>
        <v>99.916330800105811</v>
      </c>
      <c r="E145" s="1">
        <f t="shared" si="11"/>
        <v>46087.473320237172</v>
      </c>
    </row>
    <row r="146" spans="1:5" x14ac:dyDescent="0.25">
      <c r="A146">
        <v>140</v>
      </c>
      <c r="B146" s="2">
        <f t="shared" si="8"/>
        <v>377.04066870632943</v>
      </c>
      <c r="C146" s="1">
        <f t="shared" si="9"/>
        <v>276.52483992142299</v>
      </c>
      <c r="D146" s="2">
        <f t="shared" si="10"/>
        <v>100.51582878490643</v>
      </c>
      <c r="E146" s="1">
        <f t="shared" si="11"/>
        <v>45986.957491452267</v>
      </c>
    </row>
    <row r="147" spans="1:5" x14ac:dyDescent="0.25">
      <c r="A147">
        <v>141</v>
      </c>
      <c r="B147" s="2">
        <f t="shared" si="8"/>
        <v>377.04066870632943</v>
      </c>
      <c r="C147" s="1">
        <f t="shared" si="9"/>
        <v>275.92174494871358</v>
      </c>
      <c r="D147" s="2">
        <f t="shared" si="10"/>
        <v>101.11892375761585</v>
      </c>
      <c r="E147" s="1">
        <f t="shared" si="11"/>
        <v>45885.838567694649</v>
      </c>
    </row>
    <row r="148" spans="1:5" x14ac:dyDescent="0.25">
      <c r="A148">
        <v>142</v>
      </c>
      <c r="B148" s="2">
        <f t="shared" si="8"/>
        <v>377.04066870632943</v>
      </c>
      <c r="C148" s="1">
        <f t="shared" si="9"/>
        <v>275.31503140616786</v>
      </c>
      <c r="D148" s="2">
        <f t="shared" si="10"/>
        <v>101.72563730016157</v>
      </c>
      <c r="E148" s="1">
        <f t="shared" si="11"/>
        <v>45784.112930394491</v>
      </c>
    </row>
    <row r="149" spans="1:5" x14ac:dyDescent="0.25">
      <c r="A149">
        <v>143</v>
      </c>
      <c r="B149" s="2">
        <f t="shared" si="8"/>
        <v>377.04066870632943</v>
      </c>
      <c r="C149" s="1">
        <f t="shared" si="9"/>
        <v>274.70467758236691</v>
      </c>
      <c r="D149" s="2">
        <f t="shared" si="10"/>
        <v>102.33599112396251</v>
      </c>
      <c r="E149" s="1">
        <f t="shared" si="11"/>
        <v>45681.77693927053</v>
      </c>
    </row>
    <row r="150" spans="1:5" x14ac:dyDescent="0.25">
      <c r="A150">
        <v>144</v>
      </c>
      <c r="B150" s="2">
        <f t="shared" si="8"/>
        <v>377.04066870632943</v>
      </c>
      <c r="C150" s="1">
        <f t="shared" si="9"/>
        <v>274.09066163562312</v>
      </c>
      <c r="D150" s="2">
        <f t="shared" si="10"/>
        <v>102.95000707070631</v>
      </c>
      <c r="E150" s="1">
        <f t="shared" si="11"/>
        <v>45578.826932199823</v>
      </c>
    </row>
    <row r="151" spans="1:5" x14ac:dyDescent="0.25">
      <c r="A151">
        <v>145</v>
      </c>
      <c r="B151" s="2">
        <f t="shared" si="8"/>
        <v>377.04066870632943</v>
      </c>
      <c r="C151" s="1">
        <f t="shared" si="9"/>
        <v>273.47296159319893</v>
      </c>
      <c r="D151" s="2">
        <f t="shared" si="10"/>
        <v>103.5677071131305</v>
      </c>
      <c r="E151" s="1">
        <f t="shared" si="11"/>
        <v>45475.259225086695</v>
      </c>
    </row>
    <row r="152" spans="1:5" x14ac:dyDescent="0.25">
      <c r="A152">
        <v>146</v>
      </c>
      <c r="B152" s="2">
        <f t="shared" si="8"/>
        <v>377.04066870632943</v>
      </c>
      <c r="C152" s="1">
        <f t="shared" si="9"/>
        <v>272.85155535052013</v>
      </c>
      <c r="D152" s="2">
        <f t="shared" si="10"/>
        <v>104.1891133558093</v>
      </c>
      <c r="E152" s="1">
        <f t="shared" si="11"/>
        <v>45371.070111730885</v>
      </c>
    </row>
    <row r="153" spans="1:5" x14ac:dyDescent="0.25">
      <c r="A153">
        <v>147</v>
      </c>
      <c r="B153" s="2">
        <f t="shared" si="8"/>
        <v>377.04066870632943</v>
      </c>
      <c r="C153" s="1">
        <f t="shared" si="9"/>
        <v>272.22642067038527</v>
      </c>
      <c r="D153" s="2">
        <f t="shared" si="10"/>
        <v>104.81424803594416</v>
      </c>
      <c r="E153" s="1">
        <f t="shared" si="11"/>
        <v>45266.25586369494</v>
      </c>
    </row>
    <row r="154" spans="1:5" x14ac:dyDescent="0.25">
      <c r="A154">
        <v>148</v>
      </c>
      <c r="B154" s="2">
        <f t="shared" si="8"/>
        <v>377.04066870632943</v>
      </c>
      <c r="C154" s="1">
        <f t="shared" si="9"/>
        <v>271.59753518216962</v>
      </c>
      <c r="D154" s="2">
        <f t="shared" si="10"/>
        <v>105.4431335241598</v>
      </c>
      <c r="E154" s="1">
        <f t="shared" si="11"/>
        <v>45160.812730170779</v>
      </c>
    </row>
    <row r="155" spans="1:5" x14ac:dyDescent="0.25">
      <c r="A155">
        <v>149</v>
      </c>
      <c r="B155" s="2">
        <f t="shared" si="8"/>
        <v>377.04066870632943</v>
      </c>
      <c r="C155" s="1">
        <f t="shared" si="9"/>
        <v>270.96487638102462</v>
      </c>
      <c r="D155" s="2">
        <f t="shared" si="10"/>
        <v>106.0757923253048</v>
      </c>
      <c r="E155" s="1">
        <f t="shared" si="11"/>
        <v>45054.736937845475</v>
      </c>
    </row>
    <row r="156" spans="1:5" x14ac:dyDescent="0.25">
      <c r="A156">
        <v>150</v>
      </c>
      <c r="B156" s="2">
        <f t="shared" si="8"/>
        <v>377.04066870632943</v>
      </c>
      <c r="C156" s="1">
        <f t="shared" si="9"/>
        <v>270.32842162707283</v>
      </c>
      <c r="D156" s="2">
        <f t="shared" si="10"/>
        <v>106.7122470792566</v>
      </c>
      <c r="E156" s="1">
        <f t="shared" si="11"/>
        <v>44948.024690766215</v>
      </c>
    </row>
    <row r="157" spans="1:5" x14ac:dyDescent="0.25">
      <c r="A157">
        <v>151</v>
      </c>
      <c r="B157" s="2">
        <f t="shared" si="8"/>
        <v>377.04066870632943</v>
      </c>
      <c r="C157" s="1">
        <f t="shared" si="9"/>
        <v>269.68814814459728</v>
      </c>
      <c r="D157" s="2">
        <f t="shared" si="10"/>
        <v>107.35252056173215</v>
      </c>
      <c r="E157" s="1">
        <f t="shared" si="11"/>
        <v>44840.672170204482</v>
      </c>
    </row>
    <row r="158" spans="1:5" x14ac:dyDescent="0.25">
      <c r="A158">
        <v>152</v>
      </c>
      <c r="B158" s="2">
        <f t="shared" si="8"/>
        <v>377.04066870632943</v>
      </c>
      <c r="C158" s="1">
        <f t="shared" si="9"/>
        <v>269.04403302122688</v>
      </c>
      <c r="D158" s="2">
        <f t="shared" si="10"/>
        <v>107.99663568510255</v>
      </c>
      <c r="E158" s="1">
        <f t="shared" si="11"/>
        <v>44732.675534519381</v>
      </c>
    </row>
    <row r="159" spans="1:5" x14ac:dyDescent="0.25">
      <c r="A159">
        <v>153</v>
      </c>
      <c r="B159" s="2">
        <f t="shared" si="8"/>
        <v>377.04066870632943</v>
      </c>
      <c r="C159" s="1">
        <f t="shared" si="9"/>
        <v>268.39605320711627</v>
      </c>
      <c r="D159" s="2">
        <f t="shared" si="10"/>
        <v>108.64461549921316</v>
      </c>
      <c r="E159" s="1">
        <f t="shared" si="11"/>
        <v>44624.030919020166</v>
      </c>
    </row>
    <row r="160" spans="1:5" x14ac:dyDescent="0.25">
      <c r="A160">
        <v>154</v>
      </c>
      <c r="B160" s="2">
        <f t="shared" si="8"/>
        <v>377.04066870632943</v>
      </c>
      <c r="C160" s="1">
        <f t="shared" si="9"/>
        <v>267.74418551412094</v>
      </c>
      <c r="D160" s="2">
        <f t="shared" si="10"/>
        <v>109.29648319220848</v>
      </c>
      <c r="E160" s="1">
        <f t="shared" si="11"/>
        <v>44514.734435827959</v>
      </c>
    </row>
    <row r="161" spans="1:5" x14ac:dyDescent="0.25">
      <c r="A161">
        <v>155</v>
      </c>
      <c r="B161" s="2">
        <f t="shared" si="8"/>
        <v>377.04066870632943</v>
      </c>
      <c r="C161" s="1">
        <f t="shared" si="9"/>
        <v>267.08840661496771</v>
      </c>
      <c r="D161" s="2">
        <f t="shared" si="10"/>
        <v>109.95226209136172</v>
      </c>
      <c r="E161" s="1">
        <f t="shared" si="11"/>
        <v>44404.782173736596</v>
      </c>
    </row>
    <row r="162" spans="1:5" x14ac:dyDescent="0.25">
      <c r="A162">
        <v>156</v>
      </c>
      <c r="B162" s="2">
        <f t="shared" si="8"/>
        <v>377.04066870632943</v>
      </c>
      <c r="C162" s="1">
        <f t="shared" si="9"/>
        <v>266.42869304241952</v>
      </c>
      <c r="D162" s="2">
        <f t="shared" si="10"/>
        <v>110.6119756639099</v>
      </c>
      <c r="E162" s="1">
        <f t="shared" si="11"/>
        <v>44294.170198072687</v>
      </c>
    </row>
    <row r="163" spans="1:5" x14ac:dyDescent="0.25">
      <c r="A163">
        <v>157</v>
      </c>
      <c r="B163" s="2">
        <f t="shared" si="8"/>
        <v>377.04066870632943</v>
      </c>
      <c r="C163" s="1">
        <f t="shared" si="9"/>
        <v>265.76502118843609</v>
      </c>
      <c r="D163" s="2">
        <f t="shared" si="10"/>
        <v>111.27564751789333</v>
      </c>
      <c r="E163" s="1">
        <f t="shared" si="11"/>
        <v>44182.894550554796</v>
      </c>
    </row>
    <row r="164" spans="1:5" x14ac:dyDescent="0.25">
      <c r="A164">
        <v>158</v>
      </c>
      <c r="B164" s="2">
        <f t="shared" si="8"/>
        <v>377.04066870632943</v>
      </c>
      <c r="C164" s="1">
        <f t="shared" si="9"/>
        <v>265.09736730332872</v>
      </c>
      <c r="D164" s="2">
        <f t="shared" si="10"/>
        <v>111.9433014030007</v>
      </c>
      <c r="E164" s="1">
        <f t="shared" si="11"/>
        <v>44070.951249151796</v>
      </c>
    </row>
    <row r="165" spans="1:5" x14ac:dyDescent="0.25">
      <c r="A165">
        <v>159</v>
      </c>
      <c r="B165" s="2">
        <f t="shared" si="8"/>
        <v>377.04066870632943</v>
      </c>
      <c r="C165" s="1">
        <f t="shared" si="9"/>
        <v>264.42570749491074</v>
      </c>
      <c r="D165" s="2">
        <f t="shared" si="10"/>
        <v>112.61496121141869</v>
      </c>
      <c r="E165" s="1">
        <f t="shared" si="11"/>
        <v>43958.336287940379</v>
      </c>
    </row>
    <row r="166" spans="1:5" x14ac:dyDescent="0.25">
      <c r="A166">
        <v>160</v>
      </c>
      <c r="B166" s="2">
        <f t="shared" si="8"/>
        <v>377.04066870632943</v>
      </c>
      <c r="C166" s="1">
        <f t="shared" si="9"/>
        <v>263.75001772764222</v>
      </c>
      <c r="D166" s="2">
        <f t="shared" si="10"/>
        <v>113.29065097868721</v>
      </c>
      <c r="E166" s="1">
        <f t="shared" si="11"/>
        <v>43845.045636961695</v>
      </c>
    </row>
    <row r="167" spans="1:5" x14ac:dyDescent="0.25">
      <c r="A167">
        <v>161</v>
      </c>
      <c r="B167" s="2">
        <f t="shared" si="8"/>
        <v>377.04066870632943</v>
      </c>
      <c r="C167" s="1">
        <f t="shared" si="9"/>
        <v>263.07027382177012</v>
      </c>
      <c r="D167" s="2">
        <f t="shared" si="10"/>
        <v>113.97039488455931</v>
      </c>
      <c r="E167" s="1">
        <f t="shared" si="11"/>
        <v>43731.075242077139</v>
      </c>
    </row>
    <row r="168" spans="1:5" x14ac:dyDescent="0.25">
      <c r="A168">
        <v>162</v>
      </c>
      <c r="B168" s="2">
        <f t="shared" si="8"/>
        <v>377.04066870632943</v>
      </c>
      <c r="C168" s="1">
        <f t="shared" si="9"/>
        <v>262.38645145246278</v>
      </c>
      <c r="D168" s="2">
        <f t="shared" si="10"/>
        <v>114.65421725386665</v>
      </c>
      <c r="E168" s="1">
        <f t="shared" si="11"/>
        <v>43616.42102482327</v>
      </c>
    </row>
    <row r="169" spans="1:5" x14ac:dyDescent="0.25">
      <c r="A169">
        <v>163</v>
      </c>
      <c r="B169" s="2">
        <f t="shared" si="8"/>
        <v>377.04066870632943</v>
      </c>
      <c r="C169" s="1">
        <f t="shared" si="9"/>
        <v>261.69852614893961</v>
      </c>
      <c r="D169" s="2">
        <f t="shared" si="10"/>
        <v>115.34214255738982</v>
      </c>
      <c r="E169" s="1">
        <f t="shared" si="11"/>
        <v>43501.07888226588</v>
      </c>
    </row>
    <row r="170" spans="1:5" x14ac:dyDescent="0.25">
      <c r="A170">
        <v>164</v>
      </c>
      <c r="B170" s="2">
        <f t="shared" si="8"/>
        <v>377.04066870632943</v>
      </c>
      <c r="C170" s="1">
        <f t="shared" si="9"/>
        <v>261.00647329359526</v>
      </c>
      <c r="D170" s="2">
        <f t="shared" si="10"/>
        <v>116.03419541273416</v>
      </c>
      <c r="E170" s="1">
        <f t="shared" si="11"/>
        <v>43385.044686853144</v>
      </c>
    </row>
    <row r="171" spans="1:5" x14ac:dyDescent="0.25">
      <c r="A171">
        <v>165</v>
      </c>
      <c r="B171" s="2">
        <f t="shared" si="8"/>
        <v>377.04066870632943</v>
      </c>
      <c r="C171" s="1">
        <f t="shared" si="9"/>
        <v>260.31026812111884</v>
      </c>
      <c r="D171" s="2">
        <f t="shared" si="10"/>
        <v>116.73040058521059</v>
      </c>
      <c r="E171" s="1">
        <f t="shared" si="11"/>
        <v>43268.314286267931</v>
      </c>
    </row>
    <row r="172" spans="1:5" x14ac:dyDescent="0.25">
      <c r="A172">
        <v>166</v>
      </c>
      <c r="B172" s="2">
        <f t="shared" si="8"/>
        <v>377.04066870632943</v>
      </c>
      <c r="C172" s="1">
        <f t="shared" si="9"/>
        <v>259.60988571760754</v>
      </c>
      <c r="D172" s="2">
        <f t="shared" si="10"/>
        <v>117.43078298872189</v>
      </c>
      <c r="E172" s="1">
        <f t="shared" si="11"/>
        <v>43150.883503279212</v>
      </c>
    </row>
    <row r="173" spans="1:5" x14ac:dyDescent="0.25">
      <c r="A173">
        <v>167</v>
      </c>
      <c r="B173" s="2">
        <f t="shared" si="8"/>
        <v>377.04066870632943</v>
      </c>
      <c r="C173" s="1">
        <f t="shared" si="9"/>
        <v>258.90530101967522</v>
      </c>
      <c r="D173" s="2">
        <f t="shared" si="10"/>
        <v>118.13536768665421</v>
      </c>
      <c r="E173" s="1">
        <f t="shared" si="11"/>
        <v>43032.748135592556</v>
      </c>
    </row>
    <row r="174" spans="1:5" x14ac:dyDescent="0.25">
      <c r="A174">
        <v>168</v>
      </c>
      <c r="B174" s="2">
        <f t="shared" si="8"/>
        <v>377.04066870632943</v>
      </c>
      <c r="C174" s="1">
        <f t="shared" si="9"/>
        <v>258.19648881355528</v>
      </c>
      <c r="D174" s="2">
        <f t="shared" si="10"/>
        <v>118.84417989277415</v>
      </c>
      <c r="E174" s="1">
        <f t="shared" si="11"/>
        <v>42913.903955699781</v>
      </c>
    </row>
    <row r="175" spans="1:5" x14ac:dyDescent="0.25">
      <c r="A175">
        <v>169</v>
      </c>
      <c r="B175" s="2">
        <f t="shared" si="8"/>
        <v>377.04066870632943</v>
      </c>
      <c r="C175" s="1">
        <f t="shared" si="9"/>
        <v>257.48342373419865</v>
      </c>
      <c r="D175" s="2">
        <f t="shared" si="10"/>
        <v>119.55724497213077</v>
      </c>
      <c r="E175" s="1">
        <f t="shared" si="11"/>
        <v>42794.346710727652</v>
      </c>
    </row>
    <row r="176" spans="1:5" x14ac:dyDescent="0.25">
      <c r="A176">
        <v>170</v>
      </c>
      <c r="B176" s="2">
        <f t="shared" si="8"/>
        <v>377.04066870632943</v>
      </c>
      <c r="C176" s="1">
        <f t="shared" si="9"/>
        <v>256.76608026436588</v>
      </c>
      <c r="D176" s="2">
        <f t="shared" si="10"/>
        <v>120.27458844196354</v>
      </c>
      <c r="E176" s="1">
        <f t="shared" si="11"/>
        <v>42674.072122285688</v>
      </c>
    </row>
    <row r="177" spans="1:5" x14ac:dyDescent="0.25">
      <c r="A177">
        <v>171</v>
      </c>
      <c r="B177" s="2">
        <f t="shared" si="8"/>
        <v>377.04066870632943</v>
      </c>
      <c r="C177" s="1">
        <f t="shared" si="9"/>
        <v>256.04443273371407</v>
      </c>
      <c r="D177" s="2">
        <f t="shared" si="10"/>
        <v>120.99623597261535</v>
      </c>
      <c r="E177" s="1">
        <f t="shared" si="11"/>
        <v>42553.075886313076</v>
      </c>
    </row>
    <row r="178" spans="1:5" x14ac:dyDescent="0.25">
      <c r="A178">
        <v>172</v>
      </c>
      <c r="B178" s="2">
        <f t="shared" si="8"/>
        <v>377.04066870632943</v>
      </c>
      <c r="C178" s="1">
        <f t="shared" si="9"/>
        <v>255.31845531787843</v>
      </c>
      <c r="D178" s="2">
        <f t="shared" si="10"/>
        <v>121.722213388451</v>
      </c>
      <c r="E178" s="1">
        <f t="shared" si="11"/>
        <v>42431.353672924626</v>
      </c>
    </row>
    <row r="179" spans="1:5" x14ac:dyDescent="0.25">
      <c r="A179">
        <v>173</v>
      </c>
      <c r="B179" s="2">
        <f t="shared" si="8"/>
        <v>377.04066870632943</v>
      </c>
      <c r="C179" s="1">
        <f t="shared" si="9"/>
        <v>254.58812203754772</v>
      </c>
      <c r="D179" s="2">
        <f t="shared" si="10"/>
        <v>122.45254666878171</v>
      </c>
      <c r="E179" s="1">
        <f t="shared" si="11"/>
        <v>42308.901126255842</v>
      </c>
    </row>
    <row r="180" spans="1:5" x14ac:dyDescent="0.25">
      <c r="A180">
        <v>174</v>
      </c>
      <c r="B180" s="2">
        <f t="shared" si="8"/>
        <v>377.04066870632943</v>
      </c>
      <c r="C180" s="1">
        <f t="shared" si="9"/>
        <v>253.85340675753503</v>
      </c>
      <c r="D180" s="2">
        <f t="shared" si="10"/>
        <v>123.1872619487944</v>
      </c>
      <c r="E180" s="1">
        <f t="shared" si="11"/>
        <v>42185.71386430705</v>
      </c>
    </row>
    <row r="181" spans="1:5" x14ac:dyDescent="0.25">
      <c r="A181">
        <v>175</v>
      </c>
      <c r="B181" s="2">
        <f t="shared" si="8"/>
        <v>377.04066870632943</v>
      </c>
      <c r="C181" s="1">
        <f t="shared" si="9"/>
        <v>253.11428318584228</v>
      </c>
      <c r="D181" s="2">
        <f t="shared" si="10"/>
        <v>123.92638552048714</v>
      </c>
      <c r="E181" s="1">
        <f t="shared" si="11"/>
        <v>42061.787478786566</v>
      </c>
    </row>
    <row r="182" spans="1:5" x14ac:dyDescent="0.25">
      <c r="A182">
        <v>176</v>
      </c>
      <c r="B182" s="2">
        <f t="shared" si="8"/>
        <v>377.04066870632943</v>
      </c>
      <c r="C182" s="1">
        <f t="shared" si="9"/>
        <v>252.37072487271936</v>
      </c>
      <c r="D182" s="2">
        <f t="shared" si="10"/>
        <v>124.66994383361006</v>
      </c>
      <c r="E182" s="1">
        <f t="shared" si="11"/>
        <v>41937.117534952959</v>
      </c>
    </row>
    <row r="183" spans="1:5" x14ac:dyDescent="0.25">
      <c r="A183">
        <v>177</v>
      </c>
      <c r="B183" s="2">
        <f t="shared" si="8"/>
        <v>377.04066870632943</v>
      </c>
      <c r="C183" s="1">
        <f t="shared" si="9"/>
        <v>251.62270520971771</v>
      </c>
      <c r="D183" s="2">
        <f t="shared" si="10"/>
        <v>125.41796349661172</v>
      </c>
      <c r="E183" s="1">
        <f t="shared" si="11"/>
        <v>41811.699571456345</v>
      </c>
    </row>
    <row r="184" spans="1:5" x14ac:dyDescent="0.25">
      <c r="A184">
        <v>178</v>
      </c>
      <c r="B184" s="2">
        <f t="shared" si="8"/>
        <v>377.04066870632943</v>
      </c>
      <c r="C184" s="1">
        <f t="shared" si="9"/>
        <v>250.87019742873804</v>
      </c>
      <c r="D184" s="2">
        <f t="shared" si="10"/>
        <v>126.17047127759139</v>
      </c>
      <c r="E184" s="1">
        <f t="shared" si="11"/>
        <v>41685.529100178755</v>
      </c>
    </row>
    <row r="185" spans="1:5" x14ac:dyDescent="0.25">
      <c r="A185">
        <v>179</v>
      </c>
      <c r="B185" s="2">
        <f t="shared" si="8"/>
        <v>377.04066870632943</v>
      </c>
      <c r="C185" s="1">
        <f t="shared" si="9"/>
        <v>250.1131746010725</v>
      </c>
      <c r="D185" s="2">
        <f t="shared" si="10"/>
        <v>126.92749410525693</v>
      </c>
      <c r="E185" s="1">
        <f t="shared" si="11"/>
        <v>41558.601606073498</v>
      </c>
    </row>
    <row r="186" spans="1:5" x14ac:dyDescent="0.25">
      <c r="A186">
        <v>180</v>
      </c>
      <c r="B186" s="2">
        <f t="shared" si="8"/>
        <v>377.04066870632943</v>
      </c>
      <c r="C186" s="1">
        <f t="shared" si="9"/>
        <v>249.35160963644097</v>
      </c>
      <c r="D186" s="2">
        <f t="shared" si="10"/>
        <v>127.68905906988846</v>
      </c>
      <c r="E186" s="1">
        <f t="shared" si="11"/>
        <v>41430.912547003609</v>
      </c>
    </row>
    <row r="187" spans="1:5" x14ac:dyDescent="0.25">
      <c r="A187">
        <v>181</v>
      </c>
      <c r="B187" s="2">
        <f t="shared" si="8"/>
        <v>377.04066870632943</v>
      </c>
      <c r="C187" s="1">
        <f t="shared" si="9"/>
        <v>248.58547528202163</v>
      </c>
      <c r="D187" s="2">
        <f t="shared" si="10"/>
        <v>128.45519342430779</v>
      </c>
      <c r="E187" s="1">
        <f t="shared" si="11"/>
        <v>41302.457353579302</v>
      </c>
    </row>
    <row r="188" spans="1:5" x14ac:dyDescent="0.25">
      <c r="A188">
        <v>182</v>
      </c>
      <c r="B188" s="2">
        <f t="shared" si="8"/>
        <v>377.04066870632943</v>
      </c>
      <c r="C188" s="1">
        <f t="shared" si="9"/>
        <v>247.8147441214758</v>
      </c>
      <c r="D188" s="2">
        <f t="shared" si="10"/>
        <v>129.22592458485363</v>
      </c>
      <c r="E188" s="1">
        <f t="shared" si="11"/>
        <v>41173.231428994448</v>
      </c>
    </row>
    <row r="189" spans="1:5" x14ac:dyDescent="0.25">
      <c r="A189">
        <v>183</v>
      </c>
      <c r="B189" s="2">
        <f t="shared" si="8"/>
        <v>377.04066870632943</v>
      </c>
      <c r="C189" s="1">
        <f t="shared" si="9"/>
        <v>247.03938857396665</v>
      </c>
      <c r="D189" s="2">
        <f t="shared" si="10"/>
        <v>130.00128013236278</v>
      </c>
      <c r="E189" s="1">
        <f t="shared" si="11"/>
        <v>41043.230148862087</v>
      </c>
    </row>
    <row r="190" spans="1:5" x14ac:dyDescent="0.25">
      <c r="A190">
        <v>184</v>
      </c>
      <c r="B190" s="2">
        <f t="shared" si="8"/>
        <v>377.04066870632943</v>
      </c>
      <c r="C190" s="1">
        <f t="shared" si="9"/>
        <v>246.25938089317251</v>
      </c>
      <c r="D190" s="2">
        <f t="shared" si="10"/>
        <v>130.78128781315692</v>
      </c>
      <c r="E190" s="1">
        <f t="shared" si="11"/>
        <v>40912.448861048928</v>
      </c>
    </row>
    <row r="191" spans="1:5" x14ac:dyDescent="0.25">
      <c r="A191">
        <v>185</v>
      </c>
      <c r="B191" s="2">
        <f t="shared" si="8"/>
        <v>377.04066870632943</v>
      </c>
      <c r="C191" s="1">
        <f t="shared" si="9"/>
        <v>245.47469316629355</v>
      </c>
      <c r="D191" s="2">
        <f t="shared" si="10"/>
        <v>131.56597554003588</v>
      </c>
      <c r="E191" s="1">
        <f t="shared" si="11"/>
        <v>40780.882885508894</v>
      </c>
    </row>
    <row r="192" spans="1:5" x14ac:dyDescent="0.25">
      <c r="A192">
        <v>186</v>
      </c>
      <c r="B192" s="2">
        <f t="shared" si="8"/>
        <v>377.04066870632943</v>
      </c>
      <c r="C192" s="1">
        <f t="shared" si="9"/>
        <v>244.68529731305333</v>
      </c>
      <c r="D192" s="2">
        <f t="shared" si="10"/>
        <v>132.3553713932761</v>
      </c>
      <c r="E192" s="1">
        <f t="shared" si="11"/>
        <v>40648.527514115616</v>
      </c>
    </row>
    <row r="193" spans="1:5" x14ac:dyDescent="0.25">
      <c r="A193">
        <v>187</v>
      </c>
      <c r="B193" s="2">
        <f t="shared" si="8"/>
        <v>377.04066870632943</v>
      </c>
      <c r="C193" s="1">
        <f t="shared" si="9"/>
        <v>243.89116508469365</v>
      </c>
      <c r="D193" s="2">
        <f t="shared" si="10"/>
        <v>133.14950362163577</v>
      </c>
      <c r="E193" s="1">
        <f t="shared" si="11"/>
        <v>40515.37801049398</v>
      </c>
    </row>
    <row r="194" spans="1:5" x14ac:dyDescent="0.25">
      <c r="A194">
        <v>188</v>
      </c>
      <c r="B194" s="2">
        <f t="shared" si="8"/>
        <v>377.04066870632943</v>
      </c>
      <c r="C194" s="1">
        <f t="shared" si="9"/>
        <v>243.09226806296385</v>
      </c>
      <c r="D194" s="2">
        <f t="shared" si="10"/>
        <v>133.94840064336557</v>
      </c>
      <c r="E194" s="1">
        <f t="shared" si="11"/>
        <v>40381.429609850617</v>
      </c>
    </row>
    <row r="195" spans="1:5" x14ac:dyDescent="0.25">
      <c r="A195">
        <v>189</v>
      </c>
      <c r="B195" s="2">
        <f t="shared" si="8"/>
        <v>377.04066870632943</v>
      </c>
      <c r="C195" s="1">
        <f t="shared" si="9"/>
        <v>242.28857765910368</v>
      </c>
      <c r="D195" s="2">
        <f t="shared" si="10"/>
        <v>134.75209104722575</v>
      </c>
      <c r="E195" s="1">
        <f t="shared" si="11"/>
        <v>40246.677518803393</v>
      </c>
    </row>
    <row r="196" spans="1:5" x14ac:dyDescent="0.25">
      <c r="A196">
        <v>190</v>
      </c>
      <c r="B196" s="2">
        <f t="shared" si="8"/>
        <v>377.04066870632943</v>
      </c>
      <c r="C196" s="1">
        <f t="shared" si="9"/>
        <v>241.48006511282034</v>
      </c>
      <c r="D196" s="2">
        <f t="shared" si="10"/>
        <v>135.56060359350909</v>
      </c>
      <c r="E196" s="1">
        <f t="shared" si="11"/>
        <v>40111.116915209881</v>
      </c>
    </row>
    <row r="197" spans="1:5" x14ac:dyDescent="0.25">
      <c r="A197">
        <v>191</v>
      </c>
      <c r="B197" s="2">
        <f t="shared" si="8"/>
        <v>377.04066870632943</v>
      </c>
      <c r="C197" s="1">
        <f t="shared" si="9"/>
        <v>240.66670149125926</v>
      </c>
      <c r="D197" s="2">
        <f t="shared" si="10"/>
        <v>136.37396721507017</v>
      </c>
      <c r="E197" s="1">
        <f t="shared" si="11"/>
        <v>39974.742947994811</v>
      </c>
    </row>
    <row r="198" spans="1:5" x14ac:dyDescent="0.25">
      <c r="A198">
        <v>192</v>
      </c>
      <c r="B198" s="2">
        <f t="shared" si="8"/>
        <v>377.04066870632943</v>
      </c>
      <c r="C198" s="1">
        <f t="shared" si="9"/>
        <v>239.84845768796885</v>
      </c>
      <c r="D198" s="2">
        <f t="shared" si="10"/>
        <v>137.19221101836058</v>
      </c>
      <c r="E198" s="1">
        <f t="shared" si="11"/>
        <v>39837.550736976453</v>
      </c>
    </row>
    <row r="199" spans="1:5" x14ac:dyDescent="0.25">
      <c r="A199">
        <v>193</v>
      </c>
      <c r="B199" s="2">
        <f t="shared" ref="B199:B262" si="12">PMT($C$2/12,$C$3,-$E$6)</f>
        <v>377.04066870632943</v>
      </c>
      <c r="C199" s="1">
        <f t="shared" ref="C199:C262" si="13">E198*($C$2/12)</f>
        <v>239.02530442185869</v>
      </c>
      <c r="D199" s="2">
        <f t="shared" ref="D199:D262" si="14">B199-C199</f>
        <v>138.01536428447073</v>
      </c>
      <c r="E199" s="1">
        <f t="shared" ref="E199:E262" si="15">E198-D199</f>
        <v>39699.535372691978</v>
      </c>
    </row>
    <row r="200" spans="1:5" x14ac:dyDescent="0.25">
      <c r="A200">
        <v>194</v>
      </c>
      <c r="B200" s="2">
        <f t="shared" si="12"/>
        <v>377.04066870632943</v>
      </c>
      <c r="C200" s="1">
        <f t="shared" si="13"/>
        <v>238.19721223615184</v>
      </c>
      <c r="D200" s="2">
        <f t="shared" si="14"/>
        <v>138.84345647017759</v>
      </c>
      <c r="E200" s="1">
        <f t="shared" si="15"/>
        <v>39560.691916221804</v>
      </c>
    </row>
    <row r="201" spans="1:5" x14ac:dyDescent="0.25">
      <c r="A201">
        <v>195</v>
      </c>
      <c r="B201" s="2">
        <f t="shared" si="12"/>
        <v>377.04066870632943</v>
      </c>
      <c r="C201" s="1">
        <f t="shared" si="13"/>
        <v>237.36415149733079</v>
      </c>
      <c r="D201" s="2">
        <f t="shared" si="14"/>
        <v>139.67651720899863</v>
      </c>
      <c r="E201" s="1">
        <f t="shared" si="15"/>
        <v>39421.015399012802</v>
      </c>
    </row>
    <row r="202" spans="1:5" x14ac:dyDescent="0.25">
      <c r="A202">
        <v>196</v>
      </c>
      <c r="B202" s="2">
        <f t="shared" si="12"/>
        <v>377.04066870632943</v>
      </c>
      <c r="C202" s="1">
        <f t="shared" si="13"/>
        <v>236.52609239407678</v>
      </c>
      <c r="D202" s="2">
        <f t="shared" si="14"/>
        <v>140.51457631225264</v>
      </c>
      <c r="E202" s="1">
        <f t="shared" si="15"/>
        <v>39280.500822700553</v>
      </c>
    </row>
    <row r="203" spans="1:5" x14ac:dyDescent="0.25">
      <c r="A203">
        <v>197</v>
      </c>
      <c r="B203" s="2">
        <f t="shared" si="12"/>
        <v>377.04066870632943</v>
      </c>
      <c r="C203" s="1">
        <f t="shared" si="13"/>
        <v>235.68300493620328</v>
      </c>
      <c r="D203" s="2">
        <f t="shared" si="14"/>
        <v>141.35766377012615</v>
      </c>
      <c r="E203" s="1">
        <f t="shared" si="15"/>
        <v>39139.143158930427</v>
      </c>
    </row>
    <row r="204" spans="1:5" x14ac:dyDescent="0.25">
      <c r="A204">
        <v>198</v>
      </c>
      <c r="B204" s="2">
        <f t="shared" si="12"/>
        <v>377.04066870632943</v>
      </c>
      <c r="C204" s="1">
        <f t="shared" si="13"/>
        <v>234.83485895358254</v>
      </c>
      <c r="D204" s="2">
        <f t="shared" si="14"/>
        <v>142.20580975274689</v>
      </c>
      <c r="E204" s="1">
        <f t="shared" si="15"/>
        <v>38996.937349177679</v>
      </c>
    </row>
    <row r="205" spans="1:5" x14ac:dyDescent="0.25">
      <c r="A205">
        <v>199</v>
      </c>
      <c r="B205" s="2">
        <f t="shared" si="12"/>
        <v>377.04066870632943</v>
      </c>
      <c r="C205" s="1">
        <f t="shared" si="13"/>
        <v>233.98162409506605</v>
      </c>
      <c r="D205" s="2">
        <f t="shared" si="14"/>
        <v>143.05904461126337</v>
      </c>
      <c r="E205" s="1">
        <f t="shared" si="15"/>
        <v>38853.878304566417</v>
      </c>
    </row>
    <row r="206" spans="1:5" x14ac:dyDescent="0.25">
      <c r="A206">
        <v>200</v>
      </c>
      <c r="B206" s="2">
        <f t="shared" si="12"/>
        <v>377.04066870632943</v>
      </c>
      <c r="C206" s="1">
        <f t="shared" si="13"/>
        <v>233.12326982739847</v>
      </c>
      <c r="D206" s="2">
        <f t="shared" si="14"/>
        <v>143.91739887893095</v>
      </c>
      <c r="E206" s="1">
        <f t="shared" si="15"/>
        <v>38709.960905687483</v>
      </c>
    </row>
    <row r="207" spans="1:5" x14ac:dyDescent="0.25">
      <c r="A207">
        <v>201</v>
      </c>
      <c r="B207" s="2">
        <f t="shared" si="12"/>
        <v>377.04066870632943</v>
      </c>
      <c r="C207" s="1">
        <f t="shared" si="13"/>
        <v>232.25976543412486</v>
      </c>
      <c r="D207" s="2">
        <f t="shared" si="14"/>
        <v>144.78090327220457</v>
      </c>
      <c r="E207" s="1">
        <f t="shared" si="15"/>
        <v>38565.180002415276</v>
      </c>
    </row>
    <row r="208" spans="1:5" x14ac:dyDescent="0.25">
      <c r="A208">
        <v>202</v>
      </c>
      <c r="B208" s="2">
        <f t="shared" si="12"/>
        <v>377.04066870632943</v>
      </c>
      <c r="C208" s="1">
        <f t="shared" si="13"/>
        <v>231.39108001449162</v>
      </c>
      <c r="D208" s="2">
        <f t="shared" si="14"/>
        <v>145.64958869183781</v>
      </c>
      <c r="E208" s="1">
        <f t="shared" si="15"/>
        <v>38419.530413723442</v>
      </c>
    </row>
    <row r="209" spans="1:5" x14ac:dyDescent="0.25">
      <c r="A209">
        <v>203</v>
      </c>
      <c r="B209" s="2">
        <f t="shared" si="12"/>
        <v>377.04066870632943</v>
      </c>
      <c r="C209" s="1">
        <f t="shared" si="13"/>
        <v>230.51718248234062</v>
      </c>
      <c r="D209" s="2">
        <f t="shared" si="14"/>
        <v>146.52348622398881</v>
      </c>
      <c r="E209" s="1">
        <f t="shared" si="15"/>
        <v>38273.006927499453</v>
      </c>
    </row>
    <row r="210" spans="1:5" x14ac:dyDescent="0.25">
      <c r="A210">
        <v>204</v>
      </c>
      <c r="B210" s="2">
        <f t="shared" si="12"/>
        <v>377.04066870632943</v>
      </c>
      <c r="C210" s="1">
        <f t="shared" si="13"/>
        <v>229.63804156499668</v>
      </c>
      <c r="D210" s="2">
        <f t="shared" si="14"/>
        <v>147.40262714133274</v>
      </c>
      <c r="E210" s="1">
        <f t="shared" si="15"/>
        <v>38125.604300358122</v>
      </c>
    </row>
    <row r="211" spans="1:5" x14ac:dyDescent="0.25">
      <c r="A211">
        <v>205</v>
      </c>
      <c r="B211" s="2">
        <f t="shared" si="12"/>
        <v>377.04066870632943</v>
      </c>
      <c r="C211" s="1">
        <f t="shared" si="13"/>
        <v>228.75362580214869</v>
      </c>
      <c r="D211" s="2">
        <f t="shared" si="14"/>
        <v>148.28704290418074</v>
      </c>
      <c r="E211" s="1">
        <f t="shared" si="15"/>
        <v>37977.317257453942</v>
      </c>
    </row>
    <row r="212" spans="1:5" x14ac:dyDescent="0.25">
      <c r="A212">
        <v>206</v>
      </c>
      <c r="B212" s="2">
        <f t="shared" si="12"/>
        <v>377.04066870632943</v>
      </c>
      <c r="C212" s="1">
        <f t="shared" si="13"/>
        <v>227.86390354472363</v>
      </c>
      <c r="D212" s="2">
        <f t="shared" si="14"/>
        <v>149.1767651616058</v>
      </c>
      <c r="E212" s="1">
        <f t="shared" si="15"/>
        <v>37828.140492292339</v>
      </c>
    </row>
    <row r="213" spans="1:5" x14ac:dyDescent="0.25">
      <c r="A213">
        <v>207</v>
      </c>
      <c r="B213" s="2">
        <f t="shared" si="12"/>
        <v>377.04066870632943</v>
      </c>
      <c r="C213" s="1">
        <f t="shared" si="13"/>
        <v>226.96884295375401</v>
      </c>
      <c r="D213" s="2">
        <f t="shared" si="14"/>
        <v>150.07182575257542</v>
      </c>
      <c r="E213" s="1">
        <f t="shared" si="15"/>
        <v>37678.068666539766</v>
      </c>
    </row>
    <row r="214" spans="1:5" x14ac:dyDescent="0.25">
      <c r="A214">
        <v>208</v>
      </c>
      <c r="B214" s="2">
        <f t="shared" si="12"/>
        <v>377.04066870632943</v>
      </c>
      <c r="C214" s="1">
        <f t="shared" si="13"/>
        <v>226.06841199923858</v>
      </c>
      <c r="D214" s="2">
        <f t="shared" si="14"/>
        <v>150.97225670709085</v>
      </c>
      <c r="E214" s="1">
        <f t="shared" si="15"/>
        <v>37527.096409832673</v>
      </c>
    </row>
    <row r="215" spans="1:5" x14ac:dyDescent="0.25">
      <c r="A215">
        <v>209</v>
      </c>
      <c r="B215" s="2">
        <f t="shared" si="12"/>
        <v>377.04066870632943</v>
      </c>
      <c r="C215" s="1">
        <f t="shared" si="13"/>
        <v>225.16257845899602</v>
      </c>
      <c r="D215" s="2">
        <f t="shared" si="14"/>
        <v>151.8780902473334</v>
      </c>
      <c r="E215" s="1">
        <f t="shared" si="15"/>
        <v>37375.218319585343</v>
      </c>
    </row>
    <row r="216" spans="1:5" x14ac:dyDescent="0.25">
      <c r="A216">
        <v>210</v>
      </c>
      <c r="B216" s="2">
        <f t="shared" si="12"/>
        <v>377.04066870632943</v>
      </c>
      <c r="C216" s="1">
        <f t="shared" si="13"/>
        <v>224.25130991751203</v>
      </c>
      <c r="D216" s="2">
        <f t="shared" si="14"/>
        <v>152.7893587888174</v>
      </c>
      <c r="E216" s="1">
        <f t="shared" si="15"/>
        <v>37222.428960796526</v>
      </c>
    </row>
    <row r="217" spans="1:5" x14ac:dyDescent="0.25">
      <c r="A217">
        <v>211</v>
      </c>
      <c r="B217" s="2">
        <f t="shared" si="12"/>
        <v>377.04066870632943</v>
      </c>
      <c r="C217" s="1">
        <f t="shared" si="13"/>
        <v>223.33457376477912</v>
      </c>
      <c r="D217" s="2">
        <f t="shared" si="14"/>
        <v>153.7060949415503</v>
      </c>
      <c r="E217" s="1">
        <f t="shared" si="15"/>
        <v>37068.722865854972</v>
      </c>
    </row>
    <row r="218" spans="1:5" x14ac:dyDescent="0.25">
      <c r="A218">
        <v>212</v>
      </c>
      <c r="B218" s="2">
        <f t="shared" si="12"/>
        <v>377.04066870632943</v>
      </c>
      <c r="C218" s="1">
        <f t="shared" si="13"/>
        <v>222.41233719512979</v>
      </c>
      <c r="D218" s="2">
        <f t="shared" si="14"/>
        <v>154.62833151119963</v>
      </c>
      <c r="E218" s="1">
        <f t="shared" si="15"/>
        <v>36914.094534343771</v>
      </c>
    </row>
    <row r="219" spans="1:5" x14ac:dyDescent="0.25">
      <c r="A219">
        <v>213</v>
      </c>
      <c r="B219" s="2">
        <f t="shared" si="12"/>
        <v>377.04066870632943</v>
      </c>
      <c r="C219" s="1">
        <f t="shared" si="13"/>
        <v>221.48456720606259</v>
      </c>
      <c r="D219" s="2">
        <f t="shared" si="14"/>
        <v>155.55610150026683</v>
      </c>
      <c r="E219" s="1">
        <f t="shared" si="15"/>
        <v>36758.538432843503</v>
      </c>
    </row>
    <row r="220" spans="1:5" x14ac:dyDescent="0.25">
      <c r="A220">
        <v>214</v>
      </c>
      <c r="B220" s="2">
        <f t="shared" si="12"/>
        <v>377.04066870632943</v>
      </c>
      <c r="C220" s="1">
        <f t="shared" si="13"/>
        <v>220.55123059706099</v>
      </c>
      <c r="D220" s="2">
        <f t="shared" si="14"/>
        <v>156.48943810926843</v>
      </c>
      <c r="E220" s="1">
        <f t="shared" si="15"/>
        <v>36602.048994734236</v>
      </c>
    </row>
    <row r="221" spans="1:5" x14ac:dyDescent="0.25">
      <c r="A221">
        <v>215</v>
      </c>
      <c r="B221" s="2">
        <f t="shared" si="12"/>
        <v>377.04066870632943</v>
      </c>
      <c r="C221" s="1">
        <f t="shared" si="13"/>
        <v>219.6122939684054</v>
      </c>
      <c r="D221" s="2">
        <f t="shared" si="14"/>
        <v>157.42837473792403</v>
      </c>
      <c r="E221" s="1">
        <f t="shared" si="15"/>
        <v>36444.620619996313</v>
      </c>
    </row>
    <row r="222" spans="1:5" x14ac:dyDescent="0.25">
      <c r="A222">
        <v>216</v>
      </c>
      <c r="B222" s="2">
        <f t="shared" si="12"/>
        <v>377.04066870632943</v>
      </c>
      <c r="C222" s="1">
        <f t="shared" si="13"/>
        <v>218.66772371997786</v>
      </c>
      <c r="D222" s="2">
        <f t="shared" si="14"/>
        <v>158.37294498635157</v>
      </c>
      <c r="E222" s="1">
        <f t="shared" si="15"/>
        <v>36286.247675009959</v>
      </c>
    </row>
    <row r="223" spans="1:5" x14ac:dyDescent="0.25">
      <c r="A223">
        <v>217</v>
      </c>
      <c r="B223" s="2">
        <f t="shared" si="12"/>
        <v>377.04066870632943</v>
      </c>
      <c r="C223" s="1">
        <f t="shared" si="13"/>
        <v>217.71748605005973</v>
      </c>
      <c r="D223" s="2">
        <f t="shared" si="14"/>
        <v>159.32318265626969</v>
      </c>
      <c r="E223" s="1">
        <f t="shared" si="15"/>
        <v>36126.92449235369</v>
      </c>
    </row>
    <row r="224" spans="1:5" x14ac:dyDescent="0.25">
      <c r="A224">
        <v>218</v>
      </c>
      <c r="B224" s="2">
        <f t="shared" si="12"/>
        <v>377.04066870632943</v>
      </c>
      <c r="C224" s="1">
        <f t="shared" si="13"/>
        <v>216.76154695412211</v>
      </c>
      <c r="D224" s="2">
        <f t="shared" si="14"/>
        <v>160.27912175220732</v>
      </c>
      <c r="E224" s="1">
        <f t="shared" si="15"/>
        <v>35966.64537060148</v>
      </c>
    </row>
    <row r="225" spans="1:5" x14ac:dyDescent="0.25">
      <c r="A225">
        <v>219</v>
      </c>
      <c r="B225" s="2">
        <f t="shared" si="12"/>
        <v>377.04066870632943</v>
      </c>
      <c r="C225" s="1">
        <f t="shared" si="13"/>
        <v>215.79987222360884</v>
      </c>
      <c r="D225" s="2">
        <f t="shared" si="14"/>
        <v>161.24079648272058</v>
      </c>
      <c r="E225" s="1">
        <f t="shared" si="15"/>
        <v>35805.404574118758</v>
      </c>
    </row>
    <row r="226" spans="1:5" x14ac:dyDescent="0.25">
      <c r="A226">
        <v>220</v>
      </c>
      <c r="B226" s="2">
        <f t="shared" si="12"/>
        <v>377.04066870632943</v>
      </c>
      <c r="C226" s="1">
        <f t="shared" si="13"/>
        <v>214.83242744471252</v>
      </c>
      <c r="D226" s="2">
        <f t="shared" si="14"/>
        <v>162.20824126161691</v>
      </c>
      <c r="E226" s="1">
        <f t="shared" si="15"/>
        <v>35643.196332857144</v>
      </c>
    </row>
    <row r="227" spans="1:5" x14ac:dyDescent="0.25">
      <c r="A227">
        <v>221</v>
      </c>
      <c r="B227" s="2">
        <f t="shared" si="12"/>
        <v>377.04066870632943</v>
      </c>
      <c r="C227" s="1">
        <f t="shared" si="13"/>
        <v>213.85917799714284</v>
      </c>
      <c r="D227" s="2">
        <f t="shared" si="14"/>
        <v>163.18149070918659</v>
      </c>
      <c r="E227" s="1">
        <f t="shared" si="15"/>
        <v>35480.014842147961</v>
      </c>
    </row>
    <row r="228" spans="1:5" x14ac:dyDescent="0.25">
      <c r="A228">
        <v>222</v>
      </c>
      <c r="B228" s="2">
        <f t="shared" si="12"/>
        <v>377.04066870632943</v>
      </c>
      <c r="C228" s="1">
        <f t="shared" si="13"/>
        <v>212.88008905288774</v>
      </c>
      <c r="D228" s="2">
        <f t="shared" si="14"/>
        <v>164.16057965344169</v>
      </c>
      <c r="E228" s="1">
        <f t="shared" si="15"/>
        <v>35315.854262494518</v>
      </c>
    </row>
    <row r="229" spans="1:5" x14ac:dyDescent="0.25">
      <c r="A229">
        <v>223</v>
      </c>
      <c r="B229" s="2">
        <f t="shared" si="12"/>
        <v>377.04066870632943</v>
      </c>
      <c r="C229" s="1">
        <f t="shared" si="13"/>
        <v>211.8951255749671</v>
      </c>
      <c r="D229" s="2">
        <f t="shared" si="14"/>
        <v>165.14554313136233</v>
      </c>
      <c r="E229" s="1">
        <f t="shared" si="15"/>
        <v>35150.70871936316</v>
      </c>
    </row>
    <row r="230" spans="1:5" x14ac:dyDescent="0.25">
      <c r="A230">
        <v>224</v>
      </c>
      <c r="B230" s="2">
        <f t="shared" si="12"/>
        <v>377.04066870632943</v>
      </c>
      <c r="C230" s="1">
        <f t="shared" si="13"/>
        <v>210.90425231617894</v>
      </c>
      <c r="D230" s="2">
        <f t="shared" si="14"/>
        <v>166.13641639015049</v>
      </c>
      <c r="E230" s="1">
        <f t="shared" si="15"/>
        <v>34984.572302973007</v>
      </c>
    </row>
    <row r="231" spans="1:5" x14ac:dyDescent="0.25">
      <c r="A231">
        <v>225</v>
      </c>
      <c r="B231" s="2">
        <f t="shared" si="12"/>
        <v>377.04066870632943</v>
      </c>
      <c r="C231" s="1">
        <f t="shared" si="13"/>
        <v>209.90743381783801</v>
      </c>
      <c r="D231" s="2">
        <f t="shared" si="14"/>
        <v>167.13323488849142</v>
      </c>
      <c r="E231" s="1">
        <f t="shared" si="15"/>
        <v>34817.439068084517</v>
      </c>
    </row>
    <row r="232" spans="1:5" x14ac:dyDescent="0.25">
      <c r="A232">
        <v>226</v>
      </c>
      <c r="B232" s="2">
        <f t="shared" si="12"/>
        <v>377.04066870632943</v>
      </c>
      <c r="C232" s="1">
        <f t="shared" si="13"/>
        <v>208.90463440850706</v>
      </c>
      <c r="D232" s="2">
        <f t="shared" si="14"/>
        <v>168.13603429782236</v>
      </c>
      <c r="E232" s="1">
        <f t="shared" si="15"/>
        <v>34649.303033786695</v>
      </c>
    </row>
    <row r="233" spans="1:5" x14ac:dyDescent="0.25">
      <c r="A233">
        <v>227</v>
      </c>
      <c r="B233" s="2">
        <f t="shared" si="12"/>
        <v>377.04066870632943</v>
      </c>
      <c r="C233" s="1">
        <f t="shared" si="13"/>
        <v>207.89581820272014</v>
      </c>
      <c r="D233" s="2">
        <f t="shared" si="14"/>
        <v>169.14485050360929</v>
      </c>
      <c r="E233" s="1">
        <f t="shared" si="15"/>
        <v>34480.158183283085</v>
      </c>
    </row>
    <row r="234" spans="1:5" x14ac:dyDescent="0.25">
      <c r="A234">
        <v>228</v>
      </c>
      <c r="B234" s="2">
        <f t="shared" si="12"/>
        <v>377.04066870632943</v>
      </c>
      <c r="C234" s="1">
        <f t="shared" si="13"/>
        <v>206.88094909969848</v>
      </c>
      <c r="D234" s="2">
        <f t="shared" si="14"/>
        <v>170.15971960663094</v>
      </c>
      <c r="E234" s="1">
        <f t="shared" si="15"/>
        <v>34309.998463676457</v>
      </c>
    </row>
    <row r="235" spans="1:5" x14ac:dyDescent="0.25">
      <c r="A235">
        <v>229</v>
      </c>
      <c r="B235" s="2">
        <f t="shared" si="12"/>
        <v>377.04066870632943</v>
      </c>
      <c r="C235" s="1">
        <f t="shared" si="13"/>
        <v>205.8599907820587</v>
      </c>
      <c r="D235" s="2">
        <f t="shared" si="14"/>
        <v>171.18067792427073</v>
      </c>
      <c r="E235" s="1">
        <f t="shared" si="15"/>
        <v>34138.817785752188</v>
      </c>
    </row>
    <row r="236" spans="1:5" x14ac:dyDescent="0.25">
      <c r="A236">
        <v>230</v>
      </c>
      <c r="B236" s="2">
        <f t="shared" si="12"/>
        <v>377.04066870632943</v>
      </c>
      <c r="C236" s="1">
        <f t="shared" si="13"/>
        <v>204.83290671451311</v>
      </c>
      <c r="D236" s="2">
        <f t="shared" si="14"/>
        <v>172.20776199181631</v>
      </c>
      <c r="E236" s="1">
        <f t="shared" si="15"/>
        <v>33966.610023760375</v>
      </c>
    </row>
    <row r="237" spans="1:5" x14ac:dyDescent="0.25">
      <c r="A237">
        <v>231</v>
      </c>
      <c r="B237" s="2">
        <f t="shared" si="12"/>
        <v>377.04066870632943</v>
      </c>
      <c r="C237" s="1">
        <f t="shared" si="13"/>
        <v>203.79966014256223</v>
      </c>
      <c r="D237" s="2">
        <f t="shared" si="14"/>
        <v>173.2410085637672</v>
      </c>
      <c r="E237" s="1">
        <f t="shared" si="15"/>
        <v>33793.369015196608</v>
      </c>
    </row>
    <row r="238" spans="1:5" x14ac:dyDescent="0.25">
      <c r="A238">
        <v>232</v>
      </c>
      <c r="B238" s="2">
        <f t="shared" si="12"/>
        <v>377.04066870632943</v>
      </c>
      <c r="C238" s="1">
        <f t="shared" si="13"/>
        <v>202.76021409117962</v>
      </c>
      <c r="D238" s="2">
        <f t="shared" si="14"/>
        <v>174.28045461514981</v>
      </c>
      <c r="E238" s="1">
        <f t="shared" si="15"/>
        <v>33619.088560581455</v>
      </c>
    </row>
    <row r="239" spans="1:5" x14ac:dyDescent="0.25">
      <c r="A239">
        <v>233</v>
      </c>
      <c r="B239" s="2">
        <f t="shared" si="12"/>
        <v>377.04066870632943</v>
      </c>
      <c r="C239" s="1">
        <f t="shared" si="13"/>
        <v>201.7145313634887</v>
      </c>
      <c r="D239" s="2">
        <f t="shared" si="14"/>
        <v>175.32613734284072</v>
      </c>
      <c r="E239" s="1">
        <f t="shared" si="15"/>
        <v>33443.762423238615</v>
      </c>
    </row>
    <row r="240" spans="1:5" x14ac:dyDescent="0.25">
      <c r="A240">
        <v>234</v>
      </c>
      <c r="B240" s="2">
        <f t="shared" si="12"/>
        <v>377.04066870632943</v>
      </c>
      <c r="C240" s="1">
        <f t="shared" si="13"/>
        <v>200.66257453943166</v>
      </c>
      <c r="D240" s="2">
        <f t="shared" si="14"/>
        <v>176.37809416689777</v>
      </c>
      <c r="E240" s="1">
        <f t="shared" si="15"/>
        <v>33267.38432907172</v>
      </c>
    </row>
    <row r="241" spans="1:5" x14ac:dyDescent="0.25">
      <c r="A241">
        <v>235</v>
      </c>
      <c r="B241" s="2">
        <f t="shared" si="12"/>
        <v>377.04066870632943</v>
      </c>
      <c r="C241" s="1">
        <f t="shared" si="13"/>
        <v>199.6043059744303</v>
      </c>
      <c r="D241" s="2">
        <f t="shared" si="14"/>
        <v>177.43636273189912</v>
      </c>
      <c r="E241" s="1">
        <f t="shared" si="15"/>
        <v>33089.947966339823</v>
      </c>
    </row>
    <row r="242" spans="1:5" x14ac:dyDescent="0.25">
      <c r="A242">
        <v>236</v>
      </c>
      <c r="B242" s="2">
        <f t="shared" si="12"/>
        <v>377.04066870632943</v>
      </c>
      <c r="C242" s="1">
        <f t="shared" si="13"/>
        <v>198.53968779803893</v>
      </c>
      <c r="D242" s="2">
        <f t="shared" si="14"/>
        <v>178.5009809082905</v>
      </c>
      <c r="E242" s="1">
        <f t="shared" si="15"/>
        <v>32911.446985431532</v>
      </c>
    </row>
    <row r="243" spans="1:5" x14ac:dyDescent="0.25">
      <c r="A243">
        <v>237</v>
      </c>
      <c r="B243" s="2">
        <f t="shared" si="12"/>
        <v>377.04066870632943</v>
      </c>
      <c r="C243" s="1">
        <f t="shared" si="13"/>
        <v>197.46868191258918</v>
      </c>
      <c r="D243" s="2">
        <f t="shared" si="14"/>
        <v>179.57198679374025</v>
      </c>
      <c r="E243" s="1">
        <f t="shared" si="15"/>
        <v>32731.874998637792</v>
      </c>
    </row>
    <row r="244" spans="1:5" x14ac:dyDescent="0.25">
      <c r="A244">
        <v>238</v>
      </c>
      <c r="B244" s="2">
        <f t="shared" si="12"/>
        <v>377.04066870632943</v>
      </c>
      <c r="C244" s="1">
        <f t="shared" si="13"/>
        <v>196.39124999182673</v>
      </c>
      <c r="D244" s="2">
        <f t="shared" si="14"/>
        <v>180.6494187145027</v>
      </c>
      <c r="E244" s="1">
        <f t="shared" si="15"/>
        <v>32551.225579923288</v>
      </c>
    </row>
    <row r="245" spans="1:5" x14ac:dyDescent="0.25">
      <c r="A245">
        <v>239</v>
      </c>
      <c r="B245" s="2">
        <f t="shared" si="12"/>
        <v>377.04066870632943</v>
      </c>
      <c r="C245" s="1">
        <f t="shared" si="13"/>
        <v>195.3073534795397</v>
      </c>
      <c r="D245" s="2">
        <f t="shared" si="14"/>
        <v>181.73331522678973</v>
      </c>
      <c r="E245" s="1">
        <f t="shared" si="15"/>
        <v>32369.492264696499</v>
      </c>
    </row>
    <row r="246" spans="1:5" x14ac:dyDescent="0.25">
      <c r="A246">
        <v>240</v>
      </c>
      <c r="B246" s="2">
        <f t="shared" si="12"/>
        <v>377.04066870632943</v>
      </c>
      <c r="C246" s="1">
        <f t="shared" si="13"/>
        <v>194.21695358817897</v>
      </c>
      <c r="D246" s="2">
        <f t="shared" si="14"/>
        <v>182.82371511815046</v>
      </c>
      <c r="E246" s="1">
        <f t="shared" si="15"/>
        <v>32186.668549578349</v>
      </c>
    </row>
    <row r="247" spans="1:5" x14ac:dyDescent="0.25">
      <c r="A247">
        <v>241</v>
      </c>
      <c r="B247" s="2">
        <f t="shared" si="12"/>
        <v>377.04066870632943</v>
      </c>
      <c r="C247" s="1">
        <f t="shared" si="13"/>
        <v>193.12001129747009</v>
      </c>
      <c r="D247" s="2">
        <f t="shared" si="14"/>
        <v>183.92065740885934</v>
      </c>
      <c r="E247" s="1">
        <f t="shared" si="15"/>
        <v>32002.747892169489</v>
      </c>
    </row>
    <row r="248" spans="1:5" x14ac:dyDescent="0.25">
      <c r="A248">
        <v>242</v>
      </c>
      <c r="B248" s="2">
        <f t="shared" si="12"/>
        <v>377.04066870632943</v>
      </c>
      <c r="C248" s="1">
        <f t="shared" si="13"/>
        <v>192.01648735301691</v>
      </c>
      <c r="D248" s="2">
        <f t="shared" si="14"/>
        <v>185.02418135331251</v>
      </c>
      <c r="E248" s="1">
        <f t="shared" si="15"/>
        <v>31817.723710816175</v>
      </c>
    </row>
    <row r="249" spans="1:5" x14ac:dyDescent="0.25">
      <c r="A249">
        <v>243</v>
      </c>
      <c r="B249" s="2">
        <f t="shared" si="12"/>
        <v>377.04066870632943</v>
      </c>
      <c r="C249" s="1">
        <f t="shared" si="13"/>
        <v>190.90634226489703</v>
      </c>
      <c r="D249" s="2">
        <f t="shared" si="14"/>
        <v>186.13432644143239</v>
      </c>
      <c r="E249" s="1">
        <f t="shared" si="15"/>
        <v>31631.589384374744</v>
      </c>
    </row>
    <row r="250" spans="1:5" x14ac:dyDescent="0.25">
      <c r="A250">
        <v>244</v>
      </c>
      <c r="B250" s="2">
        <f t="shared" si="12"/>
        <v>377.04066870632943</v>
      </c>
      <c r="C250" s="1">
        <f t="shared" si="13"/>
        <v>189.78953630624844</v>
      </c>
      <c r="D250" s="2">
        <f t="shared" si="14"/>
        <v>187.25113240008099</v>
      </c>
      <c r="E250" s="1">
        <f t="shared" si="15"/>
        <v>31444.338251974663</v>
      </c>
    </row>
    <row r="251" spans="1:5" x14ac:dyDescent="0.25">
      <c r="A251">
        <v>245</v>
      </c>
      <c r="B251" s="2">
        <f t="shared" si="12"/>
        <v>377.04066870632943</v>
      </c>
      <c r="C251" s="1">
        <f t="shared" si="13"/>
        <v>188.66602951184797</v>
      </c>
      <c r="D251" s="2">
        <f t="shared" si="14"/>
        <v>188.37463919448146</v>
      </c>
      <c r="E251" s="1">
        <f t="shared" si="15"/>
        <v>31255.963612780182</v>
      </c>
    </row>
    <row r="252" spans="1:5" x14ac:dyDescent="0.25">
      <c r="A252">
        <v>246</v>
      </c>
      <c r="B252" s="2">
        <f t="shared" si="12"/>
        <v>377.04066870632943</v>
      </c>
      <c r="C252" s="1">
        <f t="shared" si="13"/>
        <v>187.53578167668107</v>
      </c>
      <c r="D252" s="2">
        <f t="shared" si="14"/>
        <v>189.50488702964836</v>
      </c>
      <c r="E252" s="1">
        <f t="shared" si="15"/>
        <v>31066.458725750534</v>
      </c>
    </row>
    <row r="253" spans="1:5" x14ac:dyDescent="0.25">
      <c r="A253">
        <v>247</v>
      </c>
      <c r="B253" s="2">
        <f t="shared" si="12"/>
        <v>377.04066870632943</v>
      </c>
      <c r="C253" s="1">
        <f t="shared" si="13"/>
        <v>186.39875235450319</v>
      </c>
      <c r="D253" s="2">
        <f t="shared" si="14"/>
        <v>190.64191635182624</v>
      </c>
      <c r="E253" s="1">
        <f t="shared" si="15"/>
        <v>30875.816809398708</v>
      </c>
    </row>
    <row r="254" spans="1:5" x14ac:dyDescent="0.25">
      <c r="A254">
        <v>248</v>
      </c>
      <c r="B254" s="2">
        <f t="shared" si="12"/>
        <v>377.04066870632943</v>
      </c>
      <c r="C254" s="1">
        <f t="shared" si="13"/>
        <v>185.25490085639223</v>
      </c>
      <c r="D254" s="2">
        <f t="shared" si="14"/>
        <v>191.7857678499372</v>
      </c>
      <c r="E254" s="1">
        <f t="shared" si="15"/>
        <v>30684.031041548769</v>
      </c>
    </row>
    <row r="255" spans="1:5" x14ac:dyDescent="0.25">
      <c r="A255">
        <v>249</v>
      </c>
      <c r="B255" s="2">
        <f t="shared" si="12"/>
        <v>377.04066870632943</v>
      </c>
      <c r="C255" s="1">
        <f t="shared" si="13"/>
        <v>184.10418624929258</v>
      </c>
      <c r="D255" s="2">
        <f t="shared" si="14"/>
        <v>192.93648245703685</v>
      </c>
      <c r="E255" s="1">
        <f t="shared" si="15"/>
        <v>30491.094559091733</v>
      </c>
    </row>
    <row r="256" spans="1:5" x14ac:dyDescent="0.25">
      <c r="A256">
        <v>250</v>
      </c>
      <c r="B256" s="2">
        <f t="shared" si="12"/>
        <v>377.04066870632943</v>
      </c>
      <c r="C256" s="1">
        <f t="shared" si="13"/>
        <v>182.94656735455038</v>
      </c>
      <c r="D256" s="2">
        <f t="shared" si="14"/>
        <v>194.09410135177905</v>
      </c>
      <c r="E256" s="1">
        <f t="shared" si="15"/>
        <v>30297.000457739952</v>
      </c>
    </row>
    <row r="257" spans="1:5" x14ac:dyDescent="0.25">
      <c r="A257">
        <v>251</v>
      </c>
      <c r="B257" s="2">
        <f t="shared" si="12"/>
        <v>377.04066870632943</v>
      </c>
      <c r="C257" s="1">
        <f t="shared" si="13"/>
        <v>181.7820027464397</v>
      </c>
      <c r="D257" s="2">
        <f t="shared" si="14"/>
        <v>195.25866595988973</v>
      </c>
      <c r="E257" s="1">
        <f t="shared" si="15"/>
        <v>30101.741791780063</v>
      </c>
    </row>
    <row r="258" spans="1:5" x14ac:dyDescent="0.25">
      <c r="A258">
        <v>252</v>
      </c>
      <c r="B258" s="2">
        <f t="shared" si="12"/>
        <v>377.04066870632943</v>
      </c>
      <c r="C258" s="1">
        <f t="shared" si="13"/>
        <v>180.61045075068034</v>
      </c>
      <c r="D258" s="2">
        <f t="shared" si="14"/>
        <v>196.43021795564908</v>
      </c>
      <c r="E258" s="1">
        <f t="shared" si="15"/>
        <v>29905.311573824412</v>
      </c>
    </row>
    <row r="259" spans="1:5" x14ac:dyDescent="0.25">
      <c r="A259">
        <v>253</v>
      </c>
      <c r="B259" s="2">
        <f t="shared" si="12"/>
        <v>377.04066870632943</v>
      </c>
      <c r="C259" s="1">
        <f t="shared" si="13"/>
        <v>179.43186944294646</v>
      </c>
      <c r="D259" s="2">
        <f t="shared" si="14"/>
        <v>197.60879926338296</v>
      </c>
      <c r="E259" s="1">
        <f t="shared" si="15"/>
        <v>29707.702774561028</v>
      </c>
    </row>
    <row r="260" spans="1:5" x14ac:dyDescent="0.25">
      <c r="A260">
        <v>254</v>
      </c>
      <c r="B260" s="2">
        <f t="shared" si="12"/>
        <v>377.04066870632943</v>
      </c>
      <c r="C260" s="1">
        <f t="shared" si="13"/>
        <v>178.24621664736614</v>
      </c>
      <c r="D260" s="2">
        <f t="shared" si="14"/>
        <v>198.79445205896329</v>
      </c>
      <c r="E260" s="1">
        <f t="shared" si="15"/>
        <v>29508.908322502066</v>
      </c>
    </row>
    <row r="261" spans="1:5" x14ac:dyDescent="0.25">
      <c r="A261">
        <v>255</v>
      </c>
      <c r="B261" s="2">
        <f t="shared" si="12"/>
        <v>377.04066870632943</v>
      </c>
      <c r="C261" s="1">
        <f t="shared" si="13"/>
        <v>177.05344993501237</v>
      </c>
      <c r="D261" s="2">
        <f t="shared" si="14"/>
        <v>199.98721877131706</v>
      </c>
      <c r="E261" s="1">
        <f t="shared" si="15"/>
        <v>29308.92110373075</v>
      </c>
    </row>
    <row r="262" spans="1:5" x14ac:dyDescent="0.25">
      <c r="A262">
        <v>256</v>
      </c>
      <c r="B262" s="2">
        <f t="shared" si="12"/>
        <v>377.04066870632943</v>
      </c>
      <c r="C262" s="1">
        <f t="shared" si="13"/>
        <v>175.85352662238449</v>
      </c>
      <c r="D262" s="2">
        <f t="shared" si="14"/>
        <v>201.18714208394493</v>
      </c>
      <c r="E262" s="1">
        <f t="shared" si="15"/>
        <v>29107.733961646805</v>
      </c>
    </row>
    <row r="263" spans="1:5" x14ac:dyDescent="0.25">
      <c r="A263">
        <v>257</v>
      </c>
      <c r="B263" s="2">
        <f t="shared" ref="B263:B326" si="16">PMT($C$2/12,$C$3,-$E$6)</f>
        <v>377.04066870632943</v>
      </c>
      <c r="C263" s="1">
        <f t="shared" ref="C263:C326" si="17">E262*($C$2/12)</f>
        <v>174.64640376988081</v>
      </c>
      <c r="D263" s="2">
        <f t="shared" ref="D263:D326" si="18">B263-C263</f>
        <v>202.39426493644862</v>
      </c>
      <c r="E263" s="1">
        <f t="shared" ref="E263:E326" si="19">E262-D263</f>
        <v>28905.339696710358</v>
      </c>
    </row>
    <row r="264" spans="1:5" x14ac:dyDescent="0.25">
      <c r="A264">
        <v>258</v>
      </c>
      <c r="B264" s="2">
        <f t="shared" si="16"/>
        <v>377.04066870632943</v>
      </c>
      <c r="C264" s="1">
        <f t="shared" si="17"/>
        <v>173.43203818026214</v>
      </c>
      <c r="D264" s="2">
        <f t="shared" si="18"/>
        <v>203.60863052606729</v>
      </c>
      <c r="E264" s="1">
        <f t="shared" si="19"/>
        <v>28701.731066184289</v>
      </c>
    </row>
    <row r="265" spans="1:5" x14ac:dyDescent="0.25">
      <c r="A265">
        <v>259</v>
      </c>
      <c r="B265" s="2">
        <f t="shared" si="16"/>
        <v>377.04066870632943</v>
      </c>
      <c r="C265" s="1">
        <f t="shared" si="17"/>
        <v>172.21038639710571</v>
      </c>
      <c r="D265" s="2">
        <f t="shared" si="18"/>
        <v>204.83028230922372</v>
      </c>
      <c r="E265" s="1">
        <f t="shared" si="19"/>
        <v>28496.900783875066</v>
      </c>
    </row>
    <row r="266" spans="1:5" x14ac:dyDescent="0.25">
      <c r="A266">
        <v>260</v>
      </c>
      <c r="B266" s="2">
        <f t="shared" si="16"/>
        <v>377.04066870632943</v>
      </c>
      <c r="C266" s="1">
        <f t="shared" si="17"/>
        <v>170.98140470325038</v>
      </c>
      <c r="D266" s="2">
        <f t="shared" si="18"/>
        <v>206.05926400307905</v>
      </c>
      <c r="E266" s="1">
        <f t="shared" si="19"/>
        <v>28290.841519871989</v>
      </c>
    </row>
    <row r="267" spans="1:5" x14ac:dyDescent="0.25">
      <c r="A267">
        <v>261</v>
      </c>
      <c r="B267" s="2">
        <f t="shared" si="16"/>
        <v>377.04066870632943</v>
      </c>
      <c r="C267" s="1">
        <f t="shared" si="17"/>
        <v>169.74504911923191</v>
      </c>
      <c r="D267" s="2">
        <f t="shared" si="18"/>
        <v>207.29561958709752</v>
      </c>
      <c r="E267" s="1">
        <f t="shared" si="19"/>
        <v>28083.545900284891</v>
      </c>
    </row>
    <row r="268" spans="1:5" x14ac:dyDescent="0.25">
      <c r="A268">
        <v>262</v>
      </c>
      <c r="B268" s="2">
        <f t="shared" si="16"/>
        <v>377.04066870632943</v>
      </c>
      <c r="C268" s="1">
        <f t="shared" si="17"/>
        <v>168.50127540170934</v>
      </c>
      <c r="D268" s="2">
        <f t="shared" si="18"/>
        <v>208.53939330462009</v>
      </c>
      <c r="E268" s="1">
        <f t="shared" si="19"/>
        <v>27875.006506980269</v>
      </c>
    </row>
    <row r="269" spans="1:5" x14ac:dyDescent="0.25">
      <c r="A269">
        <v>263</v>
      </c>
      <c r="B269" s="2">
        <f t="shared" si="16"/>
        <v>377.04066870632943</v>
      </c>
      <c r="C269" s="1">
        <f t="shared" si="17"/>
        <v>167.25003904188159</v>
      </c>
      <c r="D269" s="2">
        <f t="shared" si="18"/>
        <v>209.79062966444783</v>
      </c>
      <c r="E269" s="1">
        <f t="shared" si="19"/>
        <v>27665.215877315823</v>
      </c>
    </row>
    <row r="270" spans="1:5" x14ac:dyDescent="0.25">
      <c r="A270">
        <v>264</v>
      </c>
      <c r="B270" s="2">
        <f t="shared" si="16"/>
        <v>377.04066870632943</v>
      </c>
      <c r="C270" s="1">
        <f t="shared" si="17"/>
        <v>165.99129526389493</v>
      </c>
      <c r="D270" s="2">
        <f t="shared" si="18"/>
        <v>211.0493734424345</v>
      </c>
      <c r="E270" s="1">
        <f t="shared" si="19"/>
        <v>27454.166503873388</v>
      </c>
    </row>
    <row r="271" spans="1:5" x14ac:dyDescent="0.25">
      <c r="A271">
        <v>265</v>
      </c>
      <c r="B271" s="2">
        <f t="shared" si="16"/>
        <v>377.04066870632943</v>
      </c>
      <c r="C271" s="1">
        <f t="shared" si="17"/>
        <v>164.72499902324031</v>
      </c>
      <c r="D271" s="2">
        <f t="shared" si="18"/>
        <v>212.31566968308911</v>
      </c>
      <c r="E271" s="1">
        <f t="shared" si="19"/>
        <v>27241.8508341903</v>
      </c>
    </row>
    <row r="272" spans="1:5" x14ac:dyDescent="0.25">
      <c r="A272">
        <v>266</v>
      </c>
      <c r="B272" s="2">
        <f t="shared" si="16"/>
        <v>377.04066870632943</v>
      </c>
      <c r="C272" s="1">
        <f t="shared" si="17"/>
        <v>163.45110500514178</v>
      </c>
      <c r="D272" s="2">
        <f t="shared" si="18"/>
        <v>213.58956370118764</v>
      </c>
      <c r="E272" s="1">
        <f t="shared" si="19"/>
        <v>27028.261270489111</v>
      </c>
    </row>
    <row r="273" spans="1:5" x14ac:dyDescent="0.25">
      <c r="A273">
        <v>267</v>
      </c>
      <c r="B273" s="2">
        <f t="shared" si="16"/>
        <v>377.04066870632943</v>
      </c>
      <c r="C273" s="1">
        <f t="shared" si="17"/>
        <v>162.16956762293464</v>
      </c>
      <c r="D273" s="2">
        <f t="shared" si="18"/>
        <v>214.87110108339479</v>
      </c>
      <c r="E273" s="1">
        <f t="shared" si="19"/>
        <v>26813.390169405717</v>
      </c>
    </row>
    <row r="274" spans="1:5" x14ac:dyDescent="0.25">
      <c r="A274">
        <v>268</v>
      </c>
      <c r="B274" s="2">
        <f t="shared" si="16"/>
        <v>377.04066870632943</v>
      </c>
      <c r="C274" s="1">
        <f t="shared" si="17"/>
        <v>160.88034101643427</v>
      </c>
      <c r="D274" s="2">
        <f t="shared" si="18"/>
        <v>216.16032768989515</v>
      </c>
      <c r="E274" s="1">
        <f t="shared" si="19"/>
        <v>26597.22984171582</v>
      </c>
    </row>
    <row r="275" spans="1:5" x14ac:dyDescent="0.25">
      <c r="A275">
        <v>269</v>
      </c>
      <c r="B275" s="2">
        <f t="shared" si="16"/>
        <v>377.04066870632943</v>
      </c>
      <c r="C275" s="1">
        <f t="shared" si="17"/>
        <v>159.58337905029489</v>
      </c>
      <c r="D275" s="2">
        <f t="shared" si="18"/>
        <v>217.45728965603453</v>
      </c>
      <c r="E275" s="1">
        <f t="shared" si="19"/>
        <v>26379.772552059785</v>
      </c>
    </row>
    <row r="276" spans="1:5" x14ac:dyDescent="0.25">
      <c r="A276">
        <v>270</v>
      </c>
      <c r="B276" s="2">
        <f t="shared" si="16"/>
        <v>377.04066870632943</v>
      </c>
      <c r="C276" s="1">
        <f t="shared" si="17"/>
        <v>158.27863531235869</v>
      </c>
      <c r="D276" s="2">
        <f t="shared" si="18"/>
        <v>218.76203339397074</v>
      </c>
      <c r="E276" s="1">
        <f t="shared" si="19"/>
        <v>26161.010518665815</v>
      </c>
    </row>
    <row r="277" spans="1:5" x14ac:dyDescent="0.25">
      <c r="A277">
        <v>271</v>
      </c>
      <c r="B277" s="2">
        <f t="shared" si="16"/>
        <v>377.04066870632943</v>
      </c>
      <c r="C277" s="1">
        <f t="shared" si="17"/>
        <v>156.96606311199486</v>
      </c>
      <c r="D277" s="2">
        <f t="shared" si="18"/>
        <v>220.07460559433457</v>
      </c>
      <c r="E277" s="1">
        <f t="shared" si="19"/>
        <v>25940.93591307148</v>
      </c>
    </row>
    <row r="278" spans="1:5" x14ac:dyDescent="0.25">
      <c r="A278">
        <v>272</v>
      </c>
      <c r="B278" s="2">
        <f t="shared" si="16"/>
        <v>377.04066870632943</v>
      </c>
      <c r="C278" s="1">
        <f t="shared" si="17"/>
        <v>155.64561547842885</v>
      </c>
      <c r="D278" s="2">
        <f t="shared" si="18"/>
        <v>221.39505322790058</v>
      </c>
      <c r="E278" s="1">
        <f t="shared" si="19"/>
        <v>25719.540859843579</v>
      </c>
    </row>
    <row r="279" spans="1:5" x14ac:dyDescent="0.25">
      <c r="A279">
        <v>273</v>
      </c>
      <c r="B279" s="2">
        <f t="shared" si="16"/>
        <v>377.04066870632943</v>
      </c>
      <c r="C279" s="1">
        <f t="shared" si="17"/>
        <v>154.31724515906146</v>
      </c>
      <c r="D279" s="2">
        <f t="shared" si="18"/>
        <v>222.72342354726797</v>
      </c>
      <c r="E279" s="1">
        <f t="shared" si="19"/>
        <v>25496.817436296311</v>
      </c>
    </row>
    <row r="280" spans="1:5" x14ac:dyDescent="0.25">
      <c r="A280">
        <v>274</v>
      </c>
      <c r="B280" s="2">
        <f t="shared" si="16"/>
        <v>377.04066870632943</v>
      </c>
      <c r="C280" s="1">
        <f t="shared" si="17"/>
        <v>152.98090461777784</v>
      </c>
      <c r="D280" s="2">
        <f t="shared" si="18"/>
        <v>224.05976408855159</v>
      </c>
      <c r="E280" s="1">
        <f t="shared" si="19"/>
        <v>25272.757672207761</v>
      </c>
    </row>
    <row r="281" spans="1:5" x14ac:dyDescent="0.25">
      <c r="A281">
        <v>275</v>
      </c>
      <c r="B281" s="2">
        <f t="shared" si="16"/>
        <v>377.04066870632943</v>
      </c>
      <c r="C281" s="1">
        <f t="shared" si="17"/>
        <v>151.63654603324656</v>
      </c>
      <c r="D281" s="2">
        <f t="shared" si="18"/>
        <v>225.40412267308287</v>
      </c>
      <c r="E281" s="1">
        <f t="shared" si="19"/>
        <v>25047.353549534677</v>
      </c>
    </row>
    <row r="282" spans="1:5" x14ac:dyDescent="0.25">
      <c r="A282">
        <v>276</v>
      </c>
      <c r="B282" s="2">
        <f t="shared" si="16"/>
        <v>377.04066870632943</v>
      </c>
      <c r="C282" s="1">
        <f t="shared" si="17"/>
        <v>150.28412129720803</v>
      </c>
      <c r="D282" s="2">
        <f t="shared" si="18"/>
        <v>226.7565474091214</v>
      </c>
      <c r="E282" s="1">
        <f t="shared" si="19"/>
        <v>24820.597002125556</v>
      </c>
    </row>
    <row r="283" spans="1:5" x14ac:dyDescent="0.25">
      <c r="A283">
        <v>277</v>
      </c>
      <c r="B283" s="2">
        <f t="shared" si="16"/>
        <v>377.04066870632943</v>
      </c>
      <c r="C283" s="1">
        <f t="shared" si="17"/>
        <v>148.92358201275331</v>
      </c>
      <c r="D283" s="2">
        <f t="shared" si="18"/>
        <v>228.11708669357611</v>
      </c>
      <c r="E283" s="1">
        <f t="shared" si="19"/>
        <v>24592.479915431981</v>
      </c>
    </row>
    <row r="284" spans="1:5" x14ac:dyDescent="0.25">
      <c r="A284">
        <v>278</v>
      </c>
      <c r="B284" s="2">
        <f t="shared" si="16"/>
        <v>377.04066870632943</v>
      </c>
      <c r="C284" s="1">
        <f t="shared" si="17"/>
        <v>147.55487949259188</v>
      </c>
      <c r="D284" s="2">
        <f t="shared" si="18"/>
        <v>229.48578921373755</v>
      </c>
      <c r="E284" s="1">
        <f t="shared" si="19"/>
        <v>24362.994126218244</v>
      </c>
    </row>
    <row r="285" spans="1:5" x14ac:dyDescent="0.25">
      <c r="A285">
        <v>279</v>
      </c>
      <c r="B285" s="2">
        <f t="shared" si="16"/>
        <v>377.04066870632943</v>
      </c>
      <c r="C285" s="1">
        <f t="shared" si="17"/>
        <v>146.17796475730944</v>
      </c>
      <c r="D285" s="2">
        <f t="shared" si="18"/>
        <v>230.86270394901999</v>
      </c>
      <c r="E285" s="1">
        <f t="shared" si="19"/>
        <v>24132.131422269224</v>
      </c>
    </row>
    <row r="286" spans="1:5" x14ac:dyDescent="0.25">
      <c r="A286">
        <v>280</v>
      </c>
      <c r="B286" s="2">
        <f t="shared" si="16"/>
        <v>377.04066870632943</v>
      </c>
      <c r="C286" s="1">
        <f t="shared" si="17"/>
        <v>144.79278853361532</v>
      </c>
      <c r="D286" s="2">
        <f t="shared" si="18"/>
        <v>232.2478801727141</v>
      </c>
      <c r="E286" s="1">
        <f t="shared" si="19"/>
        <v>23899.883542096508</v>
      </c>
    </row>
    <row r="287" spans="1:5" x14ac:dyDescent="0.25">
      <c r="A287">
        <v>281</v>
      </c>
      <c r="B287" s="2">
        <f t="shared" si="16"/>
        <v>377.04066870632943</v>
      </c>
      <c r="C287" s="1">
        <f t="shared" si="17"/>
        <v>143.39930125257902</v>
      </c>
      <c r="D287" s="2">
        <f t="shared" si="18"/>
        <v>233.64136745375041</v>
      </c>
      <c r="E287" s="1">
        <f t="shared" si="19"/>
        <v>23666.242174642757</v>
      </c>
    </row>
    <row r="288" spans="1:5" x14ac:dyDescent="0.25">
      <c r="A288">
        <v>282</v>
      </c>
      <c r="B288" s="2">
        <f t="shared" si="16"/>
        <v>377.04066870632943</v>
      </c>
      <c r="C288" s="1">
        <f t="shared" si="17"/>
        <v>141.99745304785654</v>
      </c>
      <c r="D288" s="2">
        <f t="shared" si="18"/>
        <v>235.04321565847289</v>
      </c>
      <c r="E288" s="1">
        <f t="shared" si="19"/>
        <v>23431.198958984285</v>
      </c>
    </row>
    <row r="289" spans="1:5" x14ac:dyDescent="0.25">
      <c r="A289">
        <v>283</v>
      </c>
      <c r="B289" s="2">
        <f t="shared" si="16"/>
        <v>377.04066870632943</v>
      </c>
      <c r="C289" s="1">
        <f t="shared" si="17"/>
        <v>140.58719375390569</v>
      </c>
      <c r="D289" s="2">
        <f t="shared" si="18"/>
        <v>236.45347495242373</v>
      </c>
      <c r="E289" s="1">
        <f t="shared" si="19"/>
        <v>23194.745484031861</v>
      </c>
    </row>
    <row r="290" spans="1:5" x14ac:dyDescent="0.25">
      <c r="A290">
        <v>284</v>
      </c>
      <c r="B290" s="2">
        <f t="shared" si="16"/>
        <v>377.04066870632943</v>
      </c>
      <c r="C290" s="1">
        <f t="shared" si="17"/>
        <v>139.16847290419113</v>
      </c>
      <c r="D290" s="2">
        <f t="shared" si="18"/>
        <v>237.87219580213829</v>
      </c>
      <c r="E290" s="1">
        <f t="shared" si="19"/>
        <v>22956.873288229723</v>
      </c>
    </row>
    <row r="291" spans="1:5" x14ac:dyDescent="0.25">
      <c r="A291">
        <v>285</v>
      </c>
      <c r="B291" s="2">
        <f t="shared" si="16"/>
        <v>377.04066870632943</v>
      </c>
      <c r="C291" s="1">
        <f t="shared" si="17"/>
        <v>137.74123972937832</v>
      </c>
      <c r="D291" s="2">
        <f t="shared" si="18"/>
        <v>239.29942897695111</v>
      </c>
      <c r="E291" s="1">
        <f t="shared" si="19"/>
        <v>22717.57385925277</v>
      </c>
    </row>
    <row r="292" spans="1:5" x14ac:dyDescent="0.25">
      <c r="A292">
        <v>286</v>
      </c>
      <c r="B292" s="2">
        <f t="shared" si="16"/>
        <v>377.04066870632943</v>
      </c>
      <c r="C292" s="1">
        <f t="shared" si="17"/>
        <v>136.3054431555166</v>
      </c>
      <c r="D292" s="2">
        <f t="shared" si="18"/>
        <v>240.73522555081283</v>
      </c>
      <c r="E292" s="1">
        <f t="shared" si="19"/>
        <v>22476.838633701958</v>
      </c>
    </row>
    <row r="293" spans="1:5" x14ac:dyDescent="0.25">
      <c r="A293">
        <v>287</v>
      </c>
      <c r="B293" s="2">
        <f t="shared" si="16"/>
        <v>377.04066870632943</v>
      </c>
      <c r="C293" s="1">
        <f t="shared" si="17"/>
        <v>134.86103180221173</v>
      </c>
      <c r="D293" s="2">
        <f t="shared" si="18"/>
        <v>242.1796369041177</v>
      </c>
      <c r="E293" s="1">
        <f t="shared" si="19"/>
        <v>22234.65899679784</v>
      </c>
    </row>
    <row r="294" spans="1:5" x14ac:dyDescent="0.25">
      <c r="A294">
        <v>288</v>
      </c>
      <c r="B294" s="2">
        <f t="shared" si="16"/>
        <v>377.04066870632943</v>
      </c>
      <c r="C294" s="1">
        <f t="shared" si="17"/>
        <v>133.40795398078703</v>
      </c>
      <c r="D294" s="2">
        <f t="shared" si="18"/>
        <v>243.6327147255424</v>
      </c>
      <c r="E294" s="1">
        <f t="shared" si="19"/>
        <v>21991.026282072296</v>
      </c>
    </row>
    <row r="295" spans="1:5" x14ac:dyDescent="0.25">
      <c r="A295">
        <v>289</v>
      </c>
      <c r="B295" s="2">
        <f t="shared" si="16"/>
        <v>377.04066870632943</v>
      </c>
      <c r="C295" s="1">
        <f t="shared" si="17"/>
        <v>131.94615769243376</v>
      </c>
      <c r="D295" s="2">
        <f t="shared" si="18"/>
        <v>245.09451101389567</v>
      </c>
      <c r="E295" s="1">
        <f t="shared" si="19"/>
        <v>21745.9317710584</v>
      </c>
    </row>
    <row r="296" spans="1:5" x14ac:dyDescent="0.25">
      <c r="A296">
        <v>290</v>
      </c>
      <c r="B296" s="2">
        <f t="shared" si="16"/>
        <v>377.04066870632943</v>
      </c>
      <c r="C296" s="1">
        <f t="shared" si="17"/>
        <v>130.4755906263504</v>
      </c>
      <c r="D296" s="2">
        <f t="shared" si="18"/>
        <v>246.56507807997903</v>
      </c>
      <c r="E296" s="1">
        <f t="shared" si="19"/>
        <v>21499.366692978419</v>
      </c>
    </row>
    <row r="297" spans="1:5" x14ac:dyDescent="0.25">
      <c r="A297">
        <v>291</v>
      </c>
      <c r="B297" s="2">
        <f t="shared" si="16"/>
        <v>377.04066870632943</v>
      </c>
      <c r="C297" s="1">
        <f t="shared" si="17"/>
        <v>128.9962001578705</v>
      </c>
      <c r="D297" s="2">
        <f t="shared" si="18"/>
        <v>248.04446854845892</v>
      </c>
      <c r="E297" s="1">
        <f t="shared" si="19"/>
        <v>21251.322224429961</v>
      </c>
    </row>
    <row r="298" spans="1:5" x14ac:dyDescent="0.25">
      <c r="A298">
        <v>292</v>
      </c>
      <c r="B298" s="2">
        <f t="shared" si="16"/>
        <v>377.04066870632943</v>
      </c>
      <c r="C298" s="1">
        <f t="shared" si="17"/>
        <v>127.50793334657975</v>
      </c>
      <c r="D298" s="2">
        <f t="shared" si="18"/>
        <v>249.53273535974967</v>
      </c>
      <c r="E298" s="1">
        <f t="shared" si="19"/>
        <v>21001.789489070212</v>
      </c>
    </row>
    <row r="299" spans="1:5" x14ac:dyDescent="0.25">
      <c r="A299">
        <v>293</v>
      </c>
      <c r="B299" s="2">
        <f t="shared" si="16"/>
        <v>377.04066870632943</v>
      </c>
      <c r="C299" s="1">
        <f t="shared" si="17"/>
        <v>126.01073693442126</v>
      </c>
      <c r="D299" s="2">
        <f t="shared" si="18"/>
        <v>251.02993177190817</v>
      </c>
      <c r="E299" s="1">
        <f t="shared" si="19"/>
        <v>20750.759557298305</v>
      </c>
    </row>
    <row r="300" spans="1:5" x14ac:dyDescent="0.25">
      <c r="A300">
        <v>294</v>
      </c>
      <c r="B300" s="2">
        <f t="shared" si="16"/>
        <v>377.04066870632943</v>
      </c>
      <c r="C300" s="1">
        <f t="shared" si="17"/>
        <v>124.50455734378981</v>
      </c>
      <c r="D300" s="2">
        <f t="shared" si="18"/>
        <v>252.5361113625396</v>
      </c>
      <c r="E300" s="1">
        <f t="shared" si="19"/>
        <v>20498.223445935764</v>
      </c>
    </row>
    <row r="301" spans="1:5" x14ac:dyDescent="0.25">
      <c r="A301">
        <v>295</v>
      </c>
      <c r="B301" s="2">
        <f t="shared" si="16"/>
        <v>377.04066870632943</v>
      </c>
      <c r="C301" s="1">
        <f t="shared" si="17"/>
        <v>122.98934067561457</v>
      </c>
      <c r="D301" s="2">
        <f t="shared" si="18"/>
        <v>254.05132803071484</v>
      </c>
      <c r="E301" s="1">
        <f t="shared" si="19"/>
        <v>20244.172117905051</v>
      </c>
    </row>
    <row r="302" spans="1:5" x14ac:dyDescent="0.25">
      <c r="A302">
        <v>296</v>
      </c>
      <c r="B302" s="2">
        <f t="shared" si="16"/>
        <v>377.04066870632943</v>
      </c>
      <c r="C302" s="1">
        <f t="shared" si="17"/>
        <v>121.4650327074303</v>
      </c>
      <c r="D302" s="2">
        <f t="shared" si="18"/>
        <v>255.57563599889914</v>
      </c>
      <c r="E302" s="1">
        <f t="shared" si="19"/>
        <v>19988.596481906152</v>
      </c>
    </row>
    <row r="303" spans="1:5" x14ac:dyDescent="0.25">
      <c r="A303">
        <v>297</v>
      </c>
      <c r="B303" s="2">
        <f t="shared" si="16"/>
        <v>377.04066870632943</v>
      </c>
      <c r="C303" s="1">
        <f t="shared" si="17"/>
        <v>119.9315788914369</v>
      </c>
      <c r="D303" s="2">
        <f t="shared" si="18"/>
        <v>257.10908981489251</v>
      </c>
      <c r="E303" s="1">
        <f t="shared" si="19"/>
        <v>19731.487392091258</v>
      </c>
    </row>
    <row r="304" spans="1:5" x14ac:dyDescent="0.25">
      <c r="A304">
        <v>298</v>
      </c>
      <c r="B304" s="2">
        <f t="shared" si="16"/>
        <v>377.04066870632943</v>
      </c>
      <c r="C304" s="1">
        <f t="shared" si="17"/>
        <v>118.38892435254753</v>
      </c>
      <c r="D304" s="2">
        <f t="shared" si="18"/>
        <v>258.65174435378191</v>
      </c>
      <c r="E304" s="1">
        <f t="shared" si="19"/>
        <v>19472.835647737476</v>
      </c>
    </row>
    <row r="305" spans="1:5" x14ac:dyDescent="0.25">
      <c r="A305">
        <v>299</v>
      </c>
      <c r="B305" s="2">
        <f t="shared" si="16"/>
        <v>377.04066870632943</v>
      </c>
      <c r="C305" s="1">
        <f t="shared" si="17"/>
        <v>116.83701388642484</v>
      </c>
      <c r="D305" s="2">
        <f t="shared" si="18"/>
        <v>260.20365481990461</v>
      </c>
      <c r="E305" s="1">
        <f t="shared" si="19"/>
        <v>19212.631992917573</v>
      </c>
    </row>
    <row r="306" spans="1:5" x14ac:dyDescent="0.25">
      <c r="A306">
        <v>300</v>
      </c>
      <c r="B306" s="2">
        <f t="shared" si="16"/>
        <v>377.04066870632943</v>
      </c>
      <c r="C306" s="1">
        <f t="shared" si="17"/>
        <v>115.27579195750542</v>
      </c>
      <c r="D306" s="2">
        <f t="shared" si="18"/>
        <v>261.76487674882401</v>
      </c>
      <c r="E306" s="1">
        <f t="shared" si="19"/>
        <v>18950.867116168749</v>
      </c>
    </row>
    <row r="307" spans="1:5" x14ac:dyDescent="0.25">
      <c r="A307">
        <v>301</v>
      </c>
      <c r="B307" s="2">
        <f t="shared" si="16"/>
        <v>377.04066870632943</v>
      </c>
      <c r="C307" s="1">
        <f t="shared" si="17"/>
        <v>113.70520269701248</v>
      </c>
      <c r="D307" s="2">
        <f t="shared" si="18"/>
        <v>263.33546600931697</v>
      </c>
      <c r="E307" s="1">
        <f t="shared" si="19"/>
        <v>18687.531650159432</v>
      </c>
    </row>
    <row r="308" spans="1:5" x14ac:dyDescent="0.25">
      <c r="A308">
        <v>302</v>
      </c>
      <c r="B308" s="2">
        <f t="shared" si="16"/>
        <v>377.04066870632943</v>
      </c>
      <c r="C308" s="1">
        <f t="shared" si="17"/>
        <v>112.12518990095657</v>
      </c>
      <c r="D308" s="2">
        <f t="shared" si="18"/>
        <v>264.91547880537286</v>
      </c>
      <c r="E308" s="1">
        <f t="shared" si="19"/>
        <v>18422.61617135406</v>
      </c>
    </row>
    <row r="309" spans="1:5" x14ac:dyDescent="0.25">
      <c r="A309">
        <v>303</v>
      </c>
      <c r="B309" s="2">
        <f t="shared" si="16"/>
        <v>377.04066870632943</v>
      </c>
      <c r="C309" s="1">
        <f t="shared" si="17"/>
        <v>110.53569702812435</v>
      </c>
      <c r="D309" s="2">
        <f t="shared" si="18"/>
        <v>266.5049716782051</v>
      </c>
      <c r="E309" s="1">
        <f t="shared" si="19"/>
        <v>18156.111199675855</v>
      </c>
    </row>
    <row r="310" spans="1:5" x14ac:dyDescent="0.25">
      <c r="A310">
        <v>304</v>
      </c>
      <c r="B310" s="2">
        <f t="shared" si="16"/>
        <v>377.04066870632943</v>
      </c>
      <c r="C310" s="1">
        <f t="shared" si="17"/>
        <v>108.93666719805512</v>
      </c>
      <c r="D310" s="2">
        <f t="shared" si="18"/>
        <v>268.10400150827434</v>
      </c>
      <c r="E310" s="1">
        <f t="shared" si="19"/>
        <v>17888.007198167583</v>
      </c>
    </row>
    <row r="311" spans="1:5" x14ac:dyDescent="0.25">
      <c r="A311">
        <v>305</v>
      </c>
      <c r="B311" s="2">
        <f t="shared" si="16"/>
        <v>377.04066870632943</v>
      </c>
      <c r="C311" s="1">
        <f t="shared" si="17"/>
        <v>107.32804318900548</v>
      </c>
      <c r="D311" s="2">
        <f t="shared" si="18"/>
        <v>269.71262551732394</v>
      </c>
      <c r="E311" s="1">
        <f t="shared" si="19"/>
        <v>17618.294572650258</v>
      </c>
    </row>
    <row r="312" spans="1:5" x14ac:dyDescent="0.25">
      <c r="A312">
        <v>306</v>
      </c>
      <c r="B312" s="2">
        <f t="shared" si="16"/>
        <v>377.04066870632943</v>
      </c>
      <c r="C312" s="1">
        <f t="shared" si="17"/>
        <v>105.70976743590154</v>
      </c>
      <c r="D312" s="2">
        <f t="shared" si="18"/>
        <v>271.33090127042789</v>
      </c>
      <c r="E312" s="1">
        <f t="shared" si="19"/>
        <v>17346.963671379832</v>
      </c>
    </row>
    <row r="313" spans="1:5" x14ac:dyDescent="0.25">
      <c r="A313">
        <v>307</v>
      </c>
      <c r="B313" s="2">
        <f t="shared" si="16"/>
        <v>377.04066870632943</v>
      </c>
      <c r="C313" s="1">
        <f t="shared" si="17"/>
        <v>104.08178202827898</v>
      </c>
      <c r="D313" s="2">
        <f t="shared" si="18"/>
        <v>272.95888667805048</v>
      </c>
      <c r="E313" s="1">
        <f t="shared" si="19"/>
        <v>17074.004784701781</v>
      </c>
    </row>
    <row r="314" spans="1:5" x14ac:dyDescent="0.25">
      <c r="A314">
        <v>308</v>
      </c>
      <c r="B314" s="2">
        <f t="shared" si="16"/>
        <v>377.04066870632943</v>
      </c>
      <c r="C314" s="1">
        <f t="shared" si="17"/>
        <v>102.44402870821068</v>
      </c>
      <c r="D314" s="2">
        <f t="shared" si="18"/>
        <v>274.59663999811875</v>
      </c>
      <c r="E314" s="1">
        <f t="shared" si="19"/>
        <v>16799.408144703662</v>
      </c>
    </row>
    <row r="315" spans="1:5" x14ac:dyDescent="0.25">
      <c r="A315">
        <v>309</v>
      </c>
      <c r="B315" s="2">
        <f t="shared" si="16"/>
        <v>377.04066870632943</v>
      </c>
      <c r="C315" s="1">
        <f t="shared" si="17"/>
        <v>100.79644886822196</v>
      </c>
      <c r="D315" s="2">
        <f t="shared" si="18"/>
        <v>276.24421983810748</v>
      </c>
      <c r="E315" s="1">
        <f t="shared" si="19"/>
        <v>16523.163924865556</v>
      </c>
    </row>
    <row r="316" spans="1:5" x14ac:dyDescent="0.25">
      <c r="A316">
        <v>310</v>
      </c>
      <c r="B316" s="2">
        <f t="shared" si="16"/>
        <v>377.04066870632943</v>
      </c>
      <c r="C316" s="1">
        <f t="shared" si="17"/>
        <v>99.138983549193327</v>
      </c>
      <c r="D316" s="2">
        <f t="shared" si="18"/>
        <v>277.90168515713611</v>
      </c>
      <c r="E316" s="1">
        <f t="shared" si="19"/>
        <v>16245.26223970842</v>
      </c>
    </row>
    <row r="317" spans="1:5" x14ac:dyDescent="0.25">
      <c r="A317">
        <v>311</v>
      </c>
      <c r="B317" s="2">
        <f t="shared" si="16"/>
        <v>377.04066870632943</v>
      </c>
      <c r="C317" s="1">
        <f t="shared" si="17"/>
        <v>97.471573438250502</v>
      </c>
      <c r="D317" s="2">
        <f t="shared" si="18"/>
        <v>279.56909526807891</v>
      </c>
      <c r="E317" s="1">
        <f t="shared" si="19"/>
        <v>15965.69314444034</v>
      </c>
    </row>
    <row r="318" spans="1:5" x14ac:dyDescent="0.25">
      <c r="A318">
        <v>312</v>
      </c>
      <c r="B318" s="2">
        <f t="shared" si="16"/>
        <v>377.04066870632943</v>
      </c>
      <c r="C318" s="1">
        <f t="shared" si="17"/>
        <v>95.794158866642022</v>
      </c>
      <c r="D318" s="2">
        <f t="shared" si="18"/>
        <v>281.24650983968741</v>
      </c>
      <c r="E318" s="1">
        <f t="shared" si="19"/>
        <v>15684.446634600652</v>
      </c>
    </row>
    <row r="319" spans="1:5" x14ac:dyDescent="0.25">
      <c r="A319">
        <v>313</v>
      </c>
      <c r="B319" s="2">
        <f t="shared" si="16"/>
        <v>377.04066870632943</v>
      </c>
      <c r="C319" s="1">
        <f t="shared" si="17"/>
        <v>94.106679807603896</v>
      </c>
      <c r="D319" s="2">
        <f t="shared" si="18"/>
        <v>282.93398889872554</v>
      </c>
      <c r="E319" s="1">
        <f t="shared" si="19"/>
        <v>15401.512645701927</v>
      </c>
    </row>
    <row r="320" spans="1:5" x14ac:dyDescent="0.25">
      <c r="A320">
        <v>314</v>
      </c>
      <c r="B320" s="2">
        <f t="shared" si="16"/>
        <v>377.04066870632943</v>
      </c>
      <c r="C320" s="1">
        <f t="shared" si="17"/>
        <v>92.409075874211553</v>
      </c>
      <c r="D320" s="2">
        <f t="shared" si="18"/>
        <v>284.63159283211786</v>
      </c>
      <c r="E320" s="1">
        <f t="shared" si="19"/>
        <v>15116.881052869809</v>
      </c>
    </row>
    <row r="321" spans="1:5" x14ac:dyDescent="0.25">
      <c r="A321">
        <v>315</v>
      </c>
      <c r="B321" s="2">
        <f t="shared" si="16"/>
        <v>377.04066870632943</v>
      </c>
      <c r="C321" s="1">
        <f t="shared" si="17"/>
        <v>90.701286317218845</v>
      </c>
      <c r="D321" s="2">
        <f t="shared" si="18"/>
        <v>286.3393823891106</v>
      </c>
      <c r="E321" s="1">
        <f t="shared" si="19"/>
        <v>14830.541670480698</v>
      </c>
    </row>
    <row r="322" spans="1:5" x14ac:dyDescent="0.25">
      <c r="A322">
        <v>316</v>
      </c>
      <c r="B322" s="2">
        <f t="shared" si="16"/>
        <v>377.04066870632943</v>
      </c>
      <c r="C322" s="1">
        <f t="shared" si="17"/>
        <v>88.983250022884178</v>
      </c>
      <c r="D322" s="2">
        <f t="shared" si="18"/>
        <v>288.05741868344523</v>
      </c>
      <c r="E322" s="1">
        <f t="shared" si="19"/>
        <v>14542.484251797252</v>
      </c>
    </row>
    <row r="323" spans="1:5" x14ac:dyDescent="0.25">
      <c r="A323">
        <v>317</v>
      </c>
      <c r="B323" s="2">
        <f t="shared" si="16"/>
        <v>377.04066870632943</v>
      </c>
      <c r="C323" s="1">
        <f t="shared" si="17"/>
        <v>87.254905510783502</v>
      </c>
      <c r="D323" s="2">
        <f t="shared" si="18"/>
        <v>289.78576319554594</v>
      </c>
      <c r="E323" s="1">
        <f t="shared" si="19"/>
        <v>14252.698488601705</v>
      </c>
    </row>
    <row r="324" spans="1:5" x14ac:dyDescent="0.25">
      <c r="A324">
        <v>318</v>
      </c>
      <c r="B324" s="2">
        <f t="shared" si="16"/>
        <v>377.04066870632943</v>
      </c>
      <c r="C324" s="1">
        <f t="shared" si="17"/>
        <v>85.516190931610225</v>
      </c>
      <c r="D324" s="2">
        <f t="shared" si="18"/>
        <v>291.52447777471923</v>
      </c>
      <c r="E324" s="1">
        <f t="shared" si="19"/>
        <v>13961.174010826986</v>
      </c>
    </row>
    <row r="325" spans="1:5" x14ac:dyDescent="0.25">
      <c r="A325">
        <v>319</v>
      </c>
      <c r="B325" s="2">
        <f t="shared" si="16"/>
        <v>377.04066870632943</v>
      </c>
      <c r="C325" s="1">
        <f t="shared" si="17"/>
        <v>83.767044064961908</v>
      </c>
      <c r="D325" s="2">
        <f t="shared" si="18"/>
        <v>293.27362464136752</v>
      </c>
      <c r="E325" s="1">
        <f t="shared" si="19"/>
        <v>13667.900386185618</v>
      </c>
    </row>
    <row r="326" spans="1:5" x14ac:dyDescent="0.25">
      <c r="A326">
        <v>320</v>
      </c>
      <c r="B326" s="2">
        <f t="shared" si="16"/>
        <v>377.04066870632943</v>
      </c>
      <c r="C326" s="1">
        <f t="shared" si="17"/>
        <v>82.007402317113701</v>
      </c>
      <c r="D326" s="2">
        <f t="shared" si="18"/>
        <v>295.03326638921573</v>
      </c>
      <c r="E326" s="1">
        <f t="shared" si="19"/>
        <v>13372.867119796403</v>
      </c>
    </row>
    <row r="327" spans="1:5" x14ac:dyDescent="0.25">
      <c r="A327">
        <v>321</v>
      </c>
      <c r="B327" s="2">
        <f t="shared" ref="B327:B366" si="20">PMT($C$2/12,$C$3,-$E$6)</f>
        <v>377.04066870632943</v>
      </c>
      <c r="C327" s="1">
        <f t="shared" ref="C327:C366" si="21">E326*($C$2/12)</f>
        <v>80.237202718778406</v>
      </c>
      <c r="D327" s="2">
        <f t="shared" ref="D327:D366" si="22">B327-C327</f>
        <v>296.80346598755102</v>
      </c>
      <c r="E327" s="1">
        <f t="shared" ref="E327:E366" si="23">E326-D327</f>
        <v>13076.063653808853</v>
      </c>
    </row>
    <row r="328" spans="1:5" x14ac:dyDescent="0.25">
      <c r="A328">
        <v>322</v>
      </c>
      <c r="B328" s="2">
        <f t="shared" si="20"/>
        <v>377.04066870632943</v>
      </c>
      <c r="C328" s="1">
        <f t="shared" si="21"/>
        <v>78.456381922853112</v>
      </c>
      <c r="D328" s="2">
        <f t="shared" si="22"/>
        <v>298.58428678347633</v>
      </c>
      <c r="E328" s="1">
        <f t="shared" si="23"/>
        <v>12777.479367025377</v>
      </c>
    </row>
    <row r="329" spans="1:5" x14ac:dyDescent="0.25">
      <c r="A329">
        <v>323</v>
      </c>
      <c r="B329" s="2">
        <f t="shared" si="20"/>
        <v>377.04066870632943</v>
      </c>
      <c r="C329" s="1">
        <f t="shared" si="21"/>
        <v>76.664876202152257</v>
      </c>
      <c r="D329" s="2">
        <f t="shared" si="22"/>
        <v>300.37579250417718</v>
      </c>
      <c r="E329" s="1">
        <f t="shared" si="23"/>
        <v>12477.103574521199</v>
      </c>
    </row>
    <row r="330" spans="1:5" x14ac:dyDescent="0.25">
      <c r="A330">
        <v>324</v>
      </c>
      <c r="B330" s="2">
        <f t="shared" si="20"/>
        <v>377.04066870632943</v>
      </c>
      <c r="C330" s="1">
        <f t="shared" si="21"/>
        <v>74.862621447127182</v>
      </c>
      <c r="D330" s="2">
        <f t="shared" si="22"/>
        <v>302.17804725920223</v>
      </c>
      <c r="E330" s="1">
        <f t="shared" si="23"/>
        <v>12174.925527261998</v>
      </c>
    </row>
    <row r="331" spans="1:5" x14ac:dyDescent="0.25">
      <c r="A331">
        <v>325</v>
      </c>
      <c r="B331" s="2">
        <f t="shared" si="20"/>
        <v>377.04066870632943</v>
      </c>
      <c r="C331" s="1">
        <f t="shared" si="21"/>
        <v>73.049553163571971</v>
      </c>
      <c r="D331" s="2">
        <f t="shared" si="22"/>
        <v>303.99111554275748</v>
      </c>
      <c r="E331" s="1">
        <f t="shared" si="23"/>
        <v>11870.93441171924</v>
      </c>
    </row>
    <row r="332" spans="1:5" x14ac:dyDescent="0.25">
      <c r="A332">
        <v>326</v>
      </c>
      <c r="B332" s="2">
        <f t="shared" si="20"/>
        <v>377.04066870632943</v>
      </c>
      <c r="C332" s="1">
        <f t="shared" si="21"/>
        <v>71.225606470315427</v>
      </c>
      <c r="D332" s="2">
        <f t="shared" si="22"/>
        <v>305.815062236014</v>
      </c>
      <c r="E332" s="1">
        <f t="shared" si="23"/>
        <v>11565.119349483226</v>
      </c>
    </row>
    <row r="333" spans="1:5" x14ac:dyDescent="0.25">
      <c r="A333">
        <v>327</v>
      </c>
      <c r="B333" s="2">
        <f t="shared" si="20"/>
        <v>377.04066870632943</v>
      </c>
      <c r="C333" s="1">
        <f t="shared" si="21"/>
        <v>69.390716096899354</v>
      </c>
      <c r="D333" s="2">
        <f t="shared" si="22"/>
        <v>307.6499526094301</v>
      </c>
      <c r="E333" s="1">
        <f t="shared" si="23"/>
        <v>11257.469396873796</v>
      </c>
    </row>
    <row r="334" spans="1:5" x14ac:dyDescent="0.25">
      <c r="A334">
        <v>328</v>
      </c>
      <c r="B334" s="2">
        <f t="shared" si="20"/>
        <v>377.04066870632943</v>
      </c>
      <c r="C334" s="1">
        <f t="shared" si="21"/>
        <v>67.544816381242768</v>
      </c>
      <c r="D334" s="2">
        <f t="shared" si="22"/>
        <v>309.49585232508667</v>
      </c>
      <c r="E334" s="1">
        <f t="shared" si="23"/>
        <v>10947.973544548709</v>
      </c>
    </row>
    <row r="335" spans="1:5" x14ac:dyDescent="0.25">
      <c r="A335">
        <v>329</v>
      </c>
      <c r="B335" s="2">
        <f t="shared" si="20"/>
        <v>377.04066870632943</v>
      </c>
      <c r="C335" s="1">
        <f t="shared" si="21"/>
        <v>65.687841267292242</v>
      </c>
      <c r="D335" s="2">
        <f t="shared" si="22"/>
        <v>311.35282743903718</v>
      </c>
      <c r="E335" s="1">
        <f t="shared" si="23"/>
        <v>10636.620717109672</v>
      </c>
    </row>
    <row r="336" spans="1:5" x14ac:dyDescent="0.25">
      <c r="A336">
        <v>330</v>
      </c>
      <c r="B336" s="2">
        <f t="shared" si="20"/>
        <v>377.04066870632943</v>
      </c>
      <c r="C336" s="1">
        <f t="shared" si="21"/>
        <v>63.819724302658024</v>
      </c>
      <c r="D336" s="2">
        <f t="shared" si="22"/>
        <v>313.22094440367141</v>
      </c>
      <c r="E336" s="1">
        <f t="shared" si="23"/>
        <v>10323.399772706001</v>
      </c>
    </row>
    <row r="337" spans="1:5" x14ac:dyDescent="0.25">
      <c r="A337">
        <v>331</v>
      </c>
      <c r="B337" s="2">
        <f t="shared" si="20"/>
        <v>377.04066870632943</v>
      </c>
      <c r="C337" s="1">
        <f t="shared" si="21"/>
        <v>61.940398636235997</v>
      </c>
      <c r="D337" s="2">
        <f t="shared" si="22"/>
        <v>315.10027007009342</v>
      </c>
      <c r="E337" s="1">
        <f t="shared" si="23"/>
        <v>10008.299502635908</v>
      </c>
    </row>
    <row r="338" spans="1:5" x14ac:dyDescent="0.25">
      <c r="A338">
        <v>332</v>
      </c>
      <c r="B338" s="2">
        <f t="shared" si="20"/>
        <v>377.04066870632943</v>
      </c>
      <c r="C338" s="1">
        <f t="shared" si="21"/>
        <v>60.049797015815436</v>
      </c>
      <c r="D338" s="2">
        <f t="shared" si="22"/>
        <v>316.99087169051398</v>
      </c>
      <c r="E338" s="1">
        <f t="shared" si="23"/>
        <v>9691.3086309453938</v>
      </c>
    </row>
    <row r="339" spans="1:5" x14ac:dyDescent="0.25">
      <c r="A339">
        <v>333</v>
      </c>
      <c r="B339" s="2">
        <f t="shared" si="20"/>
        <v>377.04066870632943</v>
      </c>
      <c r="C339" s="1">
        <f t="shared" si="21"/>
        <v>58.147851785672358</v>
      </c>
      <c r="D339" s="2">
        <f t="shared" si="22"/>
        <v>318.89281692065708</v>
      </c>
      <c r="E339" s="1">
        <f t="shared" si="23"/>
        <v>9372.4158140247364</v>
      </c>
    </row>
    <row r="340" spans="1:5" x14ac:dyDescent="0.25">
      <c r="A340">
        <v>334</v>
      </c>
      <c r="B340" s="2">
        <f t="shared" si="20"/>
        <v>377.04066870632943</v>
      </c>
      <c r="C340" s="1">
        <f t="shared" si="21"/>
        <v>56.234494884148411</v>
      </c>
      <c r="D340" s="2">
        <f t="shared" si="22"/>
        <v>320.80617382218099</v>
      </c>
      <c r="E340" s="1">
        <f t="shared" si="23"/>
        <v>9051.609640202556</v>
      </c>
    </row>
    <row r="341" spans="1:5" x14ac:dyDescent="0.25">
      <c r="A341">
        <v>335</v>
      </c>
      <c r="B341" s="2">
        <f t="shared" si="20"/>
        <v>377.04066870632943</v>
      </c>
      <c r="C341" s="1">
        <f t="shared" si="21"/>
        <v>54.309657841215326</v>
      </c>
      <c r="D341" s="2">
        <f t="shared" si="22"/>
        <v>322.73101086511411</v>
      </c>
      <c r="E341" s="1">
        <f t="shared" si="23"/>
        <v>8728.8786293374415</v>
      </c>
    </row>
    <row r="342" spans="1:5" x14ac:dyDescent="0.25">
      <c r="A342">
        <v>336</v>
      </c>
      <c r="B342" s="2">
        <f t="shared" si="20"/>
        <v>377.04066870632943</v>
      </c>
      <c r="C342" s="1">
        <f t="shared" si="21"/>
        <v>52.373271776024644</v>
      </c>
      <c r="D342" s="2">
        <f t="shared" si="22"/>
        <v>324.66739693030479</v>
      </c>
      <c r="E342" s="1">
        <f t="shared" si="23"/>
        <v>8404.2112324071368</v>
      </c>
    </row>
    <row r="343" spans="1:5" x14ac:dyDescent="0.25">
      <c r="A343">
        <v>337</v>
      </c>
      <c r="B343" s="2">
        <f t="shared" si="20"/>
        <v>377.04066870632943</v>
      </c>
      <c r="C343" s="1">
        <f t="shared" si="21"/>
        <v>50.425267394442812</v>
      </c>
      <c r="D343" s="2">
        <f t="shared" si="22"/>
        <v>326.61540131188661</v>
      </c>
      <c r="E343" s="1">
        <f t="shared" si="23"/>
        <v>8077.5958310952501</v>
      </c>
    </row>
    <row r="344" spans="1:5" x14ac:dyDescent="0.25">
      <c r="A344">
        <v>338</v>
      </c>
      <c r="B344" s="2">
        <f t="shared" si="20"/>
        <v>377.04066870632943</v>
      </c>
      <c r="C344" s="1">
        <f t="shared" si="21"/>
        <v>48.465574986571497</v>
      </c>
      <c r="D344" s="2">
        <f t="shared" si="22"/>
        <v>328.57509371975794</v>
      </c>
      <c r="E344" s="1">
        <f t="shared" si="23"/>
        <v>7749.020737375492</v>
      </c>
    </row>
    <row r="345" spans="1:5" x14ac:dyDescent="0.25">
      <c r="A345">
        <v>339</v>
      </c>
      <c r="B345" s="2">
        <f t="shared" si="20"/>
        <v>377.04066870632943</v>
      </c>
      <c r="C345" s="1">
        <f t="shared" si="21"/>
        <v>46.494124424252945</v>
      </c>
      <c r="D345" s="2">
        <f t="shared" si="22"/>
        <v>330.54654428207647</v>
      </c>
      <c r="E345" s="1">
        <f t="shared" si="23"/>
        <v>7418.4741930934151</v>
      </c>
    </row>
    <row r="346" spans="1:5" x14ac:dyDescent="0.25">
      <c r="A346">
        <v>340</v>
      </c>
      <c r="B346" s="2">
        <f t="shared" si="20"/>
        <v>377.04066870632943</v>
      </c>
      <c r="C346" s="1">
        <f t="shared" si="21"/>
        <v>44.510845158560485</v>
      </c>
      <c r="D346" s="2">
        <f t="shared" si="22"/>
        <v>332.52982354776896</v>
      </c>
      <c r="E346" s="1">
        <f t="shared" si="23"/>
        <v>7085.9443695456466</v>
      </c>
    </row>
    <row r="347" spans="1:5" x14ac:dyDescent="0.25">
      <c r="A347">
        <v>341</v>
      </c>
      <c r="B347" s="2">
        <f t="shared" si="20"/>
        <v>377.04066870632943</v>
      </c>
      <c r="C347" s="1">
        <f t="shared" si="21"/>
        <v>42.515666217273875</v>
      </c>
      <c r="D347" s="2">
        <f t="shared" si="22"/>
        <v>334.52500248905557</v>
      </c>
      <c r="E347" s="1">
        <f t="shared" si="23"/>
        <v>6751.419367056591</v>
      </c>
    </row>
    <row r="348" spans="1:5" x14ac:dyDescent="0.25">
      <c r="A348">
        <v>342</v>
      </c>
      <c r="B348" s="2">
        <f t="shared" si="20"/>
        <v>377.04066870632943</v>
      </c>
      <c r="C348" s="1">
        <f t="shared" si="21"/>
        <v>40.508516202339543</v>
      </c>
      <c r="D348" s="2">
        <f t="shared" si="22"/>
        <v>336.53215250398989</v>
      </c>
      <c r="E348" s="1">
        <f t="shared" si="23"/>
        <v>6414.8872145526011</v>
      </c>
    </row>
    <row r="349" spans="1:5" x14ac:dyDescent="0.25">
      <c r="A349">
        <v>343</v>
      </c>
      <c r="B349" s="2">
        <f t="shared" si="20"/>
        <v>377.04066870632943</v>
      </c>
      <c r="C349" s="1">
        <f t="shared" si="21"/>
        <v>38.489323287315599</v>
      </c>
      <c r="D349" s="2">
        <f t="shared" si="22"/>
        <v>338.55134541901384</v>
      </c>
      <c r="E349" s="1">
        <f t="shared" si="23"/>
        <v>6076.335869133587</v>
      </c>
    </row>
    <row r="350" spans="1:5" x14ac:dyDescent="0.25">
      <c r="A350">
        <v>344</v>
      </c>
      <c r="B350" s="2">
        <f t="shared" si="20"/>
        <v>377.04066870632943</v>
      </c>
      <c r="C350" s="1">
        <f t="shared" si="21"/>
        <v>36.45801521480152</v>
      </c>
      <c r="D350" s="2">
        <f t="shared" si="22"/>
        <v>340.58265349152794</v>
      </c>
      <c r="E350" s="1">
        <f t="shared" si="23"/>
        <v>5735.7532156420593</v>
      </c>
    </row>
    <row r="351" spans="1:5" x14ac:dyDescent="0.25">
      <c r="A351">
        <v>345</v>
      </c>
      <c r="B351" s="2">
        <f t="shared" si="20"/>
        <v>377.04066870632943</v>
      </c>
      <c r="C351" s="1">
        <f t="shared" si="21"/>
        <v>34.414519293852351</v>
      </c>
      <c r="D351" s="2">
        <f t="shared" si="22"/>
        <v>342.62614941247705</v>
      </c>
      <c r="E351" s="1">
        <f t="shared" si="23"/>
        <v>5393.1270662295819</v>
      </c>
    </row>
    <row r="352" spans="1:5" x14ac:dyDescent="0.25">
      <c r="A352">
        <v>346</v>
      </c>
      <c r="B352" s="2">
        <f t="shared" si="20"/>
        <v>377.04066870632943</v>
      </c>
      <c r="C352" s="1">
        <f t="shared" si="21"/>
        <v>32.35876239737749</v>
      </c>
      <c r="D352" s="2">
        <f t="shared" si="22"/>
        <v>344.68190630895197</v>
      </c>
      <c r="E352" s="1">
        <f t="shared" si="23"/>
        <v>5048.4451599206295</v>
      </c>
    </row>
    <row r="353" spans="1:5" x14ac:dyDescent="0.25">
      <c r="A353">
        <v>347</v>
      </c>
      <c r="B353" s="2">
        <f t="shared" si="20"/>
        <v>377.04066870632943</v>
      </c>
      <c r="C353" s="1">
        <f t="shared" si="21"/>
        <v>30.290670959523773</v>
      </c>
      <c r="D353" s="2">
        <f t="shared" si="22"/>
        <v>346.74999774680566</v>
      </c>
      <c r="E353" s="1">
        <f t="shared" si="23"/>
        <v>4701.6951621738235</v>
      </c>
    </row>
    <row r="354" spans="1:5" x14ac:dyDescent="0.25">
      <c r="A354">
        <v>348</v>
      </c>
      <c r="B354" s="2">
        <f t="shared" si="20"/>
        <v>377.04066870632943</v>
      </c>
      <c r="C354" s="1">
        <f t="shared" si="21"/>
        <v>28.210170973042938</v>
      </c>
      <c r="D354" s="2">
        <f t="shared" si="22"/>
        <v>348.83049773328651</v>
      </c>
      <c r="E354" s="1">
        <f t="shared" si="23"/>
        <v>4352.8646644405371</v>
      </c>
    </row>
    <row r="355" spans="1:5" x14ac:dyDescent="0.25">
      <c r="A355">
        <v>349</v>
      </c>
      <c r="B355" s="2">
        <f t="shared" si="20"/>
        <v>377.04066870632943</v>
      </c>
      <c r="C355" s="1">
        <f t="shared" si="21"/>
        <v>26.11718798664322</v>
      </c>
      <c r="D355" s="2">
        <f t="shared" si="22"/>
        <v>350.92348071968621</v>
      </c>
      <c r="E355" s="1">
        <f t="shared" si="23"/>
        <v>4001.9411837208509</v>
      </c>
    </row>
    <row r="356" spans="1:5" x14ac:dyDescent="0.25">
      <c r="A356">
        <v>350</v>
      </c>
      <c r="B356" s="2">
        <f t="shared" si="20"/>
        <v>377.04066870632943</v>
      </c>
      <c r="C356" s="1">
        <f t="shared" si="21"/>
        <v>24.011647102325103</v>
      </c>
      <c r="D356" s="2">
        <f t="shared" si="22"/>
        <v>353.0290216040043</v>
      </c>
      <c r="E356" s="1">
        <f t="shared" si="23"/>
        <v>3648.9121621168465</v>
      </c>
    </row>
    <row r="357" spans="1:5" x14ac:dyDescent="0.25">
      <c r="A357">
        <v>351</v>
      </c>
      <c r="B357" s="2">
        <f t="shared" si="20"/>
        <v>377.04066870632943</v>
      </c>
      <c r="C357" s="1">
        <f t="shared" si="21"/>
        <v>21.893472972701076</v>
      </c>
      <c r="D357" s="2">
        <f t="shared" si="22"/>
        <v>355.14719573362834</v>
      </c>
      <c r="E357" s="1">
        <f t="shared" si="23"/>
        <v>3293.7649663832181</v>
      </c>
    </row>
    <row r="358" spans="1:5" x14ac:dyDescent="0.25">
      <c r="A358">
        <v>352</v>
      </c>
      <c r="B358" s="2">
        <f t="shared" si="20"/>
        <v>377.04066870632943</v>
      </c>
      <c r="C358" s="1">
        <f t="shared" si="21"/>
        <v>19.762589798299306</v>
      </c>
      <c r="D358" s="2">
        <f t="shared" si="22"/>
        <v>357.27807890803012</v>
      </c>
      <c r="E358" s="1">
        <f t="shared" si="23"/>
        <v>2936.4868874751878</v>
      </c>
    </row>
    <row r="359" spans="1:5" x14ac:dyDescent="0.25">
      <c r="A359">
        <v>353</v>
      </c>
      <c r="B359" s="2">
        <f t="shared" si="20"/>
        <v>377.04066870632943</v>
      </c>
      <c r="C359" s="1">
        <f t="shared" si="21"/>
        <v>17.618921324851126</v>
      </c>
      <c r="D359" s="2">
        <f t="shared" si="22"/>
        <v>359.42174738147833</v>
      </c>
      <c r="E359" s="1">
        <f t="shared" si="23"/>
        <v>2577.0651400937095</v>
      </c>
    </row>
    <row r="360" spans="1:5" x14ac:dyDescent="0.25">
      <c r="A360">
        <v>354</v>
      </c>
      <c r="B360" s="2">
        <f t="shared" si="20"/>
        <v>377.04066870632943</v>
      </c>
      <c r="C360" s="1">
        <f t="shared" si="21"/>
        <v>15.462390840562255</v>
      </c>
      <c r="D360" s="2">
        <f t="shared" si="22"/>
        <v>361.57827786576718</v>
      </c>
      <c r="E360" s="1">
        <f t="shared" si="23"/>
        <v>2215.4868622279423</v>
      </c>
    </row>
    <row r="361" spans="1:5" x14ac:dyDescent="0.25">
      <c r="A361">
        <v>355</v>
      </c>
      <c r="B361" s="2">
        <f t="shared" si="20"/>
        <v>377.04066870632943</v>
      </c>
      <c r="C361" s="1">
        <f t="shared" si="21"/>
        <v>13.292921173367652</v>
      </c>
      <c r="D361" s="2">
        <f t="shared" si="22"/>
        <v>363.7477475329618</v>
      </c>
      <c r="E361" s="1">
        <f t="shared" si="23"/>
        <v>1851.7391146949806</v>
      </c>
    </row>
    <row r="362" spans="1:5" x14ac:dyDescent="0.25">
      <c r="A362">
        <v>356</v>
      </c>
      <c r="B362" s="2">
        <f t="shared" si="20"/>
        <v>377.04066870632943</v>
      </c>
      <c r="C362" s="1">
        <f t="shared" si="21"/>
        <v>11.110434688169882</v>
      </c>
      <c r="D362" s="2">
        <f t="shared" si="22"/>
        <v>365.93023401815952</v>
      </c>
      <c r="E362" s="1">
        <f t="shared" si="23"/>
        <v>1485.808880676821</v>
      </c>
    </row>
    <row r="363" spans="1:5" x14ac:dyDescent="0.25">
      <c r="A363">
        <v>357</v>
      </c>
      <c r="B363" s="2">
        <f t="shared" si="20"/>
        <v>377.04066870632943</v>
      </c>
      <c r="C363" s="1">
        <f t="shared" si="21"/>
        <v>8.9148532840609249</v>
      </c>
      <c r="D363" s="2">
        <f t="shared" si="22"/>
        <v>368.12581542226849</v>
      </c>
      <c r="E363" s="1">
        <f t="shared" si="23"/>
        <v>1117.6830652545525</v>
      </c>
    </row>
    <row r="364" spans="1:5" x14ac:dyDescent="0.25">
      <c r="A364">
        <v>358</v>
      </c>
      <c r="B364" s="2">
        <f t="shared" si="20"/>
        <v>377.04066870632943</v>
      </c>
      <c r="C364" s="1">
        <f t="shared" si="21"/>
        <v>6.7060983915273145</v>
      </c>
      <c r="D364" s="2">
        <f t="shared" si="22"/>
        <v>370.33457031480214</v>
      </c>
      <c r="E364" s="1">
        <f t="shared" si="23"/>
        <v>747.34849493975037</v>
      </c>
    </row>
    <row r="365" spans="1:5" x14ac:dyDescent="0.25">
      <c r="A365">
        <v>359</v>
      </c>
      <c r="B365" s="2">
        <f t="shared" si="20"/>
        <v>377.04066870632943</v>
      </c>
      <c r="C365" s="1">
        <f t="shared" si="21"/>
        <v>4.4840909696385021</v>
      </c>
      <c r="D365" s="2">
        <f t="shared" si="22"/>
        <v>372.55657773669094</v>
      </c>
      <c r="E365" s="1">
        <f t="shared" si="23"/>
        <v>374.79191720305943</v>
      </c>
    </row>
    <row r="366" spans="1:5" x14ac:dyDescent="0.25">
      <c r="A366">
        <v>360</v>
      </c>
      <c r="B366" s="2">
        <f t="shared" si="20"/>
        <v>377.04066870632943</v>
      </c>
      <c r="C366" s="1">
        <f t="shared" si="21"/>
        <v>2.2487515032183563</v>
      </c>
      <c r="D366" s="2">
        <f t="shared" si="22"/>
        <v>374.7919172031111</v>
      </c>
      <c r="E366" s="1">
        <f t="shared" si="23"/>
        <v>-5.1670667744474486E-11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3"/>
  <sheetViews>
    <sheetView topLeftCell="G162" zoomScale="70" zoomScaleNormal="70" workbookViewId="0">
      <selection activeCell="H174" sqref="H174"/>
    </sheetView>
  </sheetViews>
  <sheetFormatPr defaultRowHeight="15" x14ac:dyDescent="0.25"/>
  <cols>
    <col min="1" max="1" width="54.85546875" style="11" customWidth="1"/>
    <col min="2" max="2" width="32.85546875" bestFit="1" customWidth="1"/>
    <col min="3" max="3" width="17.5703125" customWidth="1"/>
    <col min="4" max="7" width="14.42578125" bestFit="1" customWidth="1"/>
    <col min="8" max="9" width="15" bestFit="1" customWidth="1"/>
    <col min="10" max="10" width="14.42578125" bestFit="1" customWidth="1"/>
    <col min="11" max="11" width="14.28515625" bestFit="1" customWidth="1"/>
    <col min="12" max="13" width="14.5703125" bestFit="1" customWidth="1"/>
    <col min="14" max="14" width="11.42578125" bestFit="1" customWidth="1"/>
    <col min="15" max="15" width="10.85546875" bestFit="1" customWidth="1"/>
  </cols>
  <sheetData>
    <row r="1" spans="1:13" x14ac:dyDescent="0.25">
      <c r="A1" s="10" t="s">
        <v>24</v>
      </c>
    </row>
    <row r="2" spans="1:13" x14ac:dyDescent="0.25">
      <c r="D2">
        <v>2013</v>
      </c>
      <c r="E2">
        <v>2014</v>
      </c>
      <c r="F2">
        <v>2015</v>
      </c>
      <c r="G2">
        <v>2016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</row>
    <row r="3" spans="1:13" x14ac:dyDescent="0.25">
      <c r="A3" s="10" t="s">
        <v>0</v>
      </c>
    </row>
    <row r="4" spans="1:13" x14ac:dyDescent="0.25">
      <c r="A4" s="11" t="s">
        <v>48</v>
      </c>
      <c r="D4" s="25">
        <v>8</v>
      </c>
      <c r="E4" s="24">
        <f t="shared" ref="E4:M4" si="0">D4*(1+$D$9)</f>
        <v>8.08</v>
      </c>
      <c r="F4" s="24">
        <f t="shared" si="0"/>
        <v>8.1608000000000001</v>
      </c>
      <c r="G4" s="24">
        <f t="shared" si="0"/>
        <v>8.2424079999999993</v>
      </c>
      <c r="H4" s="24">
        <f t="shared" si="0"/>
        <v>8.3248320800000002</v>
      </c>
      <c r="I4" s="24">
        <f t="shared" si="0"/>
        <v>8.4080804007999994</v>
      </c>
      <c r="J4" s="24">
        <f t="shared" si="0"/>
        <v>8.4921612048079993</v>
      </c>
      <c r="K4" s="24">
        <f t="shared" si="0"/>
        <v>8.5770828168560787</v>
      </c>
      <c r="L4" s="24">
        <f t="shared" si="0"/>
        <v>8.6628536450246401</v>
      </c>
      <c r="M4" s="24">
        <f t="shared" si="0"/>
        <v>8.7494821814748871</v>
      </c>
    </row>
    <row r="5" spans="1:13" x14ac:dyDescent="0.25">
      <c r="A5" s="11" t="s">
        <v>49</v>
      </c>
      <c r="C5" s="23"/>
      <c r="D5" s="25">
        <v>60</v>
      </c>
      <c r="E5" s="24">
        <f t="shared" ref="E5:M5" si="1">D5*(1+$D$9)</f>
        <v>60.6</v>
      </c>
      <c r="F5" s="24">
        <f t="shared" si="1"/>
        <v>61.206000000000003</v>
      </c>
      <c r="G5" s="24">
        <f t="shared" si="1"/>
        <v>61.818060000000003</v>
      </c>
      <c r="H5" s="24">
        <f t="shared" si="1"/>
        <v>62.436240600000005</v>
      </c>
      <c r="I5" s="24">
        <f t="shared" si="1"/>
        <v>63.060603006000008</v>
      </c>
      <c r="J5" s="24">
        <f t="shared" si="1"/>
        <v>63.691209036060009</v>
      </c>
      <c r="K5" s="24">
        <f t="shared" si="1"/>
        <v>64.328121126420612</v>
      </c>
      <c r="L5" s="24">
        <f t="shared" si="1"/>
        <v>64.971402337684822</v>
      </c>
      <c r="M5" s="24">
        <f t="shared" si="1"/>
        <v>65.621116361061667</v>
      </c>
    </row>
    <row r="6" spans="1:13" x14ac:dyDescent="0.25">
      <c r="A6" s="11" t="s">
        <v>50</v>
      </c>
      <c r="C6" s="23"/>
      <c r="D6" s="25">
        <v>5</v>
      </c>
      <c r="E6" s="24">
        <f t="shared" ref="E6:M6" si="2">D6*(1+$D$9)</f>
        <v>5.05</v>
      </c>
      <c r="F6" s="24">
        <f t="shared" si="2"/>
        <v>5.1005000000000003</v>
      </c>
      <c r="G6" s="24">
        <f t="shared" si="2"/>
        <v>5.1515050000000002</v>
      </c>
      <c r="H6" s="24">
        <f t="shared" si="2"/>
        <v>5.2030200500000001</v>
      </c>
      <c r="I6" s="24">
        <f t="shared" si="2"/>
        <v>5.2550502505000001</v>
      </c>
      <c r="J6" s="24">
        <f t="shared" si="2"/>
        <v>5.3076007530050004</v>
      </c>
      <c r="K6" s="24">
        <f t="shared" si="2"/>
        <v>5.3606767605350507</v>
      </c>
      <c r="L6" s="24">
        <f t="shared" si="2"/>
        <v>5.4142835281404009</v>
      </c>
      <c r="M6" s="24">
        <f t="shared" si="2"/>
        <v>5.4684263634218047</v>
      </c>
    </row>
    <row r="7" spans="1:13" x14ac:dyDescent="0.25">
      <c r="A7" s="11" t="s">
        <v>51</v>
      </c>
      <c r="C7" s="23"/>
      <c r="D7" s="25">
        <v>25</v>
      </c>
      <c r="E7" s="24">
        <f t="shared" ref="E7:M7" si="3">D7*(1+$D$9)</f>
        <v>25.25</v>
      </c>
      <c r="F7" s="24">
        <f t="shared" si="3"/>
        <v>25.502500000000001</v>
      </c>
      <c r="G7" s="24">
        <f t="shared" si="3"/>
        <v>25.757525000000001</v>
      </c>
      <c r="H7" s="24">
        <f t="shared" si="3"/>
        <v>26.01510025</v>
      </c>
      <c r="I7" s="24">
        <f t="shared" si="3"/>
        <v>26.275251252499999</v>
      </c>
      <c r="J7" s="24">
        <f t="shared" si="3"/>
        <v>26.538003765025</v>
      </c>
      <c r="K7" s="24">
        <f t="shared" si="3"/>
        <v>26.803383802675249</v>
      </c>
      <c r="L7" s="24">
        <f t="shared" si="3"/>
        <v>27.071417640702002</v>
      </c>
      <c r="M7" s="24">
        <f t="shared" si="3"/>
        <v>27.342131817109021</v>
      </c>
    </row>
    <row r="8" spans="1:13" x14ac:dyDescent="0.25">
      <c r="C8" s="23"/>
      <c r="D8" s="25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11" t="s">
        <v>105</v>
      </c>
      <c r="C9" s="23"/>
      <c r="D9" s="23">
        <v>0.01</v>
      </c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11" t="s">
        <v>149</v>
      </c>
      <c r="C10" s="23"/>
      <c r="D10" s="23">
        <v>0.25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25">
      <c r="A11" s="11" t="s">
        <v>148</v>
      </c>
      <c r="C11" s="23"/>
      <c r="D11" s="23">
        <v>0.12</v>
      </c>
      <c r="E11" s="24"/>
      <c r="F11" s="24"/>
      <c r="G11" s="24"/>
      <c r="H11" s="24"/>
      <c r="I11" s="24"/>
      <c r="J11" s="24"/>
      <c r="K11" s="24"/>
      <c r="L11" s="24"/>
      <c r="M11" s="24"/>
    </row>
    <row r="13" spans="1:13" x14ac:dyDescent="0.25">
      <c r="A13" s="11" t="s">
        <v>47</v>
      </c>
      <c r="C13" s="23"/>
      <c r="D13" s="25">
        <v>300</v>
      </c>
      <c r="E13" s="24">
        <f t="shared" ref="E13:M13" si="4">D13*(1+$D$9)</f>
        <v>303</v>
      </c>
      <c r="F13" s="24">
        <f t="shared" si="4"/>
        <v>306.03000000000003</v>
      </c>
      <c r="G13" s="24">
        <f t="shared" si="4"/>
        <v>309.09030000000001</v>
      </c>
      <c r="H13" s="24">
        <f t="shared" si="4"/>
        <v>312.18120300000004</v>
      </c>
      <c r="I13" s="24">
        <f t="shared" si="4"/>
        <v>315.30301503000004</v>
      </c>
      <c r="J13" s="24">
        <f t="shared" si="4"/>
        <v>318.45604518030007</v>
      </c>
      <c r="K13" s="24">
        <f t="shared" si="4"/>
        <v>321.64060563210307</v>
      </c>
      <c r="L13" s="24">
        <f t="shared" si="4"/>
        <v>324.85701168842411</v>
      </c>
      <c r="M13" s="24">
        <f t="shared" si="4"/>
        <v>328.10558180530836</v>
      </c>
    </row>
    <row r="14" spans="1:13" x14ac:dyDescent="0.25">
      <c r="A14" s="11" t="s">
        <v>52</v>
      </c>
      <c r="D14" s="25">
        <v>150</v>
      </c>
      <c r="E14" s="24">
        <f t="shared" ref="E14:M14" si="5">D14*(1+$D$9)</f>
        <v>151.5</v>
      </c>
      <c r="F14" s="24">
        <f t="shared" si="5"/>
        <v>153.01500000000001</v>
      </c>
      <c r="G14" s="24">
        <f t="shared" si="5"/>
        <v>154.54515000000001</v>
      </c>
      <c r="H14" s="24">
        <f t="shared" si="5"/>
        <v>156.09060150000002</v>
      </c>
      <c r="I14" s="24">
        <f t="shared" si="5"/>
        <v>157.65150751500002</v>
      </c>
      <c r="J14" s="24">
        <f t="shared" si="5"/>
        <v>159.22802259015003</v>
      </c>
      <c r="K14" s="24">
        <f t="shared" si="5"/>
        <v>160.82030281605154</v>
      </c>
      <c r="L14" s="24">
        <f t="shared" si="5"/>
        <v>162.42850584421205</v>
      </c>
      <c r="M14" s="24">
        <f t="shared" si="5"/>
        <v>164.05279090265418</v>
      </c>
    </row>
    <row r="15" spans="1:13" x14ac:dyDescent="0.25">
      <c r="A15" s="11" t="s">
        <v>54</v>
      </c>
      <c r="D15" s="25">
        <v>50</v>
      </c>
      <c r="E15" s="24">
        <f t="shared" ref="E15:M15" si="6">D15*(1+$D$9)</f>
        <v>50.5</v>
      </c>
      <c r="F15" s="24">
        <f t="shared" si="6"/>
        <v>51.005000000000003</v>
      </c>
      <c r="G15" s="24">
        <f t="shared" si="6"/>
        <v>51.515050000000002</v>
      </c>
      <c r="H15" s="24">
        <f t="shared" si="6"/>
        <v>52.030200499999999</v>
      </c>
      <c r="I15" s="24">
        <f t="shared" si="6"/>
        <v>52.550502504999997</v>
      </c>
      <c r="J15" s="24">
        <f t="shared" si="6"/>
        <v>53.076007530049999</v>
      </c>
      <c r="K15" s="24">
        <f t="shared" si="6"/>
        <v>53.606767605350498</v>
      </c>
      <c r="L15" s="24">
        <f t="shared" si="6"/>
        <v>54.142835281404004</v>
      </c>
      <c r="M15" s="24">
        <f t="shared" si="6"/>
        <v>54.684263634218041</v>
      </c>
    </row>
    <row r="17" spans="1:13" x14ac:dyDescent="0.25">
      <c r="A17" s="11" t="s">
        <v>53</v>
      </c>
      <c r="D17" s="26">
        <f>$D$32*$D$33*D34</f>
        <v>28</v>
      </c>
      <c r="E17" s="26">
        <f t="shared" ref="E17:M17" si="7">$D$32*$D$33*E34</f>
        <v>28</v>
      </c>
      <c r="F17" s="26">
        <f t="shared" si="7"/>
        <v>28</v>
      </c>
      <c r="G17" s="26">
        <f t="shared" si="7"/>
        <v>28</v>
      </c>
      <c r="H17" s="26">
        <f t="shared" si="7"/>
        <v>28</v>
      </c>
      <c r="I17" s="26">
        <f t="shared" si="7"/>
        <v>28</v>
      </c>
      <c r="J17" s="26">
        <f t="shared" si="7"/>
        <v>28</v>
      </c>
      <c r="K17" s="26">
        <f t="shared" si="7"/>
        <v>28</v>
      </c>
      <c r="L17" s="26">
        <f t="shared" si="7"/>
        <v>28</v>
      </c>
      <c r="M17" s="26">
        <f t="shared" si="7"/>
        <v>28</v>
      </c>
    </row>
    <row r="18" spans="1:13" x14ac:dyDescent="0.25">
      <c r="A18" s="11" t="s">
        <v>101</v>
      </c>
      <c r="D18" s="27">
        <f>D17*0.5</f>
        <v>14</v>
      </c>
      <c r="E18" s="27">
        <f t="shared" ref="E18:M18" si="8">E17*0.5</f>
        <v>14</v>
      </c>
      <c r="F18" s="27">
        <f t="shared" si="8"/>
        <v>14</v>
      </c>
      <c r="G18" s="27">
        <f t="shared" si="8"/>
        <v>14</v>
      </c>
      <c r="H18" s="27">
        <f t="shared" si="8"/>
        <v>14</v>
      </c>
      <c r="I18" s="27">
        <f t="shared" si="8"/>
        <v>14</v>
      </c>
      <c r="J18" s="27">
        <f t="shared" si="8"/>
        <v>14</v>
      </c>
      <c r="K18" s="27">
        <f t="shared" si="8"/>
        <v>14</v>
      </c>
      <c r="L18" s="27">
        <f t="shared" si="8"/>
        <v>14</v>
      </c>
      <c r="M18" s="27">
        <f t="shared" si="8"/>
        <v>14</v>
      </c>
    </row>
    <row r="19" spans="1:13" x14ac:dyDescent="0.25">
      <c r="A19" s="11" t="s">
        <v>102</v>
      </c>
      <c r="D19" s="27">
        <f>D17-D18</f>
        <v>14</v>
      </c>
      <c r="E19" s="27">
        <f t="shared" ref="E19:M19" si="9">E17-E18</f>
        <v>14</v>
      </c>
      <c r="F19" s="27">
        <f t="shared" si="9"/>
        <v>14</v>
      </c>
      <c r="G19" s="27">
        <f t="shared" si="9"/>
        <v>14</v>
      </c>
      <c r="H19" s="27">
        <f t="shared" si="9"/>
        <v>14</v>
      </c>
      <c r="I19" s="27">
        <f t="shared" si="9"/>
        <v>14</v>
      </c>
      <c r="J19" s="27">
        <f t="shared" si="9"/>
        <v>14</v>
      </c>
      <c r="K19" s="27">
        <f t="shared" si="9"/>
        <v>14</v>
      </c>
      <c r="L19" s="27">
        <f t="shared" si="9"/>
        <v>14</v>
      </c>
      <c r="M19" s="27">
        <f t="shared" si="9"/>
        <v>14</v>
      </c>
    </row>
    <row r="20" spans="1:13" x14ac:dyDescent="0.25">
      <c r="A20" s="11" t="s">
        <v>103</v>
      </c>
      <c r="D20" s="27">
        <v>120</v>
      </c>
      <c r="E20" s="27">
        <v>120</v>
      </c>
      <c r="F20" s="27">
        <v>120</v>
      </c>
      <c r="G20" s="27">
        <v>120</v>
      </c>
      <c r="H20" s="27">
        <v>120</v>
      </c>
      <c r="I20" s="27">
        <v>120</v>
      </c>
      <c r="J20" s="27">
        <v>120</v>
      </c>
      <c r="K20" s="27">
        <v>120</v>
      </c>
      <c r="L20" s="27">
        <v>120</v>
      </c>
      <c r="M20" s="27">
        <v>120</v>
      </c>
    </row>
    <row r="22" spans="1:13" x14ac:dyDescent="0.25">
      <c r="A22" s="11" t="s">
        <v>100</v>
      </c>
    </row>
    <row r="23" spans="1:13" x14ac:dyDescent="0.25">
      <c r="A23" s="11" t="s">
        <v>46</v>
      </c>
      <c r="D23" s="23">
        <v>0.6</v>
      </c>
      <c r="E23" s="23">
        <f>$D$23</f>
        <v>0.6</v>
      </c>
      <c r="F23" s="23">
        <f t="shared" ref="F23:M23" si="10">$D$23</f>
        <v>0.6</v>
      </c>
      <c r="G23" s="23">
        <f t="shared" si="10"/>
        <v>0.6</v>
      </c>
      <c r="H23" s="23">
        <f t="shared" si="10"/>
        <v>0.6</v>
      </c>
      <c r="I23" s="23">
        <f t="shared" si="10"/>
        <v>0.6</v>
      </c>
      <c r="J23" s="23">
        <f t="shared" si="10"/>
        <v>0.6</v>
      </c>
      <c r="K23" s="23">
        <f t="shared" si="10"/>
        <v>0.6</v>
      </c>
      <c r="L23" s="23">
        <f t="shared" si="10"/>
        <v>0.6</v>
      </c>
      <c r="M23" s="23">
        <f t="shared" si="10"/>
        <v>0.6</v>
      </c>
    </row>
    <row r="24" spans="1:13" x14ac:dyDescent="0.25">
      <c r="A24" s="11" t="s">
        <v>45</v>
      </c>
      <c r="D24" s="23">
        <f>1-D23</f>
        <v>0.4</v>
      </c>
      <c r="E24" s="23">
        <f t="shared" ref="E24:M24" si="11">1-E23</f>
        <v>0.4</v>
      </c>
      <c r="F24" s="23">
        <f t="shared" si="11"/>
        <v>0.4</v>
      </c>
      <c r="G24" s="23">
        <f t="shared" si="11"/>
        <v>0.4</v>
      </c>
      <c r="H24" s="23">
        <f t="shared" si="11"/>
        <v>0.4</v>
      </c>
      <c r="I24" s="23">
        <f t="shared" si="11"/>
        <v>0.4</v>
      </c>
      <c r="J24" s="23">
        <f t="shared" si="11"/>
        <v>0.4</v>
      </c>
      <c r="K24" s="23">
        <f t="shared" si="11"/>
        <v>0.4</v>
      </c>
      <c r="L24" s="23">
        <f t="shared" si="11"/>
        <v>0.4</v>
      </c>
      <c r="M24" s="23">
        <f t="shared" si="11"/>
        <v>0.4</v>
      </c>
    </row>
    <row r="26" spans="1:13" x14ac:dyDescent="0.25">
      <c r="A26" s="11" t="s">
        <v>95</v>
      </c>
    </row>
    <row r="27" spans="1:13" x14ac:dyDescent="0.25">
      <c r="A27" s="11" t="s">
        <v>96</v>
      </c>
      <c r="D27" s="23">
        <v>0.45</v>
      </c>
      <c r="E27" s="23">
        <f>$D$27</f>
        <v>0.45</v>
      </c>
      <c r="F27" s="23">
        <f t="shared" ref="F27:M27" si="12">$D$27</f>
        <v>0.45</v>
      </c>
      <c r="G27" s="23">
        <f t="shared" si="12"/>
        <v>0.45</v>
      </c>
      <c r="H27" s="23">
        <f t="shared" si="12"/>
        <v>0.45</v>
      </c>
      <c r="I27" s="23">
        <f t="shared" si="12"/>
        <v>0.45</v>
      </c>
      <c r="J27" s="23">
        <f t="shared" si="12"/>
        <v>0.45</v>
      </c>
      <c r="K27" s="23">
        <f t="shared" si="12"/>
        <v>0.45</v>
      </c>
      <c r="L27" s="23">
        <f t="shared" si="12"/>
        <v>0.45</v>
      </c>
      <c r="M27" s="23">
        <f t="shared" si="12"/>
        <v>0.45</v>
      </c>
    </row>
    <row r="28" spans="1:13" x14ac:dyDescent="0.25">
      <c r="A28" s="11" t="s">
        <v>97</v>
      </c>
      <c r="D28" s="23">
        <v>0.45</v>
      </c>
      <c r="E28" s="23">
        <f>$D$28</f>
        <v>0.45</v>
      </c>
      <c r="F28" s="23">
        <f t="shared" ref="F28:M28" si="13">$D$28</f>
        <v>0.45</v>
      </c>
      <c r="G28" s="23">
        <f t="shared" si="13"/>
        <v>0.45</v>
      </c>
      <c r="H28" s="23">
        <f t="shared" si="13"/>
        <v>0.45</v>
      </c>
      <c r="I28" s="23">
        <f t="shared" si="13"/>
        <v>0.45</v>
      </c>
      <c r="J28" s="23">
        <f t="shared" si="13"/>
        <v>0.45</v>
      </c>
      <c r="K28" s="23">
        <f t="shared" si="13"/>
        <v>0.45</v>
      </c>
      <c r="L28" s="23">
        <f t="shared" si="13"/>
        <v>0.45</v>
      </c>
      <c r="M28" s="23">
        <f t="shared" si="13"/>
        <v>0.45</v>
      </c>
    </row>
    <row r="29" spans="1:13" x14ac:dyDescent="0.25">
      <c r="A29" s="11" t="s">
        <v>104</v>
      </c>
      <c r="D29" s="23">
        <v>0.6</v>
      </c>
      <c r="E29" s="23">
        <f>$D$29</f>
        <v>0.6</v>
      </c>
      <c r="F29" s="23">
        <f t="shared" ref="F29:M29" si="14">$D$29</f>
        <v>0.6</v>
      </c>
      <c r="G29" s="23">
        <f t="shared" si="14"/>
        <v>0.6</v>
      </c>
      <c r="H29" s="23">
        <f t="shared" si="14"/>
        <v>0.6</v>
      </c>
      <c r="I29" s="23">
        <f t="shared" si="14"/>
        <v>0.6</v>
      </c>
      <c r="J29" s="23">
        <f t="shared" si="14"/>
        <v>0.6</v>
      </c>
      <c r="K29" s="23">
        <f t="shared" si="14"/>
        <v>0.6</v>
      </c>
      <c r="L29" s="23">
        <f t="shared" si="14"/>
        <v>0.6</v>
      </c>
      <c r="M29" s="23">
        <f t="shared" si="14"/>
        <v>0.6</v>
      </c>
    </row>
    <row r="31" spans="1:13" x14ac:dyDescent="0.25">
      <c r="A31" s="11" t="s">
        <v>41</v>
      </c>
    </row>
    <row r="32" spans="1:13" x14ac:dyDescent="0.25">
      <c r="A32" s="11" t="s">
        <v>150</v>
      </c>
      <c r="D32" s="28">
        <v>1</v>
      </c>
    </row>
    <row r="33" spans="1:13" x14ac:dyDescent="0.25">
      <c r="A33" s="11" t="s">
        <v>151</v>
      </c>
      <c r="D33" s="28">
        <v>4</v>
      </c>
    </row>
    <row r="34" spans="1:13" x14ac:dyDescent="0.25">
      <c r="A34" s="11" t="s">
        <v>42</v>
      </c>
      <c r="D34" s="28">
        <v>7</v>
      </c>
      <c r="E34" s="28">
        <v>7</v>
      </c>
      <c r="F34" s="28">
        <v>7</v>
      </c>
      <c r="G34" s="28">
        <v>7</v>
      </c>
      <c r="H34" s="28">
        <v>7</v>
      </c>
      <c r="I34" s="28">
        <v>7</v>
      </c>
      <c r="J34" s="28">
        <v>7</v>
      </c>
      <c r="K34" s="28">
        <v>7</v>
      </c>
      <c r="L34" s="28">
        <v>7</v>
      </c>
      <c r="M34" s="28">
        <v>7</v>
      </c>
    </row>
    <row r="35" spans="1:13" x14ac:dyDescent="0.25">
      <c r="A35" s="11" t="s">
        <v>43</v>
      </c>
      <c r="D35" s="28">
        <v>30</v>
      </c>
      <c r="E35" s="28">
        <v>30</v>
      </c>
      <c r="F35" s="28">
        <v>30</v>
      </c>
      <c r="G35" s="28">
        <v>30</v>
      </c>
      <c r="H35" s="28">
        <v>30</v>
      </c>
      <c r="I35" s="28">
        <v>30</v>
      </c>
      <c r="J35" s="28">
        <v>30</v>
      </c>
      <c r="K35" s="28">
        <v>30</v>
      </c>
      <c r="L35" s="28">
        <v>30</v>
      </c>
      <c r="M35" s="28">
        <v>30</v>
      </c>
    </row>
    <row r="36" spans="1:13" x14ac:dyDescent="0.25">
      <c r="A36" s="11" t="s">
        <v>44</v>
      </c>
      <c r="D36" s="28">
        <v>8</v>
      </c>
      <c r="E36" s="28">
        <v>8</v>
      </c>
      <c r="F36" s="28">
        <v>8</v>
      </c>
      <c r="G36" s="28">
        <v>8</v>
      </c>
      <c r="H36" s="28">
        <v>8</v>
      </c>
      <c r="I36" s="28">
        <v>8</v>
      </c>
      <c r="J36" s="28">
        <v>8</v>
      </c>
      <c r="K36" s="28">
        <v>8</v>
      </c>
      <c r="L36" s="28">
        <v>8</v>
      </c>
      <c r="M36" s="28">
        <v>8</v>
      </c>
    </row>
    <row r="37" spans="1:13" x14ac:dyDescent="0.25">
      <c r="A37" s="11" t="s">
        <v>84</v>
      </c>
    </row>
    <row r="38" spans="1:13" x14ac:dyDescent="0.25">
      <c r="A38" s="12" t="s">
        <v>99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</row>
    <row r="39" spans="1:13" x14ac:dyDescent="0.25">
      <c r="A39" s="12" t="s">
        <v>98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</row>
    <row r="40" spans="1:13" x14ac:dyDescent="0.25">
      <c r="A40" s="11" t="s">
        <v>58</v>
      </c>
      <c r="D40" s="28">
        <v>2</v>
      </c>
      <c r="E40" s="28">
        <v>2</v>
      </c>
      <c r="F40" s="28">
        <v>2</v>
      </c>
      <c r="G40" s="28">
        <v>2</v>
      </c>
      <c r="H40" s="28">
        <v>2</v>
      </c>
      <c r="I40" s="28">
        <v>2</v>
      </c>
      <c r="J40" s="28">
        <v>2</v>
      </c>
      <c r="K40" s="28">
        <v>2</v>
      </c>
      <c r="L40" s="28">
        <v>2</v>
      </c>
      <c r="M40" s="28">
        <v>2</v>
      </c>
    </row>
    <row r="41" spans="1:13" x14ac:dyDescent="0.25">
      <c r="A41" s="11" t="s">
        <v>59</v>
      </c>
      <c r="D41" s="28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</row>
    <row r="43" spans="1:13" x14ac:dyDescent="0.25">
      <c r="A43" s="11" t="s">
        <v>86</v>
      </c>
      <c r="D43">
        <v>15</v>
      </c>
      <c r="E43">
        <v>15</v>
      </c>
      <c r="F43">
        <v>15</v>
      </c>
      <c r="G43">
        <v>15</v>
      </c>
      <c r="H43">
        <v>15</v>
      </c>
      <c r="I43">
        <v>15</v>
      </c>
      <c r="J43">
        <v>15</v>
      </c>
      <c r="K43">
        <v>15</v>
      </c>
      <c r="L43">
        <v>15</v>
      </c>
      <c r="M43">
        <v>15</v>
      </c>
    </row>
    <row r="44" spans="1:13" x14ac:dyDescent="0.25">
      <c r="A44" s="11" t="s">
        <v>85</v>
      </c>
      <c r="D44">
        <v>15</v>
      </c>
      <c r="E44">
        <v>15</v>
      </c>
      <c r="F44">
        <v>15</v>
      </c>
      <c r="G44">
        <v>15</v>
      </c>
      <c r="H44">
        <v>15</v>
      </c>
      <c r="I44">
        <v>15</v>
      </c>
      <c r="J44">
        <v>15</v>
      </c>
      <c r="K44">
        <v>15</v>
      </c>
      <c r="L44">
        <v>15</v>
      </c>
      <c r="M44">
        <v>15</v>
      </c>
    </row>
    <row r="46" spans="1:13" x14ac:dyDescent="0.25">
      <c r="A46" s="11" t="s">
        <v>132</v>
      </c>
      <c r="D46" s="23">
        <v>0.2</v>
      </c>
      <c r="E46" s="23">
        <f>$D$46</f>
        <v>0.2</v>
      </c>
      <c r="F46" s="23">
        <f t="shared" ref="F46:M46" si="15">$D$46</f>
        <v>0.2</v>
      </c>
      <c r="G46" s="23">
        <f t="shared" si="15"/>
        <v>0.2</v>
      </c>
      <c r="H46" s="23">
        <f t="shared" si="15"/>
        <v>0.2</v>
      </c>
      <c r="I46" s="23">
        <f t="shared" si="15"/>
        <v>0.2</v>
      </c>
      <c r="J46" s="23">
        <f t="shared" si="15"/>
        <v>0.2</v>
      </c>
      <c r="K46" s="23">
        <f t="shared" si="15"/>
        <v>0.2</v>
      </c>
      <c r="L46" s="23">
        <f t="shared" si="15"/>
        <v>0.2</v>
      </c>
      <c r="M46" s="23">
        <f t="shared" si="15"/>
        <v>0.2</v>
      </c>
    </row>
    <row r="47" spans="1:13" x14ac:dyDescent="0.25">
      <c r="A47" s="11" t="s">
        <v>133</v>
      </c>
      <c r="D47" s="23">
        <v>0.25</v>
      </c>
      <c r="E47" s="23">
        <f>$D$47</f>
        <v>0.25</v>
      </c>
      <c r="F47" s="23">
        <f t="shared" ref="F47:M47" si="16">$D$47</f>
        <v>0.25</v>
      </c>
      <c r="G47" s="23">
        <f t="shared" si="16"/>
        <v>0.25</v>
      </c>
      <c r="H47" s="23">
        <f t="shared" si="16"/>
        <v>0.25</v>
      </c>
      <c r="I47" s="23">
        <f t="shared" si="16"/>
        <v>0.25</v>
      </c>
      <c r="J47" s="23">
        <f t="shared" si="16"/>
        <v>0.25</v>
      </c>
      <c r="K47" s="23">
        <f t="shared" si="16"/>
        <v>0.25</v>
      </c>
      <c r="L47" s="23">
        <f t="shared" si="16"/>
        <v>0.25</v>
      </c>
      <c r="M47" s="23">
        <f t="shared" si="16"/>
        <v>0.25</v>
      </c>
    </row>
    <row r="48" spans="1:13" x14ac:dyDescent="0.25">
      <c r="A48" s="11" t="s">
        <v>134</v>
      </c>
      <c r="D48" s="23">
        <v>0.1</v>
      </c>
      <c r="E48" s="23">
        <f>$D$48</f>
        <v>0.1</v>
      </c>
      <c r="F48" s="23">
        <f t="shared" ref="F48:M48" si="17">$D$48</f>
        <v>0.1</v>
      </c>
      <c r="G48" s="23">
        <f t="shared" si="17"/>
        <v>0.1</v>
      </c>
      <c r="H48" s="23">
        <f t="shared" si="17"/>
        <v>0.1</v>
      </c>
      <c r="I48" s="23">
        <f t="shared" si="17"/>
        <v>0.1</v>
      </c>
      <c r="J48" s="23">
        <f t="shared" si="17"/>
        <v>0.1</v>
      </c>
      <c r="K48" s="23">
        <f t="shared" si="17"/>
        <v>0.1</v>
      </c>
      <c r="L48" s="23">
        <f t="shared" si="17"/>
        <v>0.1</v>
      </c>
      <c r="M48" s="23">
        <f t="shared" si="17"/>
        <v>0.1</v>
      </c>
    </row>
    <row r="49" spans="1:13" x14ac:dyDescent="0.25">
      <c r="A49" s="11" t="s">
        <v>136</v>
      </c>
      <c r="D49" s="1">
        <v>8</v>
      </c>
      <c r="E49" s="1">
        <v>8</v>
      </c>
      <c r="F49" s="1">
        <v>8</v>
      </c>
      <c r="G49" s="1">
        <v>8</v>
      </c>
      <c r="H49" s="1">
        <v>8</v>
      </c>
      <c r="I49" s="1">
        <v>8</v>
      </c>
      <c r="J49" s="1">
        <v>8</v>
      </c>
      <c r="K49" s="1">
        <v>8</v>
      </c>
      <c r="L49" s="1">
        <v>8</v>
      </c>
      <c r="M49" s="1">
        <v>8</v>
      </c>
    </row>
    <row r="50" spans="1:13" x14ac:dyDescent="0.25">
      <c r="A50" s="11" t="s">
        <v>137</v>
      </c>
      <c r="D50" s="27">
        <v>4</v>
      </c>
      <c r="E50" s="27">
        <v>4</v>
      </c>
      <c r="F50" s="27">
        <v>4</v>
      </c>
      <c r="G50" s="27">
        <v>4</v>
      </c>
      <c r="H50" s="27">
        <v>4</v>
      </c>
      <c r="I50" s="27">
        <v>4</v>
      </c>
      <c r="J50" s="27">
        <v>4</v>
      </c>
      <c r="K50" s="27">
        <v>4</v>
      </c>
      <c r="L50" s="27">
        <v>4</v>
      </c>
      <c r="M50" s="27">
        <v>4</v>
      </c>
    </row>
    <row r="51" spans="1:13" x14ac:dyDescent="0.25">
      <c r="A51" s="11" t="s">
        <v>135</v>
      </c>
      <c r="D51" s="32">
        <v>5.0000000000000001E-3</v>
      </c>
      <c r="E51" s="32">
        <v>5.0000000000000001E-3</v>
      </c>
      <c r="F51" s="32">
        <v>5.0000000000000001E-3</v>
      </c>
      <c r="G51" s="32">
        <v>5.0000000000000001E-3</v>
      </c>
      <c r="H51" s="32">
        <v>5.0000000000000001E-3</v>
      </c>
      <c r="I51" s="32">
        <v>5.0000000000000001E-3</v>
      </c>
      <c r="J51" s="32">
        <v>5.0000000000000001E-3</v>
      </c>
      <c r="K51" s="32">
        <v>5.0000000000000001E-3</v>
      </c>
      <c r="L51" s="32">
        <v>5.0000000000000001E-3</v>
      </c>
      <c r="M51" s="32">
        <v>5.0000000000000001E-3</v>
      </c>
    </row>
    <row r="52" spans="1:13" x14ac:dyDescent="0.25">
      <c r="A52" s="11" t="s">
        <v>138</v>
      </c>
      <c r="D52" s="34">
        <v>30000</v>
      </c>
      <c r="E52" s="34">
        <f t="shared" ref="E52:M52" si="18">D52*(1+E51)*(1+$D$9)</f>
        <v>30451.499999999996</v>
      </c>
      <c r="F52" s="34">
        <f t="shared" si="18"/>
        <v>30909.795074999991</v>
      </c>
      <c r="G52" s="34">
        <f t="shared" si="18"/>
        <v>31374.987490878739</v>
      </c>
      <c r="H52" s="34">
        <f t="shared" si="18"/>
        <v>31847.181052616463</v>
      </c>
      <c r="I52" s="34">
        <f t="shared" si="18"/>
        <v>32326.481127458337</v>
      </c>
      <c r="J52" s="34">
        <f t="shared" si="18"/>
        <v>32812.994668426581</v>
      </c>
      <c r="K52" s="34">
        <f t="shared" si="18"/>
        <v>33306.830238186398</v>
      </c>
      <c r="L52" s="34">
        <f t="shared" si="18"/>
        <v>33808.098033271097</v>
      </c>
      <c r="M52" s="34">
        <f t="shared" si="18"/>
        <v>34316.90990867182</v>
      </c>
    </row>
    <row r="54" spans="1:13" x14ac:dyDescent="0.25">
      <c r="A54" s="13" t="s">
        <v>55</v>
      </c>
    </row>
    <row r="55" spans="1:13" x14ac:dyDescent="0.25">
      <c r="A55" s="13" t="s">
        <v>83</v>
      </c>
      <c r="D55" s="29">
        <v>1100</v>
      </c>
      <c r="E55" s="29">
        <v>1100</v>
      </c>
      <c r="F55" s="29">
        <v>1100</v>
      </c>
      <c r="G55" s="29">
        <v>1100</v>
      </c>
      <c r="H55" s="29">
        <v>1100</v>
      </c>
      <c r="I55" s="29">
        <v>1100</v>
      </c>
      <c r="J55" s="29">
        <v>1100</v>
      </c>
      <c r="K55" s="29">
        <v>1100</v>
      </c>
      <c r="L55" s="29">
        <v>1100</v>
      </c>
      <c r="M55" s="29">
        <v>1100</v>
      </c>
    </row>
    <row r="56" spans="1:13" x14ac:dyDescent="0.25">
      <c r="A56" s="13" t="s">
        <v>82</v>
      </c>
      <c r="D56" s="29">
        <v>1100</v>
      </c>
      <c r="E56" s="29">
        <v>1100</v>
      </c>
      <c r="F56" s="29">
        <v>1100</v>
      </c>
      <c r="G56" s="29">
        <v>1100</v>
      </c>
      <c r="H56" s="29">
        <v>1100</v>
      </c>
      <c r="I56" s="29">
        <v>1100</v>
      </c>
      <c r="J56" s="29">
        <v>1100</v>
      </c>
      <c r="K56" s="29">
        <v>1100</v>
      </c>
      <c r="L56" s="29">
        <v>1100</v>
      </c>
      <c r="M56" s="29">
        <v>1100</v>
      </c>
    </row>
    <row r="57" spans="1:13" x14ac:dyDescent="0.25">
      <c r="A57" s="13"/>
    </row>
    <row r="58" spans="1:13" x14ac:dyDescent="0.25">
      <c r="A58" s="10" t="s">
        <v>56</v>
      </c>
    </row>
    <row r="59" spans="1:13" x14ac:dyDescent="0.25">
      <c r="A59" s="12" t="s">
        <v>131</v>
      </c>
      <c r="D59" s="30">
        <v>20000</v>
      </c>
    </row>
    <row r="60" spans="1:13" x14ac:dyDescent="0.25">
      <c r="A60" s="12" t="s">
        <v>130</v>
      </c>
      <c r="D60" s="33">
        <f>66646/43560</f>
        <v>1.5299816345270891</v>
      </c>
      <c r="E60" s="30"/>
    </row>
    <row r="61" spans="1:13" x14ac:dyDescent="0.25">
      <c r="A61" s="16" t="s">
        <v>36</v>
      </c>
    </row>
    <row r="62" spans="1:13" x14ac:dyDescent="0.25">
      <c r="A62" s="12" t="s">
        <v>37</v>
      </c>
      <c r="D62" s="28">
        <v>880</v>
      </c>
    </row>
    <row r="63" spans="1:13" x14ac:dyDescent="0.25">
      <c r="A63" s="12" t="s">
        <v>38</v>
      </c>
      <c r="D63" s="30">
        <v>17.899999999999999</v>
      </c>
      <c r="E63" s="30"/>
    </row>
    <row r="64" spans="1:13" x14ac:dyDescent="0.25">
      <c r="A64" s="12"/>
      <c r="D64" s="30"/>
      <c r="E64" s="30"/>
    </row>
    <row r="65" spans="1:13" x14ac:dyDescent="0.25">
      <c r="A65" s="12" t="s">
        <v>143</v>
      </c>
      <c r="D65" s="28">
        <v>30</v>
      </c>
      <c r="E65" s="30"/>
    </row>
    <row r="66" spans="1:13" x14ac:dyDescent="0.25">
      <c r="A66" s="12" t="s">
        <v>144</v>
      </c>
      <c r="D66" s="28">
        <v>10</v>
      </c>
      <c r="E66" s="30"/>
    </row>
    <row r="67" spans="1:13" x14ac:dyDescent="0.25">
      <c r="A67" s="12" t="s">
        <v>145</v>
      </c>
      <c r="D67" s="28">
        <v>20</v>
      </c>
      <c r="E67" s="30"/>
    </row>
    <row r="69" spans="1:13" x14ac:dyDescent="0.25">
      <c r="A69" s="13" t="s">
        <v>3</v>
      </c>
      <c r="D69">
        <v>0</v>
      </c>
    </row>
    <row r="70" spans="1:13" x14ac:dyDescent="0.25">
      <c r="A70" s="13" t="s">
        <v>23</v>
      </c>
      <c r="D70">
        <v>30</v>
      </c>
    </row>
    <row r="71" spans="1:13" x14ac:dyDescent="0.25">
      <c r="A71" s="13" t="s">
        <v>40</v>
      </c>
      <c r="D71">
        <v>14</v>
      </c>
    </row>
    <row r="72" spans="1:13" x14ac:dyDescent="0.25">
      <c r="A72" s="13"/>
    </row>
    <row r="73" spans="1:13" x14ac:dyDescent="0.25">
      <c r="A73" s="10" t="s">
        <v>1</v>
      </c>
    </row>
    <row r="74" spans="1:13" x14ac:dyDescent="0.25">
      <c r="A74" s="11" t="s">
        <v>90</v>
      </c>
    </row>
    <row r="75" spans="1:13" x14ac:dyDescent="0.25">
      <c r="A75" s="14" t="s">
        <v>89</v>
      </c>
      <c r="D75" s="24">
        <f t="shared" ref="D75:M75" si="19">D4*D43*D36*D38*D27*D35*D34*D23</f>
        <v>54432</v>
      </c>
      <c r="E75" s="24">
        <f t="shared" si="19"/>
        <v>54976.32</v>
      </c>
      <c r="F75" s="24">
        <f t="shared" si="19"/>
        <v>55526.083200000001</v>
      </c>
      <c r="G75" s="24">
        <f t="shared" si="19"/>
        <v>56081.344031999986</v>
      </c>
      <c r="H75" s="24">
        <f t="shared" si="19"/>
        <v>56642.157472319996</v>
      </c>
      <c r="I75" s="24">
        <f t="shared" si="19"/>
        <v>57208.579047043197</v>
      </c>
      <c r="J75" s="24">
        <f t="shared" si="19"/>
        <v>57780.664837513628</v>
      </c>
      <c r="K75" s="24">
        <f t="shared" si="19"/>
        <v>58358.47148588876</v>
      </c>
      <c r="L75" s="24">
        <f t="shared" si="19"/>
        <v>58942.056200747647</v>
      </c>
      <c r="M75" s="24">
        <f t="shared" si="19"/>
        <v>59531.476762755134</v>
      </c>
    </row>
    <row r="76" spans="1:13" x14ac:dyDescent="0.25">
      <c r="A76" s="14" t="s">
        <v>91</v>
      </c>
      <c r="D76" s="24">
        <f t="shared" ref="D76:M76" si="20">D6*D44*D36*D39*D35*D34*D28*D23</f>
        <v>34020</v>
      </c>
      <c r="E76" s="24">
        <f t="shared" si="20"/>
        <v>34360.199999999997</v>
      </c>
      <c r="F76" s="24">
        <f t="shared" si="20"/>
        <v>34703.802000000003</v>
      </c>
      <c r="G76" s="24">
        <f t="shared" si="20"/>
        <v>35050.840020000003</v>
      </c>
      <c r="H76" s="24">
        <f t="shared" si="20"/>
        <v>35401.348420199996</v>
      </c>
      <c r="I76" s="24">
        <f t="shared" si="20"/>
        <v>35755.361904402002</v>
      </c>
      <c r="J76" s="24">
        <f t="shared" si="20"/>
        <v>36112.91552344602</v>
      </c>
      <c r="K76" s="24">
        <f t="shared" si="20"/>
        <v>36474.044678680482</v>
      </c>
      <c r="L76" s="24">
        <f t="shared" si="20"/>
        <v>36838.785125467286</v>
      </c>
      <c r="M76" s="24">
        <f t="shared" si="20"/>
        <v>37207.172976721959</v>
      </c>
    </row>
    <row r="77" spans="1:13" x14ac:dyDescent="0.25">
      <c r="A77" s="15" t="s">
        <v>92</v>
      </c>
    </row>
    <row r="78" spans="1:13" x14ac:dyDescent="0.25">
      <c r="A78" s="14" t="s">
        <v>93</v>
      </c>
      <c r="D78" s="24">
        <f>D5*D43*D38*D27*D35*D34*D24</f>
        <v>34020</v>
      </c>
      <c r="E78" s="24">
        <f t="shared" ref="E78:M78" si="21">E5*E43*E38*E27*E35*E34*E24</f>
        <v>34360.200000000004</v>
      </c>
      <c r="F78" s="24">
        <f t="shared" si="21"/>
        <v>34703.802000000003</v>
      </c>
      <c r="G78" s="24">
        <f t="shared" si="21"/>
        <v>35050.840020000003</v>
      </c>
      <c r="H78" s="24">
        <f t="shared" si="21"/>
        <v>35401.348420200004</v>
      </c>
      <c r="I78" s="24">
        <f t="shared" si="21"/>
        <v>35755.361904402009</v>
      </c>
      <c r="J78" s="24">
        <f t="shared" si="21"/>
        <v>36112.91552344602</v>
      </c>
      <c r="K78" s="24">
        <f t="shared" si="21"/>
        <v>36474.044678680497</v>
      </c>
      <c r="L78" s="24">
        <f t="shared" si="21"/>
        <v>36838.785125467301</v>
      </c>
      <c r="M78" s="24">
        <f t="shared" si="21"/>
        <v>37207.172976721973</v>
      </c>
    </row>
    <row r="79" spans="1:13" x14ac:dyDescent="0.25">
      <c r="A79" s="14" t="s">
        <v>94</v>
      </c>
      <c r="D79" s="24">
        <f>D7*D44*D38*D28*D35*D34*D24</f>
        <v>14175</v>
      </c>
      <c r="E79" s="24">
        <f t="shared" ref="E79:M79" si="22">E7*E44*E38*E28*E35*E34*E24</f>
        <v>14316.75</v>
      </c>
      <c r="F79" s="24">
        <f t="shared" si="22"/>
        <v>14459.917500000003</v>
      </c>
      <c r="G79" s="24">
        <f t="shared" si="22"/>
        <v>14604.516675000001</v>
      </c>
      <c r="H79" s="24">
        <f t="shared" si="22"/>
        <v>14750.561841750001</v>
      </c>
      <c r="I79" s="24">
        <f t="shared" si="22"/>
        <v>14898.067460167502</v>
      </c>
      <c r="J79" s="24">
        <f t="shared" si="22"/>
        <v>15047.048134769177</v>
      </c>
      <c r="K79" s="24">
        <f t="shared" si="22"/>
        <v>15197.518616116868</v>
      </c>
      <c r="L79" s="24">
        <f t="shared" si="22"/>
        <v>15349.493802278039</v>
      </c>
      <c r="M79" s="24">
        <f t="shared" si="22"/>
        <v>15502.988740300816</v>
      </c>
    </row>
    <row r="80" spans="1:13" x14ac:dyDescent="0.25">
      <c r="A80" s="11" t="s">
        <v>28</v>
      </c>
    </row>
    <row r="81" spans="1:13" x14ac:dyDescent="0.25">
      <c r="A81" s="12" t="s">
        <v>87</v>
      </c>
      <c r="D81" s="24">
        <f t="shared" ref="D81:M81" si="23">D13*D18</f>
        <v>4200</v>
      </c>
      <c r="E81" s="24">
        <f t="shared" si="23"/>
        <v>4242</v>
      </c>
      <c r="F81" s="24">
        <f t="shared" si="23"/>
        <v>4284.42</v>
      </c>
      <c r="G81" s="24">
        <f t="shared" si="23"/>
        <v>4327.2642000000005</v>
      </c>
      <c r="H81" s="24">
        <f t="shared" si="23"/>
        <v>4370.5368420000004</v>
      </c>
      <c r="I81" s="24">
        <f t="shared" si="23"/>
        <v>4414.2422104200004</v>
      </c>
      <c r="J81" s="24">
        <f t="shared" si="23"/>
        <v>4458.3846325242012</v>
      </c>
      <c r="K81" s="24">
        <f t="shared" si="23"/>
        <v>4502.9684788494433</v>
      </c>
      <c r="L81" s="24">
        <f t="shared" si="23"/>
        <v>4547.998163637938</v>
      </c>
      <c r="M81" s="24">
        <f t="shared" si="23"/>
        <v>4593.4781452743173</v>
      </c>
    </row>
    <row r="82" spans="1:13" x14ac:dyDescent="0.25">
      <c r="A82" s="12" t="s">
        <v>88</v>
      </c>
      <c r="D82" s="24">
        <f t="shared" ref="D82:M82" si="24">D14*D19</f>
        <v>2100</v>
      </c>
      <c r="E82" s="24">
        <f t="shared" si="24"/>
        <v>2121</v>
      </c>
      <c r="F82" s="24">
        <f t="shared" si="24"/>
        <v>2142.21</v>
      </c>
      <c r="G82" s="24">
        <f t="shared" si="24"/>
        <v>2163.6321000000003</v>
      </c>
      <c r="H82" s="24">
        <f t="shared" si="24"/>
        <v>2185.2684210000002</v>
      </c>
      <c r="I82" s="24">
        <f t="shared" si="24"/>
        <v>2207.1211052100002</v>
      </c>
      <c r="J82" s="24">
        <f t="shared" si="24"/>
        <v>2229.1923162621006</v>
      </c>
      <c r="K82" s="24">
        <f t="shared" si="24"/>
        <v>2251.4842394247216</v>
      </c>
      <c r="L82" s="24">
        <f t="shared" si="24"/>
        <v>2273.999081818969</v>
      </c>
      <c r="M82" s="24">
        <f t="shared" si="24"/>
        <v>2296.7390726371586</v>
      </c>
    </row>
    <row r="83" spans="1:13" x14ac:dyDescent="0.25">
      <c r="A83" s="11" t="s">
        <v>27</v>
      </c>
      <c r="D83" s="24">
        <f t="shared" ref="D83:M83" si="25">D15*D20*D29*D43</f>
        <v>54000</v>
      </c>
      <c r="E83" s="24">
        <f t="shared" si="25"/>
        <v>54540</v>
      </c>
      <c r="F83" s="24">
        <f t="shared" si="25"/>
        <v>55085.4</v>
      </c>
      <c r="G83" s="24">
        <f t="shared" si="25"/>
        <v>55636.254000000001</v>
      </c>
      <c r="H83" s="24">
        <f t="shared" si="25"/>
        <v>56192.616539999995</v>
      </c>
      <c r="I83" s="24">
        <f t="shared" si="25"/>
        <v>56754.542705399996</v>
      </c>
      <c r="J83" s="24">
        <f t="shared" si="25"/>
        <v>57322.088132453995</v>
      </c>
      <c r="K83" s="24">
        <f t="shared" si="25"/>
        <v>57895.30901377854</v>
      </c>
      <c r="L83" s="24">
        <f t="shared" si="25"/>
        <v>58474.26210391632</v>
      </c>
      <c r="M83" s="24">
        <f t="shared" si="25"/>
        <v>59059.004724955485</v>
      </c>
    </row>
    <row r="84" spans="1:13" x14ac:dyDescent="0.25">
      <c r="A84" s="10" t="s">
        <v>29</v>
      </c>
      <c r="D84" s="24">
        <f>SUM(D75:D83)</f>
        <v>196947</v>
      </c>
      <c r="E84" s="24">
        <f t="shared" ref="E84:M84" si="26">SUM(E75:E83)</f>
        <v>198916.47</v>
      </c>
      <c r="F84" s="24">
        <f t="shared" si="26"/>
        <v>200905.63470000002</v>
      </c>
      <c r="G84" s="24">
        <f t="shared" si="26"/>
        <v>202914.691047</v>
      </c>
      <c r="H84" s="24">
        <f t="shared" si="26"/>
        <v>204943.83795746995</v>
      </c>
      <c r="I84" s="24">
        <f t="shared" si="26"/>
        <v>206993.27633704472</v>
      </c>
      <c r="J84" s="24">
        <f t="shared" si="26"/>
        <v>209063.20910041514</v>
      </c>
      <c r="K84" s="24">
        <f t="shared" si="26"/>
        <v>211153.84119141931</v>
      </c>
      <c r="L84" s="24">
        <f t="shared" si="26"/>
        <v>213265.37960333351</v>
      </c>
      <c r="M84" s="24">
        <f t="shared" si="26"/>
        <v>215398.03339936683</v>
      </c>
    </row>
    <row r="86" spans="1:13" x14ac:dyDescent="0.25">
      <c r="A86" s="13" t="s">
        <v>30</v>
      </c>
      <c r="D86" s="31">
        <f t="shared" ref="D86:M86" si="27">D84*D46</f>
        <v>39389.4</v>
      </c>
      <c r="E86" s="31">
        <f t="shared" si="27"/>
        <v>39783.294000000002</v>
      </c>
      <c r="F86" s="31">
        <f t="shared" si="27"/>
        <v>40181.126940000009</v>
      </c>
      <c r="G86" s="31">
        <f t="shared" si="27"/>
        <v>40582.938209400003</v>
      </c>
      <c r="H86" s="31">
        <f t="shared" si="27"/>
        <v>40988.76759149399</v>
      </c>
      <c r="I86" s="31">
        <f t="shared" si="27"/>
        <v>41398.655267408947</v>
      </c>
      <c r="J86" s="31">
        <f t="shared" si="27"/>
        <v>41812.64182008303</v>
      </c>
      <c r="K86" s="31">
        <f t="shared" si="27"/>
        <v>42230.768238283868</v>
      </c>
      <c r="L86" s="31">
        <f t="shared" si="27"/>
        <v>42653.075920666706</v>
      </c>
      <c r="M86" s="31">
        <f t="shared" si="27"/>
        <v>43079.606679873366</v>
      </c>
    </row>
    <row r="87" spans="1:13" x14ac:dyDescent="0.25">
      <c r="A87" s="13" t="s">
        <v>31</v>
      </c>
      <c r="D87" s="31">
        <f t="shared" ref="D87:M87" si="28">D84*D47</f>
        <v>49236.75</v>
      </c>
      <c r="E87" s="31">
        <f t="shared" si="28"/>
        <v>49729.1175</v>
      </c>
      <c r="F87" s="31">
        <f t="shared" si="28"/>
        <v>50226.408675000006</v>
      </c>
      <c r="G87" s="31">
        <f t="shared" si="28"/>
        <v>50728.67276175</v>
      </c>
      <c r="H87" s="31">
        <f t="shared" si="28"/>
        <v>51235.959489367488</v>
      </c>
      <c r="I87" s="31">
        <f t="shared" si="28"/>
        <v>51748.31908426118</v>
      </c>
      <c r="J87" s="31">
        <f t="shared" si="28"/>
        <v>52265.802275103786</v>
      </c>
      <c r="K87" s="31">
        <f t="shared" si="28"/>
        <v>52788.460297854828</v>
      </c>
      <c r="L87" s="31">
        <f t="shared" si="28"/>
        <v>53316.344900833377</v>
      </c>
      <c r="M87" s="31">
        <f t="shared" si="28"/>
        <v>53849.508349841708</v>
      </c>
    </row>
    <row r="88" spans="1:13" x14ac:dyDescent="0.25">
      <c r="A88" s="13" t="s">
        <v>32</v>
      </c>
      <c r="D88" s="31">
        <f t="shared" ref="D88:M88" si="29">D84*D48</f>
        <v>19694.7</v>
      </c>
      <c r="E88" s="31">
        <f t="shared" si="29"/>
        <v>19891.647000000001</v>
      </c>
      <c r="F88" s="31">
        <f t="shared" si="29"/>
        <v>20090.563470000005</v>
      </c>
      <c r="G88" s="31">
        <f t="shared" si="29"/>
        <v>20291.469104700001</v>
      </c>
      <c r="H88" s="31">
        <f t="shared" si="29"/>
        <v>20494.383795746995</v>
      </c>
      <c r="I88" s="31">
        <f t="shared" si="29"/>
        <v>20699.327633704474</v>
      </c>
      <c r="J88" s="31">
        <f t="shared" si="29"/>
        <v>20906.320910041515</v>
      </c>
      <c r="K88" s="31">
        <f t="shared" si="29"/>
        <v>21115.384119141934</v>
      </c>
      <c r="L88" s="31">
        <f t="shared" si="29"/>
        <v>21326.537960333353</v>
      </c>
      <c r="M88" s="31">
        <f t="shared" si="29"/>
        <v>21539.803339936683</v>
      </c>
    </row>
    <row r="89" spans="1:13" x14ac:dyDescent="0.25">
      <c r="A89" s="13" t="s">
        <v>60</v>
      </c>
      <c r="D89" s="31">
        <f>D50*D49*D34*D35*D40</f>
        <v>13440</v>
      </c>
      <c r="E89" s="31">
        <f t="shared" ref="E89:M89" si="30">E50*E49*E34*E35*E40</f>
        <v>13440</v>
      </c>
      <c r="F89" s="31">
        <f t="shared" si="30"/>
        <v>13440</v>
      </c>
      <c r="G89" s="31">
        <f t="shared" si="30"/>
        <v>13440</v>
      </c>
      <c r="H89" s="31">
        <f t="shared" si="30"/>
        <v>13440</v>
      </c>
      <c r="I89" s="31">
        <f t="shared" si="30"/>
        <v>13440</v>
      </c>
      <c r="J89" s="31">
        <f t="shared" si="30"/>
        <v>13440</v>
      </c>
      <c r="K89" s="31">
        <f t="shared" si="30"/>
        <v>13440</v>
      </c>
      <c r="L89" s="31">
        <f t="shared" si="30"/>
        <v>13440</v>
      </c>
      <c r="M89" s="31">
        <f t="shared" si="30"/>
        <v>13440</v>
      </c>
    </row>
    <row r="90" spans="1:13" x14ac:dyDescent="0.25">
      <c r="A90" s="13" t="s">
        <v>35</v>
      </c>
      <c r="D90" s="1">
        <f>D52</f>
        <v>30000</v>
      </c>
      <c r="E90" s="1">
        <f t="shared" ref="E90:M90" si="31">E52</f>
        <v>30451.499999999996</v>
      </c>
      <c r="F90" s="1">
        <f t="shared" si="31"/>
        <v>30909.795074999991</v>
      </c>
      <c r="G90" s="1">
        <f t="shared" si="31"/>
        <v>31374.987490878739</v>
      </c>
      <c r="H90" s="1">
        <f t="shared" si="31"/>
        <v>31847.181052616463</v>
      </c>
      <c r="I90" s="1">
        <f t="shared" si="31"/>
        <v>32326.481127458337</v>
      </c>
      <c r="J90" s="1">
        <f t="shared" si="31"/>
        <v>32812.994668426581</v>
      </c>
      <c r="K90" s="1">
        <f t="shared" si="31"/>
        <v>33306.830238186398</v>
      </c>
      <c r="L90" s="1">
        <f t="shared" si="31"/>
        <v>33808.098033271097</v>
      </c>
      <c r="M90" s="1">
        <f t="shared" si="31"/>
        <v>34316.90990867182</v>
      </c>
    </row>
    <row r="91" spans="1:13" x14ac:dyDescent="0.25">
      <c r="A91" s="13"/>
    </row>
    <row r="92" spans="1:13" x14ac:dyDescent="0.25">
      <c r="A92" s="13" t="s">
        <v>139</v>
      </c>
      <c r="D92" s="1">
        <f>IF((D112-($D$63*$D$62)/$D$65)&lt;0,0,($D$63*$D$62)/$D$65)</f>
        <v>525.06666666666661</v>
      </c>
      <c r="E92" s="1">
        <f t="shared" ref="E92:M92" si="32">IF((E112-($D$63*$D$62)/$D$65)&lt;0,0,($D$63*$D$62)/$D$65)</f>
        <v>525.06666666666661</v>
      </c>
      <c r="F92" s="1">
        <f t="shared" si="32"/>
        <v>525.06666666666661</v>
      </c>
      <c r="G92" s="1">
        <f t="shared" si="32"/>
        <v>525.06666666666661</v>
      </c>
      <c r="H92" s="1">
        <f t="shared" si="32"/>
        <v>525.06666666666661</v>
      </c>
      <c r="I92" s="1">
        <f t="shared" si="32"/>
        <v>525.06666666666661</v>
      </c>
      <c r="J92" s="1">
        <f t="shared" si="32"/>
        <v>525.06666666666661</v>
      </c>
      <c r="K92" s="1">
        <f t="shared" si="32"/>
        <v>525.06666666666661</v>
      </c>
      <c r="L92" s="1">
        <f t="shared" si="32"/>
        <v>525.06666666666661</v>
      </c>
      <c r="M92" s="1">
        <f t="shared" si="32"/>
        <v>525.06666666666661</v>
      </c>
    </row>
    <row r="93" spans="1:13" x14ac:dyDescent="0.25">
      <c r="A93" s="13" t="s">
        <v>140</v>
      </c>
      <c r="D93" s="1">
        <f t="shared" ref="D93:M93" si="33">IF(((D110+D111)-(D55+D56)*(D43+D44)/$D$66)&lt;0,0,(D55+D56)*(D43+D44)/$D$66)</f>
        <v>6600</v>
      </c>
      <c r="E93" s="1">
        <f t="shared" si="33"/>
        <v>6600</v>
      </c>
      <c r="F93" s="1">
        <f t="shared" si="33"/>
        <v>6600</v>
      </c>
      <c r="G93" s="1">
        <f t="shared" si="33"/>
        <v>6600</v>
      </c>
      <c r="H93" s="1">
        <f t="shared" si="33"/>
        <v>6600</v>
      </c>
      <c r="I93" s="1">
        <f t="shared" si="33"/>
        <v>6600</v>
      </c>
      <c r="J93" s="1">
        <f t="shared" si="33"/>
        <v>6600</v>
      </c>
      <c r="K93" s="1">
        <f t="shared" si="33"/>
        <v>6600</v>
      </c>
      <c r="L93" s="1">
        <f t="shared" si="33"/>
        <v>6600</v>
      </c>
      <c r="M93" s="1">
        <f t="shared" si="33"/>
        <v>6600</v>
      </c>
    </row>
    <row r="94" spans="1:13" x14ac:dyDescent="0.25">
      <c r="A94" s="13" t="s">
        <v>141</v>
      </c>
      <c r="D94" s="1">
        <f>IF((D113-$D$59*$D$60/$D$67)&lt;0,0,$D$59*$D$60/$D$67)</f>
        <v>1529.981634527089</v>
      </c>
      <c r="E94" s="1">
        <f t="shared" ref="E94:M94" si="34">IF((E113-$D$59*$D$60/$D$67)&lt;0,0,$D$59*$D$60/$D$67)</f>
        <v>1529.981634527089</v>
      </c>
      <c r="F94" s="1">
        <f t="shared" si="34"/>
        <v>1529.981634527089</v>
      </c>
      <c r="G94" s="1">
        <f t="shared" si="34"/>
        <v>1529.981634527089</v>
      </c>
      <c r="H94" s="1">
        <f t="shared" si="34"/>
        <v>1529.981634527089</v>
      </c>
      <c r="I94" s="1">
        <f t="shared" si="34"/>
        <v>1529.981634527089</v>
      </c>
      <c r="J94" s="1">
        <f t="shared" si="34"/>
        <v>1529.981634527089</v>
      </c>
      <c r="K94" s="1">
        <f t="shared" si="34"/>
        <v>1529.981634527089</v>
      </c>
      <c r="L94" s="1">
        <f t="shared" si="34"/>
        <v>1529.981634527089</v>
      </c>
      <c r="M94" s="1">
        <f t="shared" si="34"/>
        <v>1529.981634527089</v>
      </c>
    </row>
    <row r="95" spans="1:13" x14ac:dyDescent="0.25">
      <c r="A95" s="13" t="s">
        <v>142</v>
      </c>
      <c r="D95" s="1">
        <f>SUM(D92:D94)</f>
        <v>8655.0483011937558</v>
      </c>
      <c r="E95" s="1">
        <f t="shared" ref="E95:M95" si="35">SUM(E92:E94)</f>
        <v>8655.0483011937558</v>
      </c>
      <c r="F95" s="1">
        <f t="shared" si="35"/>
        <v>8655.0483011937558</v>
      </c>
      <c r="G95" s="1">
        <f t="shared" si="35"/>
        <v>8655.0483011937558</v>
      </c>
      <c r="H95" s="1">
        <f t="shared" si="35"/>
        <v>8655.0483011937558</v>
      </c>
      <c r="I95" s="1">
        <f t="shared" si="35"/>
        <v>8655.0483011937558</v>
      </c>
      <c r="J95" s="1">
        <f t="shared" si="35"/>
        <v>8655.0483011937558</v>
      </c>
      <c r="K95" s="1">
        <f t="shared" si="35"/>
        <v>8655.0483011937558</v>
      </c>
      <c r="L95" s="1">
        <f t="shared" si="35"/>
        <v>8655.0483011937558</v>
      </c>
      <c r="M95" s="1">
        <f t="shared" si="35"/>
        <v>8655.0483011937558</v>
      </c>
    </row>
    <row r="96" spans="1:13" x14ac:dyDescent="0.25">
      <c r="A96" s="1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3" t="s">
        <v>17</v>
      </c>
      <c r="D97" s="31">
        <f>SUM(Mortgage!C7:C18)</f>
        <v>3981.6404844368135</v>
      </c>
      <c r="E97" s="31">
        <f>SUM(Mortgage!C25:C36)</f>
        <v>3919.9250762808333</v>
      </c>
      <c r="F97" s="31">
        <f>SUM(Mortgage!C31:C42)</f>
        <v>3897.8317226609083</v>
      </c>
      <c r="G97" s="31">
        <f>SUM(Mortgage!C43:C54)</f>
        <v>3851.1933489506237</v>
      </c>
      <c r="H97" s="31">
        <f>SUM(Mortgage!C55:C66)</f>
        <v>3801.083953093048</v>
      </c>
      <c r="I97" s="31">
        <f>SUM(Mortgage!C67:C78)</f>
        <v>3747.2452071537232</v>
      </c>
      <c r="J97" s="31">
        <f>SUM(Mortgage!C79:C90)</f>
        <v>3689.3995573566722</v>
      </c>
      <c r="K97" s="31">
        <f>SUM(Mortgage!C91:C102)</f>
        <v>3627.2487932171416</v>
      </c>
      <c r="L97" s="31">
        <f>SUM(Mortgage!C103:C114)</f>
        <v>3560.472510183245</v>
      </c>
      <c r="M97" s="31">
        <f>SUM(Mortgage!C115:C126)</f>
        <v>3488.7264578609875</v>
      </c>
    </row>
    <row r="98" spans="1:13" x14ac:dyDescent="0.25">
      <c r="A98" s="13" t="s">
        <v>18</v>
      </c>
      <c r="D98">
        <f>D127*$D$11</f>
        <v>0</v>
      </c>
      <c r="E98">
        <f t="shared" ref="E98:M98" si="36">E127*$D$11</f>
        <v>0</v>
      </c>
      <c r="F98">
        <f t="shared" si="36"/>
        <v>0</v>
      </c>
      <c r="G98">
        <f t="shared" si="36"/>
        <v>0</v>
      </c>
      <c r="H98">
        <f t="shared" si="36"/>
        <v>0</v>
      </c>
      <c r="I98">
        <f t="shared" si="36"/>
        <v>0</v>
      </c>
      <c r="J98">
        <f t="shared" si="36"/>
        <v>0</v>
      </c>
      <c r="K98">
        <f t="shared" si="36"/>
        <v>0</v>
      </c>
      <c r="L98">
        <f t="shared" si="36"/>
        <v>0</v>
      </c>
      <c r="M98">
        <f t="shared" si="36"/>
        <v>0</v>
      </c>
    </row>
    <row r="99" spans="1:13" x14ac:dyDescent="0.25">
      <c r="A99" s="13" t="s">
        <v>33</v>
      </c>
      <c r="D99" s="31">
        <f>SUM(D86:D98)</f>
        <v>173052.58708682432</v>
      </c>
      <c r="E99" s="31">
        <f t="shared" ref="E99:M99" si="37">SUM(E86:E98)</f>
        <v>174525.58017866834</v>
      </c>
      <c r="F99" s="31">
        <f t="shared" si="37"/>
        <v>176055.82248504847</v>
      </c>
      <c r="G99" s="31">
        <f t="shared" si="37"/>
        <v>177579.35751806688</v>
      </c>
      <c r="H99" s="31">
        <f t="shared" si="37"/>
        <v>179117.4724847055</v>
      </c>
      <c r="I99" s="31">
        <f t="shared" si="37"/>
        <v>180670.12492237418</v>
      </c>
      <c r="J99" s="31">
        <f t="shared" si="37"/>
        <v>182237.2558333991</v>
      </c>
      <c r="K99" s="31">
        <f t="shared" si="37"/>
        <v>183818.7882890717</v>
      </c>
      <c r="L99" s="31">
        <f t="shared" si="37"/>
        <v>185414.62592767531</v>
      </c>
      <c r="M99" s="31">
        <f t="shared" si="37"/>
        <v>187024.65133857209</v>
      </c>
    </row>
    <row r="100" spans="1:13" x14ac:dyDescent="0.25">
      <c r="A100" s="13"/>
    </row>
    <row r="101" spans="1:13" x14ac:dyDescent="0.25">
      <c r="A101" s="13" t="s">
        <v>19</v>
      </c>
      <c r="D101" s="31">
        <f t="shared" ref="D101:M101" si="38">D84-D95-D99</f>
        <v>15239.364611981931</v>
      </c>
      <c r="E101" s="31">
        <f t="shared" si="38"/>
        <v>15735.84152013791</v>
      </c>
      <c r="F101" s="31">
        <f t="shared" si="38"/>
        <v>16194.763913757808</v>
      </c>
      <c r="G101" s="31">
        <f t="shared" si="38"/>
        <v>16680.285227739369</v>
      </c>
      <c r="H101" s="31">
        <f t="shared" si="38"/>
        <v>17171.317171570699</v>
      </c>
      <c r="I101" s="31">
        <f t="shared" si="38"/>
        <v>17668.103113476798</v>
      </c>
      <c r="J101" s="31">
        <f t="shared" si="38"/>
        <v>18170.904965822294</v>
      </c>
      <c r="K101" s="31">
        <f t="shared" si="38"/>
        <v>18680.004601153865</v>
      </c>
      <c r="L101" s="31">
        <f t="shared" si="38"/>
        <v>19195.705374464451</v>
      </c>
      <c r="M101" s="31">
        <f t="shared" si="38"/>
        <v>19718.333759600995</v>
      </c>
    </row>
    <row r="102" spans="1:13" x14ac:dyDescent="0.25">
      <c r="A102" s="13" t="s">
        <v>20</v>
      </c>
      <c r="D102" s="1">
        <f>IF(D101&lt;0,0,$D$10*D101)</f>
        <v>3809.8411529954828</v>
      </c>
      <c r="E102" s="1">
        <f t="shared" ref="E102:M102" si="39">IF(E101&lt;0,0,$D$10*E101)</f>
        <v>3933.9603800344776</v>
      </c>
      <c r="F102" s="1">
        <f t="shared" si="39"/>
        <v>4048.690978439452</v>
      </c>
      <c r="G102" s="1">
        <f t="shared" si="39"/>
        <v>4170.0713069348421</v>
      </c>
      <c r="H102" s="1">
        <f t="shared" si="39"/>
        <v>4292.8292928926749</v>
      </c>
      <c r="I102" s="1">
        <f t="shared" si="39"/>
        <v>4417.0257783691995</v>
      </c>
      <c r="J102" s="1">
        <f t="shared" si="39"/>
        <v>4542.7262414555735</v>
      </c>
      <c r="K102" s="1">
        <f t="shared" si="39"/>
        <v>4670.0011502884663</v>
      </c>
      <c r="L102" s="1">
        <f t="shared" si="39"/>
        <v>4798.9263436161127</v>
      </c>
      <c r="M102" s="1">
        <f t="shared" si="39"/>
        <v>4929.5834399002488</v>
      </c>
    </row>
    <row r="103" spans="1:13" x14ac:dyDescent="0.25">
      <c r="A103" s="16" t="s">
        <v>21</v>
      </c>
      <c r="D103" s="31">
        <f>D101-D102</f>
        <v>11429.523458986449</v>
      </c>
      <c r="E103" s="31">
        <f t="shared" ref="E103:M103" si="40">E101-E102</f>
        <v>11801.881140103433</v>
      </c>
      <c r="F103" s="31">
        <f t="shared" si="40"/>
        <v>12146.072935318356</v>
      </c>
      <c r="G103" s="31">
        <f t="shared" si="40"/>
        <v>12510.213920804526</v>
      </c>
      <c r="H103" s="31">
        <f t="shared" si="40"/>
        <v>12878.487878678025</v>
      </c>
      <c r="I103" s="31">
        <f t="shared" si="40"/>
        <v>13251.077335107599</v>
      </c>
      <c r="J103" s="31">
        <f t="shared" si="40"/>
        <v>13628.17872436672</v>
      </c>
      <c r="K103" s="31">
        <f t="shared" si="40"/>
        <v>14010.003450865399</v>
      </c>
      <c r="L103" s="31">
        <f t="shared" si="40"/>
        <v>14396.779030848338</v>
      </c>
      <c r="M103" s="31">
        <f t="shared" si="40"/>
        <v>14788.750319700746</v>
      </c>
    </row>
    <row r="104" spans="1:13" x14ac:dyDescent="0.25">
      <c r="A104" s="16"/>
    </row>
    <row r="105" spans="1:13" x14ac:dyDescent="0.25">
      <c r="A105" s="10" t="s">
        <v>2</v>
      </c>
    </row>
    <row r="106" spans="1:13" x14ac:dyDescent="0.25">
      <c r="A106" s="10" t="s">
        <v>4</v>
      </c>
    </row>
    <row r="107" spans="1:13" x14ac:dyDescent="0.25">
      <c r="B107" s="20" t="s">
        <v>6</v>
      </c>
      <c r="D107">
        <v>1000</v>
      </c>
      <c r="E107">
        <v>1000</v>
      </c>
      <c r="F107">
        <v>1000</v>
      </c>
      <c r="G107">
        <v>1000</v>
      </c>
      <c r="H107">
        <v>1000</v>
      </c>
      <c r="I107">
        <v>1000</v>
      </c>
      <c r="J107">
        <v>1000</v>
      </c>
      <c r="K107">
        <v>1000</v>
      </c>
      <c r="L107">
        <v>1000</v>
      </c>
      <c r="M107">
        <v>1000</v>
      </c>
    </row>
    <row r="108" spans="1:13" x14ac:dyDescent="0.25">
      <c r="B108" s="20" t="s">
        <v>25</v>
      </c>
    </row>
    <row r="109" spans="1:13" x14ac:dyDescent="0.25">
      <c r="B109" s="15" t="s">
        <v>5</v>
      </c>
      <c r="D109" s="24">
        <f>D84/365*$D$69</f>
        <v>0</v>
      </c>
      <c r="E109" s="24">
        <f t="shared" ref="E109:M109" si="41">E84/365*$D$69</f>
        <v>0</v>
      </c>
      <c r="F109" s="24">
        <f t="shared" si="41"/>
        <v>0</v>
      </c>
      <c r="G109" s="24">
        <f t="shared" si="41"/>
        <v>0</v>
      </c>
      <c r="H109" s="24">
        <f t="shared" si="41"/>
        <v>0</v>
      </c>
      <c r="I109" s="24">
        <f t="shared" si="41"/>
        <v>0</v>
      </c>
      <c r="J109" s="24">
        <f t="shared" si="41"/>
        <v>0</v>
      </c>
      <c r="K109" s="24">
        <f t="shared" si="41"/>
        <v>0</v>
      </c>
      <c r="L109" s="24">
        <f t="shared" si="41"/>
        <v>0</v>
      </c>
      <c r="M109" s="24">
        <f t="shared" si="41"/>
        <v>0</v>
      </c>
    </row>
    <row r="110" spans="1:13" x14ac:dyDescent="0.25">
      <c r="B110" s="15" t="s">
        <v>34</v>
      </c>
      <c r="D110" s="29">
        <f>D56*D44</f>
        <v>16500</v>
      </c>
      <c r="E110" s="29">
        <f t="shared" ref="E110:M110" si="42">E56*E44</f>
        <v>16500</v>
      </c>
      <c r="F110" s="29">
        <f t="shared" si="42"/>
        <v>16500</v>
      </c>
      <c r="G110" s="29">
        <f t="shared" si="42"/>
        <v>16500</v>
      </c>
      <c r="H110" s="29">
        <f t="shared" si="42"/>
        <v>16500</v>
      </c>
      <c r="I110" s="29">
        <f t="shared" si="42"/>
        <v>16500</v>
      </c>
      <c r="J110" s="29">
        <f t="shared" si="42"/>
        <v>16500</v>
      </c>
      <c r="K110" s="29">
        <f t="shared" si="42"/>
        <v>16500</v>
      </c>
      <c r="L110" s="29">
        <f t="shared" si="42"/>
        <v>16500</v>
      </c>
      <c r="M110" s="29">
        <f t="shared" si="42"/>
        <v>16500</v>
      </c>
    </row>
    <row r="111" spans="1:13" x14ac:dyDescent="0.25">
      <c r="B111" s="15" t="s">
        <v>26</v>
      </c>
      <c r="D111" s="29">
        <f>D55*D43</f>
        <v>16500</v>
      </c>
      <c r="E111" s="29">
        <f t="shared" ref="E111:M111" si="43">E55*E43</f>
        <v>16500</v>
      </c>
      <c r="F111" s="29">
        <f t="shared" si="43"/>
        <v>16500</v>
      </c>
      <c r="G111" s="29">
        <f t="shared" si="43"/>
        <v>16500</v>
      </c>
      <c r="H111" s="29">
        <f t="shared" si="43"/>
        <v>16500</v>
      </c>
      <c r="I111" s="29">
        <f t="shared" si="43"/>
        <v>16500</v>
      </c>
      <c r="J111" s="29">
        <f t="shared" si="43"/>
        <v>16500</v>
      </c>
      <c r="K111" s="29">
        <f t="shared" si="43"/>
        <v>16500</v>
      </c>
      <c r="L111" s="29">
        <f t="shared" si="43"/>
        <v>16500</v>
      </c>
      <c r="M111" s="29">
        <f t="shared" si="43"/>
        <v>16500</v>
      </c>
    </row>
    <row r="112" spans="1:13" x14ac:dyDescent="0.25">
      <c r="B112" s="15" t="s">
        <v>36</v>
      </c>
      <c r="D112" s="30">
        <f>$D$62*$D$63</f>
        <v>15751.999999999998</v>
      </c>
      <c r="E112" s="30">
        <f t="shared" ref="E112:M112" si="44">$D$62*$D$63</f>
        <v>15751.999999999998</v>
      </c>
      <c r="F112" s="30">
        <f t="shared" si="44"/>
        <v>15751.999999999998</v>
      </c>
      <c r="G112" s="30">
        <f t="shared" si="44"/>
        <v>15751.999999999998</v>
      </c>
      <c r="H112" s="30">
        <f t="shared" si="44"/>
        <v>15751.999999999998</v>
      </c>
      <c r="I112" s="30">
        <f t="shared" si="44"/>
        <v>15751.999999999998</v>
      </c>
      <c r="J112" s="30">
        <f t="shared" si="44"/>
        <v>15751.999999999998</v>
      </c>
      <c r="K112" s="30">
        <f t="shared" si="44"/>
        <v>15751.999999999998</v>
      </c>
      <c r="L112" s="30">
        <f t="shared" si="44"/>
        <v>15751.999999999998</v>
      </c>
      <c r="M112" s="30">
        <f t="shared" si="44"/>
        <v>15751.999999999998</v>
      </c>
    </row>
    <row r="113" spans="1:13" x14ac:dyDescent="0.25">
      <c r="B113" s="15" t="s">
        <v>146</v>
      </c>
      <c r="D113" s="30">
        <f>$D$59*$D$60</f>
        <v>30599.632690541781</v>
      </c>
      <c r="E113" s="30">
        <f t="shared" ref="E113:M113" si="45">$D$59*$D$60</f>
        <v>30599.632690541781</v>
      </c>
      <c r="F113" s="30">
        <f t="shared" si="45"/>
        <v>30599.632690541781</v>
      </c>
      <c r="G113" s="30">
        <f t="shared" si="45"/>
        <v>30599.632690541781</v>
      </c>
      <c r="H113" s="30">
        <f t="shared" si="45"/>
        <v>30599.632690541781</v>
      </c>
      <c r="I113" s="30">
        <f t="shared" si="45"/>
        <v>30599.632690541781</v>
      </c>
      <c r="J113" s="30">
        <f t="shared" si="45"/>
        <v>30599.632690541781</v>
      </c>
      <c r="K113" s="30">
        <f t="shared" si="45"/>
        <v>30599.632690541781</v>
      </c>
      <c r="L113" s="30">
        <f t="shared" si="45"/>
        <v>30599.632690541781</v>
      </c>
      <c r="M113" s="30">
        <f t="shared" si="45"/>
        <v>30599.632690541781</v>
      </c>
    </row>
    <row r="114" spans="1:13" x14ac:dyDescent="0.25">
      <c r="B114" s="15" t="s">
        <v>125</v>
      </c>
      <c r="D114" s="31">
        <f>D92</f>
        <v>525.06666666666661</v>
      </c>
      <c r="E114" s="31">
        <f t="shared" ref="E114:M114" si="46">D114+E92</f>
        <v>1050.1333333333332</v>
      </c>
      <c r="F114" s="31">
        <f t="shared" si="46"/>
        <v>1575.1999999999998</v>
      </c>
      <c r="G114" s="31">
        <f t="shared" si="46"/>
        <v>2100.2666666666664</v>
      </c>
      <c r="H114" s="31">
        <f t="shared" si="46"/>
        <v>2625.333333333333</v>
      </c>
      <c r="I114" s="31">
        <f t="shared" si="46"/>
        <v>3150.3999999999996</v>
      </c>
      <c r="J114" s="31">
        <f t="shared" si="46"/>
        <v>3675.4666666666662</v>
      </c>
      <c r="K114" s="31">
        <f t="shared" si="46"/>
        <v>4200.5333333333328</v>
      </c>
      <c r="L114" s="31">
        <f t="shared" si="46"/>
        <v>4725.5999999999995</v>
      </c>
      <c r="M114" s="31">
        <f t="shared" si="46"/>
        <v>5250.6666666666661</v>
      </c>
    </row>
    <row r="115" spans="1:13" x14ac:dyDescent="0.25">
      <c r="B115" s="15" t="s">
        <v>126</v>
      </c>
      <c r="D115" s="31">
        <f>D93</f>
        <v>6600</v>
      </c>
      <c r="E115" s="31">
        <f t="shared" ref="E115:M115" si="47">D115+E93</f>
        <v>13200</v>
      </c>
      <c r="F115" s="31">
        <f t="shared" si="47"/>
        <v>19800</v>
      </c>
      <c r="G115" s="31">
        <f t="shared" si="47"/>
        <v>26400</v>
      </c>
      <c r="H115" s="31">
        <f t="shared" si="47"/>
        <v>33000</v>
      </c>
      <c r="I115" s="31">
        <f t="shared" si="47"/>
        <v>39600</v>
      </c>
      <c r="J115" s="31">
        <f t="shared" si="47"/>
        <v>46200</v>
      </c>
      <c r="K115" s="31">
        <f t="shared" si="47"/>
        <v>52800</v>
      </c>
      <c r="L115" s="31">
        <f t="shared" si="47"/>
        <v>59400</v>
      </c>
      <c r="M115" s="31">
        <f t="shared" si="47"/>
        <v>66000</v>
      </c>
    </row>
    <row r="116" spans="1:13" x14ac:dyDescent="0.25">
      <c r="B116" s="15" t="s">
        <v>147</v>
      </c>
      <c r="D116" s="31">
        <f>D94</f>
        <v>1529.981634527089</v>
      </c>
      <c r="E116" s="31">
        <f t="shared" ref="E116:M116" si="48">D116+E94</f>
        <v>3059.963269054178</v>
      </c>
      <c r="F116" s="31">
        <f t="shared" si="48"/>
        <v>4589.9449035812668</v>
      </c>
      <c r="G116" s="31">
        <f t="shared" si="48"/>
        <v>6119.926538108356</v>
      </c>
      <c r="H116" s="31">
        <f t="shared" si="48"/>
        <v>7649.9081726354452</v>
      </c>
      <c r="I116" s="31">
        <f t="shared" si="48"/>
        <v>9179.8898071625335</v>
      </c>
      <c r="J116" s="31">
        <f t="shared" si="48"/>
        <v>10709.871441689622</v>
      </c>
      <c r="K116" s="31">
        <f t="shared" si="48"/>
        <v>12239.85307621671</v>
      </c>
      <c r="L116" s="31">
        <f t="shared" si="48"/>
        <v>13769.834710743798</v>
      </c>
      <c r="M116" s="31">
        <f t="shared" si="48"/>
        <v>15299.816345270887</v>
      </c>
    </row>
    <row r="117" spans="1:13" x14ac:dyDescent="0.25">
      <c r="B117" s="21" t="s">
        <v>127</v>
      </c>
      <c r="D117" s="31">
        <f>SUM(D114:D116)</f>
        <v>8655.0483011937558</v>
      </c>
      <c r="E117" s="31">
        <f t="shared" ref="E117:M117" si="49">SUM(E114:E116)</f>
        <v>17310.096602387512</v>
      </c>
      <c r="F117" s="31">
        <f t="shared" si="49"/>
        <v>25965.144903581269</v>
      </c>
      <c r="G117" s="31">
        <f t="shared" si="49"/>
        <v>34620.193204775023</v>
      </c>
      <c r="H117" s="31">
        <f t="shared" si="49"/>
        <v>43275.241505968777</v>
      </c>
      <c r="I117" s="31">
        <f t="shared" si="49"/>
        <v>51930.289807162539</v>
      </c>
      <c r="J117" s="31">
        <f t="shared" si="49"/>
        <v>60585.338108356285</v>
      </c>
      <c r="K117" s="31">
        <f t="shared" si="49"/>
        <v>69240.386409550047</v>
      </c>
      <c r="L117" s="31">
        <f t="shared" si="49"/>
        <v>77895.434710743793</v>
      </c>
      <c r="M117" s="31">
        <f t="shared" si="49"/>
        <v>86550.483011937555</v>
      </c>
    </row>
    <row r="118" spans="1:13" x14ac:dyDescent="0.25">
      <c r="B118" s="20"/>
    </row>
    <row r="119" spans="1:13" x14ac:dyDescent="0.25">
      <c r="A119" s="10" t="s">
        <v>7</v>
      </c>
      <c r="B119" s="20"/>
      <c r="D119" s="31">
        <f t="shared" ref="D119:M119" si="50">SUM(D107:D113)-D117</f>
        <v>71696.58438934802</v>
      </c>
      <c r="E119" s="31">
        <f t="shared" si="50"/>
        <v>63041.536088154273</v>
      </c>
      <c r="F119" s="31">
        <f t="shared" si="50"/>
        <v>54386.487786960512</v>
      </c>
      <c r="G119" s="31">
        <f t="shared" si="50"/>
        <v>45731.439485766758</v>
      </c>
      <c r="H119" s="31">
        <f t="shared" si="50"/>
        <v>37076.391184573004</v>
      </c>
      <c r="I119" s="31">
        <f t="shared" si="50"/>
        <v>28421.342883379242</v>
      </c>
      <c r="J119" s="31">
        <f t="shared" si="50"/>
        <v>19766.294582185496</v>
      </c>
      <c r="K119" s="31">
        <f t="shared" si="50"/>
        <v>11111.246280991734</v>
      </c>
      <c r="L119" s="31">
        <f t="shared" si="50"/>
        <v>2456.1979797979875</v>
      </c>
      <c r="M119" s="31">
        <f t="shared" si="50"/>
        <v>-6198.8503213957738</v>
      </c>
    </row>
    <row r="120" spans="1:13" x14ac:dyDescent="0.25">
      <c r="B120" s="20"/>
    </row>
    <row r="121" spans="1:13" x14ac:dyDescent="0.25">
      <c r="A121" s="10" t="s">
        <v>8</v>
      </c>
      <c r="B121" s="20"/>
    </row>
    <row r="122" spans="1:13" x14ac:dyDescent="0.25">
      <c r="B122" s="20" t="s">
        <v>9</v>
      </c>
      <c r="D122" s="1">
        <f>(D88/($D$34*$D$35))*$D$70</f>
        <v>2813.5285714285715</v>
      </c>
      <c r="E122" s="1">
        <f t="shared" ref="E122:M122" si="51">(E88/($D$34*$D$35))*$D$70</f>
        <v>2841.6638571428571</v>
      </c>
      <c r="F122" s="1">
        <f t="shared" si="51"/>
        <v>2870.0804957142864</v>
      </c>
      <c r="G122" s="1">
        <f t="shared" si="51"/>
        <v>2898.7813006714287</v>
      </c>
      <c r="H122" s="1">
        <f t="shared" si="51"/>
        <v>2927.7691136781418</v>
      </c>
      <c r="I122" s="1">
        <f t="shared" si="51"/>
        <v>2957.0468048149246</v>
      </c>
      <c r="J122" s="1">
        <f t="shared" si="51"/>
        <v>2986.6172728630736</v>
      </c>
      <c r="K122" s="1">
        <f t="shared" si="51"/>
        <v>3016.4834455917048</v>
      </c>
      <c r="L122" s="1">
        <f t="shared" si="51"/>
        <v>3046.6482800476215</v>
      </c>
      <c r="M122" s="1">
        <f t="shared" si="51"/>
        <v>3077.1147628480976</v>
      </c>
    </row>
    <row r="123" spans="1:13" x14ac:dyDescent="0.25">
      <c r="B123" s="20" t="s">
        <v>10</v>
      </c>
      <c r="D123" s="1">
        <f>D102</f>
        <v>3809.8411529954828</v>
      </c>
      <c r="E123" s="1">
        <f t="shared" ref="E123:M123" si="52">E102</f>
        <v>3933.9603800344776</v>
      </c>
      <c r="F123" s="1">
        <f t="shared" si="52"/>
        <v>4048.690978439452</v>
      </c>
      <c r="G123" s="1">
        <f t="shared" si="52"/>
        <v>4170.0713069348421</v>
      </c>
      <c r="H123" s="1">
        <f t="shared" si="52"/>
        <v>4292.8292928926749</v>
      </c>
      <c r="I123" s="1">
        <f t="shared" si="52"/>
        <v>4417.0257783691995</v>
      </c>
      <c r="J123" s="1">
        <f t="shared" si="52"/>
        <v>4542.7262414555735</v>
      </c>
      <c r="K123" s="1">
        <f t="shared" si="52"/>
        <v>4670.0011502884663</v>
      </c>
      <c r="L123" s="1">
        <f t="shared" si="52"/>
        <v>4798.9263436161127</v>
      </c>
      <c r="M123" s="1">
        <f t="shared" si="52"/>
        <v>4929.5834399002488</v>
      </c>
    </row>
    <row r="124" spans="1:13" x14ac:dyDescent="0.25">
      <c r="B124" s="20" t="s">
        <v>39</v>
      </c>
      <c r="D124" s="31">
        <f>(D89+D90)/($D$66*$D$65)*$D$71</f>
        <v>2027.2000000000003</v>
      </c>
      <c r="E124" s="31">
        <f t="shared" ref="E124:M124" si="53">(E89+E90)/($D$66*$D$65)*$D$71</f>
        <v>2048.27</v>
      </c>
      <c r="F124" s="31">
        <f t="shared" si="53"/>
        <v>2069.6571034999993</v>
      </c>
      <c r="G124" s="31">
        <f t="shared" si="53"/>
        <v>2091.3660829076744</v>
      </c>
      <c r="H124" s="31">
        <f t="shared" si="53"/>
        <v>2113.4017824554348</v>
      </c>
      <c r="I124" s="31">
        <f t="shared" si="53"/>
        <v>2135.7691192813891</v>
      </c>
      <c r="J124" s="31">
        <f t="shared" si="53"/>
        <v>2158.4730845265735</v>
      </c>
      <c r="K124" s="31">
        <f t="shared" si="53"/>
        <v>2181.5187444486983</v>
      </c>
      <c r="L124" s="31">
        <f t="shared" si="53"/>
        <v>2204.9112415526511</v>
      </c>
      <c r="M124" s="31">
        <f t="shared" si="53"/>
        <v>2228.6557957380182</v>
      </c>
    </row>
    <row r="125" spans="1:13" x14ac:dyDescent="0.25">
      <c r="B125" s="20"/>
    </row>
    <row r="126" spans="1:13" x14ac:dyDescent="0.25">
      <c r="B126" s="20" t="s">
        <v>11</v>
      </c>
      <c r="D126" s="31">
        <f>Mortgage!E18</f>
        <v>55003.295343340105</v>
      </c>
      <c r="E126" s="31">
        <f>Mortgage!E30</f>
        <v>54420.046826933663</v>
      </c>
      <c r="F126" s="31">
        <f>Mortgage!E42</f>
        <v>53793.390525118601</v>
      </c>
      <c r="G126" s="31">
        <f>Mortgage!E54</f>
        <v>53120.095849593265</v>
      </c>
      <c r="H126" s="31">
        <f>Mortgage!E66</f>
        <v>52396.69177821037</v>
      </c>
      <c r="I126" s="31">
        <f>Mortgage!E78</f>
        <v>51619.448960888141</v>
      </c>
      <c r="J126" s="31">
        <f>Mortgage!E90</f>
        <v>50784.360493768851</v>
      </c>
      <c r="K126" s="31">
        <f>Mortgage!E102</f>
        <v>49887.121262510045</v>
      </c>
      <c r="L126" s="31">
        <f>Mortgage!E114</f>
        <v>48923.105748217342</v>
      </c>
      <c r="M126" s="31">
        <f>Mortgage!E126</f>
        <v>47887.34418160237</v>
      </c>
    </row>
    <row r="127" spans="1:13" x14ac:dyDescent="0.25">
      <c r="B127" s="20" t="s">
        <v>12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x14ac:dyDescent="0.25">
      <c r="B128" s="20"/>
    </row>
    <row r="129" spans="1:13" x14ac:dyDescent="0.25">
      <c r="B129" s="20" t="s">
        <v>13</v>
      </c>
      <c r="D129" s="29">
        <f>Mortgage!$G$6</f>
        <v>23805.489807162539</v>
      </c>
      <c r="E129" s="29">
        <f>Mortgage!$G$6</f>
        <v>23805.489807162539</v>
      </c>
      <c r="F129" s="29">
        <f>Mortgage!$G$6</f>
        <v>23805.489807162539</v>
      </c>
      <c r="G129" s="29">
        <f>Mortgage!$G$6</f>
        <v>23805.489807162539</v>
      </c>
      <c r="H129" s="29">
        <f>Mortgage!$G$6</f>
        <v>23805.489807162539</v>
      </c>
      <c r="I129" s="29">
        <f>Mortgage!$G$6</f>
        <v>23805.489807162539</v>
      </c>
      <c r="J129" s="29">
        <f>Mortgage!$G$6</f>
        <v>23805.489807162539</v>
      </c>
      <c r="K129" s="29">
        <f>Mortgage!$G$6</f>
        <v>23805.489807162539</v>
      </c>
      <c r="L129" s="29">
        <f>Mortgage!$G$6</f>
        <v>23805.489807162539</v>
      </c>
      <c r="M129" s="29">
        <f>Mortgage!$G$6</f>
        <v>23805.489807162539</v>
      </c>
    </row>
    <row r="130" spans="1:13" x14ac:dyDescent="0.25">
      <c r="B130" s="20" t="s">
        <v>14</v>
      </c>
      <c r="D130" s="31">
        <f>C130+D103</f>
        <v>11429.523458986449</v>
      </c>
      <c r="E130" s="31">
        <f t="shared" ref="E130:M130" si="54">D130+E103</f>
        <v>23231.404599089881</v>
      </c>
      <c r="F130" s="31">
        <f t="shared" si="54"/>
        <v>35377.477534408237</v>
      </c>
      <c r="G130" s="31">
        <f t="shared" si="54"/>
        <v>47887.691455212764</v>
      </c>
      <c r="H130" s="31">
        <f t="shared" si="54"/>
        <v>60766.179333890788</v>
      </c>
      <c r="I130" s="31">
        <f t="shared" si="54"/>
        <v>74017.256668998394</v>
      </c>
      <c r="J130" s="31">
        <f t="shared" si="54"/>
        <v>87645.435393365115</v>
      </c>
      <c r="K130" s="31">
        <f t="shared" si="54"/>
        <v>101655.43884423052</v>
      </c>
      <c r="L130" s="31">
        <f t="shared" si="54"/>
        <v>116052.21787507886</v>
      </c>
      <c r="M130" s="31">
        <f t="shared" si="54"/>
        <v>130840.96819477961</v>
      </c>
    </row>
    <row r="132" spans="1:13" x14ac:dyDescent="0.25">
      <c r="A132" s="10" t="s">
        <v>15</v>
      </c>
      <c r="D132" s="31">
        <f>SUM(D122:D130)</f>
        <v>98888.878333913133</v>
      </c>
      <c r="E132" s="31">
        <f t="shared" ref="E132:M132" si="55">SUM(E122:E130)</f>
        <v>110280.83547036341</v>
      </c>
      <c r="F132" s="31">
        <f t="shared" si="55"/>
        <v>121964.7864443431</v>
      </c>
      <c r="G132" s="31">
        <f t="shared" si="55"/>
        <v>133973.4958024825</v>
      </c>
      <c r="H132" s="31">
        <f t="shared" si="55"/>
        <v>146302.36110828994</v>
      </c>
      <c r="I132" s="31">
        <f t="shared" si="55"/>
        <v>158952.03713951458</v>
      </c>
      <c r="J132" s="31">
        <f t="shared" si="55"/>
        <v>171923.10229314171</v>
      </c>
      <c r="K132" s="31">
        <f t="shared" si="55"/>
        <v>185216.05325423199</v>
      </c>
      <c r="L132" s="31">
        <f t="shared" si="55"/>
        <v>198831.29929567513</v>
      </c>
      <c r="M132" s="31">
        <f t="shared" si="55"/>
        <v>212769.15618203086</v>
      </c>
    </row>
    <row r="134" spans="1:13" x14ac:dyDescent="0.25">
      <c r="A134" s="10" t="s">
        <v>16</v>
      </c>
      <c r="D134" s="31">
        <f>D119-D132</f>
        <v>-27192.293944565114</v>
      </c>
      <c r="E134" s="31">
        <f t="shared" ref="E134:M134" si="56">E119-E132</f>
        <v>-47239.299382209138</v>
      </c>
      <c r="F134" s="31">
        <f t="shared" si="56"/>
        <v>-67578.298657382591</v>
      </c>
      <c r="G134" s="31">
        <f t="shared" si="56"/>
        <v>-88242.056316715752</v>
      </c>
      <c r="H134" s="31">
        <f t="shared" si="56"/>
        <v>-109225.96992371694</v>
      </c>
      <c r="I134" s="31">
        <f t="shared" si="56"/>
        <v>-130530.69425613534</v>
      </c>
      <c r="J134" s="31">
        <f t="shared" si="56"/>
        <v>-152156.8077109562</v>
      </c>
      <c r="K134" s="31">
        <f t="shared" si="56"/>
        <v>-174104.80697324025</v>
      </c>
      <c r="L134" s="31">
        <f t="shared" si="56"/>
        <v>-196375.10131587714</v>
      </c>
      <c r="M134" s="31">
        <f t="shared" si="56"/>
        <v>-218968.00650342664</v>
      </c>
    </row>
    <row r="135" spans="1:13" x14ac:dyDescent="0.25">
      <c r="A135" s="10"/>
    </row>
    <row r="136" spans="1:13" x14ac:dyDescent="0.25">
      <c r="A136" s="10" t="s">
        <v>129</v>
      </c>
    </row>
    <row r="137" spans="1:13" x14ac:dyDescent="0.25">
      <c r="A137" s="10"/>
    </row>
    <row r="138" spans="1:13" x14ac:dyDescent="0.25">
      <c r="A138" s="17" t="s">
        <v>117</v>
      </c>
      <c r="D138" s="36">
        <f>D147+D140*(D146-D147)</f>
        <v>0.1605</v>
      </c>
      <c r="E138" s="36">
        <f t="shared" ref="E138:M138" si="57">E147+E140*(E146-E147)</f>
        <v>0.1605</v>
      </c>
      <c r="F138" s="36">
        <f t="shared" si="57"/>
        <v>0.1605</v>
      </c>
      <c r="G138" s="36">
        <f t="shared" si="57"/>
        <v>0.1605</v>
      </c>
      <c r="H138" s="36">
        <f t="shared" si="57"/>
        <v>0.1605</v>
      </c>
      <c r="I138" s="36">
        <f t="shared" si="57"/>
        <v>0.1605</v>
      </c>
      <c r="J138" s="36">
        <f t="shared" si="57"/>
        <v>0.1605</v>
      </c>
      <c r="K138" s="36">
        <f t="shared" si="57"/>
        <v>0.1605</v>
      </c>
      <c r="L138" s="36">
        <f t="shared" si="57"/>
        <v>0.1605</v>
      </c>
      <c r="M138" s="36">
        <f t="shared" si="57"/>
        <v>0.1605</v>
      </c>
    </row>
    <row r="139" spans="1:13" x14ac:dyDescent="0.25">
      <c r="A139" s="11" t="s">
        <v>110</v>
      </c>
      <c r="D139" s="36">
        <f>((D126/(SUM(D126:D127))*Mortgage!$C$2)+(('Pro Forma Normal'!D127/SUM('Pro Forma Normal'!D126:D127))*'Pro Forma Normal'!$D$11))</f>
        <v>7.1999999999999995E-2</v>
      </c>
      <c r="E139" s="36">
        <f>((E126/(SUM(E126:E127))*Mortgage!$C$2)+(('Pro Forma Normal'!E127/SUM('Pro Forma Normal'!E126:E127))*'Pro Forma Normal'!$D$11))</f>
        <v>7.1999999999999995E-2</v>
      </c>
      <c r="F139" s="36">
        <f>((F126/(SUM(F126:F127))*Mortgage!$C$2)+(('Pro Forma Normal'!F127/SUM('Pro Forma Normal'!F126:F127))*'Pro Forma Normal'!$D$11))</f>
        <v>7.1999999999999995E-2</v>
      </c>
      <c r="G139" s="36">
        <f>((G126/(SUM(G126:G127))*Mortgage!$C$2)+(('Pro Forma Normal'!G127/SUM('Pro Forma Normal'!G126:G127))*'Pro Forma Normal'!$D$11))</f>
        <v>7.1999999999999995E-2</v>
      </c>
      <c r="H139" s="36">
        <f>((H126/(SUM(H126:H127))*Mortgage!$C$2)+(('Pro Forma Normal'!H127/SUM('Pro Forma Normal'!H126:H127))*'Pro Forma Normal'!$D$11))</f>
        <v>7.1999999999999995E-2</v>
      </c>
      <c r="I139" s="36">
        <f>((I126/(SUM(I126:I127))*Mortgage!$C$2)+(('Pro Forma Normal'!I127/SUM('Pro Forma Normal'!I126:I127))*'Pro Forma Normal'!$D$11))</f>
        <v>7.1999999999999995E-2</v>
      </c>
      <c r="J139" s="36">
        <f>((J126/(SUM(J126:J127))*Mortgage!$C$2)+(('Pro Forma Normal'!J127/SUM('Pro Forma Normal'!J126:J127))*'Pro Forma Normal'!$D$11))</f>
        <v>7.1999999999999995E-2</v>
      </c>
      <c r="K139" s="36">
        <f>((K126/(SUM(K126:K127))*Mortgage!$C$2)+(('Pro Forma Normal'!K127/SUM('Pro Forma Normal'!K126:K127))*'Pro Forma Normal'!$D$11))</f>
        <v>7.1999999999999995E-2</v>
      </c>
      <c r="L139" s="36">
        <f>((L126/(SUM(L126:L127))*Mortgage!$C$2)+(('Pro Forma Normal'!L127/SUM('Pro Forma Normal'!L126:L127))*'Pro Forma Normal'!$D$11))</f>
        <v>7.1999999999999995E-2</v>
      </c>
      <c r="M139" s="36">
        <f>((M126/(SUM(M126:M127))*Mortgage!$C$2)+(('Pro Forma Normal'!M127/SUM('Pro Forma Normal'!M126:M127))*'Pro Forma Normal'!$D$11))</f>
        <v>7.1999999999999995E-2</v>
      </c>
    </row>
    <row r="140" spans="1:13" x14ac:dyDescent="0.25">
      <c r="A140" s="11" t="s">
        <v>116</v>
      </c>
      <c r="D140">
        <v>1.45</v>
      </c>
      <c r="E140">
        <f>$D$140</f>
        <v>1.45</v>
      </c>
      <c r="F140">
        <f t="shared" ref="F140:M140" si="58">$D$140</f>
        <v>1.45</v>
      </c>
      <c r="G140">
        <f t="shared" si="58"/>
        <v>1.45</v>
      </c>
      <c r="H140">
        <f t="shared" si="58"/>
        <v>1.45</v>
      </c>
      <c r="I140">
        <f t="shared" si="58"/>
        <v>1.45</v>
      </c>
      <c r="J140">
        <f t="shared" si="58"/>
        <v>1.45</v>
      </c>
      <c r="K140">
        <f t="shared" si="58"/>
        <v>1.45</v>
      </c>
      <c r="L140">
        <f t="shared" si="58"/>
        <v>1.45</v>
      </c>
      <c r="M140">
        <f t="shared" si="58"/>
        <v>1.45</v>
      </c>
    </row>
    <row r="142" spans="1:13" x14ac:dyDescent="0.25">
      <c r="A142" s="11" t="s">
        <v>114</v>
      </c>
      <c r="D142" s="36">
        <f>SUM(D126:D127)/SUM(D126:D130)</f>
        <v>0.60953375778982832</v>
      </c>
      <c r="E142" s="36">
        <f t="shared" ref="E142:M142" si="59">SUM(E126:E127)/SUM(E126:E130)</f>
        <v>0.53638564464363259</v>
      </c>
      <c r="F142" s="36">
        <f t="shared" si="59"/>
        <v>0.47614732445698144</v>
      </c>
      <c r="G142" s="36">
        <f t="shared" si="59"/>
        <v>0.4255965156810988</v>
      </c>
      <c r="H142" s="36">
        <f t="shared" si="59"/>
        <v>0.38254595022200583</v>
      </c>
      <c r="I142" s="36">
        <f t="shared" si="59"/>
        <v>0.34541415033368056</v>
      </c>
      <c r="J142" s="36">
        <f t="shared" si="59"/>
        <v>0.31302906933244429</v>
      </c>
      <c r="K142" s="36">
        <f t="shared" si="59"/>
        <v>0.28450342782257859</v>
      </c>
      <c r="L142" s="36">
        <f t="shared" si="59"/>
        <v>0.25915295553188811</v>
      </c>
      <c r="M142" s="36">
        <f t="shared" si="59"/>
        <v>0.23644124420379409</v>
      </c>
    </row>
    <row r="143" spans="1:13" x14ac:dyDescent="0.25">
      <c r="A143" s="11" t="s">
        <v>115</v>
      </c>
      <c r="D143" s="36">
        <f>SUM(D129:D130)/SUM(D126:D130)</f>
        <v>0.39046624221017173</v>
      </c>
      <c r="E143" s="36">
        <f t="shared" ref="E143:M143" si="60">SUM(E129:E130)/SUM(E126:E130)</f>
        <v>0.46361435535636747</v>
      </c>
      <c r="F143" s="36">
        <f t="shared" si="60"/>
        <v>0.52385267554301851</v>
      </c>
      <c r="G143" s="36">
        <f t="shared" si="60"/>
        <v>0.57440348431890109</v>
      </c>
      <c r="H143" s="36">
        <f t="shared" si="60"/>
        <v>0.61745404977799434</v>
      </c>
      <c r="I143" s="36">
        <f t="shared" si="60"/>
        <v>0.65458584966631939</v>
      </c>
      <c r="J143" s="36">
        <f t="shared" si="60"/>
        <v>0.68697093066755566</v>
      </c>
      <c r="K143" s="36">
        <f t="shared" si="60"/>
        <v>0.71549657217742135</v>
      </c>
      <c r="L143" s="36">
        <f t="shared" si="60"/>
        <v>0.74084704446811189</v>
      </c>
      <c r="M143" s="36">
        <f t="shared" si="60"/>
        <v>0.76355875579620602</v>
      </c>
    </row>
    <row r="145" spans="1:13" x14ac:dyDescent="0.25">
      <c r="A145" s="11" t="s">
        <v>111</v>
      </c>
      <c r="D145" s="33">
        <f>D140/(1+(1-$D$10)*(D142/D143))</f>
        <v>0.66796246977014107</v>
      </c>
      <c r="E145" s="33">
        <f t="shared" ref="E145:M145" si="61">E140/(1+(1-$D$10)*(E142/E143))</f>
        <v>0.77634603197337382</v>
      </c>
      <c r="F145" s="33">
        <f t="shared" si="61"/>
        <v>0.86222262900968316</v>
      </c>
      <c r="G145" s="33">
        <f t="shared" si="61"/>
        <v>0.93205487955270616</v>
      </c>
      <c r="H145" s="33">
        <f t="shared" si="61"/>
        <v>0.98998727818868903</v>
      </c>
      <c r="I145" s="33">
        <f t="shared" si="61"/>
        <v>1.0388585969081283</v>
      </c>
      <c r="J145" s="33">
        <f t="shared" si="61"/>
        <v>1.080678820852653</v>
      </c>
      <c r="K145" s="33">
        <f t="shared" si="61"/>
        <v>1.1169113032439315</v>
      </c>
      <c r="L145" s="33">
        <f t="shared" si="61"/>
        <v>1.1486470328342442</v>
      </c>
      <c r="M145" s="33">
        <f t="shared" si="61"/>
        <v>1.176716260055062</v>
      </c>
    </row>
    <row r="146" spans="1:13" x14ac:dyDescent="0.25">
      <c r="A146" s="11" t="s">
        <v>106</v>
      </c>
      <c r="D146" s="23">
        <v>0.12</v>
      </c>
      <c r="E146" s="23">
        <f>$D$146</f>
        <v>0.12</v>
      </c>
      <c r="F146" s="23">
        <f t="shared" ref="F146:M146" si="62">$D$146</f>
        <v>0.12</v>
      </c>
      <c r="G146" s="23">
        <f t="shared" si="62"/>
        <v>0.12</v>
      </c>
      <c r="H146" s="23">
        <f t="shared" si="62"/>
        <v>0.12</v>
      </c>
      <c r="I146" s="23">
        <f t="shared" si="62"/>
        <v>0.12</v>
      </c>
      <c r="J146" s="23">
        <f t="shared" si="62"/>
        <v>0.12</v>
      </c>
      <c r="K146" s="23">
        <f t="shared" si="62"/>
        <v>0.12</v>
      </c>
      <c r="L146" s="23">
        <f t="shared" si="62"/>
        <v>0.12</v>
      </c>
      <c r="M146" s="23">
        <f t="shared" si="62"/>
        <v>0.12</v>
      </c>
    </row>
    <row r="147" spans="1:13" x14ac:dyDescent="0.25">
      <c r="A147" s="11" t="s">
        <v>112</v>
      </c>
      <c r="D147" s="23">
        <v>0.03</v>
      </c>
      <c r="E147" s="23">
        <f>$D$147</f>
        <v>0.03</v>
      </c>
      <c r="F147" s="23">
        <f t="shared" ref="F147:M147" si="63">$D$147</f>
        <v>0.03</v>
      </c>
      <c r="G147" s="23">
        <f t="shared" si="63"/>
        <v>0.03</v>
      </c>
      <c r="H147" s="23">
        <f t="shared" si="63"/>
        <v>0.03</v>
      </c>
      <c r="I147" s="23">
        <f t="shared" si="63"/>
        <v>0.03</v>
      </c>
      <c r="J147" s="23">
        <f t="shared" si="63"/>
        <v>0.03</v>
      </c>
      <c r="K147" s="23">
        <f t="shared" si="63"/>
        <v>0.03</v>
      </c>
      <c r="L147" s="23">
        <f t="shared" si="63"/>
        <v>0.03</v>
      </c>
      <c r="M147" s="23">
        <f t="shared" si="63"/>
        <v>0.03</v>
      </c>
    </row>
    <row r="149" spans="1:13" x14ac:dyDescent="0.25">
      <c r="A149" s="11" t="s">
        <v>113</v>
      </c>
      <c r="D149" s="37">
        <f>(D142*D139)+(D143*D138)</f>
        <v>0.10655626243560019</v>
      </c>
      <c r="E149" s="37">
        <f t="shared" ref="E149:M149" si="64">(E142*E139)+(E143*E138)</f>
        <v>0.11302987044903853</v>
      </c>
      <c r="F149" s="37">
        <f t="shared" si="64"/>
        <v>0.11836096178555713</v>
      </c>
      <c r="G149" s="37">
        <f t="shared" si="64"/>
        <v>0.12283470836222274</v>
      </c>
      <c r="H149" s="37">
        <f t="shared" si="64"/>
        <v>0.12664468340535251</v>
      </c>
      <c r="I149" s="37">
        <f t="shared" si="64"/>
        <v>0.12993084769546925</v>
      </c>
      <c r="J149" s="37">
        <f t="shared" si="64"/>
        <v>0.13279692736407867</v>
      </c>
      <c r="K149" s="37">
        <f t="shared" si="64"/>
        <v>0.13532144663770179</v>
      </c>
      <c r="L149" s="37">
        <f t="shared" si="64"/>
        <v>0.1375649634354279</v>
      </c>
      <c r="M149" s="37">
        <f t="shared" si="64"/>
        <v>0.13957494988796423</v>
      </c>
    </row>
    <row r="150" spans="1:13" x14ac:dyDescent="0.25">
      <c r="A150" s="11" t="s">
        <v>118</v>
      </c>
      <c r="D150" s="37">
        <f>AVERAGE(D149:M149)</f>
        <v>0.12626156214584131</v>
      </c>
    </row>
    <row r="151" spans="1:13" x14ac:dyDescent="0.25">
      <c r="A151" s="17"/>
    </row>
    <row r="152" spans="1:13" x14ac:dyDescent="0.25">
      <c r="A152"/>
    </row>
    <row r="153" spans="1:13" x14ac:dyDescent="0.25">
      <c r="A153" s="10"/>
    </row>
    <row r="154" spans="1:13" x14ac:dyDescent="0.25">
      <c r="A154" s="10" t="s">
        <v>66</v>
      </c>
      <c r="C154">
        <v>0</v>
      </c>
      <c r="D154">
        <v>1</v>
      </c>
      <c r="E154">
        <v>2</v>
      </c>
      <c r="F154">
        <v>3</v>
      </c>
      <c r="G154">
        <v>4</v>
      </c>
      <c r="H154">
        <v>5</v>
      </c>
      <c r="I154">
        <v>6</v>
      </c>
      <c r="J154">
        <v>7</v>
      </c>
      <c r="K154">
        <v>8</v>
      </c>
      <c r="L154">
        <v>9</v>
      </c>
      <c r="M154">
        <v>10</v>
      </c>
    </row>
    <row r="155" spans="1:13" x14ac:dyDescent="0.25">
      <c r="A155" s="12" t="s">
        <v>67</v>
      </c>
      <c r="D155" s="31">
        <f>D84-SUM(D86:D90)</f>
        <v>45186.150000000023</v>
      </c>
      <c r="E155" s="31">
        <f t="shared" ref="E155:M155" si="65">E84-SUM(E86:E90)</f>
        <v>45620.911500000017</v>
      </c>
      <c r="F155" s="31">
        <f t="shared" si="65"/>
        <v>46057.740539999999</v>
      </c>
      <c r="G155" s="31">
        <f t="shared" si="65"/>
        <v>46496.623480271257</v>
      </c>
      <c r="H155" s="31">
        <f t="shared" si="65"/>
        <v>46937.546028245008</v>
      </c>
      <c r="I155" s="31">
        <f t="shared" si="65"/>
        <v>47380.493224211794</v>
      </c>
      <c r="J155" s="31">
        <f t="shared" si="65"/>
        <v>47825.449426760228</v>
      </c>
      <c r="K155" s="31">
        <f t="shared" si="65"/>
        <v>48272.398297952284</v>
      </c>
      <c r="L155" s="31">
        <f t="shared" si="65"/>
        <v>48721.322788228979</v>
      </c>
      <c r="M155" s="31">
        <f t="shared" si="65"/>
        <v>49172.205121043255</v>
      </c>
    </row>
    <row r="156" spans="1:13" x14ac:dyDescent="0.25">
      <c r="A156" s="12" t="s">
        <v>68</v>
      </c>
      <c r="D156" s="31">
        <f>D95</f>
        <v>8655.0483011937558</v>
      </c>
      <c r="E156" s="31">
        <f t="shared" ref="E156:M156" si="66">E95</f>
        <v>8655.0483011937558</v>
      </c>
      <c r="F156" s="31">
        <f t="shared" si="66"/>
        <v>8655.0483011937558</v>
      </c>
      <c r="G156" s="31">
        <f t="shared" si="66"/>
        <v>8655.0483011937558</v>
      </c>
      <c r="H156" s="31">
        <f t="shared" si="66"/>
        <v>8655.0483011937558</v>
      </c>
      <c r="I156" s="31">
        <f t="shared" si="66"/>
        <v>8655.0483011937558</v>
      </c>
      <c r="J156" s="31">
        <f t="shared" si="66"/>
        <v>8655.0483011937558</v>
      </c>
      <c r="K156" s="31">
        <f t="shared" si="66"/>
        <v>8655.0483011937558</v>
      </c>
      <c r="L156" s="31">
        <f t="shared" si="66"/>
        <v>8655.0483011937558</v>
      </c>
      <c r="M156" s="31">
        <f t="shared" si="66"/>
        <v>8655.0483011937558</v>
      </c>
    </row>
    <row r="157" spans="1:13" x14ac:dyDescent="0.25">
      <c r="A157" s="12" t="s">
        <v>69</v>
      </c>
      <c r="D157" s="31">
        <f>D155-D156</f>
        <v>36531.101698806269</v>
      </c>
      <c r="E157" s="31">
        <f t="shared" ref="E157:M157" si="67">E155-E156</f>
        <v>36965.863198806263</v>
      </c>
      <c r="F157" s="31">
        <f t="shared" si="67"/>
        <v>37402.692238806245</v>
      </c>
      <c r="G157" s="31">
        <f t="shared" si="67"/>
        <v>37841.575179077503</v>
      </c>
      <c r="H157" s="31">
        <f t="shared" si="67"/>
        <v>38282.497727051254</v>
      </c>
      <c r="I157" s="31">
        <f t="shared" si="67"/>
        <v>38725.44492301804</v>
      </c>
      <c r="J157" s="31">
        <f t="shared" si="67"/>
        <v>39170.401125566474</v>
      </c>
      <c r="K157" s="31">
        <f t="shared" si="67"/>
        <v>39617.34999675853</v>
      </c>
      <c r="L157" s="31">
        <f t="shared" si="67"/>
        <v>40066.274487035225</v>
      </c>
      <c r="M157" s="31">
        <f t="shared" si="67"/>
        <v>40517.156819849501</v>
      </c>
    </row>
    <row r="158" spans="1:13" x14ac:dyDescent="0.25">
      <c r="A158" s="12" t="s">
        <v>70</v>
      </c>
      <c r="D158" s="31">
        <f>D157*$D$10</f>
        <v>9132.7754247015673</v>
      </c>
      <c r="E158" s="31">
        <f t="shared" ref="E158:M158" si="68">E157*$D$10</f>
        <v>9241.4657997015656</v>
      </c>
      <c r="F158" s="31">
        <f t="shared" si="68"/>
        <v>9350.6730597015612</v>
      </c>
      <c r="G158" s="31">
        <f t="shared" si="68"/>
        <v>9460.3937947693757</v>
      </c>
      <c r="H158" s="31">
        <f t="shared" si="68"/>
        <v>9570.6244317628134</v>
      </c>
      <c r="I158" s="31">
        <f t="shared" si="68"/>
        <v>9681.36123075451</v>
      </c>
      <c r="J158" s="31">
        <f t="shared" si="68"/>
        <v>9792.6002813916184</v>
      </c>
      <c r="K158" s="31">
        <f t="shared" si="68"/>
        <v>9904.3374991896326</v>
      </c>
      <c r="L158" s="31">
        <f t="shared" si="68"/>
        <v>10016.568621758806</v>
      </c>
      <c r="M158" s="31">
        <f t="shared" si="68"/>
        <v>10129.289204962375</v>
      </c>
    </row>
    <row r="159" spans="1:13" x14ac:dyDescent="0.25">
      <c r="A159" s="12" t="s">
        <v>71</v>
      </c>
      <c r="D159" s="31">
        <f>D157-D158</f>
        <v>27398.3262741047</v>
      </c>
      <c r="E159" s="31">
        <f t="shared" ref="E159:M159" si="69">E157-E158</f>
        <v>27724.397399104695</v>
      </c>
      <c r="F159" s="31">
        <f t="shared" si="69"/>
        <v>28052.019179104682</v>
      </c>
      <c r="G159" s="31">
        <f t="shared" si="69"/>
        <v>28381.181384308125</v>
      </c>
      <c r="H159" s="31">
        <f t="shared" si="69"/>
        <v>28711.873295288438</v>
      </c>
      <c r="I159" s="31">
        <f t="shared" si="69"/>
        <v>29044.083692263528</v>
      </c>
      <c r="J159" s="31">
        <f t="shared" si="69"/>
        <v>29377.800844174853</v>
      </c>
      <c r="K159" s="31">
        <f t="shared" si="69"/>
        <v>29713.012497568896</v>
      </c>
      <c r="L159" s="31">
        <f t="shared" si="69"/>
        <v>30049.705865276417</v>
      </c>
      <c r="M159" s="31">
        <f t="shared" si="69"/>
        <v>30387.867614887124</v>
      </c>
    </row>
    <row r="160" spans="1:13" x14ac:dyDescent="0.25">
      <c r="A160" s="12" t="s">
        <v>72</v>
      </c>
      <c r="D160" s="31">
        <f>D156</f>
        <v>8655.0483011937558</v>
      </c>
      <c r="E160" s="31">
        <f t="shared" ref="E160:M160" si="70">E156</f>
        <v>8655.0483011937558</v>
      </c>
      <c r="F160" s="31">
        <f t="shared" si="70"/>
        <v>8655.0483011937558</v>
      </c>
      <c r="G160" s="31">
        <f t="shared" si="70"/>
        <v>8655.0483011937558</v>
      </c>
      <c r="H160" s="31">
        <f t="shared" si="70"/>
        <v>8655.0483011937558</v>
      </c>
      <c r="I160" s="31">
        <f t="shared" si="70"/>
        <v>8655.0483011937558</v>
      </c>
      <c r="J160" s="31">
        <f t="shared" si="70"/>
        <v>8655.0483011937558</v>
      </c>
      <c r="K160" s="31">
        <f t="shared" si="70"/>
        <v>8655.0483011937558</v>
      </c>
      <c r="L160" s="31">
        <f t="shared" si="70"/>
        <v>8655.0483011937558</v>
      </c>
      <c r="M160" s="31">
        <f t="shared" si="70"/>
        <v>8655.0483011937558</v>
      </c>
    </row>
    <row r="161" spans="1:15" ht="15.75" thickBot="1" x14ac:dyDescent="0.3">
      <c r="A161" s="18" t="s">
        <v>107</v>
      </c>
      <c r="D161" s="38">
        <f>D159+D160</f>
        <v>36053.374575298454</v>
      </c>
      <c r="E161" s="38">
        <f t="shared" ref="E161:M161" si="71">E159+E160</f>
        <v>36379.445700298449</v>
      </c>
      <c r="F161" s="38">
        <f t="shared" si="71"/>
        <v>36707.067480298436</v>
      </c>
      <c r="G161" s="38">
        <f t="shared" si="71"/>
        <v>37036.229685501879</v>
      </c>
      <c r="H161" s="38">
        <f t="shared" si="71"/>
        <v>37366.921596482192</v>
      </c>
      <c r="I161" s="38">
        <f t="shared" si="71"/>
        <v>37699.131993457282</v>
      </c>
      <c r="J161" s="38">
        <f t="shared" si="71"/>
        <v>38032.849145368607</v>
      </c>
      <c r="K161" s="38">
        <f t="shared" si="71"/>
        <v>38368.06079876265</v>
      </c>
      <c r="L161" s="38">
        <f t="shared" si="71"/>
        <v>38704.754166470171</v>
      </c>
      <c r="M161" s="38">
        <f t="shared" si="71"/>
        <v>39042.915916080878</v>
      </c>
    </row>
    <row r="162" spans="1:15" ht="15.75" thickTop="1" x14ac:dyDescent="0.25"/>
    <row r="163" spans="1:15" x14ac:dyDescent="0.25">
      <c r="A163" s="10" t="s">
        <v>73</v>
      </c>
    </row>
    <row r="164" spans="1:15" x14ac:dyDescent="0.25">
      <c r="A164" s="10"/>
    </row>
    <row r="165" spans="1:15" x14ac:dyDescent="0.25">
      <c r="A165" s="19" t="s">
        <v>74</v>
      </c>
      <c r="C165" s="30">
        <f>-D112</f>
        <v>-15751.999999999998</v>
      </c>
      <c r="N165" t="s">
        <v>81</v>
      </c>
      <c r="O165" s="30">
        <f>M112-M114</f>
        <v>10501.333333333332</v>
      </c>
    </row>
    <row r="166" spans="1:15" x14ac:dyDescent="0.25">
      <c r="A166" s="12" t="s">
        <v>121</v>
      </c>
      <c r="M166" s="30">
        <f>O165*O166</f>
        <v>12076.533333333331</v>
      </c>
      <c r="N166" t="s">
        <v>152</v>
      </c>
      <c r="O166" s="23">
        <v>1.1499999999999999</v>
      </c>
    </row>
    <row r="167" spans="1:15" x14ac:dyDescent="0.25">
      <c r="A167" s="19" t="s">
        <v>119</v>
      </c>
      <c r="C167" s="29">
        <f>-D110-D111</f>
        <v>-33000</v>
      </c>
      <c r="N167" t="s">
        <v>81</v>
      </c>
      <c r="O167" s="29">
        <v>0</v>
      </c>
    </row>
    <row r="168" spans="1:15" x14ac:dyDescent="0.25">
      <c r="A168" s="19" t="s">
        <v>122</v>
      </c>
      <c r="M168" s="29">
        <f>O167*O168</f>
        <v>0</v>
      </c>
      <c r="N168" t="s">
        <v>152</v>
      </c>
      <c r="O168" s="23"/>
    </row>
    <row r="169" spans="1:15" x14ac:dyDescent="0.25">
      <c r="A169" s="12" t="s">
        <v>120</v>
      </c>
      <c r="C169" s="30">
        <f>-D113</f>
        <v>-30599.632690541781</v>
      </c>
      <c r="N169" t="s">
        <v>81</v>
      </c>
      <c r="O169" s="30">
        <f>M113-M116</f>
        <v>15299.816345270894</v>
      </c>
    </row>
    <row r="170" spans="1:15" x14ac:dyDescent="0.25">
      <c r="A170" s="12" t="s">
        <v>123</v>
      </c>
      <c r="M170" s="30">
        <f>O169*O170</f>
        <v>16829.797979797986</v>
      </c>
      <c r="N170" t="s">
        <v>152</v>
      </c>
      <c r="O170" s="23">
        <v>1.1000000000000001</v>
      </c>
    </row>
    <row r="171" spans="1:15" x14ac:dyDescent="0.25">
      <c r="A171" s="12" t="s">
        <v>124</v>
      </c>
      <c r="M171" s="30">
        <f>-((M166-O165)+(M168-O167)+(M170-O169))*D10</f>
        <v>-776.29540863177272</v>
      </c>
    </row>
    <row r="172" spans="1:15" x14ac:dyDescent="0.25">
      <c r="A172" s="12" t="s">
        <v>128</v>
      </c>
      <c r="D172" s="30">
        <f>C165*0.5</f>
        <v>-7875.9999999999991</v>
      </c>
      <c r="M172" s="30"/>
    </row>
    <row r="173" spans="1:15" x14ac:dyDescent="0.25">
      <c r="A173" s="12" t="s">
        <v>183</v>
      </c>
      <c r="D173" s="30"/>
      <c r="H173">
        <f>-115000</f>
        <v>-115000</v>
      </c>
      <c r="M173" s="30"/>
    </row>
    <row r="174" spans="1:15" x14ac:dyDescent="0.25">
      <c r="A174" s="12" t="s">
        <v>153</v>
      </c>
      <c r="D174" s="30">
        <v>-50000</v>
      </c>
      <c r="M174" s="30"/>
    </row>
    <row r="175" spans="1:15" x14ac:dyDescent="0.25">
      <c r="A175" s="12" t="s">
        <v>154</v>
      </c>
      <c r="D175" s="29">
        <f>-(15*$D$55)-(15*$D$56)</f>
        <v>-33000</v>
      </c>
      <c r="M175" s="30"/>
    </row>
    <row r="176" spans="1:15" x14ac:dyDescent="0.25">
      <c r="A176" s="12" t="s">
        <v>173</v>
      </c>
      <c r="C176" s="30">
        <f>SUM(C165:C175)</f>
        <v>-79351.632690541781</v>
      </c>
      <c r="D176" s="30">
        <f t="shared" ref="D176:M176" si="72">SUM(D165:D175)</f>
        <v>-90876</v>
      </c>
      <c r="E176" s="30">
        <f t="shared" si="72"/>
        <v>0</v>
      </c>
      <c r="F176" s="30">
        <f t="shared" si="72"/>
        <v>0</v>
      </c>
      <c r="G176" s="30">
        <f t="shared" si="72"/>
        <v>0</v>
      </c>
      <c r="H176" s="30">
        <f t="shared" si="72"/>
        <v>-115000</v>
      </c>
      <c r="I176" s="30">
        <f t="shared" si="72"/>
        <v>0</v>
      </c>
      <c r="J176" s="30">
        <f t="shared" si="72"/>
        <v>0</v>
      </c>
      <c r="K176" s="30">
        <f t="shared" si="72"/>
        <v>0</v>
      </c>
      <c r="L176" s="30">
        <f t="shared" si="72"/>
        <v>0</v>
      </c>
      <c r="M176" s="30">
        <f t="shared" si="72"/>
        <v>28130.035904499546</v>
      </c>
    </row>
    <row r="177" spans="1:13" x14ac:dyDescent="0.25">
      <c r="A177" s="10" t="s">
        <v>75</v>
      </c>
    </row>
    <row r="178" spans="1:13" x14ac:dyDescent="0.25">
      <c r="A178" s="12" t="s">
        <v>5</v>
      </c>
      <c r="D178" s="24">
        <f>D109-C109</f>
        <v>0</v>
      </c>
      <c r="E178" s="24">
        <f t="shared" ref="E178:M178" si="73">E109-D109</f>
        <v>0</v>
      </c>
      <c r="F178" s="24">
        <f t="shared" si="73"/>
        <v>0</v>
      </c>
      <c r="G178" s="24">
        <f t="shared" si="73"/>
        <v>0</v>
      </c>
      <c r="H178" s="24">
        <f t="shared" si="73"/>
        <v>0</v>
      </c>
      <c r="I178" s="24">
        <f t="shared" si="73"/>
        <v>0</v>
      </c>
      <c r="J178" s="24">
        <f t="shared" si="73"/>
        <v>0</v>
      </c>
      <c r="K178" s="24">
        <f t="shared" si="73"/>
        <v>0</v>
      </c>
      <c r="L178" s="24">
        <f t="shared" si="73"/>
        <v>0</v>
      </c>
      <c r="M178" s="24">
        <f t="shared" si="73"/>
        <v>0</v>
      </c>
    </row>
    <row r="179" spans="1:13" x14ac:dyDescent="0.25">
      <c r="A179" s="12" t="s">
        <v>108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</row>
    <row r="180" spans="1:13" x14ac:dyDescent="0.25">
      <c r="A180" s="12" t="s">
        <v>109</v>
      </c>
      <c r="D180" s="31">
        <f>D122+D124-C122-C124</f>
        <v>4840.7285714285717</v>
      </c>
      <c r="E180" s="31">
        <f t="shared" ref="E180:M180" si="74">E122+E124-D122-D124</f>
        <v>49.20528571428531</v>
      </c>
      <c r="F180" s="31">
        <f t="shared" si="74"/>
        <v>49.803742071429042</v>
      </c>
      <c r="G180" s="31">
        <f t="shared" si="74"/>
        <v>50.409784364817369</v>
      </c>
      <c r="H180" s="31">
        <f t="shared" si="74"/>
        <v>51.023512554474109</v>
      </c>
      <c r="I180" s="31">
        <f t="shared" si="74"/>
        <v>51.645027962737458</v>
      </c>
      <c r="J180" s="31">
        <f t="shared" si="74"/>
        <v>52.274433293333004</v>
      </c>
      <c r="K180" s="31">
        <f t="shared" si="74"/>
        <v>52.911832650755514</v>
      </c>
      <c r="L180" s="31">
        <f t="shared" si="74"/>
        <v>53.557331559869908</v>
      </c>
      <c r="M180" s="31">
        <f t="shared" si="74"/>
        <v>54.211036985843293</v>
      </c>
    </row>
    <row r="181" spans="1:13" x14ac:dyDescent="0.25">
      <c r="A181" s="12" t="s">
        <v>10</v>
      </c>
      <c r="D181" s="31">
        <f>D158-C158</f>
        <v>9132.7754247015673</v>
      </c>
      <c r="E181" s="31">
        <f t="shared" ref="E181:M181" si="75">E158-D158</f>
        <v>108.69037499999831</v>
      </c>
      <c r="F181" s="31">
        <f t="shared" si="75"/>
        <v>109.20725999999559</v>
      </c>
      <c r="G181" s="31">
        <f t="shared" si="75"/>
        <v>109.72073506781453</v>
      </c>
      <c r="H181" s="31">
        <f t="shared" si="75"/>
        <v>110.23063699343766</v>
      </c>
      <c r="I181" s="31">
        <f t="shared" si="75"/>
        <v>110.73679899169656</v>
      </c>
      <c r="J181" s="31">
        <f t="shared" si="75"/>
        <v>111.23905063710845</v>
      </c>
      <c r="K181" s="31">
        <f t="shared" si="75"/>
        <v>111.73721779801417</v>
      </c>
      <c r="L181" s="31">
        <f t="shared" si="75"/>
        <v>112.23112256917375</v>
      </c>
      <c r="M181" s="31">
        <f t="shared" si="75"/>
        <v>112.72058320356882</v>
      </c>
    </row>
    <row r="182" spans="1:13" x14ac:dyDescent="0.25">
      <c r="A182" s="12" t="s">
        <v>173</v>
      </c>
      <c r="C182" s="1">
        <f>SUM(C178:C181)</f>
        <v>0</v>
      </c>
      <c r="D182" s="1">
        <f t="shared" ref="D182:M182" si="76">SUM(D178:D181)</f>
        <v>13973.503996130139</v>
      </c>
      <c r="E182" s="1">
        <f t="shared" si="76"/>
        <v>157.89566071428362</v>
      </c>
      <c r="F182" s="1">
        <f t="shared" si="76"/>
        <v>159.01100207142463</v>
      </c>
      <c r="G182" s="1">
        <f t="shared" si="76"/>
        <v>160.1305194326319</v>
      </c>
      <c r="H182" s="1">
        <f t="shared" si="76"/>
        <v>161.25414954791177</v>
      </c>
      <c r="I182" s="1">
        <f t="shared" si="76"/>
        <v>162.38182695443402</v>
      </c>
      <c r="J182" s="1">
        <f t="shared" si="76"/>
        <v>163.51348393044145</v>
      </c>
      <c r="K182" s="1">
        <f t="shared" si="76"/>
        <v>164.64905044876969</v>
      </c>
      <c r="L182" s="1">
        <f t="shared" si="76"/>
        <v>165.78845412904366</v>
      </c>
      <c r="M182" s="1">
        <f t="shared" si="76"/>
        <v>166.93162018941211</v>
      </c>
    </row>
    <row r="183" spans="1:13" x14ac:dyDescent="0.25">
      <c r="A183" s="10" t="s">
        <v>76</v>
      </c>
    </row>
    <row r="184" spans="1:13" x14ac:dyDescent="0.25">
      <c r="A184" s="12" t="s">
        <v>5</v>
      </c>
      <c r="M184" s="24">
        <f>M109</f>
        <v>0</v>
      </c>
    </row>
    <row r="185" spans="1:13" x14ac:dyDescent="0.25">
      <c r="A185" s="12" t="s">
        <v>108</v>
      </c>
      <c r="M185">
        <v>0</v>
      </c>
    </row>
    <row r="186" spans="1:13" x14ac:dyDescent="0.25">
      <c r="A186" s="12" t="s">
        <v>109</v>
      </c>
      <c r="M186" s="31">
        <f>-(M122+M124)</f>
        <v>-5305.7705585861158</v>
      </c>
    </row>
    <row r="187" spans="1:13" x14ac:dyDescent="0.25">
      <c r="A187" s="12" t="s">
        <v>10</v>
      </c>
      <c r="M187" s="31">
        <f>-M102</f>
        <v>-4929.5834399002488</v>
      </c>
    </row>
    <row r="188" spans="1:13" x14ac:dyDescent="0.25">
      <c r="A188" s="12" t="s">
        <v>173</v>
      </c>
      <c r="C188" s="1">
        <f>SUM(C184:C187)</f>
        <v>0</v>
      </c>
      <c r="D188" s="1">
        <f t="shared" ref="D188:M188" si="77">SUM(D184:D187)</f>
        <v>0</v>
      </c>
      <c r="E188" s="1">
        <f t="shared" si="77"/>
        <v>0</v>
      </c>
      <c r="F188" s="1">
        <f t="shared" si="77"/>
        <v>0</v>
      </c>
      <c r="G188" s="1">
        <f t="shared" si="77"/>
        <v>0</v>
      </c>
      <c r="H188" s="1">
        <f t="shared" si="77"/>
        <v>0</v>
      </c>
      <c r="I188" s="1">
        <f t="shared" si="77"/>
        <v>0</v>
      </c>
      <c r="J188" s="1">
        <f t="shared" si="77"/>
        <v>0</v>
      </c>
      <c r="K188" s="1">
        <f t="shared" si="77"/>
        <v>0</v>
      </c>
      <c r="L188" s="1">
        <f t="shared" si="77"/>
        <v>0</v>
      </c>
      <c r="M188" s="1">
        <f t="shared" si="77"/>
        <v>-10235.353998486364</v>
      </c>
    </row>
    <row r="189" spans="1:13" x14ac:dyDescent="0.25">
      <c r="A189" s="11" t="s">
        <v>77</v>
      </c>
      <c r="C189" s="25">
        <f>SUM(C161:C175)+SUM(C178:C181)+SUM(C184:C187)</f>
        <v>-79351.632690541781</v>
      </c>
      <c r="D189" s="25">
        <f t="shared" ref="D189:M189" si="78">SUM(D161:D175)+SUM(D178:D181)+SUM(D184:D187)</f>
        <v>-40849.121428571409</v>
      </c>
      <c r="E189" s="25">
        <f t="shared" si="78"/>
        <v>36537.341361012732</v>
      </c>
      <c r="F189" s="25">
        <f t="shared" si="78"/>
        <v>36866.078482369863</v>
      </c>
      <c r="G189" s="25">
        <f t="shared" si="78"/>
        <v>37196.360204934514</v>
      </c>
      <c r="H189" s="25">
        <f t="shared" si="78"/>
        <v>-77471.824253969899</v>
      </c>
      <c r="I189" s="25">
        <f t="shared" si="78"/>
        <v>37861.513820411717</v>
      </c>
      <c r="J189" s="25">
        <f t="shared" si="78"/>
        <v>38196.362629299052</v>
      </c>
      <c r="K189" s="25">
        <f t="shared" si="78"/>
        <v>38532.709849211416</v>
      </c>
      <c r="L189" s="25">
        <f t="shared" si="78"/>
        <v>38870.542620599212</v>
      </c>
      <c r="M189" s="25">
        <f t="shared" si="78"/>
        <v>57104.52944228347</v>
      </c>
    </row>
    <row r="190" spans="1:13" x14ac:dyDescent="0.25">
      <c r="A190" s="11" t="s">
        <v>78</v>
      </c>
      <c r="C190" s="30">
        <f>-PV($D$150,C154,,C189)</f>
        <v>-79351.632690541781</v>
      </c>
      <c r="D190" s="30">
        <f t="shared" ref="D190:M190" si="79">-PV($D$150,D154,,D189)</f>
        <v>-36269.657778911031</v>
      </c>
      <c r="E190" s="30">
        <f t="shared" si="79"/>
        <v>28804.372447937109</v>
      </c>
      <c r="F190" s="30">
        <f t="shared" si="79"/>
        <v>25805.3144743989</v>
      </c>
      <c r="G190" s="30">
        <f t="shared" si="79"/>
        <v>23117.63459725523</v>
      </c>
      <c r="H190" s="30">
        <f t="shared" si="79"/>
        <v>-42751.117377347029</v>
      </c>
      <c r="I190" s="30">
        <f t="shared" si="79"/>
        <v>18550.789596736518</v>
      </c>
      <c r="J190" s="30">
        <f t="shared" si="79"/>
        <v>16616.79150155832</v>
      </c>
      <c r="K190" s="30">
        <f t="shared" si="79"/>
        <v>14883.855760144446</v>
      </c>
      <c r="L190" s="30">
        <f t="shared" si="79"/>
        <v>13331.138523423129</v>
      </c>
      <c r="M190" s="30">
        <f t="shared" si="79"/>
        <v>17389.133137822177</v>
      </c>
    </row>
    <row r="192" spans="1:13" x14ac:dyDescent="0.25">
      <c r="A192" s="11" t="s">
        <v>79</v>
      </c>
      <c r="C192" s="30">
        <f>SUM(C190:M190)</f>
        <v>126.6221924759775</v>
      </c>
    </row>
    <row r="193" spans="1:3" x14ac:dyDescent="0.25">
      <c r="A193" s="11" t="s">
        <v>80</v>
      </c>
      <c r="C193" s="37">
        <f>IRR(C189:M189)</f>
        <v>0.12649251920442972</v>
      </c>
    </row>
  </sheetData>
  <pageMargins left="0.7" right="0.7" top="0.75" bottom="0.75" header="0.3" footer="0.3"/>
  <pageSetup scale="3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opLeftCell="A158" zoomScale="70" zoomScaleNormal="70" workbookViewId="0">
      <selection activeCell="A176" sqref="A176"/>
    </sheetView>
  </sheetViews>
  <sheetFormatPr defaultRowHeight="15" x14ac:dyDescent="0.25"/>
  <cols>
    <col min="1" max="1" width="45.42578125" style="11" bestFit="1" customWidth="1"/>
    <col min="2" max="2" width="32.85546875" bestFit="1" customWidth="1"/>
    <col min="3" max="3" width="11.7109375" bestFit="1" customWidth="1"/>
    <col min="4" max="4" width="14.42578125" bestFit="1" customWidth="1"/>
    <col min="5" max="5" width="12.7109375" bestFit="1" customWidth="1"/>
    <col min="6" max="6" width="12.85546875" bestFit="1" customWidth="1"/>
    <col min="7" max="7" width="12.7109375" bestFit="1" customWidth="1"/>
    <col min="8" max="13" width="13.5703125" bestFit="1" customWidth="1"/>
    <col min="14" max="14" width="11.42578125" bestFit="1" customWidth="1"/>
    <col min="15" max="15" width="10.85546875" bestFit="1" customWidth="1"/>
  </cols>
  <sheetData>
    <row r="1" spans="1:13" x14ac:dyDescent="0.25">
      <c r="A1" s="10" t="s">
        <v>24</v>
      </c>
    </row>
    <row r="2" spans="1:13" x14ac:dyDescent="0.25">
      <c r="D2">
        <v>2013</v>
      </c>
      <c r="E2">
        <v>2014</v>
      </c>
      <c r="F2">
        <v>2015</v>
      </c>
      <c r="G2">
        <v>2016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</row>
    <row r="3" spans="1:13" x14ac:dyDescent="0.25">
      <c r="A3" s="10" t="s">
        <v>0</v>
      </c>
    </row>
    <row r="4" spans="1:13" x14ac:dyDescent="0.25">
      <c r="A4" s="11" t="s">
        <v>48</v>
      </c>
      <c r="D4" s="25">
        <v>8</v>
      </c>
      <c r="E4" s="24">
        <f t="shared" ref="E4:M7" si="0">D4*(1+$D$9)</f>
        <v>8.08</v>
      </c>
      <c r="F4" s="24">
        <f t="shared" si="0"/>
        <v>8.1608000000000001</v>
      </c>
      <c r="G4" s="24">
        <f t="shared" si="0"/>
        <v>8.2424079999999993</v>
      </c>
      <c r="H4" s="24">
        <f t="shared" si="0"/>
        <v>8.3248320800000002</v>
      </c>
      <c r="I4" s="24">
        <f t="shared" si="0"/>
        <v>8.4080804007999994</v>
      </c>
      <c r="J4" s="24">
        <f t="shared" si="0"/>
        <v>8.4921612048079993</v>
      </c>
      <c r="K4" s="24">
        <f t="shared" si="0"/>
        <v>8.5770828168560787</v>
      </c>
      <c r="L4" s="24">
        <f t="shared" si="0"/>
        <v>8.6628536450246401</v>
      </c>
      <c r="M4" s="24">
        <f t="shared" si="0"/>
        <v>8.7494821814748871</v>
      </c>
    </row>
    <row r="5" spans="1:13" x14ac:dyDescent="0.25">
      <c r="A5" s="11" t="s">
        <v>49</v>
      </c>
      <c r="C5" s="23"/>
      <c r="D5" s="25">
        <v>60</v>
      </c>
      <c r="E5" s="24">
        <f t="shared" si="0"/>
        <v>60.6</v>
      </c>
      <c r="F5" s="24">
        <f t="shared" si="0"/>
        <v>61.206000000000003</v>
      </c>
      <c r="G5" s="24">
        <f t="shared" si="0"/>
        <v>61.818060000000003</v>
      </c>
      <c r="H5" s="24">
        <f t="shared" si="0"/>
        <v>62.436240600000005</v>
      </c>
      <c r="I5" s="24">
        <f t="shared" si="0"/>
        <v>63.060603006000008</v>
      </c>
      <c r="J5" s="24">
        <f t="shared" si="0"/>
        <v>63.691209036060009</v>
      </c>
      <c r="K5" s="24">
        <f t="shared" si="0"/>
        <v>64.328121126420612</v>
      </c>
      <c r="L5" s="24">
        <f t="shared" si="0"/>
        <v>64.971402337684822</v>
      </c>
      <c r="M5" s="24">
        <f t="shared" si="0"/>
        <v>65.621116361061667</v>
      </c>
    </row>
    <row r="6" spans="1:13" x14ac:dyDescent="0.25">
      <c r="A6" s="11" t="s">
        <v>50</v>
      </c>
      <c r="C6" s="23"/>
      <c r="D6" s="25">
        <v>5</v>
      </c>
      <c r="E6" s="24">
        <f t="shared" si="0"/>
        <v>5.05</v>
      </c>
      <c r="F6" s="24">
        <f t="shared" si="0"/>
        <v>5.1005000000000003</v>
      </c>
      <c r="G6" s="24">
        <f t="shared" si="0"/>
        <v>5.1515050000000002</v>
      </c>
      <c r="H6" s="24">
        <f t="shared" si="0"/>
        <v>5.2030200500000001</v>
      </c>
      <c r="I6" s="24">
        <f t="shared" si="0"/>
        <v>5.2550502505000001</v>
      </c>
      <c r="J6" s="24">
        <f t="shared" si="0"/>
        <v>5.3076007530050004</v>
      </c>
      <c r="K6" s="24">
        <f t="shared" si="0"/>
        <v>5.3606767605350507</v>
      </c>
      <c r="L6" s="24">
        <f t="shared" si="0"/>
        <v>5.4142835281404009</v>
      </c>
      <c r="M6" s="24">
        <f t="shared" si="0"/>
        <v>5.4684263634218047</v>
      </c>
    </row>
    <row r="7" spans="1:13" x14ac:dyDescent="0.25">
      <c r="A7" s="11" t="s">
        <v>51</v>
      </c>
      <c r="C7" s="23"/>
      <c r="D7" s="25">
        <v>25</v>
      </c>
      <c r="E7" s="24">
        <f t="shared" si="0"/>
        <v>25.25</v>
      </c>
      <c r="F7" s="24">
        <f t="shared" si="0"/>
        <v>25.502500000000001</v>
      </c>
      <c r="G7" s="24">
        <f t="shared" si="0"/>
        <v>25.757525000000001</v>
      </c>
      <c r="H7" s="24">
        <f t="shared" si="0"/>
        <v>26.01510025</v>
      </c>
      <c r="I7" s="24">
        <f t="shared" si="0"/>
        <v>26.275251252499999</v>
      </c>
      <c r="J7" s="24">
        <f t="shared" si="0"/>
        <v>26.538003765025</v>
      </c>
      <c r="K7" s="24">
        <f t="shared" si="0"/>
        <v>26.803383802675249</v>
      </c>
      <c r="L7" s="24">
        <f t="shared" si="0"/>
        <v>27.071417640702002</v>
      </c>
      <c r="M7" s="24">
        <f t="shared" si="0"/>
        <v>27.342131817109021</v>
      </c>
    </row>
    <row r="8" spans="1:13" x14ac:dyDescent="0.25">
      <c r="C8" s="23"/>
      <c r="D8" s="25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11" t="s">
        <v>105</v>
      </c>
      <c r="C9" s="23"/>
      <c r="D9" s="23">
        <v>0.01</v>
      </c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11" t="s">
        <v>149</v>
      </c>
      <c r="C10" s="23"/>
      <c r="D10" s="23">
        <v>0.25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25">
      <c r="A11" s="11" t="s">
        <v>148</v>
      </c>
      <c r="C11" s="23"/>
      <c r="D11" s="23">
        <v>0.12</v>
      </c>
      <c r="E11" s="24"/>
      <c r="F11" s="24"/>
      <c r="G11" s="24"/>
      <c r="H11" s="24"/>
      <c r="I11" s="24"/>
      <c r="J11" s="24"/>
      <c r="K11" s="24"/>
      <c r="L11" s="24"/>
      <c r="M11" s="24"/>
    </row>
    <row r="13" spans="1:13" x14ac:dyDescent="0.25">
      <c r="A13" s="11" t="s">
        <v>47</v>
      </c>
      <c r="C13" s="23"/>
      <c r="D13" s="25">
        <v>300</v>
      </c>
      <c r="E13" s="24">
        <f t="shared" ref="E13:M15" si="1">D13*(1+$D$9)</f>
        <v>303</v>
      </c>
      <c r="F13" s="24">
        <f t="shared" si="1"/>
        <v>306.03000000000003</v>
      </c>
      <c r="G13" s="24">
        <f t="shared" si="1"/>
        <v>309.09030000000001</v>
      </c>
      <c r="H13" s="24">
        <f t="shared" si="1"/>
        <v>312.18120300000004</v>
      </c>
      <c r="I13" s="24">
        <f t="shared" si="1"/>
        <v>315.30301503000004</v>
      </c>
      <c r="J13" s="24">
        <f t="shared" si="1"/>
        <v>318.45604518030007</v>
      </c>
      <c r="K13" s="24">
        <f t="shared" si="1"/>
        <v>321.64060563210307</v>
      </c>
      <c r="L13" s="24">
        <f t="shared" si="1"/>
        <v>324.85701168842411</v>
      </c>
      <c r="M13" s="24">
        <f t="shared" si="1"/>
        <v>328.10558180530836</v>
      </c>
    </row>
    <row r="14" spans="1:13" x14ac:dyDescent="0.25">
      <c r="A14" s="11" t="s">
        <v>52</v>
      </c>
      <c r="D14" s="25">
        <v>150</v>
      </c>
      <c r="E14" s="24">
        <f t="shared" si="1"/>
        <v>151.5</v>
      </c>
      <c r="F14" s="24">
        <f t="shared" si="1"/>
        <v>153.01500000000001</v>
      </c>
      <c r="G14" s="24">
        <f t="shared" si="1"/>
        <v>154.54515000000001</v>
      </c>
      <c r="H14" s="24">
        <f t="shared" si="1"/>
        <v>156.09060150000002</v>
      </c>
      <c r="I14" s="24">
        <f t="shared" si="1"/>
        <v>157.65150751500002</v>
      </c>
      <c r="J14" s="24">
        <f t="shared" si="1"/>
        <v>159.22802259015003</v>
      </c>
      <c r="K14" s="24">
        <f t="shared" si="1"/>
        <v>160.82030281605154</v>
      </c>
      <c r="L14" s="24">
        <f t="shared" si="1"/>
        <v>162.42850584421205</v>
      </c>
      <c r="M14" s="24">
        <f t="shared" si="1"/>
        <v>164.05279090265418</v>
      </c>
    </row>
    <row r="15" spans="1:13" x14ac:dyDescent="0.25">
      <c r="A15" s="11" t="s">
        <v>54</v>
      </c>
      <c r="D15" s="25">
        <v>50</v>
      </c>
      <c r="E15" s="24">
        <f t="shared" si="1"/>
        <v>50.5</v>
      </c>
      <c r="F15" s="24">
        <f t="shared" si="1"/>
        <v>51.005000000000003</v>
      </c>
      <c r="G15" s="24">
        <f t="shared" si="1"/>
        <v>51.515050000000002</v>
      </c>
      <c r="H15" s="24">
        <f t="shared" si="1"/>
        <v>52.030200499999999</v>
      </c>
      <c r="I15" s="24">
        <f t="shared" si="1"/>
        <v>52.550502504999997</v>
      </c>
      <c r="J15" s="24">
        <f t="shared" si="1"/>
        <v>53.076007530049999</v>
      </c>
      <c r="K15" s="24">
        <f t="shared" si="1"/>
        <v>53.606767605350498</v>
      </c>
      <c r="L15" s="24">
        <f t="shared" si="1"/>
        <v>54.142835281404004</v>
      </c>
      <c r="M15" s="24">
        <f t="shared" si="1"/>
        <v>54.684263634218041</v>
      </c>
    </row>
    <row r="17" spans="1:13" x14ac:dyDescent="0.25">
      <c r="A17" s="11" t="s">
        <v>53</v>
      </c>
      <c r="D17" s="26">
        <f>$D$32*$D$33*D34</f>
        <v>28</v>
      </c>
      <c r="E17" s="26">
        <f t="shared" ref="E17:M17" si="2">$D$32*$D$33*E34</f>
        <v>28</v>
      </c>
      <c r="F17" s="26">
        <f t="shared" si="2"/>
        <v>28</v>
      </c>
      <c r="G17" s="26">
        <f t="shared" si="2"/>
        <v>28</v>
      </c>
      <c r="H17" s="26">
        <f t="shared" si="2"/>
        <v>28</v>
      </c>
      <c r="I17" s="26">
        <f t="shared" si="2"/>
        <v>28</v>
      </c>
      <c r="J17" s="26">
        <f t="shared" si="2"/>
        <v>28</v>
      </c>
      <c r="K17" s="26">
        <f t="shared" si="2"/>
        <v>28</v>
      </c>
      <c r="L17" s="26">
        <f t="shared" si="2"/>
        <v>28</v>
      </c>
      <c r="M17" s="26">
        <f t="shared" si="2"/>
        <v>28</v>
      </c>
    </row>
    <row r="18" spans="1:13" x14ac:dyDescent="0.25">
      <c r="A18" s="11" t="s">
        <v>101</v>
      </c>
      <c r="D18" s="27">
        <f>D17*0.5</f>
        <v>14</v>
      </c>
      <c r="E18" s="27">
        <f t="shared" ref="E18:M18" si="3">E17*0.5</f>
        <v>14</v>
      </c>
      <c r="F18" s="27">
        <f t="shared" si="3"/>
        <v>14</v>
      </c>
      <c r="G18" s="27">
        <f t="shared" si="3"/>
        <v>14</v>
      </c>
      <c r="H18" s="27">
        <f t="shared" si="3"/>
        <v>14</v>
      </c>
      <c r="I18" s="27">
        <f t="shared" si="3"/>
        <v>14</v>
      </c>
      <c r="J18" s="27">
        <f t="shared" si="3"/>
        <v>14</v>
      </c>
      <c r="K18" s="27">
        <f t="shared" si="3"/>
        <v>14</v>
      </c>
      <c r="L18" s="27">
        <f t="shared" si="3"/>
        <v>14</v>
      </c>
      <c r="M18" s="27">
        <f t="shared" si="3"/>
        <v>14</v>
      </c>
    </row>
    <row r="19" spans="1:13" x14ac:dyDescent="0.25">
      <c r="A19" s="11" t="s">
        <v>102</v>
      </c>
      <c r="D19" s="27">
        <f>D17-D18</f>
        <v>14</v>
      </c>
      <c r="E19" s="27">
        <f t="shared" ref="E19:M19" si="4">E17-E18</f>
        <v>14</v>
      </c>
      <c r="F19" s="27">
        <f t="shared" si="4"/>
        <v>14</v>
      </c>
      <c r="G19" s="27">
        <f t="shared" si="4"/>
        <v>14</v>
      </c>
      <c r="H19" s="27">
        <f t="shared" si="4"/>
        <v>14</v>
      </c>
      <c r="I19" s="27">
        <f t="shared" si="4"/>
        <v>14</v>
      </c>
      <c r="J19" s="27">
        <f t="shared" si="4"/>
        <v>14</v>
      </c>
      <c r="K19" s="27">
        <f t="shared" si="4"/>
        <v>14</v>
      </c>
      <c r="L19" s="27">
        <f t="shared" si="4"/>
        <v>14</v>
      </c>
      <c r="M19" s="27">
        <f t="shared" si="4"/>
        <v>14</v>
      </c>
    </row>
    <row r="20" spans="1:13" x14ac:dyDescent="0.25">
      <c r="A20" s="11" t="s">
        <v>103</v>
      </c>
      <c r="D20" s="27">
        <v>120</v>
      </c>
      <c r="E20" s="27">
        <v>120</v>
      </c>
      <c r="F20" s="27">
        <v>120</v>
      </c>
      <c r="G20" s="27">
        <v>120</v>
      </c>
      <c r="H20" s="27">
        <v>120</v>
      </c>
      <c r="I20" s="27">
        <v>120</v>
      </c>
      <c r="J20" s="27">
        <v>120</v>
      </c>
      <c r="K20" s="27">
        <v>120</v>
      </c>
      <c r="L20" s="27">
        <v>120</v>
      </c>
      <c r="M20" s="27">
        <v>120</v>
      </c>
    </row>
    <row r="22" spans="1:13" x14ac:dyDescent="0.25">
      <c r="A22" s="11" t="s">
        <v>100</v>
      </c>
    </row>
    <row r="23" spans="1:13" x14ac:dyDescent="0.25">
      <c r="A23" s="11" t="s">
        <v>46</v>
      </c>
      <c r="D23" s="23">
        <v>0.6</v>
      </c>
      <c r="E23" s="23">
        <f>$D$23</f>
        <v>0.6</v>
      </c>
      <c r="F23" s="23">
        <f t="shared" ref="F23:M23" si="5">$D$23</f>
        <v>0.6</v>
      </c>
      <c r="G23" s="23">
        <f t="shared" si="5"/>
        <v>0.6</v>
      </c>
      <c r="H23" s="23">
        <f t="shared" si="5"/>
        <v>0.6</v>
      </c>
      <c r="I23" s="23">
        <f t="shared" si="5"/>
        <v>0.6</v>
      </c>
      <c r="J23" s="23">
        <f t="shared" si="5"/>
        <v>0.6</v>
      </c>
      <c r="K23" s="23">
        <f t="shared" si="5"/>
        <v>0.6</v>
      </c>
      <c r="L23" s="23">
        <f t="shared" si="5"/>
        <v>0.6</v>
      </c>
      <c r="M23" s="23">
        <f t="shared" si="5"/>
        <v>0.6</v>
      </c>
    </row>
    <row r="24" spans="1:13" x14ac:dyDescent="0.25">
      <c r="A24" s="11" t="s">
        <v>45</v>
      </c>
      <c r="D24" s="23">
        <f>1-D23</f>
        <v>0.4</v>
      </c>
      <c r="E24" s="23">
        <f t="shared" ref="E24:M24" si="6">1-E23</f>
        <v>0.4</v>
      </c>
      <c r="F24" s="23">
        <f t="shared" si="6"/>
        <v>0.4</v>
      </c>
      <c r="G24" s="23">
        <f t="shared" si="6"/>
        <v>0.4</v>
      </c>
      <c r="H24" s="23">
        <f t="shared" si="6"/>
        <v>0.4</v>
      </c>
      <c r="I24" s="23">
        <f t="shared" si="6"/>
        <v>0.4</v>
      </c>
      <c r="J24" s="23">
        <f t="shared" si="6"/>
        <v>0.4</v>
      </c>
      <c r="K24" s="23">
        <f t="shared" si="6"/>
        <v>0.4</v>
      </c>
      <c r="L24" s="23">
        <f t="shared" si="6"/>
        <v>0.4</v>
      </c>
      <c r="M24" s="23">
        <f t="shared" si="6"/>
        <v>0.4</v>
      </c>
    </row>
    <row r="26" spans="1:13" x14ac:dyDescent="0.25">
      <c r="A26" s="11" t="s">
        <v>95</v>
      </c>
    </row>
    <row r="27" spans="1:13" x14ac:dyDescent="0.25">
      <c r="A27" s="11" t="s">
        <v>96</v>
      </c>
      <c r="D27" s="23">
        <v>0.65</v>
      </c>
      <c r="E27" s="23">
        <f>$D$27</f>
        <v>0.65</v>
      </c>
      <c r="F27" s="23">
        <f t="shared" ref="F27:M27" si="7">$D$27</f>
        <v>0.65</v>
      </c>
      <c r="G27" s="23">
        <f t="shared" si="7"/>
        <v>0.65</v>
      </c>
      <c r="H27" s="23">
        <f t="shared" si="7"/>
        <v>0.65</v>
      </c>
      <c r="I27" s="23">
        <f t="shared" si="7"/>
        <v>0.65</v>
      </c>
      <c r="J27" s="23">
        <f t="shared" si="7"/>
        <v>0.65</v>
      </c>
      <c r="K27" s="23">
        <f t="shared" si="7"/>
        <v>0.65</v>
      </c>
      <c r="L27" s="23">
        <f t="shared" si="7"/>
        <v>0.65</v>
      </c>
      <c r="M27" s="23">
        <f t="shared" si="7"/>
        <v>0.65</v>
      </c>
    </row>
    <row r="28" spans="1:13" x14ac:dyDescent="0.25">
      <c r="A28" s="11" t="s">
        <v>97</v>
      </c>
      <c r="D28" s="23">
        <v>0.65</v>
      </c>
      <c r="E28" s="23">
        <f>$D$28</f>
        <v>0.65</v>
      </c>
      <c r="F28" s="23">
        <f t="shared" ref="F28:M28" si="8">$D$28</f>
        <v>0.65</v>
      </c>
      <c r="G28" s="23">
        <f t="shared" si="8"/>
        <v>0.65</v>
      </c>
      <c r="H28" s="23">
        <f t="shared" si="8"/>
        <v>0.65</v>
      </c>
      <c r="I28" s="23">
        <f t="shared" si="8"/>
        <v>0.65</v>
      </c>
      <c r="J28" s="23">
        <f t="shared" si="8"/>
        <v>0.65</v>
      </c>
      <c r="K28" s="23">
        <f t="shared" si="8"/>
        <v>0.65</v>
      </c>
      <c r="L28" s="23">
        <f t="shared" si="8"/>
        <v>0.65</v>
      </c>
      <c r="M28" s="23">
        <f t="shared" si="8"/>
        <v>0.65</v>
      </c>
    </row>
    <row r="29" spans="1:13" x14ac:dyDescent="0.25">
      <c r="A29" s="11" t="s">
        <v>104</v>
      </c>
      <c r="D29" s="23">
        <v>0.8</v>
      </c>
      <c r="E29" s="23">
        <f>$D$29</f>
        <v>0.8</v>
      </c>
      <c r="F29" s="23">
        <f t="shared" ref="F29:M29" si="9">$D$29</f>
        <v>0.8</v>
      </c>
      <c r="G29" s="23">
        <f t="shared" si="9"/>
        <v>0.8</v>
      </c>
      <c r="H29" s="23">
        <f t="shared" si="9"/>
        <v>0.8</v>
      </c>
      <c r="I29" s="23">
        <f t="shared" si="9"/>
        <v>0.8</v>
      </c>
      <c r="J29" s="23">
        <f t="shared" si="9"/>
        <v>0.8</v>
      </c>
      <c r="K29" s="23">
        <f t="shared" si="9"/>
        <v>0.8</v>
      </c>
      <c r="L29" s="23">
        <f t="shared" si="9"/>
        <v>0.8</v>
      </c>
      <c r="M29" s="23">
        <f t="shared" si="9"/>
        <v>0.8</v>
      </c>
    </row>
    <row r="31" spans="1:13" x14ac:dyDescent="0.25">
      <c r="A31" s="11" t="s">
        <v>41</v>
      </c>
    </row>
    <row r="32" spans="1:13" x14ac:dyDescent="0.25">
      <c r="A32" s="11" t="s">
        <v>150</v>
      </c>
      <c r="D32" s="28">
        <v>1</v>
      </c>
    </row>
    <row r="33" spans="1:13" x14ac:dyDescent="0.25">
      <c r="A33" s="11" t="s">
        <v>151</v>
      </c>
      <c r="D33" s="28">
        <v>4</v>
      </c>
    </row>
    <row r="34" spans="1:13" x14ac:dyDescent="0.25">
      <c r="A34" s="11" t="s">
        <v>42</v>
      </c>
      <c r="D34" s="28">
        <v>7</v>
      </c>
      <c r="E34" s="28">
        <v>7</v>
      </c>
      <c r="F34" s="28">
        <v>7</v>
      </c>
      <c r="G34" s="28">
        <v>7</v>
      </c>
      <c r="H34" s="28">
        <v>7</v>
      </c>
      <c r="I34" s="28">
        <v>7</v>
      </c>
      <c r="J34" s="28">
        <v>7</v>
      </c>
      <c r="K34" s="28">
        <v>7</v>
      </c>
      <c r="L34" s="28">
        <v>7</v>
      </c>
      <c r="M34" s="28">
        <v>7</v>
      </c>
    </row>
    <row r="35" spans="1:13" x14ac:dyDescent="0.25">
      <c r="A35" s="11" t="s">
        <v>43</v>
      </c>
      <c r="D35" s="28">
        <v>30</v>
      </c>
      <c r="E35" s="28">
        <v>30</v>
      </c>
      <c r="F35" s="28">
        <v>30</v>
      </c>
      <c r="G35" s="28">
        <v>30</v>
      </c>
      <c r="H35" s="28">
        <v>30</v>
      </c>
      <c r="I35" s="28">
        <v>30</v>
      </c>
      <c r="J35" s="28">
        <v>30</v>
      </c>
      <c r="K35" s="28">
        <v>30</v>
      </c>
      <c r="L35" s="28">
        <v>30</v>
      </c>
      <c r="M35" s="28">
        <v>30</v>
      </c>
    </row>
    <row r="36" spans="1:13" x14ac:dyDescent="0.25">
      <c r="A36" s="11" t="s">
        <v>44</v>
      </c>
      <c r="D36" s="28">
        <v>8</v>
      </c>
      <c r="E36" s="28">
        <v>8</v>
      </c>
      <c r="F36" s="28">
        <v>8</v>
      </c>
      <c r="G36" s="28">
        <v>8</v>
      </c>
      <c r="H36" s="28">
        <v>8</v>
      </c>
      <c r="I36" s="28">
        <v>8</v>
      </c>
      <c r="J36" s="28">
        <v>8</v>
      </c>
      <c r="K36" s="28">
        <v>8</v>
      </c>
      <c r="L36" s="28">
        <v>8</v>
      </c>
      <c r="M36" s="28">
        <v>8</v>
      </c>
    </row>
    <row r="37" spans="1:13" x14ac:dyDescent="0.25">
      <c r="A37" s="11" t="s">
        <v>84</v>
      </c>
    </row>
    <row r="38" spans="1:13" x14ac:dyDescent="0.25">
      <c r="A38" s="12" t="s">
        <v>99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</row>
    <row r="39" spans="1:13" x14ac:dyDescent="0.25">
      <c r="A39" s="12" t="s">
        <v>98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</row>
    <row r="40" spans="1:13" x14ac:dyDescent="0.25">
      <c r="A40" s="11" t="s">
        <v>58</v>
      </c>
      <c r="D40" s="28">
        <v>2</v>
      </c>
      <c r="E40" s="28">
        <v>2</v>
      </c>
      <c r="F40" s="28">
        <v>2</v>
      </c>
      <c r="G40" s="28">
        <v>2</v>
      </c>
      <c r="H40" s="28">
        <v>2</v>
      </c>
      <c r="I40" s="28">
        <v>2</v>
      </c>
      <c r="J40" s="28">
        <v>2</v>
      </c>
      <c r="K40" s="28">
        <v>2</v>
      </c>
      <c r="L40" s="28">
        <v>2</v>
      </c>
      <c r="M40" s="28">
        <v>2</v>
      </c>
    </row>
    <row r="41" spans="1:13" x14ac:dyDescent="0.25">
      <c r="A41" s="11" t="s">
        <v>59</v>
      </c>
      <c r="D41" s="28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</row>
    <row r="43" spans="1:13" x14ac:dyDescent="0.25">
      <c r="A43" s="11" t="s">
        <v>86</v>
      </c>
      <c r="D43">
        <v>15</v>
      </c>
      <c r="E43">
        <v>15</v>
      </c>
      <c r="F43">
        <v>15</v>
      </c>
      <c r="G43">
        <v>15</v>
      </c>
      <c r="H43">
        <v>15</v>
      </c>
      <c r="I43">
        <v>15</v>
      </c>
      <c r="J43">
        <v>15</v>
      </c>
      <c r="K43">
        <v>15</v>
      </c>
      <c r="L43">
        <v>15</v>
      </c>
      <c r="M43">
        <v>15</v>
      </c>
    </row>
    <row r="44" spans="1:13" x14ac:dyDescent="0.25">
      <c r="A44" s="11" t="s">
        <v>85</v>
      </c>
      <c r="D44">
        <v>15</v>
      </c>
      <c r="E44">
        <v>15</v>
      </c>
      <c r="F44">
        <v>15</v>
      </c>
      <c r="G44">
        <v>15</v>
      </c>
      <c r="H44">
        <v>15</v>
      </c>
      <c r="I44">
        <v>15</v>
      </c>
      <c r="J44">
        <v>15</v>
      </c>
      <c r="K44">
        <v>15</v>
      </c>
      <c r="L44">
        <v>15</v>
      </c>
      <c r="M44">
        <v>15</v>
      </c>
    </row>
    <row r="46" spans="1:13" x14ac:dyDescent="0.25">
      <c r="A46" s="11" t="s">
        <v>132</v>
      </c>
      <c r="D46" s="23">
        <v>0.2</v>
      </c>
      <c r="E46" s="23">
        <f>$D$46</f>
        <v>0.2</v>
      </c>
      <c r="F46" s="23">
        <f t="shared" ref="F46:M46" si="10">$D$46</f>
        <v>0.2</v>
      </c>
      <c r="G46" s="23">
        <f t="shared" si="10"/>
        <v>0.2</v>
      </c>
      <c r="H46" s="23">
        <f t="shared" si="10"/>
        <v>0.2</v>
      </c>
      <c r="I46" s="23">
        <f t="shared" si="10"/>
        <v>0.2</v>
      </c>
      <c r="J46" s="23">
        <f t="shared" si="10"/>
        <v>0.2</v>
      </c>
      <c r="K46" s="23">
        <f t="shared" si="10"/>
        <v>0.2</v>
      </c>
      <c r="L46" s="23">
        <f t="shared" si="10"/>
        <v>0.2</v>
      </c>
      <c r="M46" s="23">
        <f t="shared" si="10"/>
        <v>0.2</v>
      </c>
    </row>
    <row r="47" spans="1:13" x14ac:dyDescent="0.25">
      <c r="A47" s="11" t="s">
        <v>133</v>
      </c>
      <c r="D47" s="23">
        <v>0.25</v>
      </c>
      <c r="E47" s="23">
        <f>$D$47</f>
        <v>0.25</v>
      </c>
      <c r="F47" s="23">
        <f t="shared" ref="F47:M47" si="11">$D$47</f>
        <v>0.25</v>
      </c>
      <c r="G47" s="23">
        <f t="shared" si="11"/>
        <v>0.25</v>
      </c>
      <c r="H47" s="23">
        <f t="shared" si="11"/>
        <v>0.25</v>
      </c>
      <c r="I47" s="23">
        <f t="shared" si="11"/>
        <v>0.25</v>
      </c>
      <c r="J47" s="23">
        <f t="shared" si="11"/>
        <v>0.25</v>
      </c>
      <c r="K47" s="23">
        <f t="shared" si="11"/>
        <v>0.25</v>
      </c>
      <c r="L47" s="23">
        <f t="shared" si="11"/>
        <v>0.25</v>
      </c>
      <c r="M47" s="23">
        <f t="shared" si="11"/>
        <v>0.25</v>
      </c>
    </row>
    <row r="48" spans="1:13" x14ac:dyDescent="0.25">
      <c r="A48" s="11" t="s">
        <v>134</v>
      </c>
      <c r="D48" s="23">
        <v>0.1</v>
      </c>
      <c r="E48" s="23">
        <f>$D$48</f>
        <v>0.1</v>
      </c>
      <c r="F48" s="23">
        <f t="shared" ref="F48:M48" si="12">$D$48</f>
        <v>0.1</v>
      </c>
      <c r="G48" s="23">
        <f t="shared" si="12"/>
        <v>0.1</v>
      </c>
      <c r="H48" s="23">
        <f t="shared" si="12"/>
        <v>0.1</v>
      </c>
      <c r="I48" s="23">
        <f t="shared" si="12"/>
        <v>0.1</v>
      </c>
      <c r="J48" s="23">
        <f t="shared" si="12"/>
        <v>0.1</v>
      </c>
      <c r="K48" s="23">
        <f t="shared" si="12"/>
        <v>0.1</v>
      </c>
      <c r="L48" s="23">
        <f t="shared" si="12"/>
        <v>0.1</v>
      </c>
      <c r="M48" s="23">
        <f t="shared" si="12"/>
        <v>0.1</v>
      </c>
    </row>
    <row r="49" spans="1:13" x14ac:dyDescent="0.25">
      <c r="A49" s="11" t="s">
        <v>136</v>
      </c>
      <c r="D49" s="1">
        <v>8</v>
      </c>
      <c r="E49" s="1">
        <v>8</v>
      </c>
      <c r="F49" s="1">
        <v>8</v>
      </c>
      <c r="G49" s="1">
        <v>8</v>
      </c>
      <c r="H49" s="1">
        <v>8</v>
      </c>
      <c r="I49" s="1">
        <v>8</v>
      </c>
      <c r="J49" s="1">
        <v>8</v>
      </c>
      <c r="K49" s="1">
        <v>8</v>
      </c>
      <c r="L49" s="1">
        <v>8</v>
      </c>
      <c r="M49" s="1">
        <v>8</v>
      </c>
    </row>
    <row r="50" spans="1:13" x14ac:dyDescent="0.25">
      <c r="A50" s="11" t="s">
        <v>137</v>
      </c>
      <c r="D50" s="27">
        <v>4</v>
      </c>
      <c r="E50" s="27">
        <v>4</v>
      </c>
      <c r="F50" s="27">
        <v>4</v>
      </c>
      <c r="G50" s="27">
        <v>4</v>
      </c>
      <c r="H50" s="27">
        <v>4</v>
      </c>
      <c r="I50" s="27">
        <v>4</v>
      </c>
      <c r="J50" s="27">
        <v>4</v>
      </c>
      <c r="K50" s="27">
        <v>4</v>
      </c>
      <c r="L50" s="27">
        <v>4</v>
      </c>
      <c r="M50" s="27">
        <v>4</v>
      </c>
    </row>
    <row r="51" spans="1:13" x14ac:dyDescent="0.25">
      <c r="A51" s="11" t="s">
        <v>135</v>
      </c>
      <c r="D51" s="32">
        <v>5.0000000000000001E-3</v>
      </c>
      <c r="E51" s="32">
        <v>5.0000000000000001E-3</v>
      </c>
      <c r="F51" s="32">
        <v>5.0000000000000001E-3</v>
      </c>
      <c r="G51" s="32">
        <v>5.0000000000000001E-3</v>
      </c>
      <c r="H51" s="32">
        <v>5.0000000000000001E-3</v>
      </c>
      <c r="I51" s="32">
        <v>5.0000000000000001E-3</v>
      </c>
      <c r="J51" s="32">
        <v>5.0000000000000001E-3</v>
      </c>
      <c r="K51" s="32">
        <v>5.0000000000000001E-3</v>
      </c>
      <c r="L51" s="32">
        <v>5.0000000000000001E-3</v>
      </c>
      <c r="M51" s="32">
        <v>5.0000000000000001E-3</v>
      </c>
    </row>
    <row r="52" spans="1:13" x14ac:dyDescent="0.25">
      <c r="A52" s="11" t="s">
        <v>138</v>
      </c>
      <c r="D52" s="34">
        <v>30000</v>
      </c>
      <c r="E52" s="34">
        <f t="shared" ref="E52:M52" si="13">D52*(1+E51)*(1+$D$9)</f>
        <v>30451.499999999996</v>
      </c>
      <c r="F52" s="34">
        <f t="shared" si="13"/>
        <v>30909.795074999991</v>
      </c>
      <c r="G52" s="34">
        <f t="shared" si="13"/>
        <v>31374.987490878739</v>
      </c>
      <c r="H52" s="34">
        <f t="shared" si="13"/>
        <v>31847.181052616463</v>
      </c>
      <c r="I52" s="34">
        <f t="shared" si="13"/>
        <v>32326.481127458337</v>
      </c>
      <c r="J52" s="34">
        <f t="shared" si="13"/>
        <v>32812.994668426581</v>
      </c>
      <c r="K52" s="34">
        <f t="shared" si="13"/>
        <v>33306.830238186398</v>
      </c>
      <c r="L52" s="34">
        <f t="shared" si="13"/>
        <v>33808.098033271097</v>
      </c>
      <c r="M52" s="34">
        <f t="shared" si="13"/>
        <v>34316.90990867182</v>
      </c>
    </row>
    <row r="54" spans="1:13" x14ac:dyDescent="0.25">
      <c r="A54" s="13" t="s">
        <v>55</v>
      </c>
    </row>
    <row r="55" spans="1:13" x14ac:dyDescent="0.25">
      <c r="A55" s="13" t="s">
        <v>83</v>
      </c>
      <c r="D55" s="29">
        <v>1100</v>
      </c>
      <c r="E55" s="29">
        <v>1100</v>
      </c>
      <c r="F55" s="29">
        <v>1100</v>
      </c>
      <c r="G55" s="29">
        <v>1100</v>
      </c>
      <c r="H55" s="29">
        <v>1100</v>
      </c>
      <c r="I55" s="29">
        <v>1100</v>
      </c>
      <c r="J55" s="29">
        <v>1100</v>
      </c>
      <c r="K55" s="29">
        <v>1100</v>
      </c>
      <c r="L55" s="29">
        <v>1100</v>
      </c>
      <c r="M55" s="29">
        <v>1100</v>
      </c>
    </row>
    <row r="56" spans="1:13" x14ac:dyDescent="0.25">
      <c r="A56" s="13" t="s">
        <v>82</v>
      </c>
      <c r="D56" s="29">
        <v>1100</v>
      </c>
      <c r="E56" s="29">
        <v>1100</v>
      </c>
      <c r="F56" s="29">
        <v>1100</v>
      </c>
      <c r="G56" s="29">
        <v>1100</v>
      </c>
      <c r="H56" s="29">
        <v>1100</v>
      </c>
      <c r="I56" s="29">
        <v>1100</v>
      </c>
      <c r="J56" s="29">
        <v>1100</v>
      </c>
      <c r="K56" s="29">
        <v>1100</v>
      </c>
      <c r="L56" s="29">
        <v>1100</v>
      </c>
      <c r="M56" s="29">
        <v>1100</v>
      </c>
    </row>
    <row r="57" spans="1:13" x14ac:dyDescent="0.25">
      <c r="A57" s="13"/>
    </row>
    <row r="58" spans="1:13" x14ac:dyDescent="0.25">
      <c r="A58" s="10" t="s">
        <v>56</v>
      </c>
    </row>
    <row r="59" spans="1:13" x14ac:dyDescent="0.25">
      <c r="A59" s="12" t="s">
        <v>131</v>
      </c>
      <c r="D59" s="30">
        <v>20000</v>
      </c>
    </row>
    <row r="60" spans="1:13" x14ac:dyDescent="0.25">
      <c r="A60" s="12" t="s">
        <v>130</v>
      </c>
      <c r="D60" s="33">
        <f>66646/43560</f>
        <v>1.5299816345270891</v>
      </c>
      <c r="E60" s="30"/>
    </row>
    <row r="61" spans="1:13" x14ac:dyDescent="0.25">
      <c r="A61" s="16" t="s">
        <v>36</v>
      </c>
    </row>
    <row r="62" spans="1:13" x14ac:dyDescent="0.25">
      <c r="A62" s="12" t="s">
        <v>37</v>
      </c>
      <c r="D62" s="28">
        <v>880</v>
      </c>
    </row>
    <row r="63" spans="1:13" x14ac:dyDescent="0.25">
      <c r="A63" s="12" t="s">
        <v>38</v>
      </c>
      <c r="D63" s="30">
        <v>17.899999999999999</v>
      </c>
      <c r="E63" s="30"/>
    </row>
    <row r="64" spans="1:13" x14ac:dyDescent="0.25">
      <c r="A64" s="12"/>
      <c r="D64" s="30"/>
      <c r="E64" s="30"/>
    </row>
    <row r="65" spans="1:13" x14ac:dyDescent="0.25">
      <c r="A65" s="12" t="s">
        <v>143</v>
      </c>
      <c r="D65" s="28">
        <v>30</v>
      </c>
      <c r="E65" s="30"/>
    </row>
    <row r="66" spans="1:13" x14ac:dyDescent="0.25">
      <c r="A66" s="12" t="s">
        <v>144</v>
      </c>
      <c r="D66" s="28">
        <v>10</v>
      </c>
      <c r="E66" s="30"/>
    </row>
    <row r="67" spans="1:13" x14ac:dyDescent="0.25">
      <c r="A67" s="12" t="s">
        <v>145</v>
      </c>
      <c r="D67" s="28">
        <v>20</v>
      </c>
      <c r="E67" s="30"/>
    </row>
    <row r="69" spans="1:13" x14ac:dyDescent="0.25">
      <c r="A69" s="13" t="s">
        <v>3</v>
      </c>
      <c r="D69">
        <v>0</v>
      </c>
    </row>
    <row r="70" spans="1:13" x14ac:dyDescent="0.25">
      <c r="A70" s="13" t="s">
        <v>23</v>
      </c>
      <c r="D70">
        <v>30</v>
      </c>
    </row>
    <row r="71" spans="1:13" x14ac:dyDescent="0.25">
      <c r="A71" s="13" t="s">
        <v>40</v>
      </c>
      <c r="D71">
        <v>14</v>
      </c>
    </row>
    <row r="72" spans="1:13" x14ac:dyDescent="0.25">
      <c r="A72" s="13"/>
    </row>
    <row r="73" spans="1:13" x14ac:dyDescent="0.25">
      <c r="A73" s="10" t="s">
        <v>1</v>
      </c>
    </row>
    <row r="74" spans="1:13" x14ac:dyDescent="0.25">
      <c r="A74" s="11" t="s">
        <v>90</v>
      </c>
    </row>
    <row r="75" spans="1:13" x14ac:dyDescent="0.25">
      <c r="A75" s="14" t="s">
        <v>89</v>
      </c>
      <c r="D75" s="24">
        <f t="shared" ref="D75:M75" si="14">D4*D43*D36*D38*D27*D35*D34*D23</f>
        <v>78624</v>
      </c>
      <c r="E75" s="24">
        <f t="shared" si="14"/>
        <v>79410.239999999991</v>
      </c>
      <c r="F75" s="24">
        <f t="shared" si="14"/>
        <v>80204.342400000009</v>
      </c>
      <c r="G75" s="24">
        <f t="shared" si="14"/>
        <v>81006.385823999997</v>
      </c>
      <c r="H75" s="24">
        <f t="shared" si="14"/>
        <v>81816.449682240011</v>
      </c>
      <c r="I75" s="24">
        <f t="shared" si="14"/>
        <v>82634.614179062395</v>
      </c>
      <c r="J75" s="24">
        <f t="shared" si="14"/>
        <v>83460.960320853017</v>
      </c>
      <c r="K75" s="24">
        <f t="shared" si="14"/>
        <v>84295.56992406155</v>
      </c>
      <c r="L75" s="24">
        <f t="shared" si="14"/>
        <v>85138.52562330215</v>
      </c>
      <c r="M75" s="24">
        <f t="shared" si="14"/>
        <v>85989.910879535179</v>
      </c>
    </row>
    <row r="76" spans="1:13" x14ac:dyDescent="0.25">
      <c r="A76" s="14" t="s">
        <v>91</v>
      </c>
      <c r="D76" s="24">
        <f t="shared" ref="D76:M76" si="15">D6*D44*D36*D39*D35*D34*D28*D23</f>
        <v>49140</v>
      </c>
      <c r="E76" s="24">
        <f t="shared" si="15"/>
        <v>49631.4</v>
      </c>
      <c r="F76" s="24">
        <f t="shared" si="15"/>
        <v>50127.714000000007</v>
      </c>
      <c r="G76" s="24">
        <f t="shared" si="15"/>
        <v>50628.991140000006</v>
      </c>
      <c r="H76" s="24">
        <f t="shared" si="15"/>
        <v>51135.281051399994</v>
      </c>
      <c r="I76" s="24">
        <f t="shared" si="15"/>
        <v>51646.633861914001</v>
      </c>
      <c r="J76" s="24">
        <f t="shared" si="15"/>
        <v>52163.100200533139</v>
      </c>
      <c r="K76" s="24">
        <f t="shared" si="15"/>
        <v>52684.731202538467</v>
      </c>
      <c r="L76" s="24">
        <f t="shared" si="15"/>
        <v>53211.578514563866</v>
      </c>
      <c r="M76" s="24">
        <f t="shared" si="15"/>
        <v>53743.694299709503</v>
      </c>
    </row>
    <row r="77" spans="1:13" x14ac:dyDescent="0.25">
      <c r="A77" s="15" t="s">
        <v>92</v>
      </c>
    </row>
    <row r="78" spans="1:13" x14ac:dyDescent="0.25">
      <c r="A78" s="14" t="s">
        <v>93</v>
      </c>
      <c r="D78" s="24">
        <f>D5*D43*D38*D27*D35*D34*D24</f>
        <v>49140</v>
      </c>
      <c r="E78" s="24">
        <f t="shared" ref="E78:M78" si="16">E5*E43*E38*E27*E35*E34*E24</f>
        <v>49631.4</v>
      </c>
      <c r="F78" s="24">
        <f t="shared" si="16"/>
        <v>50127.714000000007</v>
      </c>
      <c r="G78" s="24">
        <f t="shared" si="16"/>
        <v>50628.991139999998</v>
      </c>
      <c r="H78" s="24">
        <f t="shared" si="16"/>
        <v>51135.281051400008</v>
      </c>
      <c r="I78" s="24">
        <f t="shared" si="16"/>
        <v>51646.633861914001</v>
      </c>
      <c r="J78" s="24">
        <f t="shared" si="16"/>
        <v>52163.100200533147</v>
      </c>
      <c r="K78" s="24">
        <f t="shared" si="16"/>
        <v>52684.731202538474</v>
      </c>
      <c r="L78" s="24">
        <f t="shared" si="16"/>
        <v>53211.57851456388</v>
      </c>
      <c r="M78" s="24">
        <f t="shared" si="16"/>
        <v>53743.69429970951</v>
      </c>
    </row>
    <row r="79" spans="1:13" x14ac:dyDescent="0.25">
      <c r="A79" s="14" t="s">
        <v>94</v>
      </c>
      <c r="D79" s="24">
        <f>D7*D44*D38*D28*D35*D34*D24</f>
        <v>20475</v>
      </c>
      <c r="E79" s="24">
        <f t="shared" ref="E79:M79" si="17">E7*E44*E38*E28*E35*E34*E24</f>
        <v>20679.75</v>
      </c>
      <c r="F79" s="24">
        <f t="shared" si="17"/>
        <v>20886.547500000004</v>
      </c>
      <c r="G79" s="24">
        <f t="shared" si="17"/>
        <v>21095.412975000003</v>
      </c>
      <c r="H79" s="24">
        <f t="shared" si="17"/>
        <v>21306.367104750003</v>
      </c>
      <c r="I79" s="24">
        <f t="shared" si="17"/>
        <v>21519.430775797504</v>
      </c>
      <c r="J79" s="24">
        <f t="shared" si="17"/>
        <v>21734.625083555478</v>
      </c>
      <c r="K79" s="24">
        <f t="shared" si="17"/>
        <v>21951.971334391033</v>
      </c>
      <c r="L79" s="24">
        <f t="shared" si="17"/>
        <v>22171.49104773494</v>
      </c>
      <c r="M79" s="24">
        <f t="shared" si="17"/>
        <v>22393.205958212289</v>
      </c>
    </row>
    <row r="80" spans="1:13" x14ac:dyDescent="0.25">
      <c r="A80" s="11" t="s">
        <v>28</v>
      </c>
    </row>
    <row r="81" spans="1:13" x14ac:dyDescent="0.25">
      <c r="A81" s="12" t="s">
        <v>87</v>
      </c>
      <c r="D81" s="24">
        <f t="shared" ref="D81:M82" si="18">D13*D18</f>
        <v>4200</v>
      </c>
      <c r="E81" s="24">
        <f t="shared" si="18"/>
        <v>4242</v>
      </c>
      <c r="F81" s="24">
        <f t="shared" si="18"/>
        <v>4284.42</v>
      </c>
      <c r="G81" s="24">
        <f t="shared" si="18"/>
        <v>4327.2642000000005</v>
      </c>
      <c r="H81" s="24">
        <f t="shared" si="18"/>
        <v>4370.5368420000004</v>
      </c>
      <c r="I81" s="24">
        <f t="shared" si="18"/>
        <v>4414.2422104200004</v>
      </c>
      <c r="J81" s="24">
        <f t="shared" si="18"/>
        <v>4458.3846325242012</v>
      </c>
      <c r="K81" s="24">
        <f t="shared" si="18"/>
        <v>4502.9684788494433</v>
      </c>
      <c r="L81" s="24">
        <f t="shared" si="18"/>
        <v>4547.998163637938</v>
      </c>
      <c r="M81" s="24">
        <f t="shared" si="18"/>
        <v>4593.4781452743173</v>
      </c>
    </row>
    <row r="82" spans="1:13" x14ac:dyDescent="0.25">
      <c r="A82" s="12" t="s">
        <v>88</v>
      </c>
      <c r="D82" s="24">
        <f t="shared" si="18"/>
        <v>2100</v>
      </c>
      <c r="E82" s="24">
        <f t="shared" si="18"/>
        <v>2121</v>
      </c>
      <c r="F82" s="24">
        <f t="shared" si="18"/>
        <v>2142.21</v>
      </c>
      <c r="G82" s="24">
        <f t="shared" si="18"/>
        <v>2163.6321000000003</v>
      </c>
      <c r="H82" s="24">
        <f t="shared" si="18"/>
        <v>2185.2684210000002</v>
      </c>
      <c r="I82" s="24">
        <f t="shared" si="18"/>
        <v>2207.1211052100002</v>
      </c>
      <c r="J82" s="24">
        <f t="shared" si="18"/>
        <v>2229.1923162621006</v>
      </c>
      <c r="K82" s="24">
        <f t="shared" si="18"/>
        <v>2251.4842394247216</v>
      </c>
      <c r="L82" s="24">
        <f t="shared" si="18"/>
        <v>2273.999081818969</v>
      </c>
      <c r="M82" s="24">
        <f t="shared" si="18"/>
        <v>2296.7390726371586</v>
      </c>
    </row>
    <row r="83" spans="1:13" x14ac:dyDescent="0.25">
      <c r="A83" s="11" t="s">
        <v>27</v>
      </c>
      <c r="D83" s="24">
        <f t="shared" ref="D83:M83" si="19">D15*D20*D29*D43</f>
        <v>72000</v>
      </c>
      <c r="E83" s="24">
        <f t="shared" si="19"/>
        <v>72720</v>
      </c>
      <c r="F83" s="24">
        <f t="shared" si="19"/>
        <v>73447.200000000012</v>
      </c>
      <c r="G83" s="24">
        <f t="shared" si="19"/>
        <v>74181.67200000002</v>
      </c>
      <c r="H83" s="24">
        <f t="shared" si="19"/>
        <v>74923.488720000008</v>
      </c>
      <c r="I83" s="24">
        <f t="shared" si="19"/>
        <v>75672.723607200009</v>
      </c>
      <c r="J83" s="24">
        <f t="shared" si="19"/>
        <v>76429.450843272003</v>
      </c>
      <c r="K83" s="24">
        <f t="shared" si="19"/>
        <v>77193.745351704725</v>
      </c>
      <c r="L83" s="24">
        <f t="shared" si="19"/>
        <v>77965.682805221775</v>
      </c>
      <c r="M83" s="24">
        <f t="shared" si="19"/>
        <v>78745.339633273979</v>
      </c>
    </row>
    <row r="84" spans="1:13" x14ac:dyDescent="0.25">
      <c r="A84" s="10" t="s">
        <v>29</v>
      </c>
      <c r="D84" s="24">
        <f>SUM(D75:D83)</f>
        <v>275679</v>
      </c>
      <c r="E84" s="24">
        <f t="shared" ref="E84:M84" si="20">SUM(E75:E83)</f>
        <v>278435.78999999998</v>
      </c>
      <c r="F84" s="24">
        <f t="shared" si="20"/>
        <v>281220.1479000001</v>
      </c>
      <c r="G84" s="24">
        <f t="shared" si="20"/>
        <v>284032.34937900002</v>
      </c>
      <c r="H84" s="24">
        <f t="shared" si="20"/>
        <v>286872.67287279002</v>
      </c>
      <c r="I84" s="24">
        <f t="shared" si="20"/>
        <v>289741.39960151794</v>
      </c>
      <c r="J84" s="24">
        <f t="shared" si="20"/>
        <v>292638.81359753304</v>
      </c>
      <c r="K84" s="24">
        <f t="shared" si="20"/>
        <v>295565.20173350844</v>
      </c>
      <c r="L84" s="24">
        <f t="shared" si="20"/>
        <v>298520.8537508435</v>
      </c>
      <c r="M84" s="24">
        <f t="shared" si="20"/>
        <v>301506.06228835194</v>
      </c>
    </row>
    <row r="86" spans="1:13" x14ac:dyDescent="0.25">
      <c r="A86" s="13" t="s">
        <v>30</v>
      </c>
      <c r="D86" s="31">
        <f t="shared" ref="D86:M86" si="21">D84*D46</f>
        <v>55135.8</v>
      </c>
      <c r="E86" s="31">
        <f t="shared" si="21"/>
        <v>55687.157999999996</v>
      </c>
      <c r="F86" s="31">
        <f t="shared" si="21"/>
        <v>56244.029580000024</v>
      </c>
      <c r="G86" s="31">
        <f t="shared" si="21"/>
        <v>56806.469875800009</v>
      </c>
      <c r="H86" s="31">
        <f t="shared" si="21"/>
        <v>57374.534574558005</v>
      </c>
      <c r="I86" s="31">
        <f t="shared" si="21"/>
        <v>57948.27992030359</v>
      </c>
      <c r="J86" s="31">
        <f t="shared" si="21"/>
        <v>58527.762719506609</v>
      </c>
      <c r="K86" s="31">
        <f t="shared" si="21"/>
        <v>59113.040346701688</v>
      </c>
      <c r="L86" s="31">
        <f t="shared" si="21"/>
        <v>59704.170750168705</v>
      </c>
      <c r="M86" s="31">
        <f t="shared" si="21"/>
        <v>60301.212457670394</v>
      </c>
    </row>
    <row r="87" spans="1:13" x14ac:dyDescent="0.25">
      <c r="A87" s="13" t="s">
        <v>31</v>
      </c>
      <c r="D87" s="31">
        <f t="shared" ref="D87:M87" si="22">D84*D47</f>
        <v>68919.75</v>
      </c>
      <c r="E87" s="31">
        <f t="shared" si="22"/>
        <v>69608.947499999995</v>
      </c>
      <c r="F87" s="31">
        <f t="shared" si="22"/>
        <v>70305.036975000025</v>
      </c>
      <c r="G87" s="31">
        <f t="shared" si="22"/>
        <v>71008.087344750005</v>
      </c>
      <c r="H87" s="31">
        <f t="shared" si="22"/>
        <v>71718.168218197505</v>
      </c>
      <c r="I87" s="31">
        <f t="shared" si="22"/>
        <v>72435.349900379486</v>
      </c>
      <c r="J87" s="31">
        <f t="shared" si="22"/>
        <v>73159.703399383259</v>
      </c>
      <c r="K87" s="31">
        <f t="shared" si="22"/>
        <v>73891.30043337711</v>
      </c>
      <c r="L87" s="31">
        <f t="shared" si="22"/>
        <v>74630.213437710874</v>
      </c>
      <c r="M87" s="31">
        <f t="shared" si="22"/>
        <v>75376.515572087985</v>
      </c>
    </row>
    <row r="88" spans="1:13" x14ac:dyDescent="0.25">
      <c r="A88" s="13" t="s">
        <v>32</v>
      </c>
      <c r="D88" s="31">
        <f t="shared" ref="D88:M88" si="23">D84*D48</f>
        <v>27567.9</v>
      </c>
      <c r="E88" s="31">
        <f t="shared" si="23"/>
        <v>27843.578999999998</v>
      </c>
      <c r="F88" s="31">
        <f t="shared" si="23"/>
        <v>28122.014790000012</v>
      </c>
      <c r="G88" s="31">
        <f t="shared" si="23"/>
        <v>28403.234937900004</v>
      </c>
      <c r="H88" s="31">
        <f t="shared" si="23"/>
        <v>28687.267287279003</v>
      </c>
      <c r="I88" s="31">
        <f t="shared" si="23"/>
        <v>28974.139960151795</v>
      </c>
      <c r="J88" s="31">
        <f t="shared" si="23"/>
        <v>29263.881359753304</v>
      </c>
      <c r="K88" s="31">
        <f t="shared" si="23"/>
        <v>29556.520173350844</v>
      </c>
      <c r="L88" s="31">
        <f t="shared" si="23"/>
        <v>29852.085375084353</v>
      </c>
      <c r="M88" s="31">
        <f t="shared" si="23"/>
        <v>30150.606228835197</v>
      </c>
    </row>
    <row r="89" spans="1:13" x14ac:dyDescent="0.25">
      <c r="A89" s="13" t="s">
        <v>60</v>
      </c>
      <c r="D89" s="31">
        <f>D50*D49*D34*D35*D40</f>
        <v>13440</v>
      </c>
      <c r="E89" s="31">
        <f t="shared" ref="E89:M89" si="24">E50*E49*E34*E35*E40</f>
        <v>13440</v>
      </c>
      <c r="F89" s="31">
        <f t="shared" si="24"/>
        <v>13440</v>
      </c>
      <c r="G89" s="31">
        <f t="shared" si="24"/>
        <v>13440</v>
      </c>
      <c r="H89" s="31">
        <f t="shared" si="24"/>
        <v>13440</v>
      </c>
      <c r="I89" s="31">
        <f t="shared" si="24"/>
        <v>13440</v>
      </c>
      <c r="J89" s="31">
        <f t="shared" si="24"/>
        <v>13440</v>
      </c>
      <c r="K89" s="31">
        <f t="shared" si="24"/>
        <v>13440</v>
      </c>
      <c r="L89" s="31">
        <f t="shared" si="24"/>
        <v>13440</v>
      </c>
      <c r="M89" s="31">
        <f t="shared" si="24"/>
        <v>13440</v>
      </c>
    </row>
    <row r="90" spans="1:13" x14ac:dyDescent="0.25">
      <c r="A90" s="13" t="s">
        <v>35</v>
      </c>
      <c r="D90" s="1">
        <f>D52</f>
        <v>30000</v>
      </c>
      <c r="E90" s="1">
        <f t="shared" ref="E90:M90" si="25">E52</f>
        <v>30451.499999999996</v>
      </c>
      <c r="F90" s="1">
        <f t="shared" si="25"/>
        <v>30909.795074999991</v>
      </c>
      <c r="G90" s="1">
        <f t="shared" si="25"/>
        <v>31374.987490878739</v>
      </c>
      <c r="H90" s="1">
        <f t="shared" si="25"/>
        <v>31847.181052616463</v>
      </c>
      <c r="I90" s="1">
        <f t="shared" si="25"/>
        <v>32326.481127458337</v>
      </c>
      <c r="J90" s="1">
        <f t="shared" si="25"/>
        <v>32812.994668426581</v>
      </c>
      <c r="K90" s="1">
        <f t="shared" si="25"/>
        <v>33306.830238186398</v>
      </c>
      <c r="L90" s="1">
        <f t="shared" si="25"/>
        <v>33808.098033271097</v>
      </c>
      <c r="M90" s="1">
        <f t="shared" si="25"/>
        <v>34316.90990867182</v>
      </c>
    </row>
    <row r="91" spans="1:13" x14ac:dyDescent="0.25">
      <c r="A91" s="13"/>
    </row>
    <row r="92" spans="1:13" x14ac:dyDescent="0.25">
      <c r="A92" s="13" t="s">
        <v>139</v>
      </c>
      <c r="D92" s="1">
        <f>IF((D112-($D$63*$D$62)/$D$65)&lt;0,0,($D$63*$D$62)/$D$65)</f>
        <v>525.06666666666661</v>
      </c>
      <c r="E92" s="1">
        <f t="shared" ref="E92:M92" si="26">IF((E112-($D$63*$D$62)/$D$65)&lt;0,0,($D$63*$D$62)/$D$65)</f>
        <v>525.06666666666661</v>
      </c>
      <c r="F92" s="1">
        <f t="shared" si="26"/>
        <v>525.06666666666661</v>
      </c>
      <c r="G92" s="1">
        <f t="shared" si="26"/>
        <v>525.06666666666661</v>
      </c>
      <c r="H92" s="1">
        <f t="shared" si="26"/>
        <v>525.06666666666661</v>
      </c>
      <c r="I92" s="1">
        <f t="shared" si="26"/>
        <v>525.06666666666661</v>
      </c>
      <c r="J92" s="1">
        <f t="shared" si="26"/>
        <v>525.06666666666661</v>
      </c>
      <c r="K92" s="1">
        <f t="shared" si="26"/>
        <v>525.06666666666661</v>
      </c>
      <c r="L92" s="1">
        <f t="shared" si="26"/>
        <v>525.06666666666661</v>
      </c>
      <c r="M92" s="1">
        <f t="shared" si="26"/>
        <v>525.06666666666661</v>
      </c>
    </row>
    <row r="93" spans="1:13" x14ac:dyDescent="0.25">
      <c r="A93" s="13" t="s">
        <v>140</v>
      </c>
      <c r="D93" s="1">
        <f t="shared" ref="D93:M93" si="27">IF(((D110+D111)-(D55+D56)*(D43+D44)/$D$66)&lt;0,0,(D55+D56)*(D43+D44)/$D$66)</f>
        <v>6600</v>
      </c>
      <c r="E93" s="1">
        <f t="shared" si="27"/>
        <v>6600</v>
      </c>
      <c r="F93" s="1">
        <f t="shared" si="27"/>
        <v>6600</v>
      </c>
      <c r="G93" s="1">
        <f t="shared" si="27"/>
        <v>6600</v>
      </c>
      <c r="H93" s="1">
        <f t="shared" si="27"/>
        <v>6600</v>
      </c>
      <c r="I93" s="1">
        <f t="shared" si="27"/>
        <v>6600</v>
      </c>
      <c r="J93" s="1">
        <f t="shared" si="27"/>
        <v>6600</v>
      </c>
      <c r="K93" s="1">
        <f t="shared" si="27"/>
        <v>6600</v>
      </c>
      <c r="L93" s="1">
        <f t="shared" si="27"/>
        <v>6600</v>
      </c>
      <c r="M93" s="1">
        <f t="shared" si="27"/>
        <v>6600</v>
      </c>
    </row>
    <row r="94" spans="1:13" x14ac:dyDescent="0.25">
      <c r="A94" s="13" t="s">
        <v>141</v>
      </c>
      <c r="D94" s="1">
        <f>IF((D113-$D$59*$D$60/$D$67)&lt;0,0,$D$59*$D$60/$D$67)</f>
        <v>1529.981634527089</v>
      </c>
      <c r="E94" s="1">
        <f t="shared" ref="E94:M94" si="28">IF((E113-$D$59*$D$60/$D$67)&lt;0,0,$D$59*$D$60/$D$67)</f>
        <v>1529.981634527089</v>
      </c>
      <c r="F94" s="1">
        <f t="shared" si="28"/>
        <v>1529.981634527089</v>
      </c>
      <c r="G94" s="1">
        <f t="shared" si="28"/>
        <v>1529.981634527089</v>
      </c>
      <c r="H94" s="1">
        <f t="shared" si="28"/>
        <v>1529.981634527089</v>
      </c>
      <c r="I94" s="1">
        <f t="shared" si="28"/>
        <v>1529.981634527089</v>
      </c>
      <c r="J94" s="1">
        <f t="shared" si="28"/>
        <v>1529.981634527089</v>
      </c>
      <c r="K94" s="1">
        <f t="shared" si="28"/>
        <v>1529.981634527089</v>
      </c>
      <c r="L94" s="1">
        <f t="shared" si="28"/>
        <v>1529.981634527089</v>
      </c>
      <c r="M94" s="1">
        <f t="shared" si="28"/>
        <v>1529.981634527089</v>
      </c>
    </row>
    <row r="95" spans="1:13" x14ac:dyDescent="0.25">
      <c r="A95" s="13" t="s">
        <v>142</v>
      </c>
      <c r="D95" s="1">
        <f>SUM(D92:D94)</f>
        <v>8655.0483011937558</v>
      </c>
      <c r="E95" s="1">
        <f t="shared" ref="E95:M95" si="29">SUM(E92:E94)</f>
        <v>8655.0483011937558</v>
      </c>
      <c r="F95" s="1">
        <f t="shared" si="29"/>
        <v>8655.0483011937558</v>
      </c>
      <c r="G95" s="1">
        <f t="shared" si="29"/>
        <v>8655.0483011937558</v>
      </c>
      <c r="H95" s="1">
        <f t="shared" si="29"/>
        <v>8655.0483011937558</v>
      </c>
      <c r="I95" s="1">
        <f t="shared" si="29"/>
        <v>8655.0483011937558</v>
      </c>
      <c r="J95" s="1">
        <f t="shared" si="29"/>
        <v>8655.0483011937558</v>
      </c>
      <c r="K95" s="1">
        <f t="shared" si="29"/>
        <v>8655.0483011937558</v>
      </c>
      <c r="L95" s="1">
        <f t="shared" si="29"/>
        <v>8655.0483011937558</v>
      </c>
      <c r="M95" s="1">
        <f t="shared" si="29"/>
        <v>8655.0483011937558</v>
      </c>
    </row>
    <row r="96" spans="1:13" x14ac:dyDescent="0.25">
      <c r="A96" s="1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3" t="s">
        <v>17</v>
      </c>
      <c r="D97" s="31">
        <f>SUM(Mortgage!C7:C18)</f>
        <v>3981.6404844368135</v>
      </c>
      <c r="E97" s="31">
        <f>SUM(Mortgage!C25:C36)</f>
        <v>3919.9250762808333</v>
      </c>
      <c r="F97" s="31">
        <f>SUM(Mortgage!C31:C42)</f>
        <v>3897.8317226609083</v>
      </c>
      <c r="G97" s="31">
        <f>SUM(Mortgage!C43:C54)</f>
        <v>3851.1933489506237</v>
      </c>
      <c r="H97" s="31">
        <f>SUM(Mortgage!C55:C66)</f>
        <v>3801.083953093048</v>
      </c>
      <c r="I97" s="31">
        <f>SUM(Mortgage!C67:C78)</f>
        <v>3747.2452071537232</v>
      </c>
      <c r="J97" s="31">
        <f>SUM(Mortgage!C79:C90)</f>
        <v>3689.3995573566722</v>
      </c>
      <c r="K97" s="31">
        <f>SUM(Mortgage!C91:C102)</f>
        <v>3627.2487932171416</v>
      </c>
      <c r="L97" s="31">
        <f>SUM(Mortgage!C103:C114)</f>
        <v>3560.472510183245</v>
      </c>
      <c r="M97" s="31">
        <f>SUM(Mortgage!C115:C126)</f>
        <v>3488.7264578609875</v>
      </c>
    </row>
    <row r="98" spans="1:13" x14ac:dyDescent="0.25">
      <c r="A98" s="13" t="s">
        <v>18</v>
      </c>
      <c r="D98">
        <f>D127*$D$11</f>
        <v>0</v>
      </c>
      <c r="E98">
        <f t="shared" ref="E98:M98" si="30">E127*$D$11</f>
        <v>0</v>
      </c>
      <c r="F98">
        <f t="shared" si="30"/>
        <v>0</v>
      </c>
      <c r="G98">
        <f t="shared" si="30"/>
        <v>0</v>
      </c>
      <c r="H98">
        <f t="shared" si="30"/>
        <v>0</v>
      </c>
      <c r="I98">
        <f t="shared" si="30"/>
        <v>0</v>
      </c>
      <c r="J98">
        <f t="shared" si="30"/>
        <v>0</v>
      </c>
      <c r="K98">
        <f t="shared" si="30"/>
        <v>0</v>
      </c>
      <c r="L98">
        <f t="shared" si="30"/>
        <v>0</v>
      </c>
      <c r="M98">
        <f t="shared" si="30"/>
        <v>0</v>
      </c>
    </row>
    <row r="99" spans="1:13" x14ac:dyDescent="0.25">
      <c r="A99" s="13" t="s">
        <v>33</v>
      </c>
      <c r="D99" s="31">
        <f>SUM(D86:D98)</f>
        <v>216355.18708682436</v>
      </c>
      <c r="E99" s="31">
        <f t="shared" ref="E99:M99" si="31">SUM(E86:E98)</f>
        <v>218261.20617866833</v>
      </c>
      <c r="F99" s="31">
        <f t="shared" si="31"/>
        <v>220228.80474504852</v>
      </c>
      <c r="G99" s="31">
        <f t="shared" si="31"/>
        <v>222194.0696006669</v>
      </c>
      <c r="H99" s="31">
        <f t="shared" si="31"/>
        <v>224178.33168813153</v>
      </c>
      <c r="I99" s="31">
        <f t="shared" si="31"/>
        <v>226181.59271783446</v>
      </c>
      <c r="J99" s="31">
        <f t="shared" si="31"/>
        <v>228203.83830681394</v>
      </c>
      <c r="K99" s="31">
        <f t="shared" si="31"/>
        <v>230245.0365872207</v>
      </c>
      <c r="L99" s="31">
        <f t="shared" si="31"/>
        <v>232305.1367088058</v>
      </c>
      <c r="M99" s="31">
        <f t="shared" si="31"/>
        <v>234384.06722751388</v>
      </c>
    </row>
    <row r="100" spans="1:13" x14ac:dyDescent="0.25">
      <c r="A100" s="13"/>
    </row>
    <row r="101" spans="1:13" x14ac:dyDescent="0.25">
      <c r="A101" s="13" t="s">
        <v>19</v>
      </c>
      <c r="D101" s="31">
        <f t="shared" ref="D101:M101" si="32">D84-D95-D99</f>
        <v>50668.764611981896</v>
      </c>
      <c r="E101" s="31">
        <f t="shared" si="32"/>
        <v>51519.535520137899</v>
      </c>
      <c r="F101" s="31">
        <f t="shared" si="32"/>
        <v>52336.294853757834</v>
      </c>
      <c r="G101" s="31">
        <f t="shared" si="32"/>
        <v>53183.231477139372</v>
      </c>
      <c r="H101" s="31">
        <f t="shared" si="32"/>
        <v>54039.292883464746</v>
      </c>
      <c r="I101" s="31">
        <f t="shared" si="32"/>
        <v>54904.75858248974</v>
      </c>
      <c r="J101" s="31">
        <f t="shared" si="32"/>
        <v>55779.926989525353</v>
      </c>
      <c r="K101" s="31">
        <f t="shared" si="32"/>
        <v>56665.116845093988</v>
      </c>
      <c r="L101" s="31">
        <f t="shared" si="32"/>
        <v>57560.668740843947</v>
      </c>
      <c r="M101" s="31">
        <f t="shared" si="32"/>
        <v>58466.946759644314</v>
      </c>
    </row>
    <row r="102" spans="1:13" x14ac:dyDescent="0.25">
      <c r="A102" s="13" t="s">
        <v>20</v>
      </c>
      <c r="D102" s="1">
        <f>IF(D101&lt;0,0,$D$10*D101)</f>
        <v>12667.191152995474</v>
      </c>
      <c r="E102" s="1">
        <f t="shared" ref="E102:M102" si="33">IF(E101&lt;0,0,$D$10*E101)</f>
        <v>12879.883880034475</v>
      </c>
      <c r="F102" s="1">
        <f t="shared" si="33"/>
        <v>13084.073713439459</v>
      </c>
      <c r="G102" s="1">
        <f t="shared" si="33"/>
        <v>13295.807869284843</v>
      </c>
      <c r="H102" s="1">
        <f t="shared" si="33"/>
        <v>13509.823220866187</v>
      </c>
      <c r="I102" s="1">
        <f t="shared" si="33"/>
        <v>13726.189645622435</v>
      </c>
      <c r="J102" s="1">
        <f t="shared" si="33"/>
        <v>13944.981747381338</v>
      </c>
      <c r="K102" s="1">
        <f t="shared" si="33"/>
        <v>14166.279211273497</v>
      </c>
      <c r="L102" s="1">
        <f t="shared" si="33"/>
        <v>14390.167185210987</v>
      </c>
      <c r="M102" s="1">
        <f t="shared" si="33"/>
        <v>14616.736689911078</v>
      </c>
    </row>
    <row r="103" spans="1:13" x14ac:dyDescent="0.25">
      <c r="A103" s="16" t="s">
        <v>21</v>
      </c>
      <c r="D103" s="31">
        <f>D101-D102</f>
        <v>38001.573458986422</v>
      </c>
      <c r="E103" s="31">
        <f t="shared" ref="E103:M103" si="34">E101-E102</f>
        <v>38639.651640103424</v>
      </c>
      <c r="F103" s="31">
        <f t="shared" si="34"/>
        <v>39252.221140318376</v>
      </c>
      <c r="G103" s="31">
        <f t="shared" si="34"/>
        <v>39887.423607854529</v>
      </c>
      <c r="H103" s="31">
        <f t="shared" si="34"/>
        <v>40529.46966259856</v>
      </c>
      <c r="I103" s="31">
        <f t="shared" si="34"/>
        <v>41178.568936867305</v>
      </c>
      <c r="J103" s="31">
        <f t="shared" si="34"/>
        <v>41834.945242144015</v>
      </c>
      <c r="K103" s="31">
        <f t="shared" si="34"/>
        <v>42498.837633820491</v>
      </c>
      <c r="L103" s="31">
        <f t="shared" si="34"/>
        <v>43170.50155563296</v>
      </c>
      <c r="M103" s="31">
        <f t="shared" si="34"/>
        <v>43850.210069733235</v>
      </c>
    </row>
    <row r="104" spans="1:13" x14ac:dyDescent="0.25">
      <c r="A104" s="16"/>
    </row>
    <row r="105" spans="1:13" x14ac:dyDescent="0.25">
      <c r="A105" s="10" t="s">
        <v>2</v>
      </c>
    </row>
    <row r="106" spans="1:13" x14ac:dyDescent="0.25">
      <c r="A106" s="10" t="s">
        <v>4</v>
      </c>
    </row>
    <row r="107" spans="1:13" x14ac:dyDescent="0.25">
      <c r="B107" s="20" t="s">
        <v>6</v>
      </c>
      <c r="D107">
        <v>1000</v>
      </c>
      <c r="E107">
        <v>1000</v>
      </c>
      <c r="F107">
        <v>1000</v>
      </c>
      <c r="G107">
        <v>1000</v>
      </c>
      <c r="H107">
        <v>1000</v>
      </c>
      <c r="I107">
        <v>1000</v>
      </c>
      <c r="J107">
        <v>1000</v>
      </c>
      <c r="K107">
        <v>1000</v>
      </c>
      <c r="L107">
        <v>1000</v>
      </c>
      <c r="M107">
        <v>1000</v>
      </c>
    </row>
    <row r="108" spans="1:13" x14ac:dyDescent="0.25">
      <c r="B108" s="20" t="s">
        <v>25</v>
      </c>
    </row>
    <row r="109" spans="1:13" x14ac:dyDescent="0.25">
      <c r="B109" s="15" t="s">
        <v>5</v>
      </c>
      <c r="D109" s="24">
        <f>D84/365*$D$69</f>
        <v>0</v>
      </c>
      <c r="E109" s="24">
        <f t="shared" ref="E109:M109" si="35">E84/365*$D$69</f>
        <v>0</v>
      </c>
      <c r="F109" s="24">
        <f t="shared" si="35"/>
        <v>0</v>
      </c>
      <c r="G109" s="24">
        <f t="shared" si="35"/>
        <v>0</v>
      </c>
      <c r="H109" s="24">
        <f t="shared" si="35"/>
        <v>0</v>
      </c>
      <c r="I109" s="24">
        <f t="shared" si="35"/>
        <v>0</v>
      </c>
      <c r="J109" s="24">
        <f t="shared" si="35"/>
        <v>0</v>
      </c>
      <c r="K109" s="24">
        <f t="shared" si="35"/>
        <v>0</v>
      </c>
      <c r="L109" s="24">
        <f t="shared" si="35"/>
        <v>0</v>
      </c>
      <c r="M109" s="24">
        <f t="shared" si="35"/>
        <v>0</v>
      </c>
    </row>
    <row r="110" spans="1:13" x14ac:dyDescent="0.25">
      <c r="B110" s="15" t="s">
        <v>34</v>
      </c>
      <c r="D110" s="29">
        <f>D56*D44</f>
        <v>16500</v>
      </c>
      <c r="E110" s="29">
        <f t="shared" ref="E110:M110" si="36">E56*E44</f>
        <v>16500</v>
      </c>
      <c r="F110" s="29">
        <f t="shared" si="36"/>
        <v>16500</v>
      </c>
      <c r="G110" s="29">
        <f t="shared" si="36"/>
        <v>16500</v>
      </c>
      <c r="H110" s="29">
        <f t="shared" si="36"/>
        <v>16500</v>
      </c>
      <c r="I110" s="29">
        <f t="shared" si="36"/>
        <v>16500</v>
      </c>
      <c r="J110" s="29">
        <f t="shared" si="36"/>
        <v>16500</v>
      </c>
      <c r="K110" s="29">
        <f t="shared" si="36"/>
        <v>16500</v>
      </c>
      <c r="L110" s="29">
        <f t="shared" si="36"/>
        <v>16500</v>
      </c>
      <c r="M110" s="29">
        <f t="shared" si="36"/>
        <v>16500</v>
      </c>
    </row>
    <row r="111" spans="1:13" x14ac:dyDescent="0.25">
      <c r="B111" s="15" t="s">
        <v>26</v>
      </c>
      <c r="D111" s="29">
        <f>D55*D43</f>
        <v>16500</v>
      </c>
      <c r="E111" s="29">
        <f t="shared" ref="E111:M111" si="37">E55*E43</f>
        <v>16500</v>
      </c>
      <c r="F111" s="29">
        <f t="shared" si="37"/>
        <v>16500</v>
      </c>
      <c r="G111" s="29">
        <f t="shared" si="37"/>
        <v>16500</v>
      </c>
      <c r="H111" s="29">
        <f t="shared" si="37"/>
        <v>16500</v>
      </c>
      <c r="I111" s="29">
        <f t="shared" si="37"/>
        <v>16500</v>
      </c>
      <c r="J111" s="29">
        <f t="shared" si="37"/>
        <v>16500</v>
      </c>
      <c r="K111" s="29">
        <f t="shared" si="37"/>
        <v>16500</v>
      </c>
      <c r="L111" s="29">
        <f t="shared" si="37"/>
        <v>16500</v>
      </c>
      <c r="M111" s="29">
        <f t="shared" si="37"/>
        <v>16500</v>
      </c>
    </row>
    <row r="112" spans="1:13" x14ac:dyDescent="0.25">
      <c r="B112" s="15" t="s">
        <v>36</v>
      </c>
      <c r="D112" s="30">
        <f>$D$62*$D$63</f>
        <v>15751.999999999998</v>
      </c>
      <c r="E112" s="30">
        <f t="shared" ref="E112:M112" si="38">$D$62*$D$63</f>
        <v>15751.999999999998</v>
      </c>
      <c r="F112" s="30">
        <f t="shared" si="38"/>
        <v>15751.999999999998</v>
      </c>
      <c r="G112" s="30">
        <f t="shared" si="38"/>
        <v>15751.999999999998</v>
      </c>
      <c r="H112" s="30">
        <f t="shared" si="38"/>
        <v>15751.999999999998</v>
      </c>
      <c r="I112" s="30">
        <f t="shared" si="38"/>
        <v>15751.999999999998</v>
      </c>
      <c r="J112" s="30">
        <f t="shared" si="38"/>
        <v>15751.999999999998</v>
      </c>
      <c r="K112" s="30">
        <f t="shared" si="38"/>
        <v>15751.999999999998</v>
      </c>
      <c r="L112" s="30">
        <f t="shared" si="38"/>
        <v>15751.999999999998</v>
      </c>
      <c r="M112" s="30">
        <f t="shared" si="38"/>
        <v>15751.999999999998</v>
      </c>
    </row>
    <row r="113" spans="1:13" x14ac:dyDescent="0.25">
      <c r="B113" s="15" t="s">
        <v>146</v>
      </c>
      <c r="D113" s="30">
        <f>$D$59*$D$60</f>
        <v>30599.632690541781</v>
      </c>
      <c r="E113" s="30">
        <f t="shared" ref="E113:M113" si="39">$D$59*$D$60</f>
        <v>30599.632690541781</v>
      </c>
      <c r="F113" s="30">
        <f t="shared" si="39"/>
        <v>30599.632690541781</v>
      </c>
      <c r="G113" s="30">
        <f t="shared" si="39"/>
        <v>30599.632690541781</v>
      </c>
      <c r="H113" s="30">
        <f t="shared" si="39"/>
        <v>30599.632690541781</v>
      </c>
      <c r="I113" s="30">
        <f t="shared" si="39"/>
        <v>30599.632690541781</v>
      </c>
      <c r="J113" s="30">
        <f t="shared" si="39"/>
        <v>30599.632690541781</v>
      </c>
      <c r="K113" s="30">
        <f t="shared" si="39"/>
        <v>30599.632690541781</v>
      </c>
      <c r="L113" s="30">
        <f t="shared" si="39"/>
        <v>30599.632690541781</v>
      </c>
      <c r="M113" s="30">
        <f t="shared" si="39"/>
        <v>30599.632690541781</v>
      </c>
    </row>
    <row r="114" spans="1:13" x14ac:dyDescent="0.25">
      <c r="B114" s="15" t="s">
        <v>125</v>
      </c>
      <c r="D114" s="31">
        <f>D92</f>
        <v>525.06666666666661</v>
      </c>
      <c r="E114" s="31">
        <f t="shared" ref="E114:M116" si="40">D114+E92</f>
        <v>1050.1333333333332</v>
      </c>
      <c r="F114" s="31">
        <f t="shared" si="40"/>
        <v>1575.1999999999998</v>
      </c>
      <c r="G114" s="31">
        <f t="shared" si="40"/>
        <v>2100.2666666666664</v>
      </c>
      <c r="H114" s="31">
        <f t="shared" si="40"/>
        <v>2625.333333333333</v>
      </c>
      <c r="I114" s="31">
        <f t="shared" si="40"/>
        <v>3150.3999999999996</v>
      </c>
      <c r="J114" s="31">
        <f t="shared" si="40"/>
        <v>3675.4666666666662</v>
      </c>
      <c r="K114" s="31">
        <f t="shared" si="40"/>
        <v>4200.5333333333328</v>
      </c>
      <c r="L114" s="31">
        <f t="shared" si="40"/>
        <v>4725.5999999999995</v>
      </c>
      <c r="M114" s="31">
        <f t="shared" si="40"/>
        <v>5250.6666666666661</v>
      </c>
    </row>
    <row r="115" spans="1:13" x14ac:dyDescent="0.25">
      <c r="B115" s="15" t="s">
        <v>126</v>
      </c>
      <c r="D115" s="31">
        <f>D93</f>
        <v>6600</v>
      </c>
      <c r="E115" s="31">
        <f t="shared" si="40"/>
        <v>13200</v>
      </c>
      <c r="F115" s="31">
        <f t="shared" si="40"/>
        <v>19800</v>
      </c>
      <c r="G115" s="31">
        <f t="shared" si="40"/>
        <v>26400</v>
      </c>
      <c r="H115" s="31">
        <f t="shared" si="40"/>
        <v>33000</v>
      </c>
      <c r="I115" s="31">
        <f t="shared" si="40"/>
        <v>39600</v>
      </c>
      <c r="J115" s="31">
        <f t="shared" si="40"/>
        <v>46200</v>
      </c>
      <c r="K115" s="31">
        <f t="shared" si="40"/>
        <v>52800</v>
      </c>
      <c r="L115" s="31">
        <f t="shared" si="40"/>
        <v>59400</v>
      </c>
      <c r="M115" s="31">
        <f t="shared" si="40"/>
        <v>66000</v>
      </c>
    </row>
    <row r="116" spans="1:13" x14ac:dyDescent="0.25">
      <c r="B116" s="15" t="s">
        <v>147</v>
      </c>
      <c r="D116" s="31">
        <f>D94</f>
        <v>1529.981634527089</v>
      </c>
      <c r="E116" s="31">
        <f t="shared" si="40"/>
        <v>3059.963269054178</v>
      </c>
      <c r="F116" s="31">
        <f t="shared" si="40"/>
        <v>4589.9449035812668</v>
      </c>
      <c r="G116" s="31">
        <f t="shared" si="40"/>
        <v>6119.926538108356</v>
      </c>
      <c r="H116" s="31">
        <f t="shared" si="40"/>
        <v>7649.9081726354452</v>
      </c>
      <c r="I116" s="31">
        <f t="shared" si="40"/>
        <v>9179.8898071625335</v>
      </c>
      <c r="J116" s="31">
        <f t="shared" si="40"/>
        <v>10709.871441689622</v>
      </c>
      <c r="K116" s="31">
        <f t="shared" si="40"/>
        <v>12239.85307621671</v>
      </c>
      <c r="L116" s="31">
        <f t="shared" si="40"/>
        <v>13769.834710743798</v>
      </c>
      <c r="M116" s="31">
        <f t="shared" si="40"/>
        <v>15299.816345270887</v>
      </c>
    </row>
    <row r="117" spans="1:13" x14ac:dyDescent="0.25">
      <c r="B117" s="21" t="s">
        <v>127</v>
      </c>
      <c r="D117" s="31">
        <f>SUM(D114:D116)</f>
        <v>8655.0483011937558</v>
      </c>
      <c r="E117" s="31">
        <f t="shared" ref="E117:M117" si="41">SUM(E114:E116)</f>
        <v>17310.096602387512</v>
      </c>
      <c r="F117" s="31">
        <f t="shared" si="41"/>
        <v>25965.144903581269</v>
      </c>
      <c r="G117" s="31">
        <f t="shared" si="41"/>
        <v>34620.193204775023</v>
      </c>
      <c r="H117" s="31">
        <f t="shared" si="41"/>
        <v>43275.241505968777</v>
      </c>
      <c r="I117" s="31">
        <f t="shared" si="41"/>
        <v>51930.289807162539</v>
      </c>
      <c r="J117" s="31">
        <f t="shared" si="41"/>
        <v>60585.338108356285</v>
      </c>
      <c r="K117" s="31">
        <f t="shared" si="41"/>
        <v>69240.386409550047</v>
      </c>
      <c r="L117" s="31">
        <f t="shared" si="41"/>
        <v>77895.434710743793</v>
      </c>
      <c r="M117" s="31">
        <f t="shared" si="41"/>
        <v>86550.483011937555</v>
      </c>
    </row>
    <row r="118" spans="1:13" x14ac:dyDescent="0.25">
      <c r="B118" s="20"/>
    </row>
    <row r="119" spans="1:13" x14ac:dyDescent="0.25">
      <c r="A119" s="10" t="s">
        <v>7</v>
      </c>
      <c r="B119" s="20"/>
      <c r="D119" s="31">
        <f t="shared" ref="D119:M119" si="42">SUM(D107:D113)-D117</f>
        <v>71696.58438934802</v>
      </c>
      <c r="E119" s="31">
        <f t="shared" si="42"/>
        <v>63041.536088154273</v>
      </c>
      <c r="F119" s="31">
        <f t="shared" si="42"/>
        <v>54386.487786960512</v>
      </c>
      <c r="G119" s="31">
        <f t="shared" si="42"/>
        <v>45731.439485766758</v>
      </c>
      <c r="H119" s="31">
        <f t="shared" si="42"/>
        <v>37076.391184573004</v>
      </c>
      <c r="I119" s="31">
        <f t="shared" si="42"/>
        <v>28421.342883379242</v>
      </c>
      <c r="J119" s="31">
        <f t="shared" si="42"/>
        <v>19766.294582185496</v>
      </c>
      <c r="K119" s="31">
        <f t="shared" si="42"/>
        <v>11111.246280991734</v>
      </c>
      <c r="L119" s="31">
        <f t="shared" si="42"/>
        <v>2456.1979797979875</v>
      </c>
      <c r="M119" s="31">
        <f t="shared" si="42"/>
        <v>-6198.8503213957738</v>
      </c>
    </row>
    <row r="120" spans="1:13" x14ac:dyDescent="0.25">
      <c r="B120" s="20"/>
    </row>
    <row r="121" spans="1:13" x14ac:dyDescent="0.25">
      <c r="A121" s="10" t="s">
        <v>8</v>
      </c>
      <c r="B121" s="20"/>
    </row>
    <row r="122" spans="1:13" x14ac:dyDescent="0.25">
      <c r="B122" s="20" t="s">
        <v>9</v>
      </c>
      <c r="D122" s="1">
        <f>(D88/($D$34*$D$35))*$D$70</f>
        <v>3938.2714285714287</v>
      </c>
      <c r="E122" s="1">
        <f t="shared" ref="E122:M122" si="43">(E88/($D$34*$D$35))*$D$70</f>
        <v>3977.6541428571422</v>
      </c>
      <c r="F122" s="1">
        <f t="shared" si="43"/>
        <v>4017.4306842857159</v>
      </c>
      <c r="G122" s="1">
        <f t="shared" si="43"/>
        <v>4057.6049911285718</v>
      </c>
      <c r="H122" s="1">
        <f t="shared" si="43"/>
        <v>4098.1810410398575</v>
      </c>
      <c r="I122" s="1">
        <f t="shared" si="43"/>
        <v>4139.1628514502563</v>
      </c>
      <c r="J122" s="1">
        <f t="shared" si="43"/>
        <v>4180.5544799647578</v>
      </c>
      <c r="K122" s="1">
        <f t="shared" si="43"/>
        <v>4222.3600247644063</v>
      </c>
      <c r="L122" s="1">
        <f t="shared" si="43"/>
        <v>4264.5836250120501</v>
      </c>
      <c r="M122" s="1">
        <f t="shared" si="43"/>
        <v>4307.2294612621708</v>
      </c>
    </row>
    <row r="123" spans="1:13" x14ac:dyDescent="0.25">
      <c r="B123" s="20" t="s">
        <v>10</v>
      </c>
      <c r="D123" s="1">
        <f>D102</f>
        <v>12667.191152995474</v>
      </c>
      <c r="E123" s="1">
        <f t="shared" ref="E123:M123" si="44">E102</f>
        <v>12879.883880034475</v>
      </c>
      <c r="F123" s="1">
        <f t="shared" si="44"/>
        <v>13084.073713439459</v>
      </c>
      <c r="G123" s="1">
        <f t="shared" si="44"/>
        <v>13295.807869284843</v>
      </c>
      <c r="H123" s="1">
        <f t="shared" si="44"/>
        <v>13509.823220866187</v>
      </c>
      <c r="I123" s="1">
        <f t="shared" si="44"/>
        <v>13726.189645622435</v>
      </c>
      <c r="J123" s="1">
        <f t="shared" si="44"/>
        <v>13944.981747381338</v>
      </c>
      <c r="K123" s="1">
        <f t="shared" si="44"/>
        <v>14166.279211273497</v>
      </c>
      <c r="L123" s="1">
        <f t="shared" si="44"/>
        <v>14390.167185210987</v>
      </c>
      <c r="M123" s="1">
        <f t="shared" si="44"/>
        <v>14616.736689911078</v>
      </c>
    </row>
    <row r="124" spans="1:13" x14ac:dyDescent="0.25">
      <c r="B124" s="20" t="s">
        <v>39</v>
      </c>
      <c r="D124" s="31">
        <f>(D89+D90)/($D$66*$D$65)*$D$71</f>
        <v>2027.2000000000003</v>
      </c>
      <c r="E124" s="31">
        <f t="shared" ref="E124:M124" si="45">(E89+E90)/($D$66*$D$65)*$D$71</f>
        <v>2048.27</v>
      </c>
      <c r="F124" s="31">
        <f t="shared" si="45"/>
        <v>2069.6571034999993</v>
      </c>
      <c r="G124" s="31">
        <f t="shared" si="45"/>
        <v>2091.3660829076744</v>
      </c>
      <c r="H124" s="31">
        <f t="shared" si="45"/>
        <v>2113.4017824554348</v>
      </c>
      <c r="I124" s="31">
        <f t="shared" si="45"/>
        <v>2135.7691192813891</v>
      </c>
      <c r="J124" s="31">
        <f t="shared" si="45"/>
        <v>2158.4730845265735</v>
      </c>
      <c r="K124" s="31">
        <f t="shared" si="45"/>
        <v>2181.5187444486983</v>
      </c>
      <c r="L124" s="31">
        <f t="shared" si="45"/>
        <v>2204.9112415526511</v>
      </c>
      <c r="M124" s="31">
        <f t="shared" si="45"/>
        <v>2228.6557957380182</v>
      </c>
    </row>
    <row r="125" spans="1:13" x14ac:dyDescent="0.25">
      <c r="B125" s="20"/>
    </row>
    <row r="126" spans="1:13" x14ac:dyDescent="0.25">
      <c r="B126" s="20" t="s">
        <v>11</v>
      </c>
      <c r="D126" s="31">
        <f>Mortgage!E18</f>
        <v>55003.295343340105</v>
      </c>
      <c r="E126" s="31">
        <f>Mortgage!E30</f>
        <v>54420.046826933663</v>
      </c>
      <c r="F126" s="31">
        <f>Mortgage!E42</f>
        <v>53793.390525118601</v>
      </c>
      <c r="G126" s="31">
        <f>Mortgage!E54</f>
        <v>53120.095849593265</v>
      </c>
      <c r="H126" s="31">
        <f>Mortgage!E66</f>
        <v>52396.69177821037</v>
      </c>
      <c r="I126" s="31">
        <f>Mortgage!E78</f>
        <v>51619.448960888141</v>
      </c>
      <c r="J126" s="31">
        <f>Mortgage!E90</f>
        <v>50784.360493768851</v>
      </c>
      <c r="K126" s="31">
        <f>Mortgage!E102</f>
        <v>49887.121262510045</v>
      </c>
      <c r="L126" s="31">
        <f>Mortgage!E114</f>
        <v>48923.105748217342</v>
      </c>
      <c r="M126" s="31">
        <f>Mortgage!E126</f>
        <v>47887.34418160237</v>
      </c>
    </row>
    <row r="127" spans="1:13" x14ac:dyDescent="0.25">
      <c r="B127" s="20" t="s">
        <v>12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x14ac:dyDescent="0.25">
      <c r="B128" s="20"/>
    </row>
    <row r="129" spans="1:13" x14ac:dyDescent="0.25">
      <c r="B129" s="20" t="s">
        <v>13</v>
      </c>
      <c r="D129" s="29">
        <f>Mortgage!$G$6</f>
        <v>23805.489807162539</v>
      </c>
      <c r="E129" s="29">
        <f>Mortgage!$G$6</f>
        <v>23805.489807162539</v>
      </c>
      <c r="F129" s="29">
        <f>Mortgage!$G$6</f>
        <v>23805.489807162539</v>
      </c>
      <c r="G129" s="29">
        <f>Mortgage!$G$6</f>
        <v>23805.489807162539</v>
      </c>
      <c r="H129" s="29">
        <f>Mortgage!$G$6</f>
        <v>23805.489807162539</v>
      </c>
      <c r="I129" s="29">
        <f>Mortgage!$G$6</f>
        <v>23805.489807162539</v>
      </c>
      <c r="J129" s="29">
        <f>Mortgage!$G$6</f>
        <v>23805.489807162539</v>
      </c>
      <c r="K129" s="29">
        <f>Mortgage!$G$6</f>
        <v>23805.489807162539</v>
      </c>
      <c r="L129" s="29">
        <f>Mortgage!$G$6</f>
        <v>23805.489807162539</v>
      </c>
      <c r="M129" s="29">
        <f>Mortgage!$G$6</f>
        <v>23805.489807162539</v>
      </c>
    </row>
    <row r="130" spans="1:13" x14ac:dyDescent="0.25">
      <c r="B130" s="20" t="s">
        <v>14</v>
      </c>
      <c r="D130" s="31">
        <f>C130+D103</f>
        <v>38001.573458986422</v>
      </c>
      <c r="E130" s="31">
        <f t="shared" ref="E130:M130" si="46">D130+E103</f>
        <v>76641.225099089846</v>
      </c>
      <c r="F130" s="31">
        <f t="shared" si="46"/>
        <v>115893.44623940822</v>
      </c>
      <c r="G130" s="31">
        <f t="shared" si="46"/>
        <v>155780.86984726274</v>
      </c>
      <c r="H130" s="31">
        <f t="shared" si="46"/>
        <v>196310.33950986131</v>
      </c>
      <c r="I130" s="31">
        <f t="shared" si="46"/>
        <v>237488.9084467286</v>
      </c>
      <c r="J130" s="31">
        <f t="shared" si="46"/>
        <v>279323.85368887259</v>
      </c>
      <c r="K130" s="31">
        <f t="shared" si="46"/>
        <v>321822.69132269308</v>
      </c>
      <c r="L130" s="31">
        <f t="shared" si="46"/>
        <v>364993.19287832605</v>
      </c>
      <c r="M130" s="31">
        <f t="shared" si="46"/>
        <v>408843.40294805926</v>
      </c>
    </row>
    <row r="132" spans="1:13" x14ac:dyDescent="0.25">
      <c r="A132" s="10" t="s">
        <v>15</v>
      </c>
      <c r="D132" s="31">
        <f>SUM(D122:D130)</f>
        <v>135443.02119105597</v>
      </c>
      <c r="E132" s="31">
        <f t="shared" ref="E132:M132" si="47">SUM(E122:E130)</f>
        <v>173772.56975607766</v>
      </c>
      <c r="F132" s="31">
        <f t="shared" si="47"/>
        <v>212663.48807291454</v>
      </c>
      <c r="G132" s="31">
        <f t="shared" si="47"/>
        <v>252151.23444733964</v>
      </c>
      <c r="H132" s="31">
        <f t="shared" si="47"/>
        <v>292233.92713959567</v>
      </c>
      <c r="I132" s="31">
        <f t="shared" si="47"/>
        <v>332914.96883113333</v>
      </c>
      <c r="J132" s="31">
        <f t="shared" si="47"/>
        <v>374197.71330167667</v>
      </c>
      <c r="K132" s="31">
        <f t="shared" si="47"/>
        <v>416085.46037285228</v>
      </c>
      <c r="L132" s="31">
        <f t="shared" si="47"/>
        <v>458581.45048548165</v>
      </c>
      <c r="M132" s="31">
        <f t="shared" si="47"/>
        <v>501688.85888373543</v>
      </c>
    </row>
    <row r="134" spans="1:13" x14ac:dyDescent="0.25">
      <c r="A134" s="10" t="s">
        <v>16</v>
      </c>
      <c r="D134" s="31">
        <f>D119-D132</f>
        <v>-63746.436801707954</v>
      </c>
      <c r="E134" s="31">
        <f t="shared" ref="E134:M134" si="48">E119-E132</f>
        <v>-110731.03366792339</v>
      </c>
      <c r="F134" s="31">
        <f t="shared" si="48"/>
        <v>-158277.00028595404</v>
      </c>
      <c r="G134" s="31">
        <f t="shared" si="48"/>
        <v>-206419.79496157289</v>
      </c>
      <c r="H134" s="31">
        <f t="shared" si="48"/>
        <v>-255157.53595502267</v>
      </c>
      <c r="I134" s="31">
        <f t="shared" si="48"/>
        <v>-304493.62594775407</v>
      </c>
      <c r="J134" s="31">
        <f t="shared" si="48"/>
        <v>-354431.41871949116</v>
      </c>
      <c r="K134" s="31">
        <f t="shared" si="48"/>
        <v>-404974.21409186057</v>
      </c>
      <c r="L134" s="31">
        <f t="shared" si="48"/>
        <v>-456125.25250568369</v>
      </c>
      <c r="M134" s="31">
        <f t="shared" si="48"/>
        <v>-507887.70920513122</v>
      </c>
    </row>
    <row r="135" spans="1:13" x14ac:dyDescent="0.25">
      <c r="A135" s="10"/>
    </row>
    <row r="136" spans="1:13" x14ac:dyDescent="0.25">
      <c r="A136" s="10" t="s">
        <v>129</v>
      </c>
    </row>
    <row r="137" spans="1:13" x14ac:dyDescent="0.25">
      <c r="A137" s="10"/>
    </row>
    <row r="138" spans="1:13" x14ac:dyDescent="0.25">
      <c r="A138" s="17" t="s">
        <v>117</v>
      </c>
      <c r="D138" s="36">
        <f>D147+D140*(D146-D147)</f>
        <v>0.1605</v>
      </c>
      <c r="E138" s="36">
        <f t="shared" ref="E138:M138" si="49">E147+E140*(E146-E147)</f>
        <v>0.1605</v>
      </c>
      <c r="F138" s="36">
        <f t="shared" si="49"/>
        <v>0.1605</v>
      </c>
      <c r="G138" s="36">
        <f t="shared" si="49"/>
        <v>0.1605</v>
      </c>
      <c r="H138" s="36">
        <f t="shared" si="49"/>
        <v>0.1605</v>
      </c>
      <c r="I138" s="36">
        <f t="shared" si="49"/>
        <v>0.1605</v>
      </c>
      <c r="J138" s="36">
        <f t="shared" si="49"/>
        <v>0.1605</v>
      </c>
      <c r="K138" s="36">
        <f t="shared" si="49"/>
        <v>0.1605</v>
      </c>
      <c r="L138" s="36">
        <f t="shared" si="49"/>
        <v>0.1605</v>
      </c>
      <c r="M138" s="36">
        <f t="shared" si="49"/>
        <v>0.1605</v>
      </c>
    </row>
    <row r="139" spans="1:13" x14ac:dyDescent="0.25">
      <c r="A139" s="11" t="s">
        <v>110</v>
      </c>
      <c r="D139" s="36">
        <f>((D126/(SUM(D126:D127))*Mortgage!$C$2)+(('Pro Forma Normal'!D127/SUM('Pro Forma Normal'!D126:D127))*'Pro Forma Normal'!$D$11))</f>
        <v>7.1999999999999995E-2</v>
      </c>
      <c r="E139" s="36">
        <f>((E126/(SUM(E126:E127))*Mortgage!$C$2)+(('Pro Forma Normal'!E127/SUM('Pro Forma Normal'!E126:E127))*'Pro Forma Normal'!$D$11))</f>
        <v>7.1999999999999995E-2</v>
      </c>
      <c r="F139" s="36">
        <f>((F126/(SUM(F126:F127))*Mortgage!$C$2)+(('Pro Forma Normal'!F127/SUM('Pro Forma Normal'!F126:F127))*'Pro Forma Normal'!$D$11))</f>
        <v>7.1999999999999995E-2</v>
      </c>
      <c r="G139" s="36">
        <f>((G126/(SUM(G126:G127))*Mortgage!$C$2)+(('Pro Forma Normal'!G127/SUM('Pro Forma Normal'!G126:G127))*'Pro Forma Normal'!$D$11))</f>
        <v>7.1999999999999995E-2</v>
      </c>
      <c r="H139" s="36">
        <f>((H126/(SUM(H126:H127))*Mortgage!$C$2)+(('Pro Forma Normal'!H127/SUM('Pro Forma Normal'!H126:H127))*'Pro Forma Normal'!$D$11))</f>
        <v>7.1999999999999995E-2</v>
      </c>
      <c r="I139" s="36">
        <f>((I126/(SUM(I126:I127))*Mortgage!$C$2)+(('Pro Forma Normal'!I127/SUM('Pro Forma Normal'!I126:I127))*'Pro Forma Normal'!$D$11))</f>
        <v>7.1999999999999995E-2</v>
      </c>
      <c r="J139" s="36">
        <f>((J126/(SUM(J126:J127))*Mortgage!$C$2)+(('Pro Forma Normal'!J127/SUM('Pro Forma Normal'!J126:J127))*'Pro Forma Normal'!$D$11))</f>
        <v>7.1999999999999995E-2</v>
      </c>
      <c r="K139" s="36">
        <f>((K126/(SUM(K126:K127))*Mortgage!$C$2)+(('Pro Forma Normal'!K127/SUM('Pro Forma Normal'!K126:K127))*'Pro Forma Normal'!$D$11))</f>
        <v>7.1999999999999995E-2</v>
      </c>
      <c r="L139" s="36">
        <f>((L126/(SUM(L126:L127))*Mortgage!$C$2)+(('Pro Forma Normal'!L127/SUM('Pro Forma Normal'!L126:L127))*'Pro Forma Normal'!$D$11))</f>
        <v>7.1999999999999995E-2</v>
      </c>
      <c r="M139" s="36">
        <f>((M126/(SUM(M126:M127))*Mortgage!$C$2)+(('Pro Forma Normal'!M127/SUM('Pro Forma Normal'!M126:M127))*'Pro Forma Normal'!$D$11))</f>
        <v>7.1999999999999995E-2</v>
      </c>
    </row>
    <row r="140" spans="1:13" x14ac:dyDescent="0.25">
      <c r="A140" s="11" t="s">
        <v>116</v>
      </c>
      <c r="D140">
        <v>1.45</v>
      </c>
      <c r="E140">
        <f>$D$140</f>
        <v>1.45</v>
      </c>
      <c r="F140">
        <f t="shared" ref="F140:M140" si="50">$D$140</f>
        <v>1.45</v>
      </c>
      <c r="G140">
        <f t="shared" si="50"/>
        <v>1.45</v>
      </c>
      <c r="H140">
        <f t="shared" si="50"/>
        <v>1.45</v>
      </c>
      <c r="I140">
        <f t="shared" si="50"/>
        <v>1.45</v>
      </c>
      <c r="J140">
        <f t="shared" si="50"/>
        <v>1.45</v>
      </c>
      <c r="K140">
        <f t="shared" si="50"/>
        <v>1.45</v>
      </c>
      <c r="L140">
        <f t="shared" si="50"/>
        <v>1.45</v>
      </c>
      <c r="M140">
        <f t="shared" si="50"/>
        <v>1.45</v>
      </c>
    </row>
    <row r="142" spans="1:13" x14ac:dyDescent="0.25">
      <c r="A142" s="11" t="s">
        <v>114</v>
      </c>
      <c r="D142" s="36">
        <f>SUM(D126:D127)/SUM(D126:D130)</f>
        <v>0.47087686398791623</v>
      </c>
      <c r="E142" s="36">
        <f t="shared" ref="E142:M142" si="51">SUM(E126:E127)/SUM(E126:E130)</f>
        <v>0.35139913960809649</v>
      </c>
      <c r="F142" s="36">
        <f t="shared" si="51"/>
        <v>0.27801304309185626</v>
      </c>
      <c r="G142" s="36">
        <f t="shared" si="51"/>
        <v>0.22827083045264271</v>
      </c>
      <c r="H142" s="36">
        <f t="shared" si="51"/>
        <v>0.19227260298949508</v>
      </c>
      <c r="I142" s="36">
        <f t="shared" si="51"/>
        <v>0.16496377332083145</v>
      </c>
      <c r="J142" s="36">
        <f t="shared" si="51"/>
        <v>0.14349362548343683</v>
      </c>
      <c r="K142" s="36">
        <f t="shared" si="51"/>
        <v>0.12613196243168412</v>
      </c>
      <c r="L142" s="36">
        <f t="shared" si="51"/>
        <v>0.11176758169447823</v>
      </c>
      <c r="M142" s="36">
        <f t="shared" si="51"/>
        <v>9.9653970919779136E-2</v>
      </c>
    </row>
    <row r="143" spans="1:13" x14ac:dyDescent="0.25">
      <c r="A143" s="11" t="s">
        <v>115</v>
      </c>
      <c r="D143" s="36">
        <f>SUM(D129:D130)/SUM(D126:D130)</f>
        <v>0.52912313601208372</v>
      </c>
      <c r="E143" s="36">
        <f t="shared" ref="E143:M143" si="52">SUM(E129:E130)/SUM(E126:E130)</f>
        <v>0.64860086039190346</v>
      </c>
      <c r="F143" s="36">
        <f t="shared" si="52"/>
        <v>0.72198695690814374</v>
      </c>
      <c r="G143" s="36">
        <f t="shared" si="52"/>
        <v>0.77172916954735726</v>
      </c>
      <c r="H143" s="36">
        <f t="shared" si="52"/>
        <v>0.807727397010505</v>
      </c>
      <c r="I143" s="36">
        <f t="shared" si="52"/>
        <v>0.83503622667916855</v>
      </c>
      <c r="J143" s="36">
        <f t="shared" si="52"/>
        <v>0.85650637451656331</v>
      </c>
      <c r="K143" s="36">
        <f t="shared" si="52"/>
        <v>0.87386803756831599</v>
      </c>
      <c r="L143" s="36">
        <f t="shared" si="52"/>
        <v>0.8882324183055218</v>
      </c>
      <c r="M143" s="36">
        <f t="shared" si="52"/>
        <v>0.90034602908022088</v>
      </c>
    </row>
    <row r="145" spans="1:13" x14ac:dyDescent="0.25">
      <c r="A145" s="11" t="s">
        <v>111</v>
      </c>
      <c r="D145" s="33">
        <f>D140/(1+(1-$D$10)*(D142/D143))</f>
        <v>0.8695968008466729</v>
      </c>
      <c r="E145" s="33">
        <f t="shared" ref="E145:M145" si="53">E140/(1+(1-$D$10)*(E142/E143))</f>
        <v>1.0310486496648386</v>
      </c>
      <c r="F145" s="33">
        <f t="shared" si="53"/>
        <v>1.1250776530248274</v>
      </c>
      <c r="G145" s="33">
        <f t="shared" si="53"/>
        <v>1.1867313325447058</v>
      </c>
      <c r="H145" s="33">
        <f t="shared" si="53"/>
        <v>1.2303451413930102</v>
      </c>
      <c r="I145" s="33">
        <f t="shared" si="53"/>
        <v>1.2628851015921188</v>
      </c>
      <c r="J145" s="33">
        <f t="shared" si="53"/>
        <v>1.2881443694796959</v>
      </c>
      <c r="K145" s="33">
        <f t="shared" si="53"/>
        <v>1.308365326010889</v>
      </c>
      <c r="L145" s="33">
        <f t="shared" si="53"/>
        <v>1.3249588686926128</v>
      </c>
      <c r="M145" s="33">
        <f t="shared" si="53"/>
        <v>1.33885735515029</v>
      </c>
    </row>
    <row r="146" spans="1:13" x14ac:dyDescent="0.25">
      <c r="A146" s="11" t="s">
        <v>106</v>
      </c>
      <c r="D146" s="23">
        <v>0.12</v>
      </c>
      <c r="E146" s="23">
        <f>$D$146</f>
        <v>0.12</v>
      </c>
      <c r="F146" s="23">
        <f t="shared" ref="F146:M146" si="54">$D$146</f>
        <v>0.12</v>
      </c>
      <c r="G146" s="23">
        <f t="shared" si="54"/>
        <v>0.12</v>
      </c>
      <c r="H146" s="23">
        <f t="shared" si="54"/>
        <v>0.12</v>
      </c>
      <c r="I146" s="23">
        <f t="shared" si="54"/>
        <v>0.12</v>
      </c>
      <c r="J146" s="23">
        <f t="shared" si="54"/>
        <v>0.12</v>
      </c>
      <c r="K146" s="23">
        <f t="shared" si="54"/>
        <v>0.12</v>
      </c>
      <c r="L146" s="23">
        <f t="shared" si="54"/>
        <v>0.12</v>
      </c>
      <c r="M146" s="23">
        <f t="shared" si="54"/>
        <v>0.12</v>
      </c>
    </row>
    <row r="147" spans="1:13" x14ac:dyDescent="0.25">
      <c r="A147" s="11" t="s">
        <v>112</v>
      </c>
      <c r="D147" s="23">
        <v>0.03</v>
      </c>
      <c r="E147" s="23">
        <f>$D$147</f>
        <v>0.03</v>
      </c>
      <c r="F147" s="23">
        <f t="shared" ref="F147:M147" si="55">$D$147</f>
        <v>0.03</v>
      </c>
      <c r="G147" s="23">
        <f t="shared" si="55"/>
        <v>0.03</v>
      </c>
      <c r="H147" s="23">
        <f t="shared" si="55"/>
        <v>0.03</v>
      </c>
      <c r="I147" s="23">
        <f t="shared" si="55"/>
        <v>0.03</v>
      </c>
      <c r="J147" s="23">
        <f t="shared" si="55"/>
        <v>0.03</v>
      </c>
      <c r="K147" s="23">
        <f t="shared" si="55"/>
        <v>0.03</v>
      </c>
      <c r="L147" s="23">
        <f t="shared" si="55"/>
        <v>0.03</v>
      </c>
      <c r="M147" s="23">
        <f t="shared" si="55"/>
        <v>0.03</v>
      </c>
    </row>
    <row r="149" spans="1:13" x14ac:dyDescent="0.25">
      <c r="A149" s="11" t="s">
        <v>113</v>
      </c>
      <c r="D149" s="37">
        <f>(D142*D139)+(D143*D138)</f>
        <v>0.1188273975370694</v>
      </c>
      <c r="E149" s="37">
        <f t="shared" ref="E149:M149" si="56">(E142*E139)+(E143*E138)</f>
        <v>0.12940117614468347</v>
      </c>
      <c r="F149" s="37">
        <f t="shared" si="56"/>
        <v>0.13589584568637073</v>
      </c>
      <c r="G149" s="37">
        <f t="shared" si="56"/>
        <v>0.14029803150494111</v>
      </c>
      <c r="H149" s="37">
        <f t="shared" si="56"/>
        <v>0.14348387463542969</v>
      </c>
      <c r="I149" s="37">
        <f t="shared" si="56"/>
        <v>0.14590070606110642</v>
      </c>
      <c r="J149" s="37">
        <f t="shared" si="56"/>
        <v>0.14780081414471588</v>
      </c>
      <c r="K149" s="37">
        <f t="shared" si="56"/>
        <v>0.14933732132479596</v>
      </c>
      <c r="L149" s="37">
        <f t="shared" si="56"/>
        <v>0.15060856902003869</v>
      </c>
      <c r="M149" s="37">
        <f t="shared" si="56"/>
        <v>0.15168062357359954</v>
      </c>
    </row>
    <row r="150" spans="1:13" x14ac:dyDescent="0.25">
      <c r="A150" s="11" t="s">
        <v>118</v>
      </c>
      <c r="D150" s="37">
        <f>AVERAGE(D149:M149)</f>
        <v>0.14132343596327507</v>
      </c>
    </row>
    <row r="151" spans="1:13" x14ac:dyDescent="0.25">
      <c r="A151" s="17"/>
    </row>
    <row r="152" spans="1:13" x14ac:dyDescent="0.25">
      <c r="A152"/>
    </row>
    <row r="153" spans="1:13" x14ac:dyDescent="0.25">
      <c r="A153" s="10"/>
    </row>
    <row r="154" spans="1:13" x14ac:dyDescent="0.25">
      <c r="A154" s="10" t="s">
        <v>66</v>
      </c>
      <c r="C154">
        <v>0</v>
      </c>
      <c r="D154">
        <v>1</v>
      </c>
      <c r="E154">
        <v>2</v>
      </c>
      <c r="F154">
        <v>3</v>
      </c>
      <c r="G154">
        <v>4</v>
      </c>
      <c r="H154">
        <v>5</v>
      </c>
      <c r="I154">
        <v>6</v>
      </c>
      <c r="J154">
        <v>7</v>
      </c>
      <c r="K154">
        <v>8</v>
      </c>
      <c r="L154">
        <v>9</v>
      </c>
      <c r="M154">
        <v>10</v>
      </c>
    </row>
    <row r="155" spans="1:13" x14ac:dyDescent="0.25">
      <c r="A155" s="12" t="s">
        <v>67</v>
      </c>
      <c r="D155" s="31">
        <f>D84-SUM(D86:D90)</f>
        <v>80615.549999999988</v>
      </c>
      <c r="E155" s="31">
        <f t="shared" ref="E155:M155" si="57">E84-SUM(E86:E90)</f>
        <v>81404.605500000005</v>
      </c>
      <c r="F155" s="31">
        <f t="shared" si="57"/>
        <v>82199.271480000025</v>
      </c>
      <c r="G155" s="31">
        <f t="shared" si="57"/>
        <v>82999.569729671261</v>
      </c>
      <c r="H155" s="31">
        <f t="shared" si="57"/>
        <v>83805.521740139055</v>
      </c>
      <c r="I155" s="31">
        <f t="shared" si="57"/>
        <v>84617.148693224735</v>
      </c>
      <c r="J155" s="31">
        <f t="shared" si="57"/>
        <v>85434.471450463287</v>
      </c>
      <c r="K155" s="31">
        <f t="shared" si="57"/>
        <v>86257.510541892407</v>
      </c>
      <c r="L155" s="31">
        <f t="shared" si="57"/>
        <v>87086.286154608475</v>
      </c>
      <c r="M155" s="31">
        <f t="shared" si="57"/>
        <v>87920.818121086573</v>
      </c>
    </row>
    <row r="156" spans="1:13" x14ac:dyDescent="0.25">
      <c r="A156" s="12" t="s">
        <v>68</v>
      </c>
      <c r="D156" s="31">
        <f>D95</f>
        <v>8655.0483011937558</v>
      </c>
      <c r="E156" s="31">
        <f t="shared" ref="E156:M156" si="58">E95</f>
        <v>8655.0483011937558</v>
      </c>
      <c r="F156" s="31">
        <f t="shared" si="58"/>
        <v>8655.0483011937558</v>
      </c>
      <c r="G156" s="31">
        <f t="shared" si="58"/>
        <v>8655.0483011937558</v>
      </c>
      <c r="H156" s="31">
        <f t="shared" si="58"/>
        <v>8655.0483011937558</v>
      </c>
      <c r="I156" s="31">
        <f t="shared" si="58"/>
        <v>8655.0483011937558</v>
      </c>
      <c r="J156" s="31">
        <f t="shared" si="58"/>
        <v>8655.0483011937558</v>
      </c>
      <c r="K156" s="31">
        <f t="shared" si="58"/>
        <v>8655.0483011937558</v>
      </c>
      <c r="L156" s="31">
        <f t="shared" si="58"/>
        <v>8655.0483011937558</v>
      </c>
      <c r="M156" s="31">
        <f t="shared" si="58"/>
        <v>8655.0483011937558</v>
      </c>
    </row>
    <row r="157" spans="1:13" x14ac:dyDescent="0.25">
      <c r="A157" s="12" t="s">
        <v>69</v>
      </c>
      <c r="D157" s="31">
        <f>D155-D156</f>
        <v>71960.501698806227</v>
      </c>
      <c r="E157" s="31">
        <f t="shared" ref="E157:M157" si="59">E155-E156</f>
        <v>72749.557198806244</v>
      </c>
      <c r="F157" s="31">
        <f t="shared" si="59"/>
        <v>73544.223178806264</v>
      </c>
      <c r="G157" s="31">
        <f t="shared" si="59"/>
        <v>74344.521428477499</v>
      </c>
      <c r="H157" s="31">
        <f t="shared" si="59"/>
        <v>75150.473438945293</v>
      </c>
      <c r="I157" s="31">
        <f t="shared" si="59"/>
        <v>75962.100392030974</v>
      </c>
      <c r="J157" s="31">
        <f t="shared" si="59"/>
        <v>76779.423149269525</v>
      </c>
      <c r="K157" s="31">
        <f t="shared" si="59"/>
        <v>77602.462240698645</v>
      </c>
      <c r="L157" s="31">
        <f t="shared" si="59"/>
        <v>78431.237853414714</v>
      </c>
      <c r="M157" s="31">
        <f t="shared" si="59"/>
        <v>79265.769819892812</v>
      </c>
    </row>
    <row r="158" spans="1:13" x14ac:dyDescent="0.25">
      <c r="A158" s="12" t="s">
        <v>70</v>
      </c>
      <c r="D158" s="31">
        <f>D157*$D$10</f>
        <v>17990.125424701557</v>
      </c>
      <c r="E158" s="31">
        <f t="shared" ref="E158:M158" si="60">E157*$D$10</f>
        <v>18187.389299701561</v>
      </c>
      <c r="F158" s="31">
        <f t="shared" si="60"/>
        <v>18386.055794701566</v>
      </c>
      <c r="G158" s="31">
        <f t="shared" si="60"/>
        <v>18586.130357119375</v>
      </c>
      <c r="H158" s="31">
        <f t="shared" si="60"/>
        <v>18787.618359736323</v>
      </c>
      <c r="I158" s="31">
        <f t="shared" si="60"/>
        <v>18990.525098007744</v>
      </c>
      <c r="J158" s="31">
        <f t="shared" si="60"/>
        <v>19194.855787317381</v>
      </c>
      <c r="K158" s="31">
        <f t="shared" si="60"/>
        <v>19400.615560174661</v>
      </c>
      <c r="L158" s="31">
        <f t="shared" si="60"/>
        <v>19607.809463353678</v>
      </c>
      <c r="M158" s="31">
        <f t="shared" si="60"/>
        <v>19816.442454973203</v>
      </c>
    </row>
    <row r="159" spans="1:13" x14ac:dyDescent="0.25">
      <c r="A159" s="12" t="s">
        <v>71</v>
      </c>
      <c r="D159" s="31">
        <f>D157-D158</f>
        <v>53970.376274104667</v>
      </c>
      <c r="E159" s="31">
        <f t="shared" ref="E159:M159" si="61">E157-E158</f>
        <v>54562.167899104679</v>
      </c>
      <c r="F159" s="31">
        <f t="shared" si="61"/>
        <v>55158.167384104701</v>
      </c>
      <c r="G159" s="31">
        <f t="shared" si="61"/>
        <v>55758.391071358128</v>
      </c>
      <c r="H159" s="31">
        <f t="shared" si="61"/>
        <v>56362.855079208966</v>
      </c>
      <c r="I159" s="31">
        <f t="shared" si="61"/>
        <v>56971.575294023234</v>
      </c>
      <c r="J159" s="31">
        <f t="shared" si="61"/>
        <v>57584.56736195214</v>
      </c>
      <c r="K159" s="31">
        <f t="shared" si="61"/>
        <v>58201.846680523988</v>
      </c>
      <c r="L159" s="31">
        <f t="shared" si="61"/>
        <v>58823.428390061032</v>
      </c>
      <c r="M159" s="31">
        <f t="shared" si="61"/>
        <v>59449.327364919605</v>
      </c>
    </row>
    <row r="160" spans="1:13" x14ac:dyDescent="0.25">
      <c r="A160" s="12" t="s">
        <v>72</v>
      </c>
      <c r="D160" s="31">
        <f>D156</f>
        <v>8655.0483011937558</v>
      </c>
      <c r="E160" s="31">
        <f t="shared" ref="E160:M160" si="62">E156</f>
        <v>8655.0483011937558</v>
      </c>
      <c r="F160" s="31">
        <f t="shared" si="62"/>
        <v>8655.0483011937558</v>
      </c>
      <c r="G160" s="31">
        <f t="shared" si="62"/>
        <v>8655.0483011937558</v>
      </c>
      <c r="H160" s="31">
        <f t="shared" si="62"/>
        <v>8655.0483011937558</v>
      </c>
      <c r="I160" s="31">
        <f t="shared" si="62"/>
        <v>8655.0483011937558</v>
      </c>
      <c r="J160" s="31">
        <f t="shared" si="62"/>
        <v>8655.0483011937558</v>
      </c>
      <c r="K160" s="31">
        <f t="shared" si="62"/>
        <v>8655.0483011937558</v>
      </c>
      <c r="L160" s="31">
        <f t="shared" si="62"/>
        <v>8655.0483011937558</v>
      </c>
      <c r="M160" s="31">
        <f t="shared" si="62"/>
        <v>8655.0483011937558</v>
      </c>
    </row>
    <row r="161" spans="1:15" ht="15.75" thickBot="1" x14ac:dyDescent="0.3">
      <c r="A161" s="18" t="s">
        <v>107</v>
      </c>
      <c r="D161" s="38">
        <f>D159+D160</f>
        <v>62625.424575298421</v>
      </c>
      <c r="E161" s="38">
        <f t="shared" ref="E161:M161" si="63">E159+E160</f>
        <v>63217.216200298433</v>
      </c>
      <c r="F161" s="38">
        <f t="shared" si="63"/>
        <v>63813.215685298455</v>
      </c>
      <c r="G161" s="38">
        <f t="shared" si="63"/>
        <v>64413.439372551882</v>
      </c>
      <c r="H161" s="38">
        <f t="shared" si="63"/>
        <v>65017.90338040272</v>
      </c>
      <c r="I161" s="38">
        <f t="shared" si="63"/>
        <v>65626.623595216995</v>
      </c>
      <c r="J161" s="38">
        <f t="shared" si="63"/>
        <v>66239.615663145902</v>
      </c>
      <c r="K161" s="38">
        <f t="shared" si="63"/>
        <v>66856.894981717749</v>
      </c>
      <c r="L161" s="38">
        <f t="shared" si="63"/>
        <v>67478.476691254793</v>
      </c>
      <c r="M161" s="38">
        <f t="shared" si="63"/>
        <v>68104.375666113367</v>
      </c>
    </row>
    <row r="162" spans="1:15" ht="15.75" thickTop="1" x14ac:dyDescent="0.25"/>
    <row r="163" spans="1:15" x14ac:dyDescent="0.25">
      <c r="A163" s="10" t="s">
        <v>73</v>
      </c>
    </row>
    <row r="164" spans="1:15" x14ac:dyDescent="0.25">
      <c r="A164" s="10"/>
    </row>
    <row r="165" spans="1:15" x14ac:dyDescent="0.25">
      <c r="A165" s="19" t="s">
        <v>74</v>
      </c>
      <c r="C165" s="30">
        <f>-D112</f>
        <v>-15751.999999999998</v>
      </c>
      <c r="N165" t="s">
        <v>81</v>
      </c>
      <c r="O165" s="30">
        <f>M112-M114</f>
        <v>10501.333333333332</v>
      </c>
    </row>
    <row r="166" spans="1:15" x14ac:dyDescent="0.25">
      <c r="A166" s="12" t="s">
        <v>121</v>
      </c>
      <c r="M166" s="30">
        <f>O165*O166</f>
        <v>12076.533333333331</v>
      </c>
      <c r="N166" t="s">
        <v>152</v>
      </c>
      <c r="O166" s="23">
        <v>1.1499999999999999</v>
      </c>
    </row>
    <row r="167" spans="1:15" x14ac:dyDescent="0.25">
      <c r="A167" s="19" t="s">
        <v>119</v>
      </c>
      <c r="C167" s="29">
        <f>-D110-D111</f>
        <v>-33000</v>
      </c>
      <c r="N167" t="s">
        <v>81</v>
      </c>
      <c r="O167" s="29">
        <v>0</v>
      </c>
    </row>
    <row r="168" spans="1:15" x14ac:dyDescent="0.25">
      <c r="A168" s="19" t="s">
        <v>122</v>
      </c>
      <c r="M168" s="29">
        <f>O167*O168</f>
        <v>0</v>
      </c>
      <c r="N168" t="s">
        <v>152</v>
      </c>
      <c r="O168" s="23"/>
    </row>
    <row r="169" spans="1:15" x14ac:dyDescent="0.25">
      <c r="A169" s="12" t="s">
        <v>120</v>
      </c>
      <c r="C169" s="30">
        <f>-D113</f>
        <v>-30599.632690541781</v>
      </c>
      <c r="N169" t="s">
        <v>81</v>
      </c>
      <c r="O169" s="30">
        <f>M113-M116</f>
        <v>15299.816345270894</v>
      </c>
    </row>
    <row r="170" spans="1:15" x14ac:dyDescent="0.25">
      <c r="A170" s="12" t="s">
        <v>123</v>
      </c>
      <c r="M170" s="30">
        <f>O169*O170</f>
        <v>16829.797979797986</v>
      </c>
      <c r="N170" t="s">
        <v>152</v>
      </c>
      <c r="O170" s="23">
        <v>1.1000000000000001</v>
      </c>
    </row>
    <row r="171" spans="1:15" x14ac:dyDescent="0.25">
      <c r="A171" s="12" t="s">
        <v>124</v>
      </c>
      <c r="M171" s="30">
        <f>-((M166-O165)+(M168-O167)+(M170-O169))*D10</f>
        <v>-776.29540863177272</v>
      </c>
    </row>
    <row r="172" spans="1:15" x14ac:dyDescent="0.25">
      <c r="A172" s="12" t="s">
        <v>128</v>
      </c>
      <c r="D172" s="30">
        <f>C165*0.5</f>
        <v>-7875.9999999999991</v>
      </c>
      <c r="M172" s="30"/>
    </row>
    <row r="173" spans="1:15" x14ac:dyDescent="0.25">
      <c r="A173" s="12" t="s">
        <v>153</v>
      </c>
      <c r="D173" s="30">
        <v>-50000</v>
      </c>
      <c r="M173" s="30"/>
    </row>
    <row r="174" spans="1:15" x14ac:dyDescent="0.25">
      <c r="A174" s="12" t="s">
        <v>183</v>
      </c>
      <c r="D174" s="30"/>
      <c r="H174">
        <v>-115000</v>
      </c>
      <c r="M174" s="30"/>
    </row>
    <row r="175" spans="1:15" x14ac:dyDescent="0.25">
      <c r="A175" s="12" t="s">
        <v>154</v>
      </c>
      <c r="D175" s="29">
        <f>-(15*$D$55)-(15*$D$56)</f>
        <v>-33000</v>
      </c>
      <c r="M175" s="30"/>
    </row>
    <row r="176" spans="1:15" ht="15.75" thickBot="1" x14ac:dyDescent="0.3">
      <c r="A176" s="12" t="s">
        <v>167</v>
      </c>
      <c r="C176" s="41">
        <f>SUM(C165:C175)</f>
        <v>-79351.632690541781</v>
      </c>
      <c r="D176" s="41">
        <f t="shared" ref="D176:M176" si="64">SUM(D165:D175)</f>
        <v>-90876</v>
      </c>
      <c r="E176" s="41">
        <f t="shared" si="64"/>
        <v>0</v>
      </c>
      <c r="F176" s="41">
        <f t="shared" si="64"/>
        <v>0</v>
      </c>
      <c r="G176" s="41">
        <f t="shared" si="64"/>
        <v>0</v>
      </c>
      <c r="H176" s="41">
        <f t="shared" si="64"/>
        <v>-115000</v>
      </c>
      <c r="I176" s="41">
        <f t="shared" si="64"/>
        <v>0</v>
      </c>
      <c r="J176" s="41">
        <f t="shared" si="64"/>
        <v>0</v>
      </c>
      <c r="K176" s="41">
        <f t="shared" si="64"/>
        <v>0</v>
      </c>
      <c r="L176" s="41">
        <f t="shared" si="64"/>
        <v>0</v>
      </c>
      <c r="M176" s="41">
        <f t="shared" si="64"/>
        <v>28130.035904499546</v>
      </c>
    </row>
    <row r="177" spans="1:13" ht="15.75" thickTop="1" x14ac:dyDescent="0.25">
      <c r="A177" s="12"/>
      <c r="D177" s="29"/>
      <c r="M177" s="30"/>
    </row>
    <row r="179" spans="1:13" x14ac:dyDescent="0.25">
      <c r="A179" s="10" t="s">
        <v>75</v>
      </c>
    </row>
    <row r="180" spans="1:13" x14ac:dyDescent="0.25">
      <c r="A180" s="12" t="s">
        <v>5</v>
      </c>
      <c r="D180" s="24">
        <f>D109-C109</f>
        <v>0</v>
      </c>
      <c r="E180" s="24">
        <f t="shared" ref="E180:M180" si="65">E109-D109</f>
        <v>0</v>
      </c>
      <c r="F180" s="24">
        <f t="shared" si="65"/>
        <v>0</v>
      </c>
      <c r="G180" s="24">
        <f t="shared" si="65"/>
        <v>0</v>
      </c>
      <c r="H180" s="24">
        <f t="shared" si="65"/>
        <v>0</v>
      </c>
      <c r="I180" s="24">
        <f t="shared" si="65"/>
        <v>0</v>
      </c>
      <c r="J180" s="24">
        <f t="shared" si="65"/>
        <v>0</v>
      </c>
      <c r="K180" s="24">
        <f t="shared" si="65"/>
        <v>0</v>
      </c>
      <c r="L180" s="24">
        <f t="shared" si="65"/>
        <v>0</v>
      </c>
      <c r="M180" s="24">
        <f t="shared" si="65"/>
        <v>0</v>
      </c>
    </row>
    <row r="181" spans="1:13" x14ac:dyDescent="0.25">
      <c r="A181" s="12" t="s">
        <v>108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</row>
    <row r="182" spans="1:13" x14ac:dyDescent="0.25">
      <c r="A182" s="12" t="s">
        <v>109</v>
      </c>
      <c r="D182" s="31">
        <f>D122+D124-C122-C124</f>
        <v>5965.471428571429</v>
      </c>
      <c r="E182" s="31">
        <f t="shared" ref="E182:M182" si="66">E122+E124-D122-D124</f>
        <v>60.452714285713228</v>
      </c>
      <c r="F182" s="31">
        <f t="shared" si="66"/>
        <v>61.163644928572467</v>
      </c>
      <c r="G182" s="31">
        <f t="shared" si="66"/>
        <v>61.883286250531</v>
      </c>
      <c r="H182" s="31">
        <f t="shared" si="66"/>
        <v>62.611749459046223</v>
      </c>
      <c r="I182" s="31">
        <f t="shared" si="66"/>
        <v>63.349147236353019</v>
      </c>
      <c r="J182" s="31">
        <f t="shared" si="66"/>
        <v>64.095593759685471</v>
      </c>
      <c r="K182" s="31">
        <f t="shared" si="66"/>
        <v>64.851204721773229</v>
      </c>
      <c r="L182" s="31">
        <f t="shared" si="66"/>
        <v>65.616097351596181</v>
      </c>
      <c r="M182" s="31">
        <f t="shared" si="66"/>
        <v>66.390390435487916</v>
      </c>
    </row>
    <row r="183" spans="1:13" x14ac:dyDescent="0.25">
      <c r="A183" s="12" t="s">
        <v>10</v>
      </c>
      <c r="D183" s="31">
        <f>D158-C158</f>
        <v>17990.125424701557</v>
      </c>
      <c r="E183" s="31">
        <f t="shared" ref="E183:M183" si="67">E158-D158</f>
        <v>197.26387500000419</v>
      </c>
      <c r="F183" s="31">
        <f t="shared" si="67"/>
        <v>198.66649500000494</v>
      </c>
      <c r="G183" s="31">
        <f t="shared" si="67"/>
        <v>200.07456241780892</v>
      </c>
      <c r="H183" s="31">
        <f t="shared" si="67"/>
        <v>201.48800261694851</v>
      </c>
      <c r="I183" s="31">
        <f t="shared" si="67"/>
        <v>202.90673827142018</v>
      </c>
      <c r="J183" s="31">
        <f t="shared" si="67"/>
        <v>204.33068930963782</v>
      </c>
      <c r="K183" s="31">
        <f t="shared" si="67"/>
        <v>205.75977285728004</v>
      </c>
      <c r="L183" s="31">
        <f t="shared" si="67"/>
        <v>207.19390317901707</v>
      </c>
      <c r="M183" s="31">
        <f t="shared" si="67"/>
        <v>208.63299161952455</v>
      </c>
    </row>
    <row r="184" spans="1:13" x14ac:dyDescent="0.25">
      <c r="A184" s="12" t="s">
        <v>168</v>
      </c>
      <c r="D184" s="24">
        <f>SUM(D180:D183)</f>
        <v>23955.596853272986</v>
      </c>
      <c r="E184" s="24">
        <f t="shared" ref="E184:M184" si="68">SUM(E180:E183)</f>
        <v>257.71658928571742</v>
      </c>
      <c r="F184" s="24">
        <f t="shared" si="68"/>
        <v>259.83013992857741</v>
      </c>
      <c r="G184" s="24">
        <f t="shared" si="68"/>
        <v>261.95784866833992</v>
      </c>
      <c r="H184" s="24">
        <f t="shared" si="68"/>
        <v>264.09975207599473</v>
      </c>
      <c r="I184" s="24">
        <f t="shared" si="68"/>
        <v>266.2558855077732</v>
      </c>
      <c r="J184" s="24">
        <f t="shared" si="68"/>
        <v>268.42628306932329</v>
      </c>
      <c r="K184" s="24">
        <f t="shared" si="68"/>
        <v>270.61097757905327</v>
      </c>
      <c r="L184" s="24">
        <f t="shared" si="68"/>
        <v>272.81000053061325</v>
      </c>
      <c r="M184" s="24">
        <f t="shared" si="68"/>
        <v>275.02338205501246</v>
      </c>
    </row>
    <row r="185" spans="1:13" x14ac:dyDescent="0.25">
      <c r="A185" s="10" t="s">
        <v>76</v>
      </c>
    </row>
    <row r="186" spans="1:13" x14ac:dyDescent="0.25">
      <c r="A186" s="12" t="s">
        <v>5</v>
      </c>
      <c r="M186" s="24">
        <f>M109</f>
        <v>0</v>
      </c>
    </row>
    <row r="187" spans="1:13" x14ac:dyDescent="0.25">
      <c r="A187" s="12" t="s">
        <v>108</v>
      </c>
      <c r="M187">
        <v>0</v>
      </c>
    </row>
    <row r="188" spans="1:13" x14ac:dyDescent="0.25">
      <c r="A188" s="12" t="s">
        <v>109</v>
      </c>
      <c r="M188" s="31">
        <f>-(M122+M124)</f>
        <v>-6535.8852570001891</v>
      </c>
    </row>
    <row r="189" spans="1:13" x14ac:dyDescent="0.25">
      <c r="A189" s="12" t="s">
        <v>10</v>
      </c>
      <c r="M189" s="31">
        <f>-M102</f>
        <v>-14616.736689911078</v>
      </c>
    </row>
    <row r="190" spans="1:13" x14ac:dyDescent="0.25">
      <c r="A190" s="12" t="s">
        <v>169</v>
      </c>
      <c r="M190" s="31">
        <f>SUM(M186:M189)</f>
        <v>-21152.621946911269</v>
      </c>
    </row>
    <row r="191" spans="1:13" x14ac:dyDescent="0.25">
      <c r="A191" s="12"/>
      <c r="M191" s="31"/>
    </row>
    <row r="193" spans="1:13" x14ac:dyDescent="0.25">
      <c r="A193" s="11" t="s">
        <v>77</v>
      </c>
      <c r="C193" s="25">
        <f>SUM(C161:C175)+SUM(C180:C183)+SUM(C186:C189)</f>
        <v>-79351.632690541781</v>
      </c>
      <c r="D193" s="25">
        <f t="shared" ref="D193:M193" si="69">SUM(D161:D175)+SUM(D180:D183)+SUM(D186:D189)</f>
        <v>-4294.9785714285936</v>
      </c>
      <c r="E193" s="25">
        <f t="shared" si="69"/>
        <v>63474.932789584149</v>
      </c>
      <c r="F193" s="25">
        <f t="shared" si="69"/>
        <v>64073.045825227033</v>
      </c>
      <c r="G193" s="25">
        <f t="shared" si="69"/>
        <v>64675.397221220221</v>
      </c>
      <c r="H193" s="25">
        <f t="shared" si="69"/>
        <v>-49717.996867521288</v>
      </c>
      <c r="I193" s="25">
        <f t="shared" si="69"/>
        <v>65892.879480724776</v>
      </c>
      <c r="J193" s="25">
        <f t="shared" si="69"/>
        <v>66508.04194621522</v>
      </c>
      <c r="K193" s="25">
        <f t="shared" si="69"/>
        <v>67127.505959296803</v>
      </c>
      <c r="L193" s="25">
        <f t="shared" si="69"/>
        <v>67751.286691785412</v>
      </c>
      <c r="M193" s="25">
        <f t="shared" si="69"/>
        <v>75356.813005756645</v>
      </c>
    </row>
    <row r="194" spans="1:13" x14ac:dyDescent="0.25">
      <c r="A194" s="11" t="s">
        <v>78</v>
      </c>
      <c r="C194" s="30">
        <f>-PV($D$150,C154,,C193)</f>
        <v>-79351.632690541781</v>
      </c>
      <c r="D194" s="30">
        <f t="shared" ref="D194:M194" si="70">-PV($D$150,D154,,D193)</f>
        <v>-3763.1563815244349</v>
      </c>
      <c r="E194" s="30">
        <f t="shared" si="70"/>
        <v>48728.694845871105</v>
      </c>
      <c r="F194" s="30">
        <f t="shared" si="70"/>
        <v>43097.210787415184</v>
      </c>
      <c r="G194" s="30">
        <f t="shared" si="70"/>
        <v>38115.723169126941</v>
      </c>
      <c r="H194" s="30">
        <f t="shared" si="70"/>
        <v>-25672.605473463969</v>
      </c>
      <c r="I194" s="30">
        <f t="shared" si="70"/>
        <v>29811.654224749749</v>
      </c>
      <c r="J194" s="30">
        <f t="shared" si="70"/>
        <v>26364.103979643962</v>
      </c>
      <c r="K194" s="30">
        <f t="shared" si="70"/>
        <v>23314.742885876869</v>
      </c>
      <c r="L194" s="30">
        <f t="shared" si="70"/>
        <v>20617.63898924255</v>
      </c>
      <c r="M194" s="30">
        <f t="shared" si="70"/>
        <v>20092.555252028411</v>
      </c>
    </row>
    <row r="196" spans="1:13" x14ac:dyDescent="0.25">
      <c r="A196" s="11" t="s">
        <v>79</v>
      </c>
      <c r="C196" s="30">
        <f>SUM(C194:M194)</f>
        <v>141354.92958842459</v>
      </c>
    </row>
    <row r="197" spans="1:13" x14ac:dyDescent="0.25">
      <c r="A197" s="11" t="s">
        <v>80</v>
      </c>
      <c r="C197" s="37">
        <f>IRR(C193:M193)</f>
        <v>0.4279026248297404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opLeftCell="A167" zoomScale="70" zoomScaleNormal="70" workbookViewId="0">
      <selection activeCell="C191" sqref="C191"/>
    </sheetView>
  </sheetViews>
  <sheetFormatPr defaultRowHeight="15" x14ac:dyDescent="0.25"/>
  <cols>
    <col min="1" max="1" width="54.85546875" style="11" customWidth="1"/>
    <col min="2" max="2" width="32.85546875" bestFit="1" customWidth="1"/>
    <col min="3" max="3" width="17.5703125" customWidth="1"/>
    <col min="4" max="4" width="12.85546875" bestFit="1" customWidth="1"/>
    <col min="5" max="5" width="12.7109375" bestFit="1" customWidth="1"/>
    <col min="6" max="6" width="12.85546875" bestFit="1" customWidth="1"/>
    <col min="7" max="7" width="12.7109375" bestFit="1" customWidth="1"/>
    <col min="8" max="13" width="13.5703125" bestFit="1" customWidth="1"/>
    <col min="14" max="14" width="11.42578125" bestFit="1" customWidth="1"/>
    <col min="15" max="15" width="10.85546875" bestFit="1" customWidth="1"/>
  </cols>
  <sheetData>
    <row r="1" spans="1:13" x14ac:dyDescent="0.25">
      <c r="A1" s="10" t="s">
        <v>24</v>
      </c>
    </row>
    <row r="2" spans="1:13" x14ac:dyDescent="0.25">
      <c r="D2">
        <v>2013</v>
      </c>
      <c r="E2">
        <v>2014</v>
      </c>
      <c r="F2">
        <v>2015</v>
      </c>
      <c r="G2">
        <v>2016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</row>
    <row r="3" spans="1:13" x14ac:dyDescent="0.25">
      <c r="A3" s="10" t="s">
        <v>0</v>
      </c>
    </row>
    <row r="4" spans="1:13" x14ac:dyDescent="0.25">
      <c r="A4" s="11" t="s">
        <v>48</v>
      </c>
      <c r="D4" s="25">
        <v>8</v>
      </c>
      <c r="E4" s="24">
        <f t="shared" ref="E4:M7" si="0">D4*(1+$D$9)</f>
        <v>8.08</v>
      </c>
      <c r="F4" s="24">
        <f t="shared" si="0"/>
        <v>8.1608000000000001</v>
      </c>
      <c r="G4" s="24">
        <f t="shared" si="0"/>
        <v>8.2424079999999993</v>
      </c>
      <c r="H4" s="24">
        <f t="shared" si="0"/>
        <v>8.3248320800000002</v>
      </c>
      <c r="I4" s="24">
        <f t="shared" si="0"/>
        <v>8.4080804007999994</v>
      </c>
      <c r="J4" s="24">
        <f t="shared" si="0"/>
        <v>8.4921612048079993</v>
      </c>
      <c r="K4" s="24">
        <f t="shared" si="0"/>
        <v>8.5770828168560787</v>
      </c>
      <c r="L4" s="24">
        <f t="shared" si="0"/>
        <v>8.6628536450246401</v>
      </c>
      <c r="M4" s="24">
        <f t="shared" si="0"/>
        <v>8.7494821814748871</v>
      </c>
    </row>
    <row r="5" spans="1:13" x14ac:dyDescent="0.25">
      <c r="A5" s="11" t="s">
        <v>49</v>
      </c>
      <c r="C5" s="23"/>
      <c r="D5" s="25">
        <v>60</v>
      </c>
      <c r="E5" s="24">
        <f t="shared" si="0"/>
        <v>60.6</v>
      </c>
      <c r="F5" s="24">
        <f t="shared" si="0"/>
        <v>61.206000000000003</v>
      </c>
      <c r="G5" s="24">
        <f t="shared" si="0"/>
        <v>61.818060000000003</v>
      </c>
      <c r="H5" s="24">
        <f t="shared" si="0"/>
        <v>62.436240600000005</v>
      </c>
      <c r="I5" s="24">
        <f t="shared" si="0"/>
        <v>63.060603006000008</v>
      </c>
      <c r="J5" s="24">
        <f t="shared" si="0"/>
        <v>63.691209036060009</v>
      </c>
      <c r="K5" s="24">
        <f t="shared" si="0"/>
        <v>64.328121126420612</v>
      </c>
      <c r="L5" s="24">
        <f t="shared" si="0"/>
        <v>64.971402337684822</v>
      </c>
      <c r="M5" s="24">
        <f t="shared" si="0"/>
        <v>65.621116361061667</v>
      </c>
    </row>
    <row r="6" spans="1:13" x14ac:dyDescent="0.25">
      <c r="A6" s="11" t="s">
        <v>50</v>
      </c>
      <c r="C6" s="23"/>
      <c r="D6" s="25">
        <v>5</v>
      </c>
      <c r="E6" s="24">
        <f t="shared" si="0"/>
        <v>5.05</v>
      </c>
      <c r="F6" s="24">
        <f t="shared" si="0"/>
        <v>5.1005000000000003</v>
      </c>
      <c r="G6" s="24">
        <f t="shared" si="0"/>
        <v>5.1515050000000002</v>
      </c>
      <c r="H6" s="24">
        <f t="shared" si="0"/>
        <v>5.2030200500000001</v>
      </c>
      <c r="I6" s="24">
        <f t="shared" si="0"/>
        <v>5.2550502505000001</v>
      </c>
      <c r="J6" s="24">
        <f t="shared" si="0"/>
        <v>5.3076007530050004</v>
      </c>
      <c r="K6" s="24">
        <f t="shared" si="0"/>
        <v>5.3606767605350507</v>
      </c>
      <c r="L6" s="24">
        <f t="shared" si="0"/>
        <v>5.4142835281404009</v>
      </c>
      <c r="M6" s="24">
        <f t="shared" si="0"/>
        <v>5.4684263634218047</v>
      </c>
    </row>
    <row r="7" spans="1:13" x14ac:dyDescent="0.25">
      <c r="A7" s="11" t="s">
        <v>51</v>
      </c>
      <c r="C7" s="23"/>
      <c r="D7" s="25">
        <v>25</v>
      </c>
      <c r="E7" s="24">
        <f t="shared" si="0"/>
        <v>25.25</v>
      </c>
      <c r="F7" s="24">
        <f t="shared" si="0"/>
        <v>25.502500000000001</v>
      </c>
      <c r="G7" s="24">
        <f t="shared" si="0"/>
        <v>25.757525000000001</v>
      </c>
      <c r="H7" s="24">
        <f t="shared" si="0"/>
        <v>26.01510025</v>
      </c>
      <c r="I7" s="24">
        <f t="shared" si="0"/>
        <v>26.275251252499999</v>
      </c>
      <c r="J7" s="24">
        <f t="shared" si="0"/>
        <v>26.538003765025</v>
      </c>
      <c r="K7" s="24">
        <f t="shared" si="0"/>
        <v>26.803383802675249</v>
      </c>
      <c r="L7" s="24">
        <f t="shared" si="0"/>
        <v>27.071417640702002</v>
      </c>
      <c r="M7" s="24">
        <f t="shared" si="0"/>
        <v>27.342131817109021</v>
      </c>
    </row>
    <row r="8" spans="1:13" x14ac:dyDescent="0.25">
      <c r="C8" s="23"/>
      <c r="D8" s="25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11" t="s">
        <v>105</v>
      </c>
      <c r="C9" s="23"/>
      <c r="D9" s="23">
        <v>0.01</v>
      </c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11" t="s">
        <v>149</v>
      </c>
      <c r="C10" s="23"/>
      <c r="D10" s="23">
        <v>0.25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25">
      <c r="A11" s="11" t="s">
        <v>148</v>
      </c>
      <c r="C11" s="23"/>
      <c r="D11" s="23">
        <v>0.12</v>
      </c>
      <c r="E11" s="24"/>
      <c r="F11" s="24"/>
      <c r="G11" s="24"/>
      <c r="H11" s="24"/>
      <c r="I11" s="24"/>
      <c r="J11" s="24"/>
      <c r="K11" s="24"/>
      <c r="L11" s="24"/>
      <c r="M11" s="24"/>
    </row>
    <row r="13" spans="1:13" x14ac:dyDescent="0.25">
      <c r="A13" s="11" t="s">
        <v>47</v>
      </c>
      <c r="C13" s="23"/>
      <c r="D13" s="25">
        <v>300</v>
      </c>
      <c r="E13" s="24">
        <f t="shared" ref="E13:M15" si="1">D13*(1+$D$9)</f>
        <v>303</v>
      </c>
      <c r="F13" s="24">
        <f t="shared" si="1"/>
        <v>306.03000000000003</v>
      </c>
      <c r="G13" s="24">
        <f t="shared" si="1"/>
        <v>309.09030000000001</v>
      </c>
      <c r="H13" s="24">
        <f t="shared" si="1"/>
        <v>312.18120300000004</v>
      </c>
      <c r="I13" s="24">
        <f t="shared" si="1"/>
        <v>315.30301503000004</v>
      </c>
      <c r="J13" s="24">
        <f t="shared" si="1"/>
        <v>318.45604518030007</v>
      </c>
      <c r="K13" s="24">
        <f t="shared" si="1"/>
        <v>321.64060563210307</v>
      </c>
      <c r="L13" s="24">
        <f t="shared" si="1"/>
        <v>324.85701168842411</v>
      </c>
      <c r="M13" s="24">
        <f t="shared" si="1"/>
        <v>328.10558180530836</v>
      </c>
    </row>
    <row r="14" spans="1:13" x14ac:dyDescent="0.25">
      <c r="A14" s="11" t="s">
        <v>52</v>
      </c>
      <c r="D14" s="25">
        <v>150</v>
      </c>
      <c r="E14" s="24">
        <f t="shared" si="1"/>
        <v>151.5</v>
      </c>
      <c r="F14" s="24">
        <f t="shared" si="1"/>
        <v>153.01500000000001</v>
      </c>
      <c r="G14" s="24">
        <f t="shared" si="1"/>
        <v>154.54515000000001</v>
      </c>
      <c r="H14" s="24">
        <f t="shared" si="1"/>
        <v>156.09060150000002</v>
      </c>
      <c r="I14" s="24">
        <f t="shared" si="1"/>
        <v>157.65150751500002</v>
      </c>
      <c r="J14" s="24">
        <f t="shared" si="1"/>
        <v>159.22802259015003</v>
      </c>
      <c r="K14" s="24">
        <f t="shared" si="1"/>
        <v>160.82030281605154</v>
      </c>
      <c r="L14" s="24">
        <f t="shared" si="1"/>
        <v>162.42850584421205</v>
      </c>
      <c r="M14" s="24">
        <f t="shared" si="1"/>
        <v>164.05279090265418</v>
      </c>
    </row>
    <row r="15" spans="1:13" x14ac:dyDescent="0.25">
      <c r="A15" s="11" t="s">
        <v>54</v>
      </c>
      <c r="D15" s="25">
        <v>50</v>
      </c>
      <c r="E15" s="24">
        <f t="shared" si="1"/>
        <v>50.5</v>
      </c>
      <c r="F15" s="24">
        <f t="shared" si="1"/>
        <v>51.005000000000003</v>
      </c>
      <c r="G15" s="24">
        <f t="shared" si="1"/>
        <v>51.515050000000002</v>
      </c>
      <c r="H15" s="24">
        <f t="shared" si="1"/>
        <v>52.030200499999999</v>
      </c>
      <c r="I15" s="24">
        <f t="shared" si="1"/>
        <v>52.550502504999997</v>
      </c>
      <c r="J15" s="24">
        <f t="shared" si="1"/>
        <v>53.076007530049999</v>
      </c>
      <c r="K15" s="24">
        <f t="shared" si="1"/>
        <v>53.606767605350498</v>
      </c>
      <c r="L15" s="24">
        <f t="shared" si="1"/>
        <v>54.142835281404004</v>
      </c>
      <c r="M15" s="24">
        <f t="shared" si="1"/>
        <v>54.684263634218041</v>
      </c>
    </row>
    <row r="17" spans="1:13" x14ac:dyDescent="0.25">
      <c r="A17" s="11" t="s">
        <v>53</v>
      </c>
      <c r="D17" s="26">
        <f>$D$32*$D$33*D34</f>
        <v>28</v>
      </c>
      <c r="E17" s="26">
        <f t="shared" ref="E17:M17" si="2">$D$32*$D$33*E34</f>
        <v>28</v>
      </c>
      <c r="F17" s="26">
        <f t="shared" si="2"/>
        <v>28</v>
      </c>
      <c r="G17" s="26">
        <f t="shared" si="2"/>
        <v>28</v>
      </c>
      <c r="H17" s="26">
        <f t="shared" si="2"/>
        <v>28</v>
      </c>
      <c r="I17" s="26">
        <f t="shared" si="2"/>
        <v>28</v>
      </c>
      <c r="J17" s="26">
        <f t="shared" si="2"/>
        <v>28</v>
      </c>
      <c r="K17" s="26">
        <f t="shared" si="2"/>
        <v>28</v>
      </c>
      <c r="L17" s="26">
        <f t="shared" si="2"/>
        <v>28</v>
      </c>
      <c r="M17" s="26">
        <f t="shared" si="2"/>
        <v>28</v>
      </c>
    </row>
    <row r="18" spans="1:13" x14ac:dyDescent="0.25">
      <c r="A18" s="11" t="s">
        <v>101</v>
      </c>
      <c r="D18" s="27">
        <f>D17*0.5</f>
        <v>14</v>
      </c>
      <c r="E18" s="27">
        <f t="shared" ref="E18:M18" si="3">E17*0.5</f>
        <v>14</v>
      </c>
      <c r="F18" s="27">
        <f t="shared" si="3"/>
        <v>14</v>
      </c>
      <c r="G18" s="27">
        <f t="shared" si="3"/>
        <v>14</v>
      </c>
      <c r="H18" s="27">
        <f t="shared" si="3"/>
        <v>14</v>
      </c>
      <c r="I18" s="27">
        <f t="shared" si="3"/>
        <v>14</v>
      </c>
      <c r="J18" s="27">
        <f t="shared" si="3"/>
        <v>14</v>
      </c>
      <c r="K18" s="27">
        <f t="shared" si="3"/>
        <v>14</v>
      </c>
      <c r="L18" s="27">
        <f t="shared" si="3"/>
        <v>14</v>
      </c>
      <c r="M18" s="27">
        <f t="shared" si="3"/>
        <v>14</v>
      </c>
    </row>
    <row r="19" spans="1:13" x14ac:dyDescent="0.25">
      <c r="A19" s="11" t="s">
        <v>102</v>
      </c>
      <c r="D19" s="27">
        <f>D17-D18</f>
        <v>14</v>
      </c>
      <c r="E19" s="27">
        <f t="shared" ref="E19:M19" si="4">E17-E18</f>
        <v>14</v>
      </c>
      <c r="F19" s="27">
        <f t="shared" si="4"/>
        <v>14</v>
      </c>
      <c r="G19" s="27">
        <f t="shared" si="4"/>
        <v>14</v>
      </c>
      <c r="H19" s="27">
        <f t="shared" si="4"/>
        <v>14</v>
      </c>
      <c r="I19" s="27">
        <f t="shared" si="4"/>
        <v>14</v>
      </c>
      <c r="J19" s="27">
        <f t="shared" si="4"/>
        <v>14</v>
      </c>
      <c r="K19" s="27">
        <f t="shared" si="4"/>
        <v>14</v>
      </c>
      <c r="L19" s="27">
        <f t="shared" si="4"/>
        <v>14</v>
      </c>
      <c r="M19" s="27">
        <f t="shared" si="4"/>
        <v>14</v>
      </c>
    </row>
    <row r="20" spans="1:13" x14ac:dyDescent="0.25">
      <c r="A20" s="11" t="s">
        <v>103</v>
      </c>
      <c r="D20" s="27">
        <v>120</v>
      </c>
      <c r="E20" s="27">
        <v>120</v>
      </c>
      <c r="F20" s="27">
        <v>120</v>
      </c>
      <c r="G20" s="27">
        <v>120</v>
      </c>
      <c r="H20" s="27">
        <v>120</v>
      </c>
      <c r="I20" s="27">
        <v>120</v>
      </c>
      <c r="J20" s="27">
        <v>120</v>
      </c>
      <c r="K20" s="27">
        <v>120</v>
      </c>
      <c r="L20" s="27">
        <v>120</v>
      </c>
      <c r="M20" s="27">
        <v>120</v>
      </c>
    </row>
    <row r="22" spans="1:13" x14ac:dyDescent="0.25">
      <c r="A22" s="11" t="s">
        <v>100</v>
      </c>
    </row>
    <row r="23" spans="1:13" x14ac:dyDescent="0.25">
      <c r="A23" s="11" t="s">
        <v>46</v>
      </c>
      <c r="D23" s="23">
        <v>0.6</v>
      </c>
      <c r="E23" s="23">
        <f>$D$23</f>
        <v>0.6</v>
      </c>
      <c r="F23" s="23">
        <f t="shared" ref="F23:M23" si="5">$D$23</f>
        <v>0.6</v>
      </c>
      <c r="G23" s="23">
        <f t="shared" si="5"/>
        <v>0.6</v>
      </c>
      <c r="H23" s="23">
        <f t="shared" si="5"/>
        <v>0.6</v>
      </c>
      <c r="I23" s="23">
        <f t="shared" si="5"/>
        <v>0.6</v>
      </c>
      <c r="J23" s="23">
        <f t="shared" si="5"/>
        <v>0.6</v>
      </c>
      <c r="K23" s="23">
        <f t="shared" si="5"/>
        <v>0.6</v>
      </c>
      <c r="L23" s="23">
        <f t="shared" si="5"/>
        <v>0.6</v>
      </c>
      <c r="M23" s="23">
        <f t="shared" si="5"/>
        <v>0.6</v>
      </c>
    </row>
    <row r="24" spans="1:13" x14ac:dyDescent="0.25">
      <c r="A24" s="11" t="s">
        <v>45</v>
      </c>
      <c r="D24" s="23">
        <f>1-D23</f>
        <v>0.4</v>
      </c>
      <c r="E24" s="23">
        <f t="shared" ref="E24:M24" si="6">1-E23</f>
        <v>0.4</v>
      </c>
      <c r="F24" s="23">
        <f t="shared" si="6"/>
        <v>0.4</v>
      </c>
      <c r="G24" s="23">
        <f t="shared" si="6"/>
        <v>0.4</v>
      </c>
      <c r="H24" s="23">
        <f t="shared" si="6"/>
        <v>0.4</v>
      </c>
      <c r="I24" s="23">
        <f t="shared" si="6"/>
        <v>0.4</v>
      </c>
      <c r="J24" s="23">
        <f t="shared" si="6"/>
        <v>0.4</v>
      </c>
      <c r="K24" s="23">
        <f t="shared" si="6"/>
        <v>0.4</v>
      </c>
      <c r="L24" s="23">
        <f t="shared" si="6"/>
        <v>0.4</v>
      </c>
      <c r="M24" s="23">
        <f t="shared" si="6"/>
        <v>0.4</v>
      </c>
    </row>
    <row r="26" spans="1:13" x14ac:dyDescent="0.25">
      <c r="A26" s="11" t="s">
        <v>95</v>
      </c>
    </row>
    <row r="27" spans="1:13" x14ac:dyDescent="0.25">
      <c r="A27" s="11" t="s">
        <v>96</v>
      </c>
      <c r="D27" s="23">
        <v>0.35</v>
      </c>
      <c r="E27" s="23">
        <f>$D$27</f>
        <v>0.35</v>
      </c>
      <c r="F27" s="23">
        <f t="shared" ref="F27:M27" si="7">$D$27</f>
        <v>0.35</v>
      </c>
      <c r="G27" s="23">
        <f t="shared" si="7"/>
        <v>0.35</v>
      </c>
      <c r="H27" s="23">
        <f t="shared" si="7"/>
        <v>0.35</v>
      </c>
      <c r="I27" s="23">
        <f t="shared" si="7"/>
        <v>0.35</v>
      </c>
      <c r="J27" s="23">
        <f t="shared" si="7"/>
        <v>0.35</v>
      </c>
      <c r="K27" s="23">
        <f t="shared" si="7"/>
        <v>0.35</v>
      </c>
      <c r="L27" s="23">
        <f t="shared" si="7"/>
        <v>0.35</v>
      </c>
      <c r="M27" s="23">
        <f t="shared" si="7"/>
        <v>0.35</v>
      </c>
    </row>
    <row r="28" spans="1:13" x14ac:dyDescent="0.25">
      <c r="A28" s="11" t="s">
        <v>97</v>
      </c>
      <c r="D28" s="23">
        <v>0.35</v>
      </c>
      <c r="E28" s="23">
        <f>$D$28</f>
        <v>0.35</v>
      </c>
      <c r="F28" s="23">
        <f t="shared" ref="F28:M28" si="8">$D$28</f>
        <v>0.35</v>
      </c>
      <c r="G28" s="23">
        <f t="shared" si="8"/>
        <v>0.35</v>
      </c>
      <c r="H28" s="23">
        <f t="shared" si="8"/>
        <v>0.35</v>
      </c>
      <c r="I28" s="23">
        <f t="shared" si="8"/>
        <v>0.35</v>
      </c>
      <c r="J28" s="23">
        <f t="shared" si="8"/>
        <v>0.35</v>
      </c>
      <c r="K28" s="23">
        <f t="shared" si="8"/>
        <v>0.35</v>
      </c>
      <c r="L28" s="23">
        <f t="shared" si="8"/>
        <v>0.35</v>
      </c>
      <c r="M28" s="23">
        <f t="shared" si="8"/>
        <v>0.35</v>
      </c>
    </row>
    <row r="29" spans="1:13" x14ac:dyDescent="0.25">
      <c r="A29" s="11" t="s">
        <v>104</v>
      </c>
      <c r="D29" s="23">
        <v>0.5</v>
      </c>
      <c r="E29" s="23">
        <f>$D$29</f>
        <v>0.5</v>
      </c>
      <c r="F29" s="23">
        <f t="shared" ref="F29:M29" si="9">$D$29</f>
        <v>0.5</v>
      </c>
      <c r="G29" s="23">
        <f t="shared" si="9"/>
        <v>0.5</v>
      </c>
      <c r="H29" s="23">
        <f t="shared" si="9"/>
        <v>0.5</v>
      </c>
      <c r="I29" s="23">
        <f t="shared" si="9"/>
        <v>0.5</v>
      </c>
      <c r="J29" s="23">
        <f t="shared" si="9"/>
        <v>0.5</v>
      </c>
      <c r="K29" s="23">
        <f t="shared" si="9"/>
        <v>0.5</v>
      </c>
      <c r="L29" s="23">
        <f t="shared" si="9"/>
        <v>0.5</v>
      </c>
      <c r="M29" s="23">
        <f t="shared" si="9"/>
        <v>0.5</v>
      </c>
    </row>
    <row r="31" spans="1:13" x14ac:dyDescent="0.25">
      <c r="A31" s="11" t="s">
        <v>41</v>
      </c>
    </row>
    <row r="32" spans="1:13" x14ac:dyDescent="0.25">
      <c r="A32" s="11" t="s">
        <v>150</v>
      </c>
      <c r="D32" s="28">
        <v>1</v>
      </c>
    </row>
    <row r="33" spans="1:13" x14ac:dyDescent="0.25">
      <c r="A33" s="11" t="s">
        <v>151</v>
      </c>
      <c r="D33" s="28">
        <v>4</v>
      </c>
    </row>
    <row r="34" spans="1:13" x14ac:dyDescent="0.25">
      <c r="A34" s="11" t="s">
        <v>42</v>
      </c>
      <c r="D34" s="28">
        <v>7</v>
      </c>
      <c r="E34" s="28">
        <v>7</v>
      </c>
      <c r="F34" s="28">
        <v>7</v>
      </c>
      <c r="G34" s="28">
        <v>7</v>
      </c>
      <c r="H34" s="28">
        <v>7</v>
      </c>
      <c r="I34" s="28">
        <v>7</v>
      </c>
      <c r="J34" s="28">
        <v>7</v>
      </c>
      <c r="K34" s="28">
        <v>7</v>
      </c>
      <c r="L34" s="28">
        <v>7</v>
      </c>
      <c r="M34" s="28">
        <v>7</v>
      </c>
    </row>
    <row r="35" spans="1:13" x14ac:dyDescent="0.25">
      <c r="A35" s="11" t="s">
        <v>43</v>
      </c>
      <c r="D35" s="28">
        <v>30</v>
      </c>
      <c r="E35" s="28">
        <v>30</v>
      </c>
      <c r="F35" s="28">
        <v>30</v>
      </c>
      <c r="G35" s="28">
        <v>30</v>
      </c>
      <c r="H35" s="28">
        <v>30</v>
      </c>
      <c r="I35" s="28">
        <v>30</v>
      </c>
      <c r="J35" s="28">
        <v>30</v>
      </c>
      <c r="K35" s="28">
        <v>30</v>
      </c>
      <c r="L35" s="28">
        <v>30</v>
      </c>
      <c r="M35" s="28">
        <v>30</v>
      </c>
    </row>
    <row r="36" spans="1:13" x14ac:dyDescent="0.25">
      <c r="A36" s="11" t="s">
        <v>44</v>
      </c>
      <c r="D36" s="28">
        <v>8</v>
      </c>
      <c r="E36" s="28">
        <v>8</v>
      </c>
      <c r="F36" s="28">
        <v>8</v>
      </c>
      <c r="G36" s="28">
        <v>8</v>
      </c>
      <c r="H36" s="28">
        <v>8</v>
      </c>
      <c r="I36" s="28">
        <v>8</v>
      </c>
      <c r="J36" s="28">
        <v>8</v>
      </c>
      <c r="K36" s="28">
        <v>8</v>
      </c>
      <c r="L36" s="28">
        <v>8</v>
      </c>
      <c r="M36" s="28">
        <v>8</v>
      </c>
    </row>
    <row r="37" spans="1:13" x14ac:dyDescent="0.25">
      <c r="A37" s="11" t="s">
        <v>84</v>
      </c>
    </row>
    <row r="38" spans="1:13" x14ac:dyDescent="0.25">
      <c r="A38" s="12" t="s">
        <v>99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</row>
    <row r="39" spans="1:13" x14ac:dyDescent="0.25">
      <c r="A39" s="12" t="s">
        <v>98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</row>
    <row r="40" spans="1:13" x14ac:dyDescent="0.25">
      <c r="A40" s="11" t="s">
        <v>58</v>
      </c>
      <c r="D40" s="28">
        <v>2</v>
      </c>
      <c r="E40" s="28">
        <v>2</v>
      </c>
      <c r="F40" s="28">
        <v>2</v>
      </c>
      <c r="G40" s="28">
        <v>2</v>
      </c>
      <c r="H40" s="28">
        <v>2</v>
      </c>
      <c r="I40" s="28">
        <v>2</v>
      </c>
      <c r="J40" s="28">
        <v>2</v>
      </c>
      <c r="K40" s="28">
        <v>2</v>
      </c>
      <c r="L40" s="28">
        <v>2</v>
      </c>
      <c r="M40" s="28">
        <v>2</v>
      </c>
    </row>
    <row r="41" spans="1:13" x14ac:dyDescent="0.25">
      <c r="A41" s="11" t="s">
        <v>59</v>
      </c>
      <c r="D41" s="28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</row>
    <row r="43" spans="1:13" x14ac:dyDescent="0.25">
      <c r="A43" s="11" t="s">
        <v>86</v>
      </c>
      <c r="D43">
        <v>15</v>
      </c>
      <c r="E43">
        <v>15</v>
      </c>
      <c r="F43">
        <v>15</v>
      </c>
      <c r="G43">
        <v>15</v>
      </c>
      <c r="H43">
        <v>15</v>
      </c>
      <c r="I43">
        <v>15</v>
      </c>
      <c r="J43">
        <v>15</v>
      </c>
      <c r="K43">
        <v>15</v>
      </c>
      <c r="L43">
        <v>15</v>
      </c>
      <c r="M43">
        <v>15</v>
      </c>
    </row>
    <row r="44" spans="1:13" x14ac:dyDescent="0.25">
      <c r="A44" s="11" t="s">
        <v>85</v>
      </c>
      <c r="D44">
        <v>15</v>
      </c>
      <c r="E44">
        <v>15</v>
      </c>
      <c r="F44">
        <v>15</v>
      </c>
      <c r="G44">
        <v>15</v>
      </c>
      <c r="H44">
        <v>15</v>
      </c>
      <c r="I44">
        <v>15</v>
      </c>
      <c r="J44">
        <v>15</v>
      </c>
      <c r="K44">
        <v>15</v>
      </c>
      <c r="L44">
        <v>15</v>
      </c>
      <c r="M44">
        <v>15</v>
      </c>
    </row>
    <row r="46" spans="1:13" x14ac:dyDescent="0.25">
      <c r="A46" s="11" t="s">
        <v>132</v>
      </c>
      <c r="D46" s="23">
        <v>0.2</v>
      </c>
      <c r="E46" s="23">
        <f>$D$46</f>
        <v>0.2</v>
      </c>
      <c r="F46" s="23">
        <f t="shared" ref="F46:M46" si="10">$D$46</f>
        <v>0.2</v>
      </c>
      <c r="G46" s="23">
        <f t="shared" si="10"/>
        <v>0.2</v>
      </c>
      <c r="H46" s="23">
        <f t="shared" si="10"/>
        <v>0.2</v>
      </c>
      <c r="I46" s="23">
        <f t="shared" si="10"/>
        <v>0.2</v>
      </c>
      <c r="J46" s="23">
        <f t="shared" si="10"/>
        <v>0.2</v>
      </c>
      <c r="K46" s="23">
        <f t="shared" si="10"/>
        <v>0.2</v>
      </c>
      <c r="L46" s="23">
        <f t="shared" si="10"/>
        <v>0.2</v>
      </c>
      <c r="M46" s="23">
        <f t="shared" si="10"/>
        <v>0.2</v>
      </c>
    </row>
    <row r="47" spans="1:13" x14ac:dyDescent="0.25">
      <c r="A47" s="11" t="s">
        <v>133</v>
      </c>
      <c r="D47" s="23">
        <v>0.25</v>
      </c>
      <c r="E47" s="23">
        <f>$D$47</f>
        <v>0.25</v>
      </c>
      <c r="F47" s="23">
        <f t="shared" ref="F47:M47" si="11">$D$47</f>
        <v>0.25</v>
      </c>
      <c r="G47" s="23">
        <f t="shared" si="11"/>
        <v>0.25</v>
      </c>
      <c r="H47" s="23">
        <f t="shared" si="11"/>
        <v>0.25</v>
      </c>
      <c r="I47" s="23">
        <f t="shared" si="11"/>
        <v>0.25</v>
      </c>
      <c r="J47" s="23">
        <f t="shared" si="11"/>
        <v>0.25</v>
      </c>
      <c r="K47" s="23">
        <f t="shared" si="11"/>
        <v>0.25</v>
      </c>
      <c r="L47" s="23">
        <f t="shared" si="11"/>
        <v>0.25</v>
      </c>
      <c r="M47" s="23">
        <f t="shared" si="11"/>
        <v>0.25</v>
      </c>
    </row>
    <row r="48" spans="1:13" x14ac:dyDescent="0.25">
      <c r="A48" s="11" t="s">
        <v>134</v>
      </c>
      <c r="D48" s="23">
        <v>0.1</v>
      </c>
      <c r="E48" s="23">
        <f>$D$48</f>
        <v>0.1</v>
      </c>
      <c r="F48" s="23">
        <f t="shared" ref="F48:M48" si="12">$D$48</f>
        <v>0.1</v>
      </c>
      <c r="G48" s="23">
        <f t="shared" si="12"/>
        <v>0.1</v>
      </c>
      <c r="H48" s="23">
        <f t="shared" si="12"/>
        <v>0.1</v>
      </c>
      <c r="I48" s="23">
        <f t="shared" si="12"/>
        <v>0.1</v>
      </c>
      <c r="J48" s="23">
        <f t="shared" si="12"/>
        <v>0.1</v>
      </c>
      <c r="K48" s="23">
        <f t="shared" si="12"/>
        <v>0.1</v>
      </c>
      <c r="L48" s="23">
        <f t="shared" si="12"/>
        <v>0.1</v>
      </c>
      <c r="M48" s="23">
        <f t="shared" si="12"/>
        <v>0.1</v>
      </c>
    </row>
    <row r="49" spans="1:13" x14ac:dyDescent="0.25">
      <c r="A49" s="11" t="s">
        <v>136</v>
      </c>
      <c r="D49" s="1">
        <v>8</v>
      </c>
      <c r="E49" s="1">
        <v>8</v>
      </c>
      <c r="F49" s="1">
        <v>8</v>
      </c>
      <c r="G49" s="1">
        <v>8</v>
      </c>
      <c r="H49" s="1">
        <v>8</v>
      </c>
      <c r="I49" s="1">
        <v>8</v>
      </c>
      <c r="J49" s="1">
        <v>8</v>
      </c>
      <c r="K49" s="1">
        <v>8</v>
      </c>
      <c r="L49" s="1">
        <v>8</v>
      </c>
      <c r="M49" s="1">
        <v>8</v>
      </c>
    </row>
    <row r="50" spans="1:13" x14ac:dyDescent="0.25">
      <c r="A50" s="11" t="s">
        <v>137</v>
      </c>
      <c r="D50" s="27">
        <v>4</v>
      </c>
      <c r="E50" s="27">
        <v>4</v>
      </c>
      <c r="F50" s="27">
        <v>4</v>
      </c>
      <c r="G50" s="27">
        <v>4</v>
      </c>
      <c r="H50" s="27">
        <v>4</v>
      </c>
      <c r="I50" s="27">
        <v>4</v>
      </c>
      <c r="J50" s="27">
        <v>4</v>
      </c>
      <c r="K50" s="27">
        <v>4</v>
      </c>
      <c r="L50" s="27">
        <v>4</v>
      </c>
      <c r="M50" s="27">
        <v>4</v>
      </c>
    </row>
    <row r="51" spans="1:13" x14ac:dyDescent="0.25">
      <c r="A51" s="11" t="s">
        <v>135</v>
      </c>
      <c r="D51" s="32">
        <v>5.0000000000000001E-3</v>
      </c>
      <c r="E51" s="32">
        <v>5.0000000000000001E-3</v>
      </c>
      <c r="F51" s="32">
        <v>5.0000000000000001E-3</v>
      </c>
      <c r="G51" s="32">
        <v>5.0000000000000001E-3</v>
      </c>
      <c r="H51" s="32">
        <v>5.0000000000000001E-3</v>
      </c>
      <c r="I51" s="32">
        <v>5.0000000000000001E-3</v>
      </c>
      <c r="J51" s="32">
        <v>5.0000000000000001E-3</v>
      </c>
      <c r="K51" s="32">
        <v>5.0000000000000001E-3</v>
      </c>
      <c r="L51" s="32">
        <v>5.0000000000000001E-3</v>
      </c>
      <c r="M51" s="32">
        <v>5.0000000000000001E-3</v>
      </c>
    </row>
    <row r="52" spans="1:13" x14ac:dyDescent="0.25">
      <c r="A52" s="11" t="s">
        <v>138</v>
      </c>
      <c r="D52" s="34">
        <v>30000</v>
      </c>
      <c r="E52" s="34">
        <f t="shared" ref="E52:M52" si="13">D52*(1+E51)*(1+$D$9)</f>
        <v>30451.499999999996</v>
      </c>
      <c r="F52" s="34">
        <f t="shared" si="13"/>
        <v>30909.795074999991</v>
      </c>
      <c r="G52" s="34">
        <f t="shared" si="13"/>
        <v>31374.987490878739</v>
      </c>
      <c r="H52" s="34">
        <f t="shared" si="13"/>
        <v>31847.181052616463</v>
      </c>
      <c r="I52" s="34">
        <f t="shared" si="13"/>
        <v>32326.481127458337</v>
      </c>
      <c r="J52" s="34">
        <f t="shared" si="13"/>
        <v>32812.994668426581</v>
      </c>
      <c r="K52" s="34">
        <f t="shared" si="13"/>
        <v>33306.830238186398</v>
      </c>
      <c r="L52" s="34">
        <f t="shared" si="13"/>
        <v>33808.098033271097</v>
      </c>
      <c r="M52" s="34">
        <f t="shared" si="13"/>
        <v>34316.90990867182</v>
      </c>
    </row>
    <row r="54" spans="1:13" x14ac:dyDescent="0.25">
      <c r="A54" s="13" t="s">
        <v>55</v>
      </c>
    </row>
    <row r="55" spans="1:13" x14ac:dyDescent="0.25">
      <c r="A55" s="13" t="s">
        <v>83</v>
      </c>
      <c r="D55" s="29">
        <v>1100</v>
      </c>
      <c r="E55" s="29">
        <v>1100</v>
      </c>
      <c r="F55" s="29">
        <v>1100</v>
      </c>
      <c r="G55" s="29">
        <v>1100</v>
      </c>
      <c r="H55" s="29">
        <v>1100</v>
      </c>
      <c r="I55" s="29">
        <v>1100</v>
      </c>
      <c r="J55" s="29">
        <v>1100</v>
      </c>
      <c r="K55" s="29">
        <v>1100</v>
      </c>
      <c r="L55" s="29">
        <v>1100</v>
      </c>
      <c r="M55" s="29">
        <v>1100</v>
      </c>
    </row>
    <row r="56" spans="1:13" x14ac:dyDescent="0.25">
      <c r="A56" s="13" t="s">
        <v>82</v>
      </c>
      <c r="D56" s="29">
        <v>1100</v>
      </c>
      <c r="E56" s="29">
        <v>1100</v>
      </c>
      <c r="F56" s="29">
        <v>1100</v>
      </c>
      <c r="G56" s="29">
        <v>1100</v>
      </c>
      <c r="H56" s="29">
        <v>1100</v>
      </c>
      <c r="I56" s="29">
        <v>1100</v>
      </c>
      <c r="J56" s="29">
        <v>1100</v>
      </c>
      <c r="K56" s="29">
        <v>1100</v>
      </c>
      <c r="L56" s="29">
        <v>1100</v>
      </c>
      <c r="M56" s="29">
        <v>1100</v>
      </c>
    </row>
    <row r="57" spans="1:13" x14ac:dyDescent="0.25">
      <c r="A57" s="13"/>
    </row>
    <row r="58" spans="1:13" x14ac:dyDescent="0.25">
      <c r="A58" s="10" t="s">
        <v>56</v>
      </c>
    </row>
    <row r="59" spans="1:13" x14ac:dyDescent="0.25">
      <c r="A59" s="12" t="s">
        <v>131</v>
      </c>
      <c r="D59" s="30">
        <v>20000</v>
      </c>
    </row>
    <row r="60" spans="1:13" x14ac:dyDescent="0.25">
      <c r="A60" s="12" t="s">
        <v>130</v>
      </c>
      <c r="D60" s="33">
        <f>66646/43560</f>
        <v>1.5299816345270891</v>
      </c>
      <c r="E60" s="30"/>
    </row>
    <row r="61" spans="1:13" x14ac:dyDescent="0.25">
      <c r="A61" s="16" t="s">
        <v>36</v>
      </c>
    </row>
    <row r="62" spans="1:13" x14ac:dyDescent="0.25">
      <c r="A62" s="12" t="s">
        <v>37</v>
      </c>
      <c r="D62" s="28">
        <v>880</v>
      </c>
    </row>
    <row r="63" spans="1:13" x14ac:dyDescent="0.25">
      <c r="A63" s="12" t="s">
        <v>38</v>
      </c>
      <c r="D63" s="30">
        <v>17.899999999999999</v>
      </c>
      <c r="E63" s="30"/>
    </row>
    <row r="64" spans="1:13" x14ac:dyDescent="0.25">
      <c r="A64" s="12"/>
      <c r="D64" s="30"/>
      <c r="E64" s="30"/>
    </row>
    <row r="65" spans="1:13" x14ac:dyDescent="0.25">
      <c r="A65" s="12" t="s">
        <v>143</v>
      </c>
      <c r="D65" s="28">
        <v>30</v>
      </c>
      <c r="E65" s="30"/>
    </row>
    <row r="66" spans="1:13" x14ac:dyDescent="0.25">
      <c r="A66" s="12" t="s">
        <v>144</v>
      </c>
      <c r="D66" s="28">
        <v>10</v>
      </c>
      <c r="E66" s="30"/>
    </row>
    <row r="67" spans="1:13" x14ac:dyDescent="0.25">
      <c r="A67" s="12" t="s">
        <v>145</v>
      </c>
      <c r="D67" s="28">
        <v>20</v>
      </c>
      <c r="E67" s="30"/>
    </row>
    <row r="69" spans="1:13" x14ac:dyDescent="0.25">
      <c r="A69" s="13" t="s">
        <v>3</v>
      </c>
      <c r="D69">
        <v>0</v>
      </c>
    </row>
    <row r="70" spans="1:13" x14ac:dyDescent="0.25">
      <c r="A70" s="13" t="s">
        <v>23</v>
      </c>
      <c r="D70">
        <v>30</v>
      </c>
    </row>
    <row r="71" spans="1:13" x14ac:dyDescent="0.25">
      <c r="A71" s="13" t="s">
        <v>40</v>
      </c>
      <c r="D71">
        <v>14</v>
      </c>
    </row>
    <row r="72" spans="1:13" x14ac:dyDescent="0.25">
      <c r="A72" s="13"/>
    </row>
    <row r="73" spans="1:13" x14ac:dyDescent="0.25">
      <c r="A73" s="10" t="s">
        <v>1</v>
      </c>
    </row>
    <row r="74" spans="1:13" x14ac:dyDescent="0.25">
      <c r="A74" s="11" t="s">
        <v>90</v>
      </c>
    </row>
    <row r="75" spans="1:13" x14ac:dyDescent="0.25">
      <c r="A75" s="14" t="s">
        <v>89</v>
      </c>
      <c r="D75" s="24">
        <f t="shared" ref="D75:M75" si="14">D4*D43*D36*D38*D27*D35*D34*D23</f>
        <v>42336</v>
      </c>
      <c r="E75" s="24">
        <f t="shared" si="14"/>
        <v>42759.360000000001</v>
      </c>
      <c r="F75" s="24">
        <f t="shared" si="14"/>
        <v>43186.953599999993</v>
      </c>
      <c r="G75" s="24">
        <f t="shared" si="14"/>
        <v>43618.823135999992</v>
      </c>
      <c r="H75" s="24">
        <f t="shared" si="14"/>
        <v>44055.011367359992</v>
      </c>
      <c r="I75" s="24">
        <f t="shared" si="14"/>
        <v>44495.56148103359</v>
      </c>
      <c r="J75" s="24">
        <f t="shared" si="14"/>
        <v>44940.517095843927</v>
      </c>
      <c r="K75" s="24">
        <f t="shared" si="14"/>
        <v>45389.922266802365</v>
      </c>
      <c r="L75" s="24">
        <f t="shared" si="14"/>
        <v>45843.821489470385</v>
      </c>
      <c r="M75" s="24">
        <f t="shared" si="14"/>
        <v>46302.259704365097</v>
      </c>
    </row>
    <row r="76" spans="1:13" x14ac:dyDescent="0.25">
      <c r="A76" s="14" t="s">
        <v>91</v>
      </c>
      <c r="D76" s="24">
        <f t="shared" ref="D76:M76" si="15">D6*D44*D36*D39*D35*D34*D28*D23</f>
        <v>26460</v>
      </c>
      <c r="E76" s="24">
        <f t="shared" si="15"/>
        <v>26724.6</v>
      </c>
      <c r="F76" s="24">
        <f t="shared" si="15"/>
        <v>26991.846000000001</v>
      </c>
      <c r="G76" s="24">
        <f t="shared" si="15"/>
        <v>27261.764460000002</v>
      </c>
      <c r="H76" s="24">
        <f t="shared" si="15"/>
        <v>27534.382104599994</v>
      </c>
      <c r="I76" s="24">
        <f t="shared" si="15"/>
        <v>27809.725925645998</v>
      </c>
      <c r="J76" s="24">
        <f t="shared" si="15"/>
        <v>28087.82318490246</v>
      </c>
      <c r="K76" s="24">
        <f t="shared" si="15"/>
        <v>28368.701416751483</v>
      </c>
      <c r="L76" s="24">
        <f t="shared" si="15"/>
        <v>28652.388430919</v>
      </c>
      <c r="M76" s="24">
        <f t="shared" si="15"/>
        <v>28938.912315228186</v>
      </c>
    </row>
    <row r="77" spans="1:13" x14ac:dyDescent="0.25">
      <c r="A77" s="15" t="s">
        <v>92</v>
      </c>
    </row>
    <row r="78" spans="1:13" x14ac:dyDescent="0.25">
      <c r="A78" s="14" t="s">
        <v>93</v>
      </c>
      <c r="D78" s="24">
        <f>D5*D43*D38*D27*D35*D34*D24</f>
        <v>26460</v>
      </c>
      <c r="E78" s="24">
        <f t="shared" ref="E78:M78" si="16">E5*E43*E38*E27*E35*E34*E24</f>
        <v>26724.600000000002</v>
      </c>
      <c r="F78" s="24">
        <f t="shared" si="16"/>
        <v>26991.845999999998</v>
      </c>
      <c r="G78" s="24">
        <f t="shared" si="16"/>
        <v>27261.764459999995</v>
      </c>
      <c r="H78" s="24">
        <f t="shared" si="16"/>
        <v>27534.382104600001</v>
      </c>
      <c r="I78" s="24">
        <f t="shared" si="16"/>
        <v>27809.725925646002</v>
      </c>
      <c r="J78" s="24">
        <f t="shared" si="16"/>
        <v>28087.82318490246</v>
      </c>
      <c r="K78" s="24">
        <f t="shared" si="16"/>
        <v>28368.701416751486</v>
      </c>
      <c r="L78" s="24">
        <f t="shared" si="16"/>
        <v>28652.388430919003</v>
      </c>
      <c r="M78" s="24">
        <f t="shared" si="16"/>
        <v>28938.912315228197</v>
      </c>
    </row>
    <row r="79" spans="1:13" x14ac:dyDescent="0.25">
      <c r="A79" s="14" t="s">
        <v>94</v>
      </c>
      <c r="D79" s="24">
        <f>D7*D44*D38*D28*D35*D34*D24</f>
        <v>11025</v>
      </c>
      <c r="E79" s="24">
        <f t="shared" ref="E79:M79" si="17">E7*E44*E38*E28*E35*E34*E24</f>
        <v>11135.25</v>
      </c>
      <c r="F79" s="24">
        <f t="shared" si="17"/>
        <v>11246.602500000001</v>
      </c>
      <c r="G79" s="24">
        <f t="shared" si="17"/>
        <v>11359.068525000001</v>
      </c>
      <c r="H79" s="24">
        <f t="shared" si="17"/>
        <v>11472.65921025</v>
      </c>
      <c r="I79" s="24">
        <f t="shared" si="17"/>
        <v>11587.385802352501</v>
      </c>
      <c r="J79" s="24">
        <f t="shared" si="17"/>
        <v>11703.259660376023</v>
      </c>
      <c r="K79" s="24">
        <f t="shared" si="17"/>
        <v>11820.292256979783</v>
      </c>
      <c r="L79" s="24">
        <f t="shared" si="17"/>
        <v>11938.495179549582</v>
      </c>
      <c r="M79" s="24">
        <f t="shared" si="17"/>
        <v>12057.880131345079</v>
      </c>
    </row>
    <row r="80" spans="1:13" x14ac:dyDescent="0.25">
      <c r="A80" s="11" t="s">
        <v>28</v>
      </c>
    </row>
    <row r="81" spans="1:13" x14ac:dyDescent="0.25">
      <c r="A81" s="12" t="s">
        <v>87</v>
      </c>
      <c r="D81" s="24">
        <f t="shared" ref="D81:M82" si="18">D13*D18</f>
        <v>4200</v>
      </c>
      <c r="E81" s="24">
        <f t="shared" si="18"/>
        <v>4242</v>
      </c>
      <c r="F81" s="24">
        <f t="shared" si="18"/>
        <v>4284.42</v>
      </c>
      <c r="G81" s="24">
        <f t="shared" si="18"/>
        <v>4327.2642000000005</v>
      </c>
      <c r="H81" s="24">
        <f t="shared" si="18"/>
        <v>4370.5368420000004</v>
      </c>
      <c r="I81" s="24">
        <f t="shared" si="18"/>
        <v>4414.2422104200004</v>
      </c>
      <c r="J81" s="24">
        <f t="shared" si="18"/>
        <v>4458.3846325242012</v>
      </c>
      <c r="K81" s="24">
        <f t="shared" si="18"/>
        <v>4502.9684788494433</v>
      </c>
      <c r="L81" s="24">
        <f t="shared" si="18"/>
        <v>4547.998163637938</v>
      </c>
      <c r="M81" s="24">
        <f t="shared" si="18"/>
        <v>4593.4781452743173</v>
      </c>
    </row>
    <row r="82" spans="1:13" x14ac:dyDescent="0.25">
      <c r="A82" s="12" t="s">
        <v>88</v>
      </c>
      <c r="D82" s="24">
        <f t="shared" si="18"/>
        <v>2100</v>
      </c>
      <c r="E82" s="24">
        <f t="shared" si="18"/>
        <v>2121</v>
      </c>
      <c r="F82" s="24">
        <f t="shared" si="18"/>
        <v>2142.21</v>
      </c>
      <c r="G82" s="24">
        <f t="shared" si="18"/>
        <v>2163.6321000000003</v>
      </c>
      <c r="H82" s="24">
        <f t="shared" si="18"/>
        <v>2185.2684210000002</v>
      </c>
      <c r="I82" s="24">
        <f t="shared" si="18"/>
        <v>2207.1211052100002</v>
      </c>
      <c r="J82" s="24">
        <f t="shared" si="18"/>
        <v>2229.1923162621006</v>
      </c>
      <c r="K82" s="24">
        <f t="shared" si="18"/>
        <v>2251.4842394247216</v>
      </c>
      <c r="L82" s="24">
        <f t="shared" si="18"/>
        <v>2273.999081818969</v>
      </c>
      <c r="M82" s="24">
        <f t="shared" si="18"/>
        <v>2296.7390726371586</v>
      </c>
    </row>
    <row r="83" spans="1:13" x14ac:dyDescent="0.25">
      <c r="A83" s="11" t="s">
        <v>27</v>
      </c>
      <c r="D83" s="24">
        <f t="shared" ref="D83:M83" si="19">D15*D20*D29*D43</f>
        <v>45000</v>
      </c>
      <c r="E83" s="24">
        <f t="shared" si="19"/>
        <v>45450</v>
      </c>
      <c r="F83" s="24">
        <f t="shared" si="19"/>
        <v>45904.5</v>
      </c>
      <c r="G83" s="24">
        <f t="shared" si="19"/>
        <v>46363.545000000006</v>
      </c>
      <c r="H83" s="24">
        <f t="shared" si="19"/>
        <v>46827.18045</v>
      </c>
      <c r="I83" s="24">
        <f t="shared" si="19"/>
        <v>47295.4522545</v>
      </c>
      <c r="J83" s="24">
        <f t="shared" si="19"/>
        <v>47768.406777044998</v>
      </c>
      <c r="K83" s="24">
        <f t="shared" si="19"/>
        <v>48246.090844815451</v>
      </c>
      <c r="L83" s="24">
        <f t="shared" si="19"/>
        <v>48728.5517532636</v>
      </c>
      <c r="M83" s="24">
        <f t="shared" si="19"/>
        <v>49215.837270796241</v>
      </c>
    </row>
    <row r="84" spans="1:13" x14ac:dyDescent="0.25">
      <c r="A84" s="10" t="s">
        <v>29</v>
      </c>
      <c r="D84" s="24">
        <f>SUM(D75:D83)</f>
        <v>157581</v>
      </c>
      <c r="E84" s="24">
        <f t="shared" ref="E84:M84" si="20">SUM(E75:E83)</f>
        <v>159156.81</v>
      </c>
      <c r="F84" s="24">
        <f t="shared" si="20"/>
        <v>160748.3781</v>
      </c>
      <c r="G84" s="24">
        <f t="shared" si="20"/>
        <v>162355.86188099999</v>
      </c>
      <c r="H84" s="24">
        <f t="shared" si="20"/>
        <v>163979.42049980996</v>
      </c>
      <c r="I84" s="24">
        <f t="shared" si="20"/>
        <v>165619.21470480808</v>
      </c>
      <c r="J84" s="24">
        <f t="shared" si="20"/>
        <v>167275.40685185615</v>
      </c>
      <c r="K84" s="24">
        <f t="shared" si="20"/>
        <v>168948.16092037474</v>
      </c>
      <c r="L84" s="24">
        <f t="shared" si="20"/>
        <v>170637.64252957847</v>
      </c>
      <c r="M84" s="24">
        <f t="shared" si="20"/>
        <v>172344.01895487428</v>
      </c>
    </row>
    <row r="86" spans="1:13" x14ac:dyDescent="0.25">
      <c r="A86" s="13" t="s">
        <v>30</v>
      </c>
      <c r="D86" s="31">
        <f t="shared" ref="D86:M86" si="21">D84*D46</f>
        <v>31516.2</v>
      </c>
      <c r="E86" s="31">
        <f t="shared" si="21"/>
        <v>31831.362000000001</v>
      </c>
      <c r="F86" s="31">
        <f t="shared" si="21"/>
        <v>32149.675620000002</v>
      </c>
      <c r="G86" s="31">
        <f t="shared" si="21"/>
        <v>32471.1723762</v>
      </c>
      <c r="H86" s="31">
        <f t="shared" si="21"/>
        <v>32795.884099961993</v>
      </c>
      <c r="I86" s="31">
        <f t="shared" si="21"/>
        <v>33123.842940961615</v>
      </c>
      <c r="J86" s="31">
        <f t="shared" si="21"/>
        <v>33455.081370371234</v>
      </c>
      <c r="K86" s="31">
        <f t="shared" si="21"/>
        <v>33789.632184074952</v>
      </c>
      <c r="L86" s="31">
        <f t="shared" si="21"/>
        <v>34127.528505915696</v>
      </c>
      <c r="M86" s="31">
        <f t="shared" si="21"/>
        <v>34468.80379097486</v>
      </c>
    </row>
    <row r="87" spans="1:13" x14ac:dyDescent="0.25">
      <c r="A87" s="13" t="s">
        <v>31</v>
      </c>
      <c r="D87" s="31">
        <f t="shared" ref="D87:M87" si="22">D84*D47</f>
        <v>39395.25</v>
      </c>
      <c r="E87" s="31">
        <f t="shared" si="22"/>
        <v>39789.202499999999</v>
      </c>
      <c r="F87" s="31">
        <f t="shared" si="22"/>
        <v>40187.094525</v>
      </c>
      <c r="G87" s="31">
        <f t="shared" si="22"/>
        <v>40588.965470249997</v>
      </c>
      <c r="H87" s="31">
        <f t="shared" si="22"/>
        <v>40994.85512495249</v>
      </c>
      <c r="I87" s="31">
        <f t="shared" si="22"/>
        <v>41404.80367620202</v>
      </c>
      <c r="J87" s="31">
        <f t="shared" si="22"/>
        <v>41818.851712964039</v>
      </c>
      <c r="K87" s="31">
        <f t="shared" si="22"/>
        <v>42237.040230093684</v>
      </c>
      <c r="L87" s="31">
        <f t="shared" si="22"/>
        <v>42659.410632394618</v>
      </c>
      <c r="M87" s="31">
        <f t="shared" si="22"/>
        <v>43086.00473871857</v>
      </c>
    </row>
    <row r="88" spans="1:13" x14ac:dyDescent="0.25">
      <c r="A88" s="13" t="s">
        <v>32</v>
      </c>
      <c r="D88" s="31">
        <f t="shared" ref="D88:M88" si="23">D84*D48</f>
        <v>15758.1</v>
      </c>
      <c r="E88" s="31">
        <f t="shared" si="23"/>
        <v>15915.681</v>
      </c>
      <c r="F88" s="31">
        <f t="shared" si="23"/>
        <v>16074.837810000001</v>
      </c>
      <c r="G88" s="31">
        <f t="shared" si="23"/>
        <v>16235.5861881</v>
      </c>
      <c r="H88" s="31">
        <f t="shared" si="23"/>
        <v>16397.942049980997</v>
      </c>
      <c r="I88" s="31">
        <f t="shared" si="23"/>
        <v>16561.921470480807</v>
      </c>
      <c r="J88" s="31">
        <f t="shared" si="23"/>
        <v>16727.540685185617</v>
      </c>
      <c r="K88" s="31">
        <f t="shared" si="23"/>
        <v>16894.816092037476</v>
      </c>
      <c r="L88" s="31">
        <f t="shared" si="23"/>
        <v>17063.764252957848</v>
      </c>
      <c r="M88" s="31">
        <f t="shared" si="23"/>
        <v>17234.40189548743</v>
      </c>
    </row>
    <row r="89" spans="1:13" x14ac:dyDescent="0.25">
      <c r="A89" s="13" t="s">
        <v>60</v>
      </c>
      <c r="D89" s="31">
        <f>D50*D49*D34*D35*D40</f>
        <v>13440</v>
      </c>
      <c r="E89" s="31">
        <f t="shared" ref="E89:M89" si="24">E50*E49*E34*E35*E40</f>
        <v>13440</v>
      </c>
      <c r="F89" s="31">
        <f t="shared" si="24"/>
        <v>13440</v>
      </c>
      <c r="G89" s="31">
        <f t="shared" si="24"/>
        <v>13440</v>
      </c>
      <c r="H89" s="31">
        <f t="shared" si="24"/>
        <v>13440</v>
      </c>
      <c r="I89" s="31">
        <f t="shared" si="24"/>
        <v>13440</v>
      </c>
      <c r="J89" s="31">
        <f t="shared" si="24"/>
        <v>13440</v>
      </c>
      <c r="K89" s="31">
        <f t="shared" si="24"/>
        <v>13440</v>
      </c>
      <c r="L89" s="31">
        <f t="shared" si="24"/>
        <v>13440</v>
      </c>
      <c r="M89" s="31">
        <f t="shared" si="24"/>
        <v>13440</v>
      </c>
    </row>
    <row r="90" spans="1:13" x14ac:dyDescent="0.25">
      <c r="A90" s="13" t="s">
        <v>35</v>
      </c>
      <c r="D90" s="1">
        <f>D52</f>
        <v>30000</v>
      </c>
      <c r="E90" s="1">
        <f t="shared" ref="E90:M90" si="25">E52</f>
        <v>30451.499999999996</v>
      </c>
      <c r="F90" s="1">
        <f t="shared" si="25"/>
        <v>30909.795074999991</v>
      </c>
      <c r="G90" s="1">
        <f t="shared" si="25"/>
        <v>31374.987490878739</v>
      </c>
      <c r="H90" s="1">
        <f t="shared" si="25"/>
        <v>31847.181052616463</v>
      </c>
      <c r="I90" s="1">
        <f t="shared" si="25"/>
        <v>32326.481127458337</v>
      </c>
      <c r="J90" s="1">
        <f t="shared" si="25"/>
        <v>32812.994668426581</v>
      </c>
      <c r="K90" s="1">
        <f t="shared" si="25"/>
        <v>33306.830238186398</v>
      </c>
      <c r="L90" s="1">
        <f t="shared" si="25"/>
        <v>33808.098033271097</v>
      </c>
      <c r="M90" s="1">
        <f t="shared" si="25"/>
        <v>34316.90990867182</v>
      </c>
    </row>
    <row r="91" spans="1:13" x14ac:dyDescent="0.25">
      <c r="A91" s="13"/>
    </row>
    <row r="92" spans="1:13" x14ac:dyDescent="0.25">
      <c r="A92" s="13" t="s">
        <v>139</v>
      </c>
      <c r="D92" s="1">
        <f>IF((D112-($D$63*$D$62)/$D$65)&lt;0,0,($D$63*$D$62)/$D$65)</f>
        <v>525.06666666666661</v>
      </c>
      <c r="E92" s="1">
        <f t="shared" ref="E92:M92" si="26">IF((E112-($D$63*$D$62)/$D$65)&lt;0,0,($D$63*$D$62)/$D$65)</f>
        <v>525.06666666666661</v>
      </c>
      <c r="F92" s="1">
        <f t="shared" si="26"/>
        <v>525.06666666666661</v>
      </c>
      <c r="G92" s="1">
        <f t="shared" si="26"/>
        <v>525.06666666666661</v>
      </c>
      <c r="H92" s="1">
        <f t="shared" si="26"/>
        <v>525.06666666666661</v>
      </c>
      <c r="I92" s="1">
        <f t="shared" si="26"/>
        <v>525.06666666666661</v>
      </c>
      <c r="J92" s="1">
        <f t="shared" si="26"/>
        <v>525.06666666666661</v>
      </c>
      <c r="K92" s="1">
        <f t="shared" si="26"/>
        <v>525.06666666666661</v>
      </c>
      <c r="L92" s="1">
        <f t="shared" si="26"/>
        <v>525.06666666666661</v>
      </c>
      <c r="M92" s="1">
        <f t="shared" si="26"/>
        <v>525.06666666666661</v>
      </c>
    </row>
    <row r="93" spans="1:13" x14ac:dyDescent="0.25">
      <c r="A93" s="13" t="s">
        <v>140</v>
      </c>
      <c r="D93" s="1">
        <f t="shared" ref="D93:M93" si="27">IF(((D110+D111)-(D55+D56)*(D43+D44)/$D$66)&lt;0,0,(D55+D56)*(D43+D44)/$D$66)</f>
        <v>6600</v>
      </c>
      <c r="E93" s="1">
        <f t="shared" si="27"/>
        <v>6600</v>
      </c>
      <c r="F93" s="1">
        <f t="shared" si="27"/>
        <v>6600</v>
      </c>
      <c r="G93" s="1">
        <f t="shared" si="27"/>
        <v>6600</v>
      </c>
      <c r="H93" s="1">
        <f t="shared" si="27"/>
        <v>6600</v>
      </c>
      <c r="I93" s="1">
        <f t="shared" si="27"/>
        <v>6600</v>
      </c>
      <c r="J93" s="1">
        <f t="shared" si="27"/>
        <v>6600</v>
      </c>
      <c r="K93" s="1">
        <f t="shared" si="27"/>
        <v>6600</v>
      </c>
      <c r="L93" s="1">
        <f t="shared" si="27"/>
        <v>6600</v>
      </c>
      <c r="M93" s="1">
        <f t="shared" si="27"/>
        <v>6600</v>
      </c>
    </row>
    <row r="94" spans="1:13" x14ac:dyDescent="0.25">
      <c r="A94" s="13" t="s">
        <v>141</v>
      </c>
      <c r="D94" s="1">
        <f>IF((D113-$D$59*$D$60/$D$67)&lt;0,0,$D$59*$D$60/$D$67)</f>
        <v>1529.981634527089</v>
      </c>
      <c r="E94" s="1">
        <f t="shared" ref="E94:M94" si="28">IF((E113-$D$59*$D$60/$D$67)&lt;0,0,$D$59*$D$60/$D$67)</f>
        <v>1529.981634527089</v>
      </c>
      <c r="F94" s="1">
        <f t="shared" si="28"/>
        <v>1529.981634527089</v>
      </c>
      <c r="G94" s="1">
        <f t="shared" si="28"/>
        <v>1529.981634527089</v>
      </c>
      <c r="H94" s="1">
        <f t="shared" si="28"/>
        <v>1529.981634527089</v>
      </c>
      <c r="I94" s="1">
        <f t="shared" si="28"/>
        <v>1529.981634527089</v>
      </c>
      <c r="J94" s="1">
        <f t="shared" si="28"/>
        <v>1529.981634527089</v>
      </c>
      <c r="K94" s="1">
        <f t="shared" si="28"/>
        <v>1529.981634527089</v>
      </c>
      <c r="L94" s="1">
        <f t="shared" si="28"/>
        <v>1529.981634527089</v>
      </c>
      <c r="M94" s="1">
        <f t="shared" si="28"/>
        <v>1529.981634527089</v>
      </c>
    </row>
    <row r="95" spans="1:13" x14ac:dyDescent="0.25">
      <c r="A95" s="13" t="s">
        <v>142</v>
      </c>
      <c r="D95" s="1">
        <f>SUM(D92:D94)</f>
        <v>8655.0483011937558</v>
      </c>
      <c r="E95" s="1">
        <f t="shared" ref="E95:M95" si="29">SUM(E92:E94)</f>
        <v>8655.0483011937558</v>
      </c>
      <c r="F95" s="1">
        <f t="shared" si="29"/>
        <v>8655.0483011937558</v>
      </c>
      <c r="G95" s="1">
        <f t="shared" si="29"/>
        <v>8655.0483011937558</v>
      </c>
      <c r="H95" s="1">
        <f t="shared" si="29"/>
        <v>8655.0483011937558</v>
      </c>
      <c r="I95" s="1">
        <f t="shared" si="29"/>
        <v>8655.0483011937558</v>
      </c>
      <c r="J95" s="1">
        <f t="shared" si="29"/>
        <v>8655.0483011937558</v>
      </c>
      <c r="K95" s="1">
        <f t="shared" si="29"/>
        <v>8655.0483011937558</v>
      </c>
      <c r="L95" s="1">
        <f t="shared" si="29"/>
        <v>8655.0483011937558</v>
      </c>
      <c r="M95" s="1">
        <f t="shared" si="29"/>
        <v>8655.0483011937558</v>
      </c>
    </row>
    <row r="96" spans="1:13" x14ac:dyDescent="0.25">
      <c r="A96" s="1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3" t="s">
        <v>17</v>
      </c>
      <c r="D97" s="31">
        <f>SUM(Mortgage!C7:C18)</f>
        <v>3981.6404844368135</v>
      </c>
      <c r="E97" s="31">
        <f>SUM(Mortgage!C25:C36)</f>
        <v>3919.9250762808333</v>
      </c>
      <c r="F97" s="31">
        <f>SUM(Mortgage!C31:C42)</f>
        <v>3897.8317226609083</v>
      </c>
      <c r="G97" s="31">
        <f>SUM(Mortgage!C43:C54)</f>
        <v>3851.1933489506237</v>
      </c>
      <c r="H97" s="31">
        <f>SUM(Mortgage!C55:C66)</f>
        <v>3801.083953093048</v>
      </c>
      <c r="I97" s="31">
        <f>SUM(Mortgage!C67:C78)</f>
        <v>3747.2452071537232</v>
      </c>
      <c r="J97" s="31">
        <f>SUM(Mortgage!C79:C90)</f>
        <v>3689.3995573566722</v>
      </c>
      <c r="K97" s="31">
        <f>SUM(Mortgage!C91:C102)</f>
        <v>3627.2487932171416</v>
      </c>
      <c r="L97" s="31">
        <f>SUM(Mortgage!C103:C114)</f>
        <v>3560.472510183245</v>
      </c>
      <c r="M97" s="31">
        <f>SUM(Mortgage!C115:C126)</f>
        <v>3488.7264578609875</v>
      </c>
    </row>
    <row r="98" spans="1:13" x14ac:dyDescent="0.25">
      <c r="A98" s="13" t="s">
        <v>18</v>
      </c>
      <c r="D98">
        <f>D127*$D$11</f>
        <v>0</v>
      </c>
      <c r="E98">
        <f t="shared" ref="E98:M98" si="30">E127*$D$11</f>
        <v>0</v>
      </c>
      <c r="F98">
        <f t="shared" si="30"/>
        <v>0</v>
      </c>
      <c r="G98">
        <f t="shared" si="30"/>
        <v>0</v>
      </c>
      <c r="H98">
        <f t="shared" si="30"/>
        <v>0</v>
      </c>
      <c r="I98">
        <f t="shared" si="30"/>
        <v>0</v>
      </c>
      <c r="J98">
        <f t="shared" si="30"/>
        <v>0</v>
      </c>
      <c r="K98">
        <f t="shared" si="30"/>
        <v>0</v>
      </c>
      <c r="L98">
        <f t="shared" si="30"/>
        <v>0</v>
      </c>
      <c r="M98">
        <f t="shared" si="30"/>
        <v>0</v>
      </c>
    </row>
    <row r="99" spans="1:13" x14ac:dyDescent="0.25">
      <c r="A99" s="13" t="s">
        <v>33</v>
      </c>
      <c r="D99" s="31">
        <f>SUM(D86:D98)</f>
        <v>151401.28708682433</v>
      </c>
      <c r="E99" s="31">
        <f t="shared" ref="E99:M99" si="31">SUM(E86:E98)</f>
        <v>152657.76717866835</v>
      </c>
      <c r="F99" s="31">
        <f t="shared" si="31"/>
        <v>153969.33135504843</v>
      </c>
      <c r="G99" s="31">
        <f t="shared" si="31"/>
        <v>155272.00147676689</v>
      </c>
      <c r="H99" s="31">
        <f t="shared" si="31"/>
        <v>156587.04288299251</v>
      </c>
      <c r="I99" s="31">
        <f t="shared" si="31"/>
        <v>157914.39102464405</v>
      </c>
      <c r="J99" s="31">
        <f t="shared" si="31"/>
        <v>159253.96459669166</v>
      </c>
      <c r="K99" s="31">
        <f t="shared" si="31"/>
        <v>160605.66413999718</v>
      </c>
      <c r="L99" s="31">
        <f t="shared" si="31"/>
        <v>161969.37053711005</v>
      </c>
      <c r="M99" s="31">
        <f t="shared" si="31"/>
        <v>163344.9433941012</v>
      </c>
    </row>
    <row r="100" spans="1:13" x14ac:dyDescent="0.25">
      <c r="A100" s="13"/>
    </row>
    <row r="101" spans="1:13" x14ac:dyDescent="0.25">
      <c r="A101" s="13" t="s">
        <v>19</v>
      </c>
      <c r="D101" s="31">
        <f t="shared" ref="D101:M101" si="32">D84-D95-D99</f>
        <v>-2475.3353880180803</v>
      </c>
      <c r="E101" s="31">
        <f t="shared" si="32"/>
        <v>-2156.0054798620986</v>
      </c>
      <c r="F101" s="31">
        <f t="shared" si="32"/>
        <v>-1876.0015562421759</v>
      </c>
      <c r="G101" s="31">
        <f t="shared" si="32"/>
        <v>-1571.1878969606478</v>
      </c>
      <c r="H101" s="31">
        <f t="shared" si="32"/>
        <v>-1262.670684376295</v>
      </c>
      <c r="I101" s="31">
        <f t="shared" si="32"/>
        <v>-950.22462102971622</v>
      </c>
      <c r="J101" s="31">
        <f t="shared" si="32"/>
        <v>-633.60604602925014</v>
      </c>
      <c r="K101" s="31">
        <f t="shared" si="32"/>
        <v>-312.55152081619599</v>
      </c>
      <c r="L101" s="31">
        <f t="shared" si="32"/>
        <v>13.223691274673911</v>
      </c>
      <c r="M101" s="31">
        <f t="shared" si="32"/>
        <v>344.02725957933581</v>
      </c>
    </row>
    <row r="102" spans="1:13" x14ac:dyDescent="0.25">
      <c r="A102" s="13" t="s">
        <v>20</v>
      </c>
      <c r="D102" s="1">
        <f>IF(D101&lt;0,0,$D$10*D101)</f>
        <v>0</v>
      </c>
      <c r="E102" s="1">
        <f t="shared" ref="E102:M102" si="33">IF(E101&lt;0,0,$D$10*E101)</f>
        <v>0</v>
      </c>
      <c r="F102" s="1">
        <f t="shared" si="33"/>
        <v>0</v>
      </c>
      <c r="G102" s="1">
        <f t="shared" si="33"/>
        <v>0</v>
      </c>
      <c r="H102" s="1">
        <f t="shared" si="33"/>
        <v>0</v>
      </c>
      <c r="I102" s="1">
        <f t="shared" si="33"/>
        <v>0</v>
      </c>
      <c r="J102" s="1">
        <f t="shared" si="33"/>
        <v>0</v>
      </c>
      <c r="K102" s="1">
        <f t="shared" si="33"/>
        <v>0</v>
      </c>
      <c r="L102" s="1">
        <f t="shared" si="33"/>
        <v>3.3059228186684777</v>
      </c>
      <c r="M102" s="1">
        <f t="shared" si="33"/>
        <v>86.006814894833951</v>
      </c>
    </row>
    <row r="103" spans="1:13" x14ac:dyDescent="0.25">
      <c r="A103" s="16" t="s">
        <v>21</v>
      </c>
      <c r="D103" s="31">
        <f>D101-D102</f>
        <v>-2475.3353880180803</v>
      </c>
      <c r="E103" s="31">
        <f t="shared" ref="E103:M103" si="34">E101-E102</f>
        <v>-2156.0054798620986</v>
      </c>
      <c r="F103" s="31">
        <f t="shared" si="34"/>
        <v>-1876.0015562421759</v>
      </c>
      <c r="G103" s="31">
        <f t="shared" si="34"/>
        <v>-1571.1878969606478</v>
      </c>
      <c r="H103" s="31">
        <f t="shared" si="34"/>
        <v>-1262.670684376295</v>
      </c>
      <c r="I103" s="31">
        <f t="shared" si="34"/>
        <v>-950.22462102971622</v>
      </c>
      <c r="J103" s="31">
        <f t="shared" si="34"/>
        <v>-633.60604602925014</v>
      </c>
      <c r="K103" s="31">
        <f t="shared" si="34"/>
        <v>-312.55152081619599</v>
      </c>
      <c r="L103" s="31">
        <f t="shared" si="34"/>
        <v>9.9177684560054331</v>
      </c>
      <c r="M103" s="31">
        <f t="shared" si="34"/>
        <v>258.02044468450185</v>
      </c>
    </row>
    <row r="104" spans="1:13" x14ac:dyDescent="0.25">
      <c r="A104" s="16"/>
    </row>
    <row r="105" spans="1:13" x14ac:dyDescent="0.25">
      <c r="A105" s="10" t="s">
        <v>2</v>
      </c>
    </row>
    <row r="106" spans="1:13" x14ac:dyDescent="0.25">
      <c r="A106" s="10" t="s">
        <v>4</v>
      </c>
    </row>
    <row r="107" spans="1:13" x14ac:dyDescent="0.25">
      <c r="B107" s="20" t="s">
        <v>6</v>
      </c>
      <c r="D107">
        <v>1000</v>
      </c>
      <c r="E107">
        <v>1000</v>
      </c>
      <c r="F107">
        <v>1000</v>
      </c>
      <c r="G107">
        <v>1000</v>
      </c>
      <c r="H107">
        <v>1000</v>
      </c>
      <c r="I107">
        <v>1000</v>
      </c>
      <c r="J107">
        <v>1000</v>
      </c>
      <c r="K107">
        <v>1000</v>
      </c>
      <c r="L107">
        <v>1000</v>
      </c>
      <c r="M107">
        <v>1000</v>
      </c>
    </row>
    <row r="108" spans="1:13" x14ac:dyDescent="0.25">
      <c r="B108" s="20" t="s">
        <v>25</v>
      </c>
    </row>
    <row r="109" spans="1:13" x14ac:dyDescent="0.25">
      <c r="B109" s="15" t="s">
        <v>5</v>
      </c>
      <c r="D109" s="24">
        <f>D84/365*$D$69</f>
        <v>0</v>
      </c>
      <c r="E109" s="24">
        <f t="shared" ref="E109:M109" si="35">E84/365*$D$69</f>
        <v>0</v>
      </c>
      <c r="F109" s="24">
        <f t="shared" si="35"/>
        <v>0</v>
      </c>
      <c r="G109" s="24">
        <f t="shared" si="35"/>
        <v>0</v>
      </c>
      <c r="H109" s="24">
        <f t="shared" si="35"/>
        <v>0</v>
      </c>
      <c r="I109" s="24">
        <f t="shared" si="35"/>
        <v>0</v>
      </c>
      <c r="J109" s="24">
        <f t="shared" si="35"/>
        <v>0</v>
      </c>
      <c r="K109" s="24">
        <f t="shared" si="35"/>
        <v>0</v>
      </c>
      <c r="L109" s="24">
        <f t="shared" si="35"/>
        <v>0</v>
      </c>
      <c r="M109" s="24">
        <f t="shared" si="35"/>
        <v>0</v>
      </c>
    </row>
    <row r="110" spans="1:13" x14ac:dyDescent="0.25">
      <c r="B110" s="15" t="s">
        <v>34</v>
      </c>
      <c r="D110" s="29">
        <f>D56*D44</f>
        <v>16500</v>
      </c>
      <c r="E110" s="29">
        <f t="shared" ref="E110:M110" si="36">E56*E44</f>
        <v>16500</v>
      </c>
      <c r="F110" s="29">
        <f t="shared" si="36"/>
        <v>16500</v>
      </c>
      <c r="G110" s="29">
        <f t="shared" si="36"/>
        <v>16500</v>
      </c>
      <c r="H110" s="29">
        <f t="shared" si="36"/>
        <v>16500</v>
      </c>
      <c r="I110" s="29">
        <f t="shared" si="36"/>
        <v>16500</v>
      </c>
      <c r="J110" s="29">
        <f t="shared" si="36"/>
        <v>16500</v>
      </c>
      <c r="K110" s="29">
        <f t="shared" si="36"/>
        <v>16500</v>
      </c>
      <c r="L110" s="29">
        <f t="shared" si="36"/>
        <v>16500</v>
      </c>
      <c r="M110" s="29">
        <f t="shared" si="36"/>
        <v>16500</v>
      </c>
    </row>
    <row r="111" spans="1:13" x14ac:dyDescent="0.25">
      <c r="B111" s="15" t="s">
        <v>26</v>
      </c>
      <c r="D111" s="29">
        <f>D55*D43</f>
        <v>16500</v>
      </c>
      <c r="E111" s="29">
        <f t="shared" ref="E111:M111" si="37">E55*E43</f>
        <v>16500</v>
      </c>
      <c r="F111" s="29">
        <f t="shared" si="37"/>
        <v>16500</v>
      </c>
      <c r="G111" s="29">
        <f t="shared" si="37"/>
        <v>16500</v>
      </c>
      <c r="H111" s="29">
        <f t="shared" si="37"/>
        <v>16500</v>
      </c>
      <c r="I111" s="29">
        <f t="shared" si="37"/>
        <v>16500</v>
      </c>
      <c r="J111" s="29">
        <f t="shared" si="37"/>
        <v>16500</v>
      </c>
      <c r="K111" s="29">
        <f t="shared" si="37"/>
        <v>16500</v>
      </c>
      <c r="L111" s="29">
        <f t="shared" si="37"/>
        <v>16500</v>
      </c>
      <c r="M111" s="29">
        <f t="shared" si="37"/>
        <v>16500</v>
      </c>
    </row>
    <row r="112" spans="1:13" x14ac:dyDescent="0.25">
      <c r="B112" s="15" t="s">
        <v>36</v>
      </c>
      <c r="D112" s="30">
        <f>$D$62*$D$63</f>
        <v>15751.999999999998</v>
      </c>
      <c r="E112" s="30">
        <f t="shared" ref="E112:M112" si="38">$D$62*$D$63</f>
        <v>15751.999999999998</v>
      </c>
      <c r="F112" s="30">
        <f t="shared" si="38"/>
        <v>15751.999999999998</v>
      </c>
      <c r="G112" s="30">
        <f t="shared" si="38"/>
        <v>15751.999999999998</v>
      </c>
      <c r="H112" s="30">
        <f t="shared" si="38"/>
        <v>15751.999999999998</v>
      </c>
      <c r="I112" s="30">
        <f t="shared" si="38"/>
        <v>15751.999999999998</v>
      </c>
      <c r="J112" s="30">
        <f t="shared" si="38"/>
        <v>15751.999999999998</v>
      </c>
      <c r="K112" s="30">
        <f t="shared" si="38"/>
        <v>15751.999999999998</v>
      </c>
      <c r="L112" s="30">
        <f t="shared" si="38"/>
        <v>15751.999999999998</v>
      </c>
      <c r="M112" s="30">
        <f t="shared" si="38"/>
        <v>15751.999999999998</v>
      </c>
    </row>
    <row r="113" spans="1:13" x14ac:dyDescent="0.25">
      <c r="B113" s="15" t="s">
        <v>146</v>
      </c>
      <c r="D113" s="30">
        <f>$D$59*$D$60</f>
        <v>30599.632690541781</v>
      </c>
      <c r="E113" s="30">
        <f t="shared" ref="E113:M113" si="39">$D$59*$D$60</f>
        <v>30599.632690541781</v>
      </c>
      <c r="F113" s="30">
        <f t="shared" si="39"/>
        <v>30599.632690541781</v>
      </c>
      <c r="G113" s="30">
        <f t="shared" si="39"/>
        <v>30599.632690541781</v>
      </c>
      <c r="H113" s="30">
        <f t="shared" si="39"/>
        <v>30599.632690541781</v>
      </c>
      <c r="I113" s="30">
        <f t="shared" si="39"/>
        <v>30599.632690541781</v>
      </c>
      <c r="J113" s="30">
        <f t="shared" si="39"/>
        <v>30599.632690541781</v>
      </c>
      <c r="K113" s="30">
        <f t="shared" si="39"/>
        <v>30599.632690541781</v>
      </c>
      <c r="L113" s="30">
        <f t="shared" si="39"/>
        <v>30599.632690541781</v>
      </c>
      <c r="M113" s="30">
        <f t="shared" si="39"/>
        <v>30599.632690541781</v>
      </c>
    </row>
    <row r="114" spans="1:13" x14ac:dyDescent="0.25">
      <c r="B114" s="15" t="s">
        <v>125</v>
      </c>
      <c r="D114" s="31">
        <f>D92</f>
        <v>525.06666666666661</v>
      </c>
      <c r="E114" s="31">
        <f t="shared" ref="E114:M116" si="40">D114+E92</f>
        <v>1050.1333333333332</v>
      </c>
      <c r="F114" s="31">
        <f t="shared" si="40"/>
        <v>1575.1999999999998</v>
      </c>
      <c r="G114" s="31">
        <f t="shared" si="40"/>
        <v>2100.2666666666664</v>
      </c>
      <c r="H114" s="31">
        <f t="shared" si="40"/>
        <v>2625.333333333333</v>
      </c>
      <c r="I114" s="31">
        <f t="shared" si="40"/>
        <v>3150.3999999999996</v>
      </c>
      <c r="J114" s="31">
        <f t="shared" si="40"/>
        <v>3675.4666666666662</v>
      </c>
      <c r="K114" s="31">
        <f t="shared" si="40"/>
        <v>4200.5333333333328</v>
      </c>
      <c r="L114" s="31">
        <f t="shared" si="40"/>
        <v>4725.5999999999995</v>
      </c>
      <c r="M114" s="31">
        <f t="shared" si="40"/>
        <v>5250.6666666666661</v>
      </c>
    </row>
    <row r="115" spans="1:13" x14ac:dyDescent="0.25">
      <c r="B115" s="15" t="s">
        <v>126</v>
      </c>
      <c r="D115" s="31">
        <f>D93</f>
        <v>6600</v>
      </c>
      <c r="E115" s="31">
        <f t="shared" si="40"/>
        <v>13200</v>
      </c>
      <c r="F115" s="31">
        <f t="shared" si="40"/>
        <v>19800</v>
      </c>
      <c r="G115" s="31">
        <f t="shared" si="40"/>
        <v>26400</v>
      </c>
      <c r="H115" s="31">
        <f t="shared" si="40"/>
        <v>33000</v>
      </c>
      <c r="I115" s="31">
        <f t="shared" si="40"/>
        <v>39600</v>
      </c>
      <c r="J115" s="31">
        <f t="shared" si="40"/>
        <v>46200</v>
      </c>
      <c r="K115" s="31">
        <f t="shared" si="40"/>
        <v>52800</v>
      </c>
      <c r="L115" s="31">
        <f t="shared" si="40"/>
        <v>59400</v>
      </c>
      <c r="M115" s="31">
        <f t="shared" si="40"/>
        <v>66000</v>
      </c>
    </row>
    <row r="116" spans="1:13" x14ac:dyDescent="0.25">
      <c r="B116" s="15" t="s">
        <v>147</v>
      </c>
      <c r="D116" s="31">
        <f>D94</f>
        <v>1529.981634527089</v>
      </c>
      <c r="E116" s="31">
        <f t="shared" si="40"/>
        <v>3059.963269054178</v>
      </c>
      <c r="F116" s="31">
        <f t="shared" si="40"/>
        <v>4589.9449035812668</v>
      </c>
      <c r="G116" s="31">
        <f t="shared" si="40"/>
        <v>6119.926538108356</v>
      </c>
      <c r="H116" s="31">
        <f t="shared" si="40"/>
        <v>7649.9081726354452</v>
      </c>
      <c r="I116" s="31">
        <f t="shared" si="40"/>
        <v>9179.8898071625335</v>
      </c>
      <c r="J116" s="31">
        <f t="shared" si="40"/>
        <v>10709.871441689622</v>
      </c>
      <c r="K116" s="31">
        <f t="shared" si="40"/>
        <v>12239.85307621671</v>
      </c>
      <c r="L116" s="31">
        <f t="shared" si="40"/>
        <v>13769.834710743798</v>
      </c>
      <c r="M116" s="31">
        <f t="shared" si="40"/>
        <v>15299.816345270887</v>
      </c>
    </row>
    <row r="117" spans="1:13" x14ac:dyDescent="0.25">
      <c r="B117" s="21" t="s">
        <v>127</v>
      </c>
      <c r="D117" s="31">
        <f>SUM(D114:D116)</f>
        <v>8655.0483011937558</v>
      </c>
      <c r="E117" s="31">
        <f t="shared" ref="E117:M117" si="41">SUM(E114:E116)</f>
        <v>17310.096602387512</v>
      </c>
      <c r="F117" s="31">
        <f t="shared" si="41"/>
        <v>25965.144903581269</v>
      </c>
      <c r="G117" s="31">
        <f t="shared" si="41"/>
        <v>34620.193204775023</v>
      </c>
      <c r="H117" s="31">
        <f t="shared" si="41"/>
        <v>43275.241505968777</v>
      </c>
      <c r="I117" s="31">
        <f t="shared" si="41"/>
        <v>51930.289807162539</v>
      </c>
      <c r="J117" s="31">
        <f t="shared" si="41"/>
        <v>60585.338108356285</v>
      </c>
      <c r="K117" s="31">
        <f t="shared" si="41"/>
        <v>69240.386409550047</v>
      </c>
      <c r="L117" s="31">
        <f t="shared" si="41"/>
        <v>77895.434710743793</v>
      </c>
      <c r="M117" s="31">
        <f t="shared" si="41"/>
        <v>86550.483011937555</v>
      </c>
    </row>
    <row r="118" spans="1:13" x14ac:dyDescent="0.25">
      <c r="B118" s="20"/>
    </row>
    <row r="119" spans="1:13" x14ac:dyDescent="0.25">
      <c r="A119" s="10" t="s">
        <v>7</v>
      </c>
      <c r="B119" s="20"/>
      <c r="D119" s="31">
        <f t="shared" ref="D119:M119" si="42">SUM(D107:D113)-D117</f>
        <v>71696.58438934802</v>
      </c>
      <c r="E119" s="31">
        <f t="shared" si="42"/>
        <v>63041.536088154273</v>
      </c>
      <c r="F119" s="31">
        <f t="shared" si="42"/>
        <v>54386.487786960512</v>
      </c>
      <c r="G119" s="31">
        <f t="shared" si="42"/>
        <v>45731.439485766758</v>
      </c>
      <c r="H119" s="31">
        <f t="shared" si="42"/>
        <v>37076.391184573004</v>
      </c>
      <c r="I119" s="31">
        <f t="shared" si="42"/>
        <v>28421.342883379242</v>
      </c>
      <c r="J119" s="31">
        <f t="shared" si="42"/>
        <v>19766.294582185496</v>
      </c>
      <c r="K119" s="31">
        <f t="shared" si="42"/>
        <v>11111.246280991734</v>
      </c>
      <c r="L119" s="31">
        <f t="shared" si="42"/>
        <v>2456.1979797979875</v>
      </c>
      <c r="M119" s="31">
        <f t="shared" si="42"/>
        <v>-6198.8503213957738</v>
      </c>
    </row>
    <row r="120" spans="1:13" x14ac:dyDescent="0.25">
      <c r="B120" s="20"/>
    </row>
    <row r="121" spans="1:13" x14ac:dyDescent="0.25">
      <c r="A121" s="10" t="s">
        <v>8</v>
      </c>
      <c r="B121" s="20"/>
    </row>
    <row r="122" spans="1:13" x14ac:dyDescent="0.25">
      <c r="B122" s="20" t="s">
        <v>9</v>
      </c>
      <c r="D122" s="1">
        <f>(D88/($D$34*$D$35))*$D$70</f>
        <v>2251.1571428571428</v>
      </c>
      <c r="E122" s="1">
        <f t="shared" ref="E122:M122" si="43">(E88/($D$34*$D$35))*$D$70</f>
        <v>2273.6687142857145</v>
      </c>
      <c r="F122" s="1">
        <f t="shared" si="43"/>
        <v>2296.4054014285716</v>
      </c>
      <c r="G122" s="1">
        <f t="shared" si="43"/>
        <v>2319.3694554428571</v>
      </c>
      <c r="H122" s="1">
        <f t="shared" si="43"/>
        <v>2342.5631499972856</v>
      </c>
      <c r="I122" s="1">
        <f t="shared" si="43"/>
        <v>2365.9887814972581</v>
      </c>
      <c r="J122" s="1">
        <f t="shared" si="43"/>
        <v>2389.648669312231</v>
      </c>
      <c r="K122" s="1">
        <f t="shared" si="43"/>
        <v>2413.5451560053539</v>
      </c>
      <c r="L122" s="1">
        <f t="shared" si="43"/>
        <v>2437.6806075654072</v>
      </c>
      <c r="M122" s="1">
        <f t="shared" si="43"/>
        <v>2462.0574136410614</v>
      </c>
    </row>
    <row r="123" spans="1:13" x14ac:dyDescent="0.25">
      <c r="B123" s="20" t="s">
        <v>10</v>
      </c>
      <c r="D123" s="1">
        <f>D102</f>
        <v>0</v>
      </c>
      <c r="E123" s="1">
        <f t="shared" ref="E123:M123" si="44">E102</f>
        <v>0</v>
      </c>
      <c r="F123" s="1">
        <f t="shared" si="44"/>
        <v>0</v>
      </c>
      <c r="G123" s="1">
        <f t="shared" si="44"/>
        <v>0</v>
      </c>
      <c r="H123" s="1">
        <f t="shared" si="44"/>
        <v>0</v>
      </c>
      <c r="I123" s="1">
        <f t="shared" si="44"/>
        <v>0</v>
      </c>
      <c r="J123" s="1">
        <f t="shared" si="44"/>
        <v>0</v>
      </c>
      <c r="K123" s="1">
        <f t="shared" si="44"/>
        <v>0</v>
      </c>
      <c r="L123" s="1">
        <f t="shared" si="44"/>
        <v>3.3059228186684777</v>
      </c>
      <c r="M123" s="1">
        <f t="shared" si="44"/>
        <v>86.006814894833951</v>
      </c>
    </row>
    <row r="124" spans="1:13" x14ac:dyDescent="0.25">
      <c r="B124" s="20" t="s">
        <v>39</v>
      </c>
      <c r="D124" s="31">
        <f>(D89+D90)/($D$66*$D$65)*$D$71</f>
        <v>2027.2000000000003</v>
      </c>
      <c r="E124" s="31">
        <f t="shared" ref="E124:M124" si="45">(E89+E90)/($D$66*$D$65)*$D$71</f>
        <v>2048.27</v>
      </c>
      <c r="F124" s="31">
        <f t="shared" si="45"/>
        <v>2069.6571034999993</v>
      </c>
      <c r="G124" s="31">
        <f t="shared" si="45"/>
        <v>2091.3660829076744</v>
      </c>
      <c r="H124" s="31">
        <f t="shared" si="45"/>
        <v>2113.4017824554348</v>
      </c>
      <c r="I124" s="31">
        <f t="shared" si="45"/>
        <v>2135.7691192813891</v>
      </c>
      <c r="J124" s="31">
        <f t="shared" si="45"/>
        <v>2158.4730845265735</v>
      </c>
      <c r="K124" s="31">
        <f t="shared" si="45"/>
        <v>2181.5187444486983</v>
      </c>
      <c r="L124" s="31">
        <f t="shared" si="45"/>
        <v>2204.9112415526511</v>
      </c>
      <c r="M124" s="31">
        <f t="shared" si="45"/>
        <v>2228.6557957380182</v>
      </c>
    </row>
    <row r="125" spans="1:13" x14ac:dyDescent="0.25">
      <c r="B125" s="20"/>
    </row>
    <row r="126" spans="1:13" x14ac:dyDescent="0.25">
      <c r="B126" s="20" t="s">
        <v>11</v>
      </c>
      <c r="D126" s="31">
        <f>Mortgage!E18</f>
        <v>55003.295343340105</v>
      </c>
      <c r="E126" s="31">
        <f>Mortgage!E30</f>
        <v>54420.046826933663</v>
      </c>
      <c r="F126" s="31">
        <f>Mortgage!E42</f>
        <v>53793.390525118601</v>
      </c>
      <c r="G126" s="31">
        <f>Mortgage!E54</f>
        <v>53120.095849593265</v>
      </c>
      <c r="H126" s="31">
        <f>Mortgage!E66</f>
        <v>52396.69177821037</v>
      </c>
      <c r="I126" s="31">
        <f>Mortgage!E78</f>
        <v>51619.448960888141</v>
      </c>
      <c r="J126" s="31">
        <f>Mortgage!E90</f>
        <v>50784.360493768851</v>
      </c>
      <c r="K126" s="31">
        <f>Mortgage!E102</f>
        <v>49887.121262510045</v>
      </c>
      <c r="L126" s="31">
        <f>Mortgage!E114</f>
        <v>48923.105748217342</v>
      </c>
      <c r="M126" s="31">
        <f>Mortgage!E126</f>
        <v>47887.34418160237</v>
      </c>
    </row>
    <row r="127" spans="1:13" x14ac:dyDescent="0.25">
      <c r="B127" s="20" t="s">
        <v>12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x14ac:dyDescent="0.25">
      <c r="B128" s="20"/>
    </row>
    <row r="129" spans="1:13" x14ac:dyDescent="0.25">
      <c r="B129" s="20" t="s">
        <v>13</v>
      </c>
      <c r="D129" s="29">
        <f>Mortgage!$G$6</f>
        <v>23805.489807162539</v>
      </c>
      <c r="E129" s="29">
        <f>Mortgage!$G$6</f>
        <v>23805.489807162539</v>
      </c>
      <c r="F129" s="29">
        <f>Mortgage!$G$6</f>
        <v>23805.489807162539</v>
      </c>
      <c r="G129" s="29">
        <f>Mortgage!$G$6</f>
        <v>23805.489807162539</v>
      </c>
      <c r="H129" s="29">
        <f>Mortgage!$G$6</f>
        <v>23805.489807162539</v>
      </c>
      <c r="I129" s="29">
        <f>Mortgage!$G$6</f>
        <v>23805.489807162539</v>
      </c>
      <c r="J129" s="29">
        <f>Mortgage!$G$6</f>
        <v>23805.489807162539</v>
      </c>
      <c r="K129" s="29">
        <f>Mortgage!$G$6</f>
        <v>23805.489807162539</v>
      </c>
      <c r="L129" s="29">
        <f>Mortgage!$G$6</f>
        <v>23805.489807162539</v>
      </c>
      <c r="M129" s="29">
        <f>Mortgage!$G$6</f>
        <v>23805.489807162539</v>
      </c>
    </row>
    <row r="130" spans="1:13" x14ac:dyDescent="0.25">
      <c r="B130" s="20" t="s">
        <v>14</v>
      </c>
      <c r="D130" s="31">
        <f>C130+D103</f>
        <v>-2475.3353880180803</v>
      </c>
      <c r="E130" s="31">
        <f t="shared" ref="E130:M130" si="46">D130+E103</f>
        <v>-4631.3408678801788</v>
      </c>
      <c r="F130" s="31">
        <f t="shared" si="46"/>
        <v>-6507.3424241223547</v>
      </c>
      <c r="G130" s="31">
        <f t="shared" si="46"/>
        <v>-8078.5303210830025</v>
      </c>
      <c r="H130" s="31">
        <f t="shared" si="46"/>
        <v>-9341.2010054592974</v>
      </c>
      <c r="I130" s="31">
        <f t="shared" si="46"/>
        <v>-10291.425626489014</v>
      </c>
      <c r="J130" s="31">
        <f t="shared" si="46"/>
        <v>-10925.031672518264</v>
      </c>
      <c r="K130" s="31">
        <f t="shared" si="46"/>
        <v>-11237.58319333446</v>
      </c>
      <c r="L130" s="31">
        <f t="shared" si="46"/>
        <v>-11227.665424878454</v>
      </c>
      <c r="M130" s="31">
        <f t="shared" si="46"/>
        <v>-10969.644980193953</v>
      </c>
    </row>
    <row r="132" spans="1:13" x14ac:dyDescent="0.25">
      <c r="A132" s="10" t="s">
        <v>15</v>
      </c>
      <c r="D132" s="31">
        <f>SUM(D122:D130)</f>
        <v>80611.806905341713</v>
      </c>
      <c r="E132" s="31">
        <f t="shared" ref="E132:M132" si="47">SUM(E122:E130)</f>
        <v>77916.134480501743</v>
      </c>
      <c r="F132" s="31">
        <f t="shared" si="47"/>
        <v>75457.600413087363</v>
      </c>
      <c r="G132" s="31">
        <f t="shared" si="47"/>
        <v>73257.790874023325</v>
      </c>
      <c r="H132" s="31">
        <f t="shared" si="47"/>
        <v>71316.945512366336</v>
      </c>
      <c r="I132" s="31">
        <f t="shared" si="47"/>
        <v>69635.271042340319</v>
      </c>
      <c r="J132" s="31">
        <f t="shared" si="47"/>
        <v>68212.940382251923</v>
      </c>
      <c r="K132" s="31">
        <f t="shared" si="47"/>
        <v>67050.091776792178</v>
      </c>
      <c r="L132" s="31">
        <f t="shared" si="47"/>
        <v>66146.827902438148</v>
      </c>
      <c r="M132" s="31">
        <f t="shared" si="47"/>
        <v>65499.909032844873</v>
      </c>
    </row>
    <row r="134" spans="1:13" x14ac:dyDescent="0.25">
      <c r="A134" s="10" t="s">
        <v>16</v>
      </c>
      <c r="D134" s="31">
        <f>D119-D132</f>
        <v>-8915.2225159936934</v>
      </c>
      <c r="E134" s="31">
        <f t="shared" ref="E134:M134" si="48">E119-E132</f>
        <v>-14874.598392347471</v>
      </c>
      <c r="F134" s="31">
        <f t="shared" si="48"/>
        <v>-21071.112626126851</v>
      </c>
      <c r="G134" s="31">
        <f t="shared" si="48"/>
        <v>-27526.351388256568</v>
      </c>
      <c r="H134" s="31">
        <f t="shared" si="48"/>
        <v>-34240.554327793332</v>
      </c>
      <c r="I134" s="31">
        <f t="shared" si="48"/>
        <v>-41213.928158961076</v>
      </c>
      <c r="J134" s="31">
        <f t="shared" si="48"/>
        <v>-48446.645800066428</v>
      </c>
      <c r="K134" s="31">
        <f t="shared" si="48"/>
        <v>-55938.845495800444</v>
      </c>
      <c r="L134" s="31">
        <f t="shared" si="48"/>
        <v>-63690.629922640161</v>
      </c>
      <c r="M134" s="31">
        <f t="shared" si="48"/>
        <v>-71698.759354240639</v>
      </c>
    </row>
    <row r="135" spans="1:13" x14ac:dyDescent="0.25">
      <c r="A135" s="10"/>
    </row>
    <row r="136" spans="1:13" x14ac:dyDescent="0.25">
      <c r="A136" s="10" t="s">
        <v>129</v>
      </c>
    </row>
    <row r="137" spans="1:13" x14ac:dyDescent="0.25">
      <c r="A137" s="10"/>
    </row>
    <row r="138" spans="1:13" x14ac:dyDescent="0.25">
      <c r="A138" s="17" t="s">
        <v>117</v>
      </c>
      <c r="D138" s="36">
        <f>D147+D140*(D146-D147)</f>
        <v>0.1605</v>
      </c>
      <c r="E138" s="36">
        <f t="shared" ref="E138:M138" si="49">E147+E140*(E146-E147)</f>
        <v>0.1605</v>
      </c>
      <c r="F138" s="36">
        <f t="shared" si="49"/>
        <v>0.1605</v>
      </c>
      <c r="G138" s="36">
        <f t="shared" si="49"/>
        <v>0.1605</v>
      </c>
      <c r="H138" s="36">
        <f t="shared" si="49"/>
        <v>0.1605</v>
      </c>
      <c r="I138" s="36">
        <f t="shared" si="49"/>
        <v>0.1605</v>
      </c>
      <c r="J138" s="36">
        <f t="shared" si="49"/>
        <v>0.1605</v>
      </c>
      <c r="K138" s="36">
        <f t="shared" si="49"/>
        <v>0.1605</v>
      </c>
      <c r="L138" s="36">
        <f t="shared" si="49"/>
        <v>0.1605</v>
      </c>
      <c r="M138" s="36">
        <f t="shared" si="49"/>
        <v>0.1605</v>
      </c>
    </row>
    <row r="139" spans="1:13" x14ac:dyDescent="0.25">
      <c r="A139" s="11" t="s">
        <v>110</v>
      </c>
      <c r="D139" s="36">
        <f>((D126/(SUM(D126:D127))*Mortgage!$C$2)+(('Pro Forma Normal'!D127/SUM('Pro Forma Normal'!D126:D127))*'Pro Forma Normal'!$D$11))</f>
        <v>7.1999999999999995E-2</v>
      </c>
      <c r="E139" s="36">
        <f>((E126/(SUM(E126:E127))*Mortgage!$C$2)+(('Pro Forma Normal'!E127/SUM('Pro Forma Normal'!E126:E127))*'Pro Forma Normal'!$D$11))</f>
        <v>7.1999999999999995E-2</v>
      </c>
      <c r="F139" s="36">
        <f>((F126/(SUM(F126:F127))*Mortgage!$C$2)+(('Pro Forma Normal'!F127/SUM('Pro Forma Normal'!F126:F127))*'Pro Forma Normal'!$D$11))</f>
        <v>7.1999999999999995E-2</v>
      </c>
      <c r="G139" s="36">
        <f>((G126/(SUM(G126:G127))*Mortgage!$C$2)+(('Pro Forma Normal'!G127/SUM('Pro Forma Normal'!G126:G127))*'Pro Forma Normal'!$D$11))</f>
        <v>7.1999999999999995E-2</v>
      </c>
      <c r="H139" s="36">
        <f>((H126/(SUM(H126:H127))*Mortgage!$C$2)+(('Pro Forma Normal'!H127/SUM('Pro Forma Normal'!H126:H127))*'Pro Forma Normal'!$D$11))</f>
        <v>7.1999999999999995E-2</v>
      </c>
      <c r="I139" s="36">
        <f>((I126/(SUM(I126:I127))*Mortgage!$C$2)+(('Pro Forma Normal'!I127/SUM('Pro Forma Normal'!I126:I127))*'Pro Forma Normal'!$D$11))</f>
        <v>7.1999999999999995E-2</v>
      </c>
      <c r="J139" s="36">
        <f>((J126/(SUM(J126:J127))*Mortgage!$C$2)+(('Pro Forma Normal'!J127/SUM('Pro Forma Normal'!J126:J127))*'Pro Forma Normal'!$D$11))</f>
        <v>7.1999999999999995E-2</v>
      </c>
      <c r="K139" s="36">
        <f>((K126/(SUM(K126:K127))*Mortgage!$C$2)+(('Pro Forma Normal'!K127/SUM('Pro Forma Normal'!K126:K127))*'Pro Forma Normal'!$D$11))</f>
        <v>7.1999999999999995E-2</v>
      </c>
      <c r="L139" s="36">
        <f>((L126/(SUM(L126:L127))*Mortgage!$C$2)+(('Pro Forma Normal'!L127/SUM('Pro Forma Normal'!L126:L127))*'Pro Forma Normal'!$D$11))</f>
        <v>7.1999999999999995E-2</v>
      </c>
      <c r="M139" s="36">
        <f>((M126/(SUM(M126:M127))*Mortgage!$C$2)+(('Pro Forma Normal'!M127/SUM('Pro Forma Normal'!M126:M127))*'Pro Forma Normal'!$D$11))</f>
        <v>7.1999999999999995E-2</v>
      </c>
    </row>
    <row r="140" spans="1:13" x14ac:dyDescent="0.25">
      <c r="A140" s="11" t="s">
        <v>116</v>
      </c>
      <c r="D140">
        <v>1.45</v>
      </c>
      <c r="E140">
        <f>$D$140</f>
        <v>1.45</v>
      </c>
      <c r="F140">
        <f t="shared" ref="F140:M140" si="50">$D$140</f>
        <v>1.45</v>
      </c>
      <c r="G140">
        <f t="shared" si="50"/>
        <v>1.45</v>
      </c>
      <c r="H140">
        <f t="shared" si="50"/>
        <v>1.45</v>
      </c>
      <c r="I140">
        <f t="shared" si="50"/>
        <v>1.45</v>
      </c>
      <c r="J140">
        <f t="shared" si="50"/>
        <v>1.45</v>
      </c>
      <c r="K140">
        <f t="shared" si="50"/>
        <v>1.45</v>
      </c>
      <c r="L140">
        <f t="shared" si="50"/>
        <v>1.45</v>
      </c>
      <c r="M140">
        <f t="shared" si="50"/>
        <v>1.45</v>
      </c>
    </row>
    <row r="142" spans="1:13" x14ac:dyDescent="0.25">
      <c r="A142" s="11" t="s">
        <v>114</v>
      </c>
      <c r="D142" s="36">
        <f>SUM(D126:D127)/SUM(D126:D130)</f>
        <v>0.72056608884421802</v>
      </c>
      <c r="E142" s="36">
        <f t="shared" ref="E142:M142" si="51">SUM(E126:E127)/SUM(E126:E130)</f>
        <v>0.73946112543722642</v>
      </c>
      <c r="F142" s="36">
        <f t="shared" si="51"/>
        <v>0.75667782844440368</v>
      </c>
      <c r="G142" s="36">
        <f t="shared" si="51"/>
        <v>0.77156670812715666</v>
      </c>
      <c r="H142" s="36">
        <f t="shared" si="51"/>
        <v>0.78366621793087188</v>
      </c>
      <c r="I142" s="36">
        <f t="shared" si="51"/>
        <v>0.79251749938158633</v>
      </c>
      <c r="J142" s="36">
        <f t="shared" si="51"/>
        <v>0.79768326664334799</v>
      </c>
      <c r="K142" s="36">
        <f t="shared" si="51"/>
        <v>0.79876869739434397</v>
      </c>
      <c r="L142" s="36">
        <f t="shared" si="51"/>
        <v>0.79548562345976448</v>
      </c>
      <c r="M142" s="36">
        <f t="shared" si="51"/>
        <v>0.78861708292104304</v>
      </c>
    </row>
    <row r="143" spans="1:13" x14ac:dyDescent="0.25">
      <c r="A143" s="11" t="s">
        <v>115</v>
      </c>
      <c r="D143" s="36">
        <f>SUM(D129:D130)/SUM(D126:D130)</f>
        <v>0.27943391115578198</v>
      </c>
      <c r="E143" s="36">
        <f t="shared" ref="E143:M143" si="52">SUM(E129:E130)/SUM(E126:E130)</f>
        <v>0.26053887456277358</v>
      </c>
      <c r="F143" s="36">
        <f t="shared" si="52"/>
        <v>0.24332217155559621</v>
      </c>
      <c r="G143" s="36">
        <f t="shared" si="52"/>
        <v>0.22843329187284325</v>
      </c>
      <c r="H143" s="36">
        <f t="shared" si="52"/>
        <v>0.21633378206912818</v>
      </c>
      <c r="I143" s="36">
        <f t="shared" si="52"/>
        <v>0.20748250061841372</v>
      </c>
      <c r="J143" s="36">
        <f t="shared" si="52"/>
        <v>0.2023167333566521</v>
      </c>
      <c r="K143" s="36">
        <f t="shared" si="52"/>
        <v>0.20123130260565603</v>
      </c>
      <c r="L143" s="36">
        <f t="shared" si="52"/>
        <v>0.20451437654023552</v>
      </c>
      <c r="M143" s="36">
        <f t="shared" si="52"/>
        <v>0.21138291707895701</v>
      </c>
    </row>
    <row r="145" spans="1:13" x14ac:dyDescent="0.25">
      <c r="A145" s="11" t="s">
        <v>111</v>
      </c>
      <c r="D145" s="33">
        <f>D140/(1+(1-$D$10)*(D142/D143))</f>
        <v>0.49420623455477442</v>
      </c>
      <c r="E145" s="33">
        <f t="shared" ref="E145:M145" si="53">E140/(1+(1-$D$10)*(E142/E143))</f>
        <v>0.46345881174832587</v>
      </c>
      <c r="F145" s="33">
        <f t="shared" si="53"/>
        <v>0.43513056069467521</v>
      </c>
      <c r="G145" s="33">
        <f t="shared" si="53"/>
        <v>0.41038887072493818</v>
      </c>
      <c r="H145" s="33">
        <f t="shared" si="53"/>
        <v>0.39011371984960713</v>
      </c>
      <c r="I145" s="33">
        <f t="shared" si="53"/>
        <v>0.37518474484421355</v>
      </c>
      <c r="J145" s="33">
        <f t="shared" si="53"/>
        <v>0.36643378877722416</v>
      </c>
      <c r="K145" s="33">
        <f t="shared" si="53"/>
        <v>0.36459144772288243</v>
      </c>
      <c r="L145" s="33">
        <f t="shared" si="53"/>
        <v>0.37016010682218653</v>
      </c>
      <c r="M145" s="33">
        <f t="shared" si="53"/>
        <v>0.38177350715097141</v>
      </c>
    </row>
    <row r="146" spans="1:13" x14ac:dyDescent="0.25">
      <c r="A146" s="11" t="s">
        <v>106</v>
      </c>
      <c r="D146" s="23">
        <v>0.12</v>
      </c>
      <c r="E146" s="23">
        <f>$D$146</f>
        <v>0.12</v>
      </c>
      <c r="F146" s="23">
        <f t="shared" ref="F146:M146" si="54">$D$146</f>
        <v>0.12</v>
      </c>
      <c r="G146" s="23">
        <f t="shared" si="54"/>
        <v>0.12</v>
      </c>
      <c r="H146" s="23">
        <f t="shared" si="54"/>
        <v>0.12</v>
      </c>
      <c r="I146" s="23">
        <f t="shared" si="54"/>
        <v>0.12</v>
      </c>
      <c r="J146" s="23">
        <f t="shared" si="54"/>
        <v>0.12</v>
      </c>
      <c r="K146" s="23">
        <f t="shared" si="54"/>
        <v>0.12</v>
      </c>
      <c r="L146" s="23">
        <f t="shared" si="54"/>
        <v>0.12</v>
      </c>
      <c r="M146" s="23">
        <f t="shared" si="54"/>
        <v>0.12</v>
      </c>
    </row>
    <row r="147" spans="1:13" x14ac:dyDescent="0.25">
      <c r="A147" s="11" t="s">
        <v>112</v>
      </c>
      <c r="D147" s="23">
        <v>0.03</v>
      </c>
      <c r="E147" s="23">
        <f>$D$147</f>
        <v>0.03</v>
      </c>
      <c r="F147" s="23">
        <f t="shared" ref="F147:M147" si="55">$D$147</f>
        <v>0.03</v>
      </c>
      <c r="G147" s="23">
        <f t="shared" si="55"/>
        <v>0.03</v>
      </c>
      <c r="H147" s="23">
        <f t="shared" si="55"/>
        <v>0.03</v>
      </c>
      <c r="I147" s="23">
        <f t="shared" si="55"/>
        <v>0.03</v>
      </c>
      <c r="J147" s="23">
        <f t="shared" si="55"/>
        <v>0.03</v>
      </c>
      <c r="K147" s="23">
        <f t="shared" si="55"/>
        <v>0.03</v>
      </c>
      <c r="L147" s="23">
        <f t="shared" si="55"/>
        <v>0.03</v>
      </c>
      <c r="M147" s="23">
        <f t="shared" si="55"/>
        <v>0.03</v>
      </c>
    </row>
    <row r="149" spans="1:13" x14ac:dyDescent="0.25">
      <c r="A149" s="11" t="s">
        <v>113</v>
      </c>
      <c r="D149" s="37">
        <f>(D142*D139)+(D143*D138)</f>
        <v>9.6729901137286703E-2</v>
      </c>
      <c r="E149" s="37">
        <f t="shared" ref="E149:M149" si="56">(E142*E139)+(E143*E138)</f>
        <v>9.5057690398805461E-2</v>
      </c>
      <c r="F149" s="37">
        <f t="shared" si="56"/>
        <v>9.3534012182670254E-2</v>
      </c>
      <c r="G149" s="37">
        <f t="shared" si="56"/>
        <v>9.2216346330746615E-2</v>
      </c>
      <c r="H149" s="37">
        <f t="shared" si="56"/>
        <v>9.114553971311784E-2</v>
      </c>
      <c r="I149" s="37">
        <f t="shared" si="56"/>
        <v>9.0362201304729606E-2</v>
      </c>
      <c r="J149" s="37">
        <f t="shared" si="56"/>
        <v>8.9905030902063712E-2</v>
      </c>
      <c r="K149" s="37">
        <f t="shared" si="56"/>
        <v>8.9808970280600559E-2</v>
      </c>
      <c r="L149" s="37">
        <f t="shared" si="56"/>
        <v>9.0099522323810841E-2</v>
      </c>
      <c r="M149" s="37">
        <f t="shared" si="56"/>
        <v>9.0707388161487684E-2</v>
      </c>
    </row>
    <row r="150" spans="1:13" x14ac:dyDescent="0.25">
      <c r="A150" s="11" t="s">
        <v>118</v>
      </c>
      <c r="D150" s="37">
        <f>AVERAGE(D149:M149)</f>
        <v>9.1956660273531915E-2</v>
      </c>
    </row>
    <row r="151" spans="1:13" x14ac:dyDescent="0.25">
      <c r="A151" s="17"/>
    </row>
    <row r="152" spans="1:13" x14ac:dyDescent="0.25">
      <c r="A152"/>
    </row>
    <row r="153" spans="1:13" x14ac:dyDescent="0.25">
      <c r="A153" s="10"/>
    </row>
    <row r="154" spans="1:13" x14ac:dyDescent="0.25">
      <c r="A154" s="10" t="s">
        <v>66</v>
      </c>
      <c r="C154">
        <v>0</v>
      </c>
      <c r="D154">
        <v>1</v>
      </c>
      <c r="E154">
        <v>2</v>
      </c>
      <c r="F154">
        <v>3</v>
      </c>
      <c r="G154">
        <v>4</v>
      </c>
      <c r="H154">
        <v>5</v>
      </c>
      <c r="I154">
        <v>6</v>
      </c>
      <c r="J154">
        <v>7</v>
      </c>
      <c r="K154">
        <v>8</v>
      </c>
      <c r="L154">
        <v>9</v>
      </c>
      <c r="M154">
        <v>10</v>
      </c>
    </row>
    <row r="155" spans="1:13" x14ac:dyDescent="0.25">
      <c r="A155" s="12" t="s">
        <v>67</v>
      </c>
      <c r="D155" s="31">
        <f>D84-SUM(D86:D90)</f>
        <v>27471.449999999997</v>
      </c>
      <c r="E155" s="31">
        <f t="shared" ref="E155:M155" si="57">E84-SUM(E86:E90)</f>
        <v>27729.064500000008</v>
      </c>
      <c r="F155" s="31">
        <f t="shared" si="57"/>
        <v>27986.975070000015</v>
      </c>
      <c r="G155" s="31">
        <f t="shared" si="57"/>
        <v>28245.150355571241</v>
      </c>
      <c r="H155" s="31">
        <f t="shared" si="57"/>
        <v>28503.558172298013</v>
      </c>
      <c r="I155" s="31">
        <f t="shared" si="57"/>
        <v>28762.165489705279</v>
      </c>
      <c r="J155" s="31">
        <f t="shared" si="57"/>
        <v>29020.938414908684</v>
      </c>
      <c r="K155" s="31">
        <f t="shared" si="57"/>
        <v>29279.842175982223</v>
      </c>
      <c r="L155" s="31">
        <f t="shared" si="57"/>
        <v>29538.841105039202</v>
      </c>
      <c r="M155" s="31">
        <f t="shared" si="57"/>
        <v>29797.898621021595</v>
      </c>
    </row>
    <row r="156" spans="1:13" x14ac:dyDescent="0.25">
      <c r="A156" s="12" t="s">
        <v>68</v>
      </c>
      <c r="D156" s="31">
        <f>D95</f>
        <v>8655.0483011937558</v>
      </c>
      <c r="E156" s="31">
        <f t="shared" ref="E156:M156" si="58">E95</f>
        <v>8655.0483011937558</v>
      </c>
      <c r="F156" s="31">
        <f t="shared" si="58"/>
        <v>8655.0483011937558</v>
      </c>
      <c r="G156" s="31">
        <f t="shared" si="58"/>
        <v>8655.0483011937558</v>
      </c>
      <c r="H156" s="31">
        <f t="shared" si="58"/>
        <v>8655.0483011937558</v>
      </c>
      <c r="I156" s="31">
        <f t="shared" si="58"/>
        <v>8655.0483011937558</v>
      </c>
      <c r="J156" s="31">
        <f t="shared" si="58"/>
        <v>8655.0483011937558</v>
      </c>
      <c r="K156" s="31">
        <f t="shared" si="58"/>
        <v>8655.0483011937558</v>
      </c>
      <c r="L156" s="31">
        <f t="shared" si="58"/>
        <v>8655.0483011937558</v>
      </c>
      <c r="M156" s="31">
        <f t="shared" si="58"/>
        <v>8655.0483011937558</v>
      </c>
    </row>
    <row r="157" spans="1:13" x14ac:dyDescent="0.25">
      <c r="A157" s="12" t="s">
        <v>69</v>
      </c>
      <c r="D157" s="31">
        <f>D155-D156</f>
        <v>18816.401698806243</v>
      </c>
      <c r="E157" s="31">
        <f t="shared" ref="E157:M157" si="59">E155-E156</f>
        <v>19074.016198806254</v>
      </c>
      <c r="F157" s="31">
        <f t="shared" si="59"/>
        <v>19331.926768806261</v>
      </c>
      <c r="G157" s="31">
        <f t="shared" si="59"/>
        <v>19590.102054377487</v>
      </c>
      <c r="H157" s="31">
        <f t="shared" si="59"/>
        <v>19848.509871104259</v>
      </c>
      <c r="I157" s="31">
        <f t="shared" si="59"/>
        <v>20107.117188511525</v>
      </c>
      <c r="J157" s="31">
        <f t="shared" si="59"/>
        <v>20365.89011371493</v>
      </c>
      <c r="K157" s="31">
        <f t="shared" si="59"/>
        <v>20624.793874788469</v>
      </c>
      <c r="L157" s="31">
        <f t="shared" si="59"/>
        <v>20883.792803845448</v>
      </c>
      <c r="M157" s="31">
        <f t="shared" si="59"/>
        <v>21142.850319827841</v>
      </c>
    </row>
    <row r="158" spans="1:13" x14ac:dyDescent="0.25">
      <c r="A158" s="12" t="s">
        <v>70</v>
      </c>
      <c r="D158" s="31">
        <f>D157*$D$10</f>
        <v>4704.1004247015608</v>
      </c>
      <c r="E158" s="31">
        <f t="shared" ref="E158:M158" si="60">E157*$D$10</f>
        <v>4768.5040497015634</v>
      </c>
      <c r="F158" s="31">
        <f t="shared" si="60"/>
        <v>4832.9816922015652</v>
      </c>
      <c r="G158" s="31">
        <f t="shared" si="60"/>
        <v>4897.5255135943717</v>
      </c>
      <c r="H158" s="31">
        <f t="shared" si="60"/>
        <v>4962.1274677760648</v>
      </c>
      <c r="I158" s="31">
        <f t="shared" si="60"/>
        <v>5026.7792971278814</v>
      </c>
      <c r="J158" s="31">
        <f t="shared" si="60"/>
        <v>5091.4725284287324</v>
      </c>
      <c r="K158" s="31">
        <f t="shared" si="60"/>
        <v>5156.1984686971173</v>
      </c>
      <c r="L158" s="31">
        <f t="shared" si="60"/>
        <v>5220.9482009613621</v>
      </c>
      <c r="M158" s="31">
        <f t="shared" si="60"/>
        <v>5285.7125799569603</v>
      </c>
    </row>
    <row r="159" spans="1:13" x14ac:dyDescent="0.25">
      <c r="A159" s="12" t="s">
        <v>71</v>
      </c>
      <c r="D159" s="31">
        <f>D157-D158</f>
        <v>14112.301274104682</v>
      </c>
      <c r="E159" s="31">
        <f t="shared" ref="E159:M159" si="61">E157-E158</f>
        <v>14305.51214910469</v>
      </c>
      <c r="F159" s="31">
        <f t="shared" si="61"/>
        <v>14498.945076604696</v>
      </c>
      <c r="G159" s="31">
        <f t="shared" si="61"/>
        <v>14692.576540783115</v>
      </c>
      <c r="H159" s="31">
        <f t="shared" si="61"/>
        <v>14886.382403328194</v>
      </c>
      <c r="I159" s="31">
        <f t="shared" si="61"/>
        <v>15080.337891383644</v>
      </c>
      <c r="J159" s="31">
        <f t="shared" si="61"/>
        <v>15274.417585286197</v>
      </c>
      <c r="K159" s="31">
        <f t="shared" si="61"/>
        <v>15468.595406091352</v>
      </c>
      <c r="L159" s="31">
        <f t="shared" si="61"/>
        <v>15662.844602884086</v>
      </c>
      <c r="M159" s="31">
        <f t="shared" si="61"/>
        <v>15857.137739870881</v>
      </c>
    </row>
    <row r="160" spans="1:13" x14ac:dyDescent="0.25">
      <c r="A160" s="12" t="s">
        <v>72</v>
      </c>
      <c r="D160" s="31">
        <f>D156</f>
        <v>8655.0483011937558</v>
      </c>
      <c r="E160" s="31">
        <f t="shared" ref="E160:M160" si="62">E156</f>
        <v>8655.0483011937558</v>
      </c>
      <c r="F160" s="31">
        <f t="shared" si="62"/>
        <v>8655.0483011937558</v>
      </c>
      <c r="G160" s="31">
        <f t="shared" si="62"/>
        <v>8655.0483011937558</v>
      </c>
      <c r="H160" s="31">
        <f t="shared" si="62"/>
        <v>8655.0483011937558</v>
      </c>
      <c r="I160" s="31">
        <f t="shared" si="62"/>
        <v>8655.0483011937558</v>
      </c>
      <c r="J160" s="31">
        <f t="shared" si="62"/>
        <v>8655.0483011937558</v>
      </c>
      <c r="K160" s="31">
        <f t="shared" si="62"/>
        <v>8655.0483011937558</v>
      </c>
      <c r="L160" s="31">
        <f t="shared" si="62"/>
        <v>8655.0483011937558</v>
      </c>
      <c r="M160" s="31">
        <f t="shared" si="62"/>
        <v>8655.0483011937558</v>
      </c>
    </row>
    <row r="161" spans="1:15" ht="15.75" thickBot="1" x14ac:dyDescent="0.3">
      <c r="A161" s="18" t="s">
        <v>107</v>
      </c>
      <c r="D161" s="38">
        <f>D159+D160</f>
        <v>22767.349575298438</v>
      </c>
      <c r="E161" s="38">
        <f t="shared" ref="E161:M161" si="63">E159+E160</f>
        <v>22960.560450298446</v>
      </c>
      <c r="F161" s="38">
        <f t="shared" si="63"/>
        <v>23153.993377798452</v>
      </c>
      <c r="G161" s="38">
        <f t="shared" si="63"/>
        <v>23347.624841976871</v>
      </c>
      <c r="H161" s="38">
        <f t="shared" si="63"/>
        <v>23541.43070452195</v>
      </c>
      <c r="I161" s="38">
        <f t="shared" si="63"/>
        <v>23735.3861925774</v>
      </c>
      <c r="J161" s="38">
        <f t="shared" si="63"/>
        <v>23929.465886479953</v>
      </c>
      <c r="K161" s="38">
        <f t="shared" si="63"/>
        <v>24123.643707285108</v>
      </c>
      <c r="L161" s="38">
        <f t="shared" si="63"/>
        <v>24317.892904077842</v>
      </c>
      <c r="M161" s="38">
        <f t="shared" si="63"/>
        <v>24512.186041064637</v>
      </c>
    </row>
    <row r="162" spans="1:15" ht="15.75" thickTop="1" x14ac:dyDescent="0.25"/>
    <row r="163" spans="1:15" x14ac:dyDescent="0.25">
      <c r="A163" s="10" t="s">
        <v>73</v>
      </c>
    </row>
    <row r="164" spans="1:15" x14ac:dyDescent="0.25">
      <c r="A164" s="10"/>
    </row>
    <row r="165" spans="1:15" x14ac:dyDescent="0.25">
      <c r="A165" s="19" t="s">
        <v>74</v>
      </c>
      <c r="C165" s="30">
        <f>-D112</f>
        <v>-15751.999999999998</v>
      </c>
      <c r="N165" t="s">
        <v>81</v>
      </c>
      <c r="O165" s="30">
        <f>M112-M114</f>
        <v>10501.333333333332</v>
      </c>
    </row>
    <row r="166" spans="1:15" x14ac:dyDescent="0.25">
      <c r="A166" s="12" t="s">
        <v>121</v>
      </c>
      <c r="M166" s="30">
        <f>O165*O166</f>
        <v>12076.533333333331</v>
      </c>
      <c r="N166" t="s">
        <v>152</v>
      </c>
      <c r="O166" s="23">
        <v>1.1499999999999999</v>
      </c>
    </row>
    <row r="167" spans="1:15" x14ac:dyDescent="0.25">
      <c r="A167" s="19" t="s">
        <v>119</v>
      </c>
      <c r="C167" s="29">
        <f>-D110-D111</f>
        <v>-33000</v>
      </c>
      <c r="N167" t="s">
        <v>81</v>
      </c>
      <c r="O167" s="29">
        <v>0</v>
      </c>
    </row>
    <row r="168" spans="1:15" x14ac:dyDescent="0.25">
      <c r="A168" s="19" t="s">
        <v>122</v>
      </c>
      <c r="M168" s="29">
        <f>O167*O168</f>
        <v>0</v>
      </c>
      <c r="N168" t="s">
        <v>152</v>
      </c>
      <c r="O168" s="23"/>
    </row>
    <row r="169" spans="1:15" x14ac:dyDescent="0.25">
      <c r="A169" s="12" t="s">
        <v>120</v>
      </c>
      <c r="C169" s="30">
        <f>-D113</f>
        <v>-30599.632690541781</v>
      </c>
      <c r="N169" t="s">
        <v>81</v>
      </c>
      <c r="O169" s="30">
        <f>M113-M116</f>
        <v>15299.816345270894</v>
      </c>
    </row>
    <row r="170" spans="1:15" x14ac:dyDescent="0.25">
      <c r="A170" s="12" t="s">
        <v>123</v>
      </c>
      <c r="M170" s="30">
        <f>O169*O170</f>
        <v>16829.797979797986</v>
      </c>
      <c r="N170" t="s">
        <v>152</v>
      </c>
      <c r="O170" s="23">
        <v>1.1000000000000001</v>
      </c>
    </row>
    <row r="171" spans="1:15" x14ac:dyDescent="0.25">
      <c r="A171" s="12" t="s">
        <v>124</v>
      </c>
      <c r="M171" s="30">
        <f>-((M166-O165)+(M168-O167)+(M170-O169))*D10</f>
        <v>-776.29540863177272</v>
      </c>
    </row>
    <row r="172" spans="1:15" x14ac:dyDescent="0.25">
      <c r="A172" s="12" t="s">
        <v>128</v>
      </c>
      <c r="D172" s="30">
        <f>C165*0.5</f>
        <v>-7875.9999999999991</v>
      </c>
      <c r="M172" s="30"/>
    </row>
    <row r="173" spans="1:15" x14ac:dyDescent="0.25">
      <c r="A173" s="12" t="s">
        <v>153</v>
      </c>
      <c r="D173" s="30">
        <v>-50000</v>
      </c>
      <c r="M173" s="30"/>
    </row>
    <row r="174" spans="1:15" x14ac:dyDescent="0.25">
      <c r="A174" s="12" t="s">
        <v>154</v>
      </c>
      <c r="D174" s="29">
        <f>-(15*$D$55)-(15*$D$56)</f>
        <v>-33000</v>
      </c>
      <c r="M174" s="30"/>
    </row>
    <row r="175" spans="1:15" x14ac:dyDescent="0.25">
      <c r="A175" s="12" t="s">
        <v>175</v>
      </c>
      <c r="C175" s="30">
        <f>SUM(C165:C174)</f>
        <v>-79351.632690541781</v>
      </c>
      <c r="D175" s="30">
        <f t="shared" ref="D175:M175" si="64">SUM(D165:D174)</f>
        <v>-90876</v>
      </c>
      <c r="E175" s="30">
        <f t="shared" si="64"/>
        <v>0</v>
      </c>
      <c r="F175" s="30">
        <f t="shared" si="64"/>
        <v>0</v>
      </c>
      <c r="G175" s="30">
        <f t="shared" si="64"/>
        <v>0</v>
      </c>
      <c r="H175" s="30">
        <f t="shared" si="64"/>
        <v>0</v>
      </c>
      <c r="I175" s="30">
        <f t="shared" si="64"/>
        <v>0</v>
      </c>
      <c r="J175" s="30">
        <f t="shared" si="64"/>
        <v>0</v>
      </c>
      <c r="K175" s="30">
        <f t="shared" si="64"/>
        <v>0</v>
      </c>
      <c r="L175" s="30">
        <f t="shared" si="64"/>
        <v>0</v>
      </c>
      <c r="M175" s="30">
        <f t="shared" si="64"/>
        <v>28130.035904499546</v>
      </c>
    </row>
    <row r="176" spans="1:15" x14ac:dyDescent="0.25">
      <c r="A176" s="10" t="s">
        <v>75</v>
      </c>
    </row>
    <row r="177" spans="1:13" x14ac:dyDescent="0.25">
      <c r="A177" s="12" t="s">
        <v>5</v>
      </c>
      <c r="D177" s="24">
        <f>D109-C109</f>
        <v>0</v>
      </c>
      <c r="E177" s="24">
        <f t="shared" ref="E177:M177" si="65">E109-D109</f>
        <v>0</v>
      </c>
      <c r="F177" s="24">
        <f t="shared" si="65"/>
        <v>0</v>
      </c>
      <c r="G177" s="24">
        <f t="shared" si="65"/>
        <v>0</v>
      </c>
      <c r="H177" s="24">
        <f t="shared" si="65"/>
        <v>0</v>
      </c>
      <c r="I177" s="24">
        <f t="shared" si="65"/>
        <v>0</v>
      </c>
      <c r="J177" s="24">
        <f t="shared" si="65"/>
        <v>0</v>
      </c>
      <c r="K177" s="24">
        <f t="shared" si="65"/>
        <v>0</v>
      </c>
      <c r="L177" s="24">
        <f t="shared" si="65"/>
        <v>0</v>
      </c>
      <c r="M177" s="24">
        <f t="shared" si="65"/>
        <v>0</v>
      </c>
    </row>
    <row r="178" spans="1:13" x14ac:dyDescent="0.25">
      <c r="A178" s="12" t="s">
        <v>108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</row>
    <row r="179" spans="1:13" x14ac:dyDescent="0.25">
      <c r="A179" s="12" t="s">
        <v>109</v>
      </c>
      <c r="D179" s="31">
        <f>D122+D124-C122-C124</f>
        <v>4278.3571428571431</v>
      </c>
      <c r="E179" s="31">
        <f t="shared" ref="E179:M179" si="66">E122+E124-D122-D124</f>
        <v>43.581571428570896</v>
      </c>
      <c r="F179" s="31">
        <f t="shared" si="66"/>
        <v>44.12379064285642</v>
      </c>
      <c r="G179" s="31">
        <f t="shared" si="66"/>
        <v>44.673033421960099</v>
      </c>
      <c r="H179" s="31">
        <f t="shared" si="66"/>
        <v>45.229394102188508</v>
      </c>
      <c r="I179" s="31">
        <f t="shared" si="66"/>
        <v>45.792968325926722</v>
      </c>
      <c r="J179" s="31">
        <f t="shared" si="66"/>
        <v>46.363853060157453</v>
      </c>
      <c r="K179" s="31">
        <f t="shared" si="66"/>
        <v>46.942146615247111</v>
      </c>
      <c r="L179" s="31">
        <f t="shared" si="66"/>
        <v>47.52794866400609</v>
      </c>
      <c r="M179" s="31">
        <f t="shared" si="66"/>
        <v>48.121360261021437</v>
      </c>
    </row>
    <row r="180" spans="1:13" x14ac:dyDescent="0.25">
      <c r="A180" s="12" t="s">
        <v>10</v>
      </c>
      <c r="D180" s="31">
        <f>D158-C158</f>
        <v>4704.1004247015608</v>
      </c>
      <c r="E180" s="31">
        <f t="shared" ref="E180:M180" si="67">E158-D158</f>
        <v>64.403625000002648</v>
      </c>
      <c r="F180" s="31">
        <f t="shared" si="67"/>
        <v>64.477642500001821</v>
      </c>
      <c r="G180" s="31">
        <f t="shared" si="67"/>
        <v>64.543821392806421</v>
      </c>
      <c r="H180" s="31">
        <f t="shared" si="67"/>
        <v>64.601954181693145</v>
      </c>
      <c r="I180" s="31">
        <f t="shared" si="67"/>
        <v>64.651829351816559</v>
      </c>
      <c r="J180" s="31">
        <f t="shared" si="67"/>
        <v>64.693231300851039</v>
      </c>
      <c r="K180" s="31">
        <f t="shared" si="67"/>
        <v>64.725940268384875</v>
      </c>
      <c r="L180" s="31">
        <f t="shared" si="67"/>
        <v>64.749732264244813</v>
      </c>
      <c r="M180" s="31">
        <f t="shared" si="67"/>
        <v>64.764378995598236</v>
      </c>
    </row>
    <row r="181" spans="1:13" x14ac:dyDescent="0.25">
      <c r="A181" s="12" t="s">
        <v>175</v>
      </c>
      <c r="C181">
        <f>SUM(C177:C180)</f>
        <v>0</v>
      </c>
      <c r="D181">
        <f t="shared" ref="D181:M181" si="68">SUM(D177:D180)</f>
        <v>8982.4575675587039</v>
      </c>
      <c r="E181">
        <f t="shared" si="68"/>
        <v>107.98519642857354</v>
      </c>
      <c r="F181">
        <f t="shared" si="68"/>
        <v>108.60143314285824</v>
      </c>
      <c r="G181">
        <f t="shared" si="68"/>
        <v>109.21685481476652</v>
      </c>
      <c r="H181">
        <f t="shared" si="68"/>
        <v>109.83134828388165</v>
      </c>
      <c r="I181">
        <f t="shared" si="68"/>
        <v>110.44479767774328</v>
      </c>
      <c r="J181">
        <f t="shared" si="68"/>
        <v>111.05708436100849</v>
      </c>
      <c r="K181">
        <f t="shared" si="68"/>
        <v>111.66808688363199</v>
      </c>
      <c r="L181">
        <f t="shared" si="68"/>
        <v>112.2776809282509</v>
      </c>
      <c r="M181">
        <f t="shared" si="68"/>
        <v>112.88573925661967</v>
      </c>
    </row>
    <row r="182" spans="1:13" x14ac:dyDescent="0.25">
      <c r="A182" s="10" t="s">
        <v>76</v>
      </c>
    </row>
    <row r="183" spans="1:13" x14ac:dyDescent="0.25">
      <c r="A183" s="12" t="s">
        <v>5</v>
      </c>
      <c r="M183" s="24">
        <f>M109</f>
        <v>0</v>
      </c>
    </row>
    <row r="184" spans="1:13" x14ac:dyDescent="0.25">
      <c r="A184" s="12" t="s">
        <v>108</v>
      </c>
      <c r="M184">
        <v>0</v>
      </c>
    </row>
    <row r="185" spans="1:13" x14ac:dyDescent="0.25">
      <c r="A185" s="12" t="s">
        <v>109</v>
      </c>
      <c r="M185" s="31">
        <f>-(M122+M124)</f>
        <v>-4690.7132093790797</v>
      </c>
    </row>
    <row r="186" spans="1:13" x14ac:dyDescent="0.25">
      <c r="A186" s="12" t="s">
        <v>10</v>
      </c>
      <c r="M186" s="31">
        <f>-M102</f>
        <v>-86.006814894833951</v>
      </c>
    </row>
    <row r="187" spans="1:13" x14ac:dyDescent="0.25">
      <c r="A187" s="12" t="s">
        <v>175</v>
      </c>
      <c r="M187" s="24">
        <f>SUM(M183:M186)</f>
        <v>-4776.7200242739136</v>
      </c>
    </row>
    <row r="188" spans="1:13" x14ac:dyDescent="0.25">
      <c r="A188" s="11" t="s">
        <v>77</v>
      </c>
      <c r="C188" s="25">
        <f>SUM(C161:C174)+SUM(C177:C180)+SUM(C183:C186)</f>
        <v>-79351.632690541781</v>
      </c>
      <c r="D188" s="25">
        <f t="shared" ref="D188:M188" si="69">SUM(D161:D174)+SUM(D177:D180)+SUM(D183:D186)</f>
        <v>-59126.192857142865</v>
      </c>
      <c r="E188" s="25">
        <f t="shared" si="69"/>
        <v>23068.54564672702</v>
      </c>
      <c r="F188" s="25">
        <f t="shared" si="69"/>
        <v>23262.594810941311</v>
      </c>
      <c r="G188" s="25">
        <f t="shared" si="69"/>
        <v>23456.841696791638</v>
      </c>
      <c r="H188" s="25">
        <f t="shared" si="69"/>
        <v>23651.262052805832</v>
      </c>
      <c r="I188" s="25">
        <f t="shared" si="69"/>
        <v>23845.830990255145</v>
      </c>
      <c r="J188" s="25">
        <f t="shared" si="69"/>
        <v>24040.522970840961</v>
      </c>
      <c r="K188" s="25">
        <f t="shared" si="69"/>
        <v>24235.311794168738</v>
      </c>
      <c r="L188" s="25">
        <f t="shared" si="69"/>
        <v>24430.170585006093</v>
      </c>
      <c r="M188" s="25">
        <f t="shared" si="69"/>
        <v>47978.38766054689</v>
      </c>
    </row>
    <row r="189" spans="1:13" x14ac:dyDescent="0.25">
      <c r="A189" s="11" t="s">
        <v>78</v>
      </c>
      <c r="C189" s="30">
        <f>-PV($D$150,C154,,C188)</f>
        <v>-79351.632690541781</v>
      </c>
      <c r="D189" s="30">
        <f t="shared" ref="D189:M189" si="70">-PV($D$150,D154,,D188)</f>
        <v>-54147.01426184069</v>
      </c>
      <c r="E189" s="30">
        <f t="shared" si="70"/>
        <v>19346.812031901929</v>
      </c>
      <c r="F189" s="30">
        <f t="shared" si="70"/>
        <v>17866.601521835153</v>
      </c>
      <c r="G189" s="30">
        <f t="shared" si="70"/>
        <v>16498.631805155583</v>
      </c>
      <c r="H189" s="30">
        <f t="shared" si="70"/>
        <v>15234.468675339269</v>
      </c>
      <c r="I189" s="30">
        <f t="shared" si="70"/>
        <v>14066.305714840862</v>
      </c>
      <c r="J189" s="30">
        <f t="shared" si="70"/>
        <v>12986.918045935388</v>
      </c>
      <c r="K189" s="30">
        <f t="shared" si="70"/>
        <v>11989.619449403201</v>
      </c>
      <c r="L189" s="30">
        <f t="shared" si="70"/>
        <v>11068.222609115644</v>
      </c>
      <c r="M189" s="30">
        <f t="shared" si="70"/>
        <v>19906.349894954834</v>
      </c>
    </row>
    <row r="191" spans="1:13" x14ac:dyDescent="0.25">
      <c r="A191" s="11" t="s">
        <v>79</v>
      </c>
      <c r="C191" s="30">
        <f>SUM(C189:M189)</f>
        <v>5465.2827960994109</v>
      </c>
    </row>
    <row r="192" spans="1:13" x14ac:dyDescent="0.25">
      <c r="A192" s="11" t="s">
        <v>80</v>
      </c>
      <c r="C192" s="37">
        <f>IRR(C188:M188)</f>
        <v>0.10016748802625264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2" workbookViewId="0">
      <selection activeCell="P7" activeCellId="1" sqref="P7"/>
    </sheetView>
  </sheetViews>
  <sheetFormatPr defaultRowHeight="15" x14ac:dyDescent="0.25"/>
  <cols>
    <col min="1" max="1" width="28.42578125" bestFit="1" customWidth="1"/>
    <col min="2" max="2" width="10" bestFit="1" customWidth="1"/>
    <col min="3" max="3" width="9.7109375" bestFit="1" customWidth="1"/>
    <col min="4" max="6" width="9" bestFit="1" customWidth="1"/>
    <col min="7" max="7" width="10.7109375" bestFit="1" customWidth="1"/>
    <col min="8" max="11" width="9" bestFit="1" customWidth="1"/>
    <col min="12" max="12" width="9.7109375" bestFit="1" customWidth="1"/>
    <col min="16" max="16" width="12.28515625" bestFit="1" customWidth="1"/>
  </cols>
  <sheetData>
    <row r="1" spans="1:16" x14ac:dyDescent="0.25">
      <c r="A1" t="s">
        <v>170</v>
      </c>
      <c r="B1" s="37">
        <f>'Pro Forma Good'!D150</f>
        <v>0.14132343596327507</v>
      </c>
      <c r="N1" t="s">
        <v>177</v>
      </c>
      <c r="P1" t="s">
        <v>181</v>
      </c>
    </row>
    <row r="2" spans="1:16" x14ac:dyDescent="0.25"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N2" t="s">
        <v>178</v>
      </c>
      <c r="O2" s="23">
        <v>0.25</v>
      </c>
      <c r="P2" s="31">
        <f>B18*O2</f>
        <v>35338.732397106149</v>
      </c>
    </row>
    <row r="3" spans="1:16" x14ac:dyDescent="0.25">
      <c r="A3" s="39" t="s">
        <v>155</v>
      </c>
      <c r="N3" t="s">
        <v>179</v>
      </c>
      <c r="O3" s="23">
        <v>0.5</v>
      </c>
      <c r="P3" s="31">
        <f>B29*O3</f>
        <v>63.31109623798875</v>
      </c>
    </row>
    <row r="4" spans="1:16" x14ac:dyDescent="0.25">
      <c r="A4" t="s">
        <v>156</v>
      </c>
      <c r="B4" s="24">
        <f>'Pro Forma Good'!C161</f>
        <v>0</v>
      </c>
      <c r="C4" s="24">
        <f>'Pro Forma Good'!D161</f>
        <v>62625.424575298421</v>
      </c>
      <c r="D4" s="24">
        <f>'Pro Forma Good'!E161</f>
        <v>63217.216200298433</v>
      </c>
      <c r="E4" s="24">
        <f>'Pro Forma Good'!F161</f>
        <v>63813.215685298455</v>
      </c>
      <c r="F4" s="24">
        <f>'Pro Forma Good'!G161</f>
        <v>64413.439372551882</v>
      </c>
      <c r="G4" s="24">
        <f>'Pro Forma Good'!H161</f>
        <v>65017.90338040272</v>
      </c>
      <c r="H4" s="24">
        <f>'Pro Forma Good'!I161</f>
        <v>65626.623595216995</v>
      </c>
      <c r="I4" s="24">
        <f>'Pro Forma Good'!J161</f>
        <v>66239.615663145902</v>
      </c>
      <c r="J4" s="24">
        <f>'Pro Forma Good'!K161</f>
        <v>66856.894981717749</v>
      </c>
      <c r="K4" s="24">
        <f>'Pro Forma Good'!L161</f>
        <v>67478.476691254793</v>
      </c>
      <c r="L4" s="24">
        <f>'Pro Forma Good'!M161</f>
        <v>68104.375666113367</v>
      </c>
      <c r="N4" t="s">
        <v>180</v>
      </c>
      <c r="O4" s="23">
        <v>0.25</v>
      </c>
      <c r="P4" s="31">
        <f>B41*O4</f>
        <v>1366.3206990248527</v>
      </c>
    </row>
    <row r="5" spans="1:16" x14ac:dyDescent="0.25">
      <c r="A5" s="40" t="s">
        <v>157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6" x14ac:dyDescent="0.25">
      <c r="A6" s="40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6" x14ac:dyDescent="0.25">
      <c r="A7" t="s">
        <v>158</v>
      </c>
      <c r="B7" s="24">
        <f>'Pro Forma Good'!C176</f>
        <v>-79351.632690541781</v>
      </c>
      <c r="C7" s="24">
        <f>'Pro Forma Good'!D176</f>
        <v>-90876</v>
      </c>
      <c r="D7" s="24">
        <f>'Pro Forma Good'!E176</f>
        <v>0</v>
      </c>
      <c r="E7" s="24">
        <f>'Pro Forma Good'!F176</f>
        <v>0</v>
      </c>
      <c r="F7" s="24">
        <f>'Pro Forma Good'!G176</f>
        <v>0</v>
      </c>
      <c r="G7" s="24">
        <f>'Pro Forma Good'!H176</f>
        <v>-115000</v>
      </c>
      <c r="H7" s="24">
        <f>'Pro Forma Good'!I176</f>
        <v>0</v>
      </c>
      <c r="I7" s="24">
        <f>'Pro Forma Good'!J176</f>
        <v>0</v>
      </c>
      <c r="J7" s="24">
        <f>'Pro Forma Good'!K176</f>
        <v>0</v>
      </c>
      <c r="K7" s="24">
        <f>'Pro Forma Good'!L176</f>
        <v>0</v>
      </c>
      <c r="L7" s="24">
        <f>'Pro Forma Good'!M176</f>
        <v>28130.035904499546</v>
      </c>
      <c r="N7" t="s">
        <v>182</v>
      </c>
      <c r="P7" s="31">
        <f>SUM(P2:P4)</f>
        <v>36768.364192368987</v>
      </c>
    </row>
    <row r="8" spans="1:16" x14ac:dyDescent="0.25">
      <c r="A8" s="40" t="s">
        <v>157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6" x14ac:dyDescent="0.25">
      <c r="A9" s="40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6" x14ac:dyDescent="0.25">
      <c r="A10" t="s">
        <v>159</v>
      </c>
      <c r="B10" s="24"/>
      <c r="C10" s="25">
        <f>'Pro Forma Good'!D184</f>
        <v>23955.596853272986</v>
      </c>
      <c r="D10" s="25">
        <f>'Pro Forma Good'!E184</f>
        <v>257.71658928571742</v>
      </c>
      <c r="E10" s="25">
        <f>'Pro Forma Good'!F184</f>
        <v>259.83013992857741</v>
      </c>
      <c r="F10" s="25">
        <f>'Pro Forma Good'!G184</f>
        <v>261.95784866833992</v>
      </c>
      <c r="G10" s="25">
        <f>'Pro Forma Good'!H184</f>
        <v>264.09975207599473</v>
      </c>
      <c r="H10" s="25">
        <f>'Pro Forma Good'!I184</f>
        <v>266.2558855077732</v>
      </c>
      <c r="I10" s="25">
        <f>'Pro Forma Good'!J184</f>
        <v>268.42628306932329</v>
      </c>
      <c r="J10" s="25">
        <f>'Pro Forma Good'!K184</f>
        <v>270.61097757905327</v>
      </c>
      <c r="K10" s="25">
        <f>'Pro Forma Good'!L184</f>
        <v>272.81000053061325</v>
      </c>
      <c r="L10" s="25">
        <f>'Pro Forma Good'!M184</f>
        <v>275.02338205501246</v>
      </c>
    </row>
    <row r="11" spans="1:16" x14ac:dyDescent="0.25">
      <c r="A11" s="40" t="s">
        <v>157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6" x14ac:dyDescent="0.25">
      <c r="A12" s="40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6" x14ac:dyDescent="0.25">
      <c r="A13" t="s">
        <v>160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>
        <f>'Pro Forma Good'!M190</f>
        <v>-21152.621946911269</v>
      </c>
    </row>
    <row r="14" spans="1:16" x14ac:dyDescent="0.25">
      <c r="A14" s="40" t="s">
        <v>157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6" x14ac:dyDescent="0.25">
      <c r="A15" s="40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6" x14ac:dyDescent="0.25">
      <c r="A16" t="s">
        <v>161</v>
      </c>
      <c r="B16" s="25">
        <f>SUM(B4:B15)</f>
        <v>-79351.632690541781</v>
      </c>
      <c r="C16" s="25">
        <f t="shared" ref="C16:L16" si="0">SUM(C4:C15)</f>
        <v>-4294.9785714285936</v>
      </c>
      <c r="D16" s="25">
        <f t="shared" si="0"/>
        <v>63474.932789584149</v>
      </c>
      <c r="E16" s="25">
        <f t="shared" si="0"/>
        <v>64073.045825227033</v>
      </c>
      <c r="F16" s="25">
        <f t="shared" si="0"/>
        <v>64675.397221220221</v>
      </c>
      <c r="G16" s="25">
        <f t="shared" si="0"/>
        <v>-49717.996867521288</v>
      </c>
      <c r="H16" s="25">
        <f t="shared" si="0"/>
        <v>65892.879480724776</v>
      </c>
      <c r="I16" s="25">
        <f t="shared" si="0"/>
        <v>66508.04194621522</v>
      </c>
      <c r="J16" s="25">
        <f t="shared" si="0"/>
        <v>67127.505959296803</v>
      </c>
      <c r="K16" s="25">
        <f t="shared" si="0"/>
        <v>67751.286691785412</v>
      </c>
      <c r="L16" s="25">
        <f t="shared" si="0"/>
        <v>75356.813005756645</v>
      </c>
    </row>
    <row r="17" spans="1:12" x14ac:dyDescent="0.25">
      <c r="A17" t="s">
        <v>162</v>
      </c>
      <c r="B17" s="24">
        <f>-PV($B$1,B2,,B16)</f>
        <v>-79351.632690541781</v>
      </c>
      <c r="C17" s="24">
        <f t="shared" ref="C17:L17" si="1">-PV($B$1,C2,,C16)</f>
        <v>-3763.1563815244349</v>
      </c>
      <c r="D17" s="24">
        <f t="shared" si="1"/>
        <v>48728.694845871105</v>
      </c>
      <c r="E17" s="24">
        <f t="shared" si="1"/>
        <v>43097.210787415184</v>
      </c>
      <c r="F17" s="24">
        <f t="shared" si="1"/>
        <v>38115.723169126941</v>
      </c>
      <c r="G17" s="24">
        <f t="shared" si="1"/>
        <v>-25672.605473463969</v>
      </c>
      <c r="H17" s="24">
        <f t="shared" si="1"/>
        <v>29811.654224749749</v>
      </c>
      <c r="I17" s="24">
        <f t="shared" si="1"/>
        <v>26364.103979643962</v>
      </c>
      <c r="J17" s="24">
        <f t="shared" si="1"/>
        <v>23314.742885876869</v>
      </c>
      <c r="K17" s="24">
        <f t="shared" si="1"/>
        <v>20617.63898924255</v>
      </c>
      <c r="L17" s="24">
        <f t="shared" si="1"/>
        <v>20092.555252028411</v>
      </c>
    </row>
    <row r="18" spans="1:12" x14ac:dyDescent="0.25">
      <c r="A18" t="s">
        <v>163</v>
      </c>
      <c r="B18" s="24">
        <f>SUM(B17:L17)</f>
        <v>141354.92958842459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25">
      <c r="A19" t="s">
        <v>164</v>
      </c>
      <c r="B19" s="22">
        <f>IRR(B16:L16)</f>
        <v>0.4279026248297404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t="s">
        <v>171</v>
      </c>
      <c r="B21" s="22">
        <f>'Pro Forma Normal'!D150</f>
        <v>0.12626156214584131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5">
      <c r="A22" s="39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t="s">
        <v>156</v>
      </c>
      <c r="B23" s="24">
        <f>'Pro Forma Normal'!C161</f>
        <v>0</v>
      </c>
      <c r="C23" s="24">
        <f>'Pro Forma Normal'!D161</f>
        <v>36053.374575298454</v>
      </c>
      <c r="D23" s="24">
        <f>'Pro Forma Normal'!E161</f>
        <v>36379.445700298449</v>
      </c>
      <c r="E23" s="24">
        <f>'Pro Forma Normal'!F161</f>
        <v>36707.067480298436</v>
      </c>
      <c r="F23" s="24">
        <f>'Pro Forma Normal'!G161</f>
        <v>37036.229685501879</v>
      </c>
      <c r="G23" s="24">
        <f>'Pro Forma Normal'!H161</f>
        <v>37366.921596482192</v>
      </c>
      <c r="H23" s="24">
        <f>'Pro Forma Normal'!I161</f>
        <v>37699.131993457282</v>
      </c>
      <c r="I23" s="24">
        <f>'Pro Forma Normal'!J161</f>
        <v>38032.849145368607</v>
      </c>
      <c r="J23" s="24">
        <f>'Pro Forma Normal'!K161</f>
        <v>38368.06079876265</v>
      </c>
      <c r="K23" s="24">
        <f>'Pro Forma Normal'!L161</f>
        <v>38704.754166470171</v>
      </c>
      <c r="L23" s="24">
        <f>'Pro Forma Normal'!M161</f>
        <v>39042.915916080878</v>
      </c>
    </row>
    <row r="24" spans="1:12" x14ac:dyDescent="0.25">
      <c r="A24" t="s">
        <v>158</v>
      </c>
      <c r="B24" s="24">
        <f>'Pro Forma Normal'!C176</f>
        <v>-79351.632690541781</v>
      </c>
      <c r="C24" s="24">
        <f>'Pro Forma Normal'!D176</f>
        <v>-90876</v>
      </c>
      <c r="D24" s="24">
        <f>'Pro Forma Normal'!E176</f>
        <v>0</v>
      </c>
      <c r="E24" s="24">
        <f>'Pro Forma Normal'!F176</f>
        <v>0</v>
      </c>
      <c r="F24" s="24">
        <f>'Pro Forma Normal'!G176</f>
        <v>0</v>
      </c>
      <c r="G24" s="24">
        <f>'Pro Forma Normal'!H176</f>
        <v>-115000</v>
      </c>
      <c r="H24" s="24">
        <f>'Pro Forma Normal'!I176</f>
        <v>0</v>
      </c>
      <c r="I24" s="24">
        <f>'Pro Forma Normal'!J176</f>
        <v>0</v>
      </c>
      <c r="J24" s="24">
        <f>'Pro Forma Normal'!K176</f>
        <v>0</v>
      </c>
      <c r="K24" s="24">
        <f>'Pro Forma Normal'!L176</f>
        <v>0</v>
      </c>
      <c r="L24" s="24">
        <f>'Pro Forma Normal'!M176</f>
        <v>28130.035904499546</v>
      </c>
    </row>
    <row r="25" spans="1:12" x14ac:dyDescent="0.25">
      <c r="A25" t="s">
        <v>159</v>
      </c>
      <c r="B25" s="24">
        <f>'Pro Forma Normal'!C182</f>
        <v>0</v>
      </c>
      <c r="C25" s="24">
        <f>'Pro Forma Normal'!D182</f>
        <v>13973.503996130139</v>
      </c>
      <c r="D25" s="24">
        <f>'Pro Forma Normal'!E182</f>
        <v>157.89566071428362</v>
      </c>
      <c r="E25" s="24">
        <f>'Pro Forma Normal'!F182</f>
        <v>159.01100207142463</v>
      </c>
      <c r="F25" s="24">
        <f>'Pro Forma Normal'!G182</f>
        <v>160.1305194326319</v>
      </c>
      <c r="G25" s="24">
        <f>'Pro Forma Normal'!H182</f>
        <v>161.25414954791177</v>
      </c>
      <c r="H25" s="24">
        <f>'Pro Forma Normal'!I182</f>
        <v>162.38182695443402</v>
      </c>
      <c r="I25" s="24">
        <f>'Pro Forma Normal'!J182</f>
        <v>163.51348393044145</v>
      </c>
      <c r="J25" s="24">
        <f>'Pro Forma Normal'!K182</f>
        <v>164.64905044876969</v>
      </c>
      <c r="K25" s="24">
        <f>'Pro Forma Normal'!L182</f>
        <v>165.78845412904366</v>
      </c>
      <c r="L25" s="24">
        <f>'Pro Forma Normal'!M182</f>
        <v>166.93162018941211</v>
      </c>
    </row>
    <row r="26" spans="1:12" x14ac:dyDescent="0.25">
      <c r="A26" t="s">
        <v>160</v>
      </c>
      <c r="B26" s="24">
        <f>'Pro Forma Normal'!C188</f>
        <v>0</v>
      </c>
      <c r="C26" s="24">
        <f>'Pro Forma Normal'!D188</f>
        <v>0</v>
      </c>
      <c r="D26" s="24">
        <f>'Pro Forma Normal'!E188</f>
        <v>0</v>
      </c>
      <c r="E26" s="24">
        <f>'Pro Forma Normal'!F188</f>
        <v>0</v>
      </c>
      <c r="F26" s="24">
        <f>'Pro Forma Normal'!G188</f>
        <v>0</v>
      </c>
      <c r="G26" s="24">
        <f>'Pro Forma Normal'!H188</f>
        <v>0</v>
      </c>
      <c r="H26" s="24">
        <f>'Pro Forma Normal'!I188</f>
        <v>0</v>
      </c>
      <c r="I26" s="24">
        <f>'Pro Forma Normal'!J188</f>
        <v>0</v>
      </c>
      <c r="J26" s="24">
        <f>'Pro Forma Normal'!K188</f>
        <v>0</v>
      </c>
      <c r="K26" s="24">
        <f>'Pro Forma Normal'!L188</f>
        <v>0</v>
      </c>
      <c r="L26" s="24">
        <f>'Pro Forma Normal'!M188</f>
        <v>-10235.353998486364</v>
      </c>
    </row>
    <row r="27" spans="1:12" x14ac:dyDescent="0.25">
      <c r="A27" t="s">
        <v>174</v>
      </c>
      <c r="B27" s="24">
        <f>SUM(B23:B26)</f>
        <v>-79351.632690541781</v>
      </c>
      <c r="C27" s="24">
        <f t="shared" ref="C27:L27" si="2">SUM(C23:C26)</f>
        <v>-40849.121428571409</v>
      </c>
      <c r="D27" s="24">
        <f t="shared" si="2"/>
        <v>36537.341361012732</v>
      </c>
      <c r="E27" s="24">
        <f t="shared" si="2"/>
        <v>36866.078482369863</v>
      </c>
      <c r="F27" s="24">
        <f t="shared" si="2"/>
        <v>37196.360204934514</v>
      </c>
      <c r="G27" s="24">
        <f t="shared" si="2"/>
        <v>-77471.824253969899</v>
      </c>
      <c r="H27" s="24">
        <f t="shared" si="2"/>
        <v>37861.513820411717</v>
      </c>
      <c r="I27" s="24">
        <f t="shared" si="2"/>
        <v>38196.362629299052</v>
      </c>
      <c r="J27" s="24">
        <f t="shared" si="2"/>
        <v>38532.709849211416</v>
      </c>
      <c r="K27" s="24">
        <f t="shared" si="2"/>
        <v>38870.542620599212</v>
      </c>
      <c r="L27" s="24">
        <f t="shared" si="2"/>
        <v>57104.52944228347</v>
      </c>
    </row>
    <row r="28" spans="1:12" x14ac:dyDescent="0.25">
      <c r="A28" t="s">
        <v>162</v>
      </c>
      <c r="B28" s="24">
        <f>-PV($B$21,B2,,B27)</f>
        <v>-79351.632690541781</v>
      </c>
      <c r="C28" s="24">
        <f t="shared" ref="C28:L28" si="3">-PV($B$21,C2,,C27)</f>
        <v>-36269.657778911031</v>
      </c>
      <c r="D28" s="24">
        <f t="shared" si="3"/>
        <v>28804.372447937109</v>
      </c>
      <c r="E28" s="24">
        <f t="shared" si="3"/>
        <v>25805.3144743989</v>
      </c>
      <c r="F28" s="24">
        <f t="shared" si="3"/>
        <v>23117.63459725523</v>
      </c>
      <c r="G28" s="24">
        <f t="shared" si="3"/>
        <v>-42751.117377347029</v>
      </c>
      <c r="H28" s="24">
        <f t="shared" si="3"/>
        <v>18550.789596736518</v>
      </c>
      <c r="I28" s="24">
        <f t="shared" si="3"/>
        <v>16616.79150155832</v>
      </c>
      <c r="J28" s="24">
        <f t="shared" si="3"/>
        <v>14883.855760144446</v>
      </c>
      <c r="K28" s="24">
        <f t="shared" si="3"/>
        <v>13331.138523423129</v>
      </c>
      <c r="L28" s="24">
        <f t="shared" si="3"/>
        <v>17389.133137822177</v>
      </c>
    </row>
    <row r="29" spans="1:12" x14ac:dyDescent="0.25">
      <c r="A29" t="s">
        <v>163</v>
      </c>
      <c r="B29" s="24">
        <f>SUM(B28:L28)</f>
        <v>126.6221924759775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t="s">
        <v>164</v>
      </c>
      <c r="B30" s="22">
        <f>IRR(B27:L27)</f>
        <v>0.12649251920442972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t="s">
        <v>172</v>
      </c>
      <c r="B33" s="22">
        <f>'Pro Forma Bad'!D150</f>
        <v>9.1956660273531915E-2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A34" s="39" t="s">
        <v>166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t="s">
        <v>156</v>
      </c>
      <c r="B35" s="24">
        <f>'Pro Forma Bad'!C161</f>
        <v>0</v>
      </c>
      <c r="C35" s="24">
        <f>'Pro Forma Bad'!D161</f>
        <v>22767.349575298438</v>
      </c>
      <c r="D35" s="24">
        <f>'Pro Forma Bad'!E161</f>
        <v>22960.560450298446</v>
      </c>
      <c r="E35" s="24">
        <f>'Pro Forma Bad'!F161</f>
        <v>23153.993377798452</v>
      </c>
      <c r="F35" s="24">
        <f>'Pro Forma Bad'!G161</f>
        <v>23347.624841976871</v>
      </c>
      <c r="G35" s="24">
        <f>'Pro Forma Bad'!H161</f>
        <v>23541.43070452195</v>
      </c>
      <c r="H35" s="24">
        <f>'Pro Forma Bad'!I161</f>
        <v>23735.3861925774</v>
      </c>
      <c r="I35" s="24">
        <f>'Pro Forma Bad'!J161</f>
        <v>23929.465886479953</v>
      </c>
      <c r="J35" s="24">
        <f>'Pro Forma Bad'!K161</f>
        <v>24123.643707285108</v>
      </c>
      <c r="K35" s="24">
        <f>'Pro Forma Bad'!L161</f>
        <v>24317.892904077842</v>
      </c>
      <c r="L35" s="24">
        <f>'Pro Forma Bad'!M161</f>
        <v>24512.186041064637</v>
      </c>
    </row>
    <row r="36" spans="1:12" x14ac:dyDescent="0.25">
      <c r="A36" t="s">
        <v>158</v>
      </c>
      <c r="B36" s="24">
        <f>'Pro Forma Bad'!C175</f>
        <v>-79351.632690541781</v>
      </c>
      <c r="C36" s="24">
        <f>'Pro Forma Bad'!D175</f>
        <v>-90876</v>
      </c>
      <c r="D36" s="24">
        <f>'Pro Forma Bad'!E175</f>
        <v>0</v>
      </c>
      <c r="E36" s="24">
        <f>'Pro Forma Bad'!F175</f>
        <v>0</v>
      </c>
      <c r="F36" s="24">
        <f>'Pro Forma Bad'!G175</f>
        <v>0</v>
      </c>
      <c r="G36" s="24">
        <f>'Pro Forma Bad'!H175</f>
        <v>0</v>
      </c>
      <c r="H36" s="24">
        <f>'Pro Forma Bad'!I175</f>
        <v>0</v>
      </c>
      <c r="I36" s="24">
        <f>'Pro Forma Bad'!J175</f>
        <v>0</v>
      </c>
      <c r="J36" s="24">
        <f>'Pro Forma Bad'!K175</f>
        <v>0</v>
      </c>
      <c r="K36" s="24">
        <f>'Pro Forma Bad'!L175</f>
        <v>0</v>
      </c>
      <c r="L36" s="24">
        <f>'Pro Forma Bad'!M175</f>
        <v>28130.035904499546</v>
      </c>
    </row>
    <row r="37" spans="1:12" x14ac:dyDescent="0.25">
      <c r="A37" t="s">
        <v>159</v>
      </c>
      <c r="B37" s="24">
        <f>'Pro Forma Bad'!C181</f>
        <v>0</v>
      </c>
      <c r="C37" s="24">
        <f>'Pro Forma Bad'!D181</f>
        <v>8982.4575675587039</v>
      </c>
      <c r="D37" s="24">
        <f>'Pro Forma Bad'!E181</f>
        <v>107.98519642857354</v>
      </c>
      <c r="E37" s="24">
        <f>'Pro Forma Bad'!F181</f>
        <v>108.60143314285824</v>
      </c>
      <c r="F37" s="24">
        <f>'Pro Forma Bad'!G181</f>
        <v>109.21685481476652</v>
      </c>
      <c r="G37" s="24">
        <f>'Pro Forma Bad'!H181</f>
        <v>109.83134828388165</v>
      </c>
      <c r="H37" s="24">
        <f>'Pro Forma Bad'!I181</f>
        <v>110.44479767774328</v>
      </c>
      <c r="I37" s="24">
        <f>'Pro Forma Bad'!J181</f>
        <v>111.05708436100849</v>
      </c>
      <c r="J37" s="24">
        <f>'Pro Forma Bad'!K181</f>
        <v>111.66808688363199</v>
      </c>
      <c r="K37" s="24">
        <f>'Pro Forma Bad'!L181</f>
        <v>112.2776809282509</v>
      </c>
      <c r="L37" s="24">
        <f>'Pro Forma Bad'!M181</f>
        <v>112.88573925661967</v>
      </c>
    </row>
    <row r="38" spans="1:12" x14ac:dyDescent="0.25">
      <c r="A38" t="s">
        <v>160</v>
      </c>
      <c r="B38" s="24">
        <f>'Pro Forma Bad'!C187</f>
        <v>0</v>
      </c>
      <c r="C38" s="24">
        <f>'Pro Forma Bad'!D187</f>
        <v>0</v>
      </c>
      <c r="D38" s="24">
        <f>'Pro Forma Bad'!E187</f>
        <v>0</v>
      </c>
      <c r="E38" s="24">
        <f>'Pro Forma Bad'!F187</f>
        <v>0</v>
      </c>
      <c r="F38" s="24">
        <f>'Pro Forma Bad'!G187</f>
        <v>0</v>
      </c>
      <c r="G38" s="24">
        <f>'Pro Forma Bad'!H187</f>
        <v>0</v>
      </c>
      <c r="H38" s="24">
        <f>'Pro Forma Bad'!I187</f>
        <v>0</v>
      </c>
      <c r="I38" s="24">
        <f>'Pro Forma Bad'!J187</f>
        <v>0</v>
      </c>
      <c r="J38" s="24">
        <f>'Pro Forma Bad'!K187</f>
        <v>0</v>
      </c>
      <c r="K38" s="24">
        <f>'Pro Forma Bad'!L187</f>
        <v>0</v>
      </c>
      <c r="L38" s="24">
        <f>'Pro Forma Bad'!M187</f>
        <v>-4776.7200242739136</v>
      </c>
    </row>
    <row r="39" spans="1:12" x14ac:dyDescent="0.25">
      <c r="A39" t="s">
        <v>176</v>
      </c>
      <c r="B39" s="24">
        <f>SUM(B35:B38)</f>
        <v>-79351.632690541781</v>
      </c>
      <c r="C39" s="24">
        <f t="shared" ref="C39:L39" si="4">SUM(C35:C38)</f>
        <v>-59126.192857142865</v>
      </c>
      <c r="D39" s="24">
        <f t="shared" si="4"/>
        <v>23068.54564672702</v>
      </c>
      <c r="E39" s="24">
        <f t="shared" si="4"/>
        <v>23262.594810941311</v>
      </c>
      <c r="F39" s="24">
        <f t="shared" si="4"/>
        <v>23456.841696791638</v>
      </c>
      <c r="G39" s="24">
        <f t="shared" si="4"/>
        <v>23651.262052805832</v>
      </c>
      <c r="H39" s="24">
        <f t="shared" si="4"/>
        <v>23845.830990255145</v>
      </c>
      <c r="I39" s="24">
        <f t="shared" si="4"/>
        <v>24040.522970840961</v>
      </c>
      <c r="J39" s="24">
        <f t="shared" si="4"/>
        <v>24235.311794168738</v>
      </c>
      <c r="K39" s="24">
        <f t="shared" si="4"/>
        <v>24430.170585006093</v>
      </c>
      <c r="L39" s="24">
        <f t="shared" si="4"/>
        <v>47978.38766054689</v>
      </c>
    </row>
    <row r="40" spans="1:12" x14ac:dyDescent="0.25">
      <c r="A40" t="s">
        <v>162</v>
      </c>
      <c r="B40" s="24">
        <f>-PV($B$33,B2,,B39)</f>
        <v>-79351.632690541781</v>
      </c>
      <c r="C40" s="24">
        <f t="shared" ref="C40:L40" si="5">-PV($B$33,C2,,C39)</f>
        <v>-54147.01426184069</v>
      </c>
      <c r="D40" s="24">
        <f t="shared" si="5"/>
        <v>19346.812031901929</v>
      </c>
      <c r="E40" s="24">
        <f t="shared" si="5"/>
        <v>17866.601521835153</v>
      </c>
      <c r="F40" s="24">
        <f t="shared" si="5"/>
        <v>16498.631805155583</v>
      </c>
      <c r="G40" s="24">
        <f t="shared" si="5"/>
        <v>15234.468675339269</v>
      </c>
      <c r="H40" s="24">
        <f t="shared" si="5"/>
        <v>14066.305714840862</v>
      </c>
      <c r="I40" s="24">
        <f t="shared" si="5"/>
        <v>12986.918045935388</v>
      </c>
      <c r="J40" s="24">
        <f t="shared" si="5"/>
        <v>11989.619449403201</v>
      </c>
      <c r="K40" s="24">
        <f t="shared" si="5"/>
        <v>11068.222609115644</v>
      </c>
      <c r="L40" s="24">
        <f t="shared" si="5"/>
        <v>19906.349894954834</v>
      </c>
    </row>
    <row r="41" spans="1:12" x14ac:dyDescent="0.25">
      <c r="A41" t="s">
        <v>163</v>
      </c>
      <c r="B41" s="24">
        <f>SUM(B40:L40)</f>
        <v>5465.2827960994109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t="s">
        <v>164</v>
      </c>
      <c r="B42" s="22">
        <f>IRR(B39:L39)</f>
        <v>0.10016748802625264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Mortgage</vt:lpstr>
      <vt:lpstr>Pro Forma Normal</vt:lpstr>
      <vt:lpstr>Pro Forma Good</vt:lpstr>
      <vt:lpstr>Pro Forma Bad</vt:lpstr>
      <vt:lpstr>Expected Value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2019-07-26T22:11:12Z</dcterms:created>
  <dcterms:modified xsi:type="dcterms:W3CDTF">2019-07-26T22:11:18Z</dcterms:modified>
</cp:coreProperties>
</file>