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5" windowWidth="20490" windowHeight="7710"/>
  </bookViews>
  <sheets>
    <sheet name="Forecast" sheetId="1" r:id="rId1"/>
    <sheet name="Mortgage" sheetId="2" r:id="rId2"/>
    <sheet name="Options" sheetId="4" r:id="rId3"/>
    <sheet name="Sheet1" sheetId="3" r:id="rId4"/>
  </sheets>
  <calcPr calcId="145621"/>
</workbook>
</file>

<file path=xl/calcChain.xml><?xml version="1.0" encoding="utf-8"?>
<calcChain xmlns="http://schemas.openxmlformats.org/spreadsheetml/2006/main">
  <c r="C16" i="4" l="1"/>
  <c r="G16" i="4"/>
  <c r="G15" i="4"/>
  <c r="E15" i="4"/>
  <c r="E16" i="4" s="1"/>
  <c r="F15" i="4"/>
  <c r="F16" i="4" s="1"/>
  <c r="D15" i="4"/>
  <c r="D16" i="4" s="1"/>
  <c r="C15" i="4"/>
  <c r="B15" i="4"/>
  <c r="B16" i="4" s="1"/>
  <c r="B17" i="4" s="1"/>
  <c r="C8" i="4"/>
  <c r="D8" i="4"/>
  <c r="E8" i="4"/>
  <c r="F8" i="4"/>
  <c r="J8" i="4"/>
  <c r="B8" i="4"/>
  <c r="L7" i="4"/>
  <c r="L8" i="4" s="1"/>
  <c r="K7" i="4"/>
  <c r="K8" i="4" s="1"/>
  <c r="J7" i="4"/>
  <c r="I7" i="4"/>
  <c r="I8" i="4" s="1"/>
  <c r="H7" i="4"/>
  <c r="H8" i="4" s="1"/>
  <c r="G7" i="4"/>
  <c r="G8" i="4" s="1"/>
  <c r="C12" i="4"/>
  <c r="D12" i="4"/>
  <c r="E12" i="4"/>
  <c r="F12" i="4"/>
  <c r="G12" i="4"/>
  <c r="H12" i="4"/>
  <c r="I12" i="4"/>
  <c r="J12" i="4"/>
  <c r="K12" i="4"/>
  <c r="L12" i="4"/>
  <c r="B12" i="4"/>
  <c r="B13" i="4" s="1"/>
  <c r="B9" i="4" l="1"/>
  <c r="B20" i="4" s="1"/>
  <c r="C91" i="1"/>
  <c r="D15" i="1"/>
  <c r="D4" i="1" l="1"/>
  <c r="E4" i="1" s="1"/>
  <c r="F4" i="1" s="1"/>
  <c r="G4" i="1" s="1"/>
  <c r="H4" i="1" l="1"/>
  <c r="I4" i="1" s="1"/>
  <c r="J4" i="1" s="1"/>
  <c r="K4" i="1" s="1"/>
  <c r="L4" i="1" s="1"/>
  <c r="I169" i="1" l="1"/>
  <c r="I179" i="1"/>
  <c r="I209" i="1"/>
  <c r="I219" i="1"/>
  <c r="I229" i="1"/>
  <c r="I239" i="1"/>
  <c r="I199" i="1"/>
  <c r="I189" i="1"/>
  <c r="K238" i="1"/>
  <c r="K228" i="1"/>
  <c r="K218" i="1"/>
  <c r="K208" i="1"/>
  <c r="K198" i="1"/>
  <c r="K188" i="1"/>
  <c r="K178" i="1"/>
  <c r="K168" i="1"/>
  <c r="K158" i="1"/>
  <c r="K148" i="1"/>
  <c r="I159" i="1"/>
  <c r="K239" i="1"/>
  <c r="K229" i="1"/>
  <c r="K219" i="1"/>
  <c r="K209" i="1"/>
  <c r="K199" i="1"/>
  <c r="K189" i="1"/>
  <c r="K179" i="1"/>
  <c r="K169" i="1"/>
  <c r="K159" i="1"/>
  <c r="K149" i="1"/>
  <c r="I149" i="1"/>
  <c r="F149" i="1" l="1"/>
  <c r="C95" i="1" l="1"/>
  <c r="D30" i="1" l="1"/>
  <c r="E30" i="1" s="1"/>
  <c r="F30" i="1" s="1"/>
  <c r="G30" i="1" s="1"/>
  <c r="H30" i="1" s="1"/>
  <c r="I30" i="1" s="1"/>
  <c r="J30" i="1" s="1"/>
  <c r="K30" i="1" s="1"/>
  <c r="L30" i="1" s="1"/>
  <c r="E94" i="1"/>
  <c r="E95" i="1"/>
  <c r="E101" i="1" l="1"/>
  <c r="C22" i="1"/>
  <c r="C20" i="1"/>
  <c r="C14" i="1"/>
  <c r="G61" i="1"/>
  <c r="H61" i="1"/>
  <c r="I61" i="1"/>
  <c r="J61" i="1"/>
  <c r="K61" i="1"/>
  <c r="L61" i="1"/>
  <c r="G62" i="1"/>
  <c r="H62" i="1"/>
  <c r="I62" i="1"/>
  <c r="J62" i="1"/>
  <c r="K62" i="1"/>
  <c r="L62" i="1"/>
  <c r="G45" i="1"/>
  <c r="H45" i="1"/>
  <c r="I45" i="1"/>
  <c r="G47" i="1"/>
  <c r="H47" i="1"/>
  <c r="I47" i="1"/>
  <c r="J47" i="1"/>
  <c r="K47" i="1"/>
  <c r="L47" i="1"/>
  <c r="D21" i="1"/>
  <c r="E21" i="1" s="1"/>
  <c r="F21" i="1" s="1"/>
  <c r="G21" i="1" s="1"/>
  <c r="D19" i="1"/>
  <c r="E19" i="1" s="1"/>
  <c r="F19" i="1" s="1"/>
  <c r="G19" i="1" s="1"/>
  <c r="D17" i="1"/>
  <c r="E17" i="1" s="1"/>
  <c r="F17" i="1" s="1"/>
  <c r="E15" i="1"/>
  <c r="F15" i="1" s="1"/>
  <c r="G15" i="1" s="1"/>
  <c r="G12" i="1"/>
  <c r="D13" i="1"/>
  <c r="E13" i="1" s="1"/>
  <c r="F13" i="1" s="1"/>
  <c r="G13" i="1" s="1"/>
  <c r="H13" i="1" s="1"/>
  <c r="I13" i="1" s="1"/>
  <c r="J13" i="1" s="1"/>
  <c r="K13" i="1" s="1"/>
  <c r="L13" i="1" s="1"/>
  <c r="I6" i="2"/>
  <c r="C12" i="1"/>
  <c r="J45" i="1" l="1"/>
  <c r="J63" i="1"/>
  <c r="F159" i="1"/>
  <c r="F169" i="1"/>
  <c r="F179" i="1" s="1"/>
  <c r="F189" i="1" s="1"/>
  <c r="F199" i="1" s="1"/>
  <c r="F209" i="1" s="1"/>
  <c r="F219" i="1" s="1"/>
  <c r="F229" i="1" s="1"/>
  <c r="F239" i="1" s="1"/>
  <c r="G17" i="1"/>
  <c r="H17" i="1" s="1"/>
  <c r="I17" i="1" s="1"/>
  <c r="J17" i="1" s="1"/>
  <c r="G18" i="1"/>
  <c r="H19" i="1"/>
  <c r="I19" i="1" s="1"/>
  <c r="J19" i="1" s="1"/>
  <c r="K19" i="1" s="1"/>
  <c r="G20" i="1"/>
  <c r="H21" i="1"/>
  <c r="I21" i="1" s="1"/>
  <c r="J21" i="1" s="1"/>
  <c r="K21" i="1" s="1"/>
  <c r="G22" i="1"/>
  <c r="K14" i="1"/>
  <c r="I14" i="1"/>
  <c r="G14" i="1"/>
  <c r="L14" i="1"/>
  <c r="H14" i="1"/>
  <c r="H18" i="1"/>
  <c r="H22" i="1"/>
  <c r="H15" i="1"/>
  <c r="I15" i="1" s="1"/>
  <c r="J15" i="1" s="1"/>
  <c r="K15" i="1" s="1"/>
  <c r="G16" i="1"/>
  <c r="H12" i="1" l="1"/>
  <c r="G34" i="1"/>
  <c r="G40" i="1" s="1"/>
  <c r="I22" i="1"/>
  <c r="I20" i="1"/>
  <c r="I18" i="1"/>
  <c r="H20" i="1"/>
  <c r="L21" i="1"/>
  <c r="L22" i="1" s="1"/>
  <c r="K22" i="1"/>
  <c r="L12" i="1"/>
  <c r="K12" i="1"/>
  <c r="L19" i="1"/>
  <c r="L20" i="1" s="1"/>
  <c r="K20" i="1"/>
  <c r="K17" i="1"/>
  <c r="K18" i="1"/>
  <c r="I12" i="1"/>
  <c r="J22" i="1"/>
  <c r="J20" i="1"/>
  <c r="J18" i="1"/>
  <c r="J14" i="1"/>
  <c r="J12" i="1"/>
  <c r="H16" i="1"/>
  <c r="G39" i="1"/>
  <c r="L15" i="1"/>
  <c r="K16" i="1"/>
  <c r="C59" i="1"/>
  <c r="D62" i="1"/>
  <c r="D45" i="1" s="1"/>
  <c r="E62" i="1"/>
  <c r="E45" i="1" s="1"/>
  <c r="F62" i="1"/>
  <c r="F45" i="1" s="1"/>
  <c r="C62" i="1"/>
  <c r="C45" i="1" s="1"/>
  <c r="C63" i="1" s="1"/>
  <c r="D61" i="1"/>
  <c r="E61" i="1"/>
  <c r="F61" i="1"/>
  <c r="C61" i="1"/>
  <c r="I59" i="1" l="1"/>
  <c r="F59" i="1"/>
  <c r="F42" i="1" s="1"/>
  <c r="J59" i="1"/>
  <c r="G59" i="1"/>
  <c r="D59" i="1"/>
  <c r="D42" i="1" s="1"/>
  <c r="L59" i="1"/>
  <c r="H59" i="1"/>
  <c r="K59" i="1"/>
  <c r="E59" i="1"/>
  <c r="E42" i="1" s="1"/>
  <c r="B119" i="1"/>
  <c r="B136" i="1" s="1"/>
  <c r="C42" i="1"/>
  <c r="I16" i="1"/>
  <c r="H39" i="1"/>
  <c r="L17" i="1"/>
  <c r="L18" i="1"/>
  <c r="L16" i="1"/>
  <c r="L39" i="1" s="1"/>
  <c r="K39" i="1"/>
  <c r="G68" i="1"/>
  <c r="D63" i="1"/>
  <c r="E63" i="1" s="1"/>
  <c r="F63" i="1" s="1"/>
  <c r="G63" i="1" s="1"/>
  <c r="H63" i="1" s="1"/>
  <c r="I63" i="1" s="1"/>
  <c r="C44" i="1"/>
  <c r="K42" i="1" l="1"/>
  <c r="K44" i="1"/>
  <c r="G42" i="1"/>
  <c r="G44" i="1"/>
  <c r="G109" i="1" s="1"/>
  <c r="G112" i="1" s="1"/>
  <c r="H42" i="1"/>
  <c r="H44" i="1"/>
  <c r="H109" i="1" s="1"/>
  <c r="H112" i="1" s="1"/>
  <c r="J42" i="1"/>
  <c r="J44" i="1"/>
  <c r="L42" i="1"/>
  <c r="L44" i="1"/>
  <c r="I44" i="1"/>
  <c r="I109" i="1" s="1"/>
  <c r="I112" i="1" s="1"/>
  <c r="I42" i="1"/>
  <c r="L68" i="1"/>
  <c r="J16" i="1"/>
  <c r="J39" i="1" s="1"/>
  <c r="I39" i="1"/>
  <c r="C60" i="1"/>
  <c r="C109" i="1"/>
  <c r="K68" i="1"/>
  <c r="H68" i="1"/>
  <c r="H126" i="1" s="1"/>
  <c r="C18" i="1"/>
  <c r="C16" i="1"/>
  <c r="C39" i="1" s="1"/>
  <c r="D22" i="1" l="1"/>
  <c r="D20" i="1"/>
  <c r="D18" i="1"/>
  <c r="D14" i="1"/>
  <c r="D12" i="1"/>
  <c r="J68" i="1"/>
  <c r="C68" i="1"/>
  <c r="C126" i="1" s="1"/>
  <c r="D16" i="1"/>
  <c r="J109" i="1"/>
  <c r="I68" i="1"/>
  <c r="I126" i="1" s="1"/>
  <c r="L126" i="1"/>
  <c r="L132" i="1"/>
  <c r="K126" i="1"/>
  <c r="C34" i="1"/>
  <c r="K45" i="1" l="1"/>
  <c r="K109" i="1" s="1"/>
  <c r="E12" i="1"/>
  <c r="E22" i="1"/>
  <c r="E20" i="1"/>
  <c r="E18" i="1"/>
  <c r="E14" i="1"/>
  <c r="J112" i="1"/>
  <c r="J126" i="1"/>
  <c r="C41" i="1"/>
  <c r="C40" i="1"/>
  <c r="C37" i="1"/>
  <c r="C38" i="1"/>
  <c r="C57" i="1" s="1"/>
  <c r="C108" i="1" l="1"/>
  <c r="C110" i="1" s="1"/>
  <c r="C111" i="1" s="1"/>
  <c r="C127" i="1" s="1"/>
  <c r="K63" i="1"/>
  <c r="L45" i="1" s="1"/>
  <c r="L109" i="1" s="1"/>
  <c r="L112" i="1" s="1"/>
  <c r="F22" i="1"/>
  <c r="F20" i="1"/>
  <c r="F18" i="1"/>
  <c r="F14" i="1"/>
  <c r="F12" i="1"/>
  <c r="K112" i="1"/>
  <c r="D39" i="1"/>
  <c r="L63" i="1" l="1"/>
  <c r="C65" i="1"/>
  <c r="C125" i="1"/>
  <c r="D68" i="1"/>
  <c r="D126" i="1" s="1"/>
  <c r="E16" i="1"/>
  <c r="E39" i="1" s="1"/>
  <c r="F47" i="1"/>
  <c r="E47" i="1"/>
  <c r="D47" i="1"/>
  <c r="C47" i="1"/>
  <c r="E68" i="1" l="1"/>
  <c r="E126" i="1" s="1"/>
  <c r="F16" i="1"/>
  <c r="F39" i="1" s="1"/>
  <c r="F68" i="1" l="1"/>
  <c r="E34" i="1"/>
  <c r="D34" i="1"/>
  <c r="F34" i="1"/>
  <c r="I4" i="2"/>
  <c r="I2" i="2"/>
  <c r="I8" i="2" s="1"/>
  <c r="B2" i="2"/>
  <c r="D41" i="1" l="1"/>
  <c r="F126" i="1"/>
  <c r="G126" i="1"/>
  <c r="F41" i="1"/>
  <c r="E41" i="1"/>
  <c r="H34" i="1"/>
  <c r="G41" i="1"/>
  <c r="G37" i="1"/>
  <c r="G38" i="1"/>
  <c r="G57" i="1" s="1"/>
  <c r="E139" i="2"/>
  <c r="E137" i="2"/>
  <c r="E135" i="2"/>
  <c r="E133" i="2"/>
  <c r="E131" i="2"/>
  <c r="E129" i="2"/>
  <c r="E125" i="2"/>
  <c r="E123" i="2"/>
  <c r="E121" i="2"/>
  <c r="E119" i="2"/>
  <c r="E117" i="2"/>
  <c r="E115" i="2"/>
  <c r="E111" i="2"/>
  <c r="E109" i="2"/>
  <c r="E107" i="2"/>
  <c r="E105" i="2"/>
  <c r="E103" i="2"/>
  <c r="E101" i="2"/>
  <c r="E96" i="2"/>
  <c r="E94" i="2"/>
  <c r="E92" i="2"/>
  <c r="E90" i="2"/>
  <c r="E88" i="2"/>
  <c r="E86" i="2"/>
  <c r="E82" i="2"/>
  <c r="E80" i="2"/>
  <c r="E78" i="2"/>
  <c r="E76" i="2"/>
  <c r="E74" i="2"/>
  <c r="E72" i="2"/>
  <c r="E68" i="2"/>
  <c r="E66" i="2"/>
  <c r="E64" i="2"/>
  <c r="E62" i="2"/>
  <c r="E60" i="2"/>
  <c r="E58" i="2"/>
  <c r="E138" i="2"/>
  <c r="E136" i="2"/>
  <c r="E134" i="2"/>
  <c r="E132" i="2"/>
  <c r="E130" i="2"/>
  <c r="E128" i="2"/>
  <c r="E124" i="2"/>
  <c r="E122" i="2"/>
  <c r="E120" i="2"/>
  <c r="E118" i="2"/>
  <c r="E116" i="2"/>
  <c r="E114" i="2"/>
  <c r="E110" i="2"/>
  <c r="E108" i="2"/>
  <c r="E106" i="2"/>
  <c r="E104" i="2"/>
  <c r="E102" i="2"/>
  <c r="E100" i="2"/>
  <c r="E97" i="2"/>
  <c r="E95" i="2"/>
  <c r="E93" i="2"/>
  <c r="E91" i="2"/>
  <c r="E89" i="2"/>
  <c r="E87" i="2"/>
  <c r="E83" i="2"/>
  <c r="E81" i="2"/>
  <c r="E79" i="2"/>
  <c r="E77" i="2"/>
  <c r="E75" i="2"/>
  <c r="E73" i="2"/>
  <c r="E69" i="2"/>
  <c r="E67" i="2"/>
  <c r="E65" i="2"/>
  <c r="E63" i="2"/>
  <c r="E61" i="2"/>
  <c r="E59" i="2"/>
  <c r="F40" i="1"/>
  <c r="F38" i="1"/>
  <c r="F57" i="1" s="1"/>
  <c r="F37" i="1"/>
  <c r="E40" i="1"/>
  <c r="E38" i="1"/>
  <c r="E57" i="1" s="1"/>
  <c r="E37" i="1"/>
  <c r="D40" i="1"/>
  <c r="D38" i="1"/>
  <c r="D57" i="1" s="1"/>
  <c r="D125" i="1" s="1"/>
  <c r="D37" i="1"/>
  <c r="D2" i="2"/>
  <c r="E54" i="2"/>
  <c r="E50" i="2"/>
  <c r="E46" i="2"/>
  <c r="E38" i="2"/>
  <c r="E34" i="2"/>
  <c r="E30" i="2"/>
  <c r="E26" i="2"/>
  <c r="E22" i="2"/>
  <c r="E18" i="2"/>
  <c r="E10" i="2"/>
  <c r="E7" i="2"/>
  <c r="E4" i="2"/>
  <c r="E53" i="2"/>
  <c r="E49" i="2"/>
  <c r="E45" i="2"/>
  <c r="E41" i="2"/>
  <c r="E37" i="2"/>
  <c r="E55" i="2"/>
  <c r="E52" i="2"/>
  <c r="E44" i="2"/>
  <c r="E33" i="2"/>
  <c r="E32" i="2"/>
  <c r="E31" i="2"/>
  <c r="E25" i="2"/>
  <c r="E24" i="2"/>
  <c r="E23" i="2"/>
  <c r="E47" i="2"/>
  <c r="E39" i="2"/>
  <c r="E36" i="2"/>
  <c r="E35" i="2"/>
  <c r="E27" i="2"/>
  <c r="E48" i="2"/>
  <c r="E8" i="2"/>
  <c r="E12" i="2"/>
  <c r="E20" i="2"/>
  <c r="E6" i="2"/>
  <c r="E16" i="2"/>
  <c r="E40" i="2"/>
  <c r="E2" i="2"/>
  <c r="E3" i="2"/>
  <c r="E11" i="2"/>
  <c r="E13" i="2"/>
  <c r="E19" i="2"/>
  <c r="E21" i="2"/>
  <c r="E51" i="2"/>
  <c r="E5" i="2"/>
  <c r="E9" i="2"/>
  <c r="E17" i="2"/>
  <c r="F44" i="1"/>
  <c r="F109" i="1" s="1"/>
  <c r="F112" i="1" s="1"/>
  <c r="E44" i="1"/>
  <c r="E109" i="1" s="1"/>
  <c r="E112" i="1" s="1"/>
  <c r="D44" i="1"/>
  <c r="D109" i="1" s="1"/>
  <c r="D112" i="1" s="1"/>
  <c r="E108" i="1" l="1"/>
  <c r="E110" i="1" s="1"/>
  <c r="E111" i="1" s="1"/>
  <c r="E113" i="1" s="1"/>
  <c r="D108" i="1"/>
  <c r="D110" i="1" s="1"/>
  <c r="D111" i="1" s="1"/>
  <c r="D127" i="1" s="1"/>
  <c r="E125" i="1"/>
  <c r="F108" i="1"/>
  <c r="F110" i="1" s="1"/>
  <c r="F111" i="1" s="1"/>
  <c r="G125" i="1"/>
  <c r="G108" i="1"/>
  <c r="G110" i="1" s="1"/>
  <c r="F125" i="1"/>
  <c r="H41" i="1"/>
  <c r="H37" i="1"/>
  <c r="H38" i="1"/>
  <c r="H57" i="1" s="1"/>
  <c r="H125" i="1" s="1"/>
  <c r="H40" i="1"/>
  <c r="I34" i="1"/>
  <c r="D60" i="1"/>
  <c r="E60" i="1" s="1"/>
  <c r="F60" i="1" s="1"/>
  <c r="G60" i="1" s="1"/>
  <c r="H60" i="1" s="1"/>
  <c r="I60" i="1" s="1"/>
  <c r="J60" i="1" s="1"/>
  <c r="K60" i="1" s="1"/>
  <c r="L60" i="1" s="1"/>
  <c r="C2" i="2"/>
  <c r="F2" i="2" s="1"/>
  <c r="B3" i="2" s="1"/>
  <c r="H108" i="1" l="1"/>
  <c r="H110" i="1" s="1"/>
  <c r="H111" i="1" s="1"/>
  <c r="H113" i="1" s="1"/>
  <c r="F127" i="1"/>
  <c r="G111" i="1"/>
  <c r="G127" i="1" s="1"/>
  <c r="E127" i="1"/>
  <c r="E136" i="1" s="1"/>
  <c r="F113" i="1"/>
  <c r="D113" i="1"/>
  <c r="D136" i="1" s="1"/>
  <c r="I41" i="1"/>
  <c r="I37" i="1"/>
  <c r="I38" i="1"/>
  <c r="I57" i="1" s="1"/>
  <c r="I125" i="1" s="1"/>
  <c r="I40" i="1"/>
  <c r="J34" i="1"/>
  <c r="G65" i="1"/>
  <c r="D65" i="1"/>
  <c r="D3" i="2"/>
  <c r="F136" i="1" l="1"/>
  <c r="I108" i="1"/>
  <c r="I110" i="1" s="1"/>
  <c r="I111" i="1" s="1"/>
  <c r="G113" i="1"/>
  <c r="G136" i="1" s="1"/>
  <c r="H127" i="1"/>
  <c r="H136" i="1" s="1"/>
  <c r="L34" i="1"/>
  <c r="K34" i="1"/>
  <c r="J41" i="1"/>
  <c r="J37" i="1"/>
  <c r="J38" i="1"/>
  <c r="J57" i="1" s="1"/>
  <c r="J125" i="1" s="1"/>
  <c r="J40" i="1"/>
  <c r="H65" i="1"/>
  <c r="E65" i="1"/>
  <c r="C3" i="2"/>
  <c r="I127" i="1" l="1"/>
  <c r="I113" i="1"/>
  <c r="J108" i="1"/>
  <c r="J110" i="1" s="1"/>
  <c r="J111" i="1" s="1"/>
  <c r="L41" i="1"/>
  <c r="L37" i="1"/>
  <c r="L38" i="1"/>
  <c r="L57" i="1" s="1"/>
  <c r="L40" i="1"/>
  <c r="K41" i="1"/>
  <c r="K37" i="1"/>
  <c r="K38" i="1"/>
  <c r="K57" i="1" s="1"/>
  <c r="K125" i="1" s="1"/>
  <c r="K40" i="1"/>
  <c r="I65" i="1"/>
  <c r="F65" i="1"/>
  <c r="F3" i="2"/>
  <c r="B4" i="2" s="1"/>
  <c r="I136" i="1" l="1"/>
  <c r="J127" i="1"/>
  <c r="J113" i="1"/>
  <c r="K108" i="1"/>
  <c r="K110" i="1" s="1"/>
  <c r="K111" i="1" s="1"/>
  <c r="K127" i="1" s="1"/>
  <c r="L108" i="1"/>
  <c r="L110" i="1" s="1"/>
  <c r="L111" i="1" s="1"/>
  <c r="L113" i="1" s="1"/>
  <c r="L131" i="1"/>
  <c r="L125" i="1"/>
  <c r="J65" i="1"/>
  <c r="D4" i="2"/>
  <c r="J136" i="1" l="1"/>
  <c r="K113" i="1"/>
  <c r="K136" i="1" s="1"/>
  <c r="L127" i="1"/>
  <c r="L133" i="1"/>
  <c r="O120" i="1"/>
  <c r="K65" i="1"/>
  <c r="C4" i="2"/>
  <c r="L65" i="1" l="1"/>
  <c r="L120" i="1"/>
  <c r="F4" i="2"/>
  <c r="B5" i="2" s="1"/>
  <c r="L121" i="1" l="1"/>
  <c r="L136" i="1" s="1"/>
  <c r="D5" i="2"/>
  <c r="C5" i="2" l="1"/>
  <c r="F5" i="2" l="1"/>
  <c r="B6" i="2" s="1"/>
  <c r="D6" i="2" l="1"/>
  <c r="C6" i="2" s="1"/>
  <c r="F6" i="2" l="1"/>
  <c r="B7" i="2" s="1"/>
  <c r="D7" i="2" l="1"/>
  <c r="C7" i="2" s="1"/>
  <c r="F7" i="2" s="1"/>
  <c r="B8" i="2" s="1"/>
  <c r="D8" i="2" l="1"/>
  <c r="C8" i="2" s="1"/>
  <c r="F8" i="2" s="1"/>
  <c r="B9" i="2" s="1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C46" i="1" s="1"/>
  <c r="C49" i="1" s="1"/>
  <c r="C14" i="2" l="1"/>
  <c r="F13" i="2"/>
  <c r="C71" i="1" l="1"/>
  <c r="B16" i="2"/>
  <c r="D16" i="2" s="1"/>
  <c r="D147" i="1" l="1"/>
  <c r="I148" i="1" s="1"/>
  <c r="C16" i="2"/>
  <c r="I150" i="1" l="1"/>
  <c r="J149" i="1" s="1"/>
  <c r="J148" i="1"/>
  <c r="F16" i="2"/>
  <c r="B17" i="2" s="1"/>
  <c r="D17" i="2" l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D46" i="1" s="1"/>
  <c r="C112" i="1" l="1"/>
  <c r="C113" i="1" s="1"/>
  <c r="C28" i="2"/>
  <c r="F27" i="2"/>
  <c r="D71" i="1" s="1"/>
  <c r="D157" i="1" l="1"/>
  <c r="I158" i="1" s="1"/>
  <c r="I160" i="1" s="1"/>
  <c r="J159" i="1" s="1"/>
  <c r="B141" i="1"/>
  <c r="C136" i="1"/>
  <c r="B30" i="2"/>
  <c r="D30" i="2" s="1"/>
  <c r="J158" i="1" l="1"/>
  <c r="C30" i="2"/>
  <c r="F30" i="2" l="1"/>
  <c r="B31" i="2" s="1"/>
  <c r="D31" i="2" l="1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E46" i="1" s="1"/>
  <c r="C42" i="2" l="1"/>
  <c r="F41" i="2"/>
  <c r="B44" i="2" l="1"/>
  <c r="D44" i="2" s="1"/>
  <c r="E71" i="1"/>
  <c r="D167" i="1" s="1"/>
  <c r="I168" i="1" s="1"/>
  <c r="I170" i="1" s="1"/>
  <c r="J168" i="1" l="1"/>
  <c r="J169" i="1"/>
  <c r="C44" i="2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D48" i="2" l="1"/>
  <c r="C48" i="2" l="1"/>
  <c r="F48" i="2" l="1"/>
  <c r="B49" i="2" s="1"/>
  <c r="D49" i="2" l="1"/>
  <c r="C49" i="2" s="1"/>
  <c r="F49" i="2" s="1"/>
  <c r="B50" i="2" s="1"/>
  <c r="D50" i="2" l="1"/>
  <c r="C50" i="2" s="1"/>
  <c r="F50" i="2" s="1"/>
  <c r="B51" i="2" s="1"/>
  <c r="D51" i="2" l="1"/>
  <c r="C51" i="2" s="1"/>
  <c r="F51" i="2" s="1"/>
  <c r="B52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D56" i="2"/>
  <c r="F46" i="1" s="1"/>
  <c r="C56" i="2" l="1"/>
  <c r="F55" i="2"/>
  <c r="C50" i="1"/>
  <c r="C69" i="1" l="1"/>
  <c r="C51" i="1"/>
  <c r="C76" i="1" s="1"/>
  <c r="D149" i="1" s="1"/>
  <c r="F71" i="1"/>
  <c r="D177" i="1" s="1"/>
  <c r="I178" i="1" s="1"/>
  <c r="B58" i="2"/>
  <c r="D49" i="1"/>
  <c r="I180" i="1" l="1"/>
  <c r="J179" i="1" s="1"/>
  <c r="D150" i="1"/>
  <c r="D58" i="2"/>
  <c r="C78" i="1"/>
  <c r="C79" i="1" s="1"/>
  <c r="E49" i="1"/>
  <c r="F49" i="1"/>
  <c r="D50" i="1"/>
  <c r="D69" i="1" s="1"/>
  <c r="J178" i="1" l="1"/>
  <c r="E147" i="1"/>
  <c r="E149" i="1"/>
  <c r="C58" i="2"/>
  <c r="D51" i="1"/>
  <c r="D76" i="1" s="1"/>
  <c r="D159" i="1" s="1"/>
  <c r="E50" i="1"/>
  <c r="E69" i="1" s="1"/>
  <c r="F50" i="1"/>
  <c r="F69" i="1" s="1"/>
  <c r="F152" i="1" l="1"/>
  <c r="F153" i="1" s="1"/>
  <c r="D160" i="1"/>
  <c r="F58" i="2"/>
  <c r="B59" i="2" s="1"/>
  <c r="E51" i="1"/>
  <c r="E76" i="1" s="1"/>
  <c r="D169" i="1" s="1"/>
  <c r="D78" i="1"/>
  <c r="D79" i="1" s="1"/>
  <c r="F51" i="1"/>
  <c r="F154" i="1" l="1"/>
  <c r="D170" i="1"/>
  <c r="E169" i="1" s="1"/>
  <c r="E159" i="1"/>
  <c r="E157" i="1"/>
  <c r="F76" i="1"/>
  <c r="D179" i="1" s="1"/>
  <c r="D59" i="2"/>
  <c r="E78" i="1"/>
  <c r="E79" i="1" s="1"/>
  <c r="F162" i="1" l="1"/>
  <c r="F163" i="1" s="1"/>
  <c r="F164" i="1" s="1"/>
  <c r="F78" i="1"/>
  <c r="F79" i="1" s="1"/>
  <c r="D180" i="1"/>
  <c r="E179" i="1" s="1"/>
  <c r="E167" i="1"/>
  <c r="F172" i="1" s="1"/>
  <c r="F173" i="1" s="1"/>
  <c r="F174" i="1" s="1"/>
  <c r="C59" i="2"/>
  <c r="E177" i="1" l="1"/>
  <c r="F182" i="1" s="1"/>
  <c r="F183" i="1" s="1"/>
  <c r="F184" i="1" s="1"/>
  <c r="F59" i="2"/>
  <c r="B60" i="2" s="1"/>
  <c r="D60" i="2" l="1"/>
  <c r="C60" i="2" l="1"/>
  <c r="F60" i="2" l="1"/>
  <c r="B61" i="2" s="1"/>
  <c r="D61" i="2" l="1"/>
  <c r="C61" i="2" l="1"/>
  <c r="F61" i="2" l="1"/>
  <c r="B62" i="2" s="1"/>
  <c r="D62" i="2" l="1"/>
  <c r="C62" i="2" l="1"/>
  <c r="F62" i="2" l="1"/>
  <c r="B63" i="2" s="1"/>
  <c r="D63" i="2" l="1"/>
  <c r="C63" i="2" s="1"/>
  <c r="F63" i="2" s="1"/>
  <c r="B64" i="2" s="1"/>
  <c r="D64" i="2" l="1"/>
  <c r="C64" i="2" s="1"/>
  <c r="F64" i="2" s="1"/>
  <c r="B65" i="2" s="1"/>
  <c r="D65" i="2" l="1"/>
  <c r="C65" i="2" s="1"/>
  <c r="F65" i="2" s="1"/>
  <c r="B66" i="2" s="1"/>
  <c r="D66" i="2" l="1"/>
  <c r="C66" i="2" s="1"/>
  <c r="F66" i="2" s="1"/>
  <c r="B67" i="2" s="1"/>
  <c r="D67" i="2" l="1"/>
  <c r="C67" i="2" s="1"/>
  <c r="F67" i="2" s="1"/>
  <c r="B68" i="2" s="1"/>
  <c r="D68" i="2" l="1"/>
  <c r="C68" i="2" s="1"/>
  <c r="F68" i="2" s="1"/>
  <c r="B69" i="2" s="1"/>
  <c r="D69" i="2" l="1"/>
  <c r="C69" i="2" l="1"/>
  <c r="D70" i="2"/>
  <c r="G46" i="1" s="1"/>
  <c r="G49" i="1" l="1"/>
  <c r="C70" i="2"/>
  <c r="F69" i="2"/>
  <c r="G50" i="1" l="1"/>
  <c r="G69" i="1" s="1"/>
  <c r="B72" i="2"/>
  <c r="G71" i="1"/>
  <c r="D187" i="1" l="1"/>
  <c r="I188" i="1" s="1"/>
  <c r="I190" i="1" s="1"/>
  <c r="J189" i="1" s="1"/>
  <c r="G51" i="1"/>
  <c r="G76" i="1"/>
  <c r="D72" i="2"/>
  <c r="J188" i="1" l="1"/>
  <c r="G78" i="1"/>
  <c r="G79" i="1" s="1"/>
  <c r="D189" i="1"/>
  <c r="C72" i="2"/>
  <c r="D190" i="1" l="1"/>
  <c r="E189" i="1" s="1"/>
  <c r="F72" i="2"/>
  <c r="B73" i="2" s="1"/>
  <c r="E187" i="1" l="1"/>
  <c r="D73" i="2"/>
  <c r="F192" i="1" l="1"/>
  <c r="F193" i="1" s="1"/>
  <c r="F194" i="1" s="1"/>
  <c r="C73" i="2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D77" i="2" l="1"/>
  <c r="C77" i="2" s="1"/>
  <c r="F77" i="2" s="1"/>
  <c r="B78" i="2" s="1"/>
  <c r="D78" i="2" l="1"/>
  <c r="C78" i="2" s="1"/>
  <c r="F78" i="2" s="1"/>
  <c r="B79" i="2" s="1"/>
  <c r="D79" i="2" l="1"/>
  <c r="C79" i="2" s="1"/>
  <c r="F79" i="2" s="1"/>
  <c r="B80" i="2" s="1"/>
  <c r="D80" i="2" l="1"/>
  <c r="C80" i="2" s="1"/>
  <c r="F80" i="2" s="1"/>
  <c r="B81" i="2" s="1"/>
  <c r="D81" i="2" l="1"/>
  <c r="C81" i="2" s="1"/>
  <c r="F81" i="2" s="1"/>
  <c r="B82" i="2" s="1"/>
  <c r="D82" i="2" l="1"/>
  <c r="C82" i="2" s="1"/>
  <c r="F82" i="2" s="1"/>
  <c r="B83" i="2" s="1"/>
  <c r="D83" i="2" l="1"/>
  <c r="C83" i="2" l="1"/>
  <c r="D84" i="2"/>
  <c r="H46" i="1" s="1"/>
  <c r="H49" i="1" s="1"/>
  <c r="H50" i="1" l="1"/>
  <c r="H69" i="1" s="1"/>
  <c r="C84" i="2"/>
  <c r="F83" i="2"/>
  <c r="B86" i="2" l="1"/>
  <c r="H71" i="1"/>
  <c r="H51" i="1"/>
  <c r="H76" i="1" s="1"/>
  <c r="D199" i="1" s="1"/>
  <c r="D197" i="1" l="1"/>
  <c r="I198" i="1" s="1"/>
  <c r="H78" i="1"/>
  <c r="H79" i="1" s="1"/>
  <c r="D86" i="2"/>
  <c r="I200" i="1" l="1"/>
  <c r="J199" i="1" s="1"/>
  <c r="J198" i="1"/>
  <c r="D200" i="1"/>
  <c r="E199" i="1" s="1"/>
  <c r="C86" i="2"/>
  <c r="E197" i="1" l="1"/>
  <c r="F202" i="1"/>
  <c r="F203" i="1" s="1"/>
  <c r="F204" i="1" s="1"/>
  <c r="F86" i="2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s="1"/>
  <c r="C91" i="2" s="1"/>
  <c r="F91" i="2" s="1"/>
  <c r="B92" i="2" s="1"/>
  <c r="D92" i="2" s="1"/>
  <c r="C92" i="2" s="1"/>
  <c r="F92" i="2" s="1"/>
  <c r="B93" i="2" s="1"/>
  <c r="D93" i="2" s="1"/>
  <c r="C93" i="2" s="1"/>
  <c r="F93" i="2" s="1"/>
  <c r="B94" i="2" s="1"/>
  <c r="D94" i="2" s="1"/>
  <c r="C94" i="2" s="1"/>
  <c r="F94" i="2" s="1"/>
  <c r="B95" i="2" s="1"/>
  <c r="D95" i="2" s="1"/>
  <c r="C95" i="2" s="1"/>
  <c r="F95" i="2" s="1"/>
  <c r="B96" i="2" s="1"/>
  <c r="D96" i="2" s="1"/>
  <c r="C96" i="2" s="1"/>
  <c r="F96" i="2" s="1"/>
  <c r="B97" i="2" s="1"/>
  <c r="D97" i="2" l="1"/>
  <c r="C97" i="2" l="1"/>
  <c r="D98" i="2"/>
  <c r="I46" i="1" s="1"/>
  <c r="I49" i="1" s="1"/>
  <c r="I50" i="1" l="1"/>
  <c r="I69" i="1" s="1"/>
  <c r="C98" i="2"/>
  <c r="F97" i="2"/>
  <c r="B100" i="2" l="1"/>
  <c r="I71" i="1"/>
  <c r="D207" i="1" s="1"/>
  <c r="I208" i="1" s="1"/>
  <c r="I51" i="1"/>
  <c r="I210" i="1" l="1"/>
  <c r="J209" i="1" s="1"/>
  <c r="I76" i="1"/>
  <c r="D100" i="2"/>
  <c r="J208" i="1" l="1"/>
  <c r="I78" i="1"/>
  <c r="I79" i="1" s="1"/>
  <c r="D209" i="1"/>
  <c r="C100" i="2"/>
  <c r="D210" i="1" l="1"/>
  <c r="F100" i="2"/>
  <c r="B101" i="2" s="1"/>
  <c r="E207" i="1" l="1"/>
  <c r="E209" i="1"/>
  <c r="D101" i="2"/>
  <c r="F212" i="1" l="1"/>
  <c r="F213" i="1" s="1"/>
  <c r="F214" i="1" s="1"/>
  <c r="C101" i="2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l="1"/>
  <c r="C104" i="2" l="1"/>
  <c r="F104" i="2" l="1"/>
  <c r="B105" i="2" s="1"/>
  <c r="D105" i="2" l="1"/>
  <c r="C105" i="2" s="1"/>
  <c r="F105" i="2" s="1"/>
  <c r="B106" i="2" s="1"/>
  <c r="D106" i="2" l="1"/>
  <c r="C106" i="2" s="1"/>
  <c r="F106" i="2" s="1"/>
  <c r="B107" i="2" s="1"/>
  <c r="D107" i="2" l="1"/>
  <c r="C107" i="2" s="1"/>
  <c r="F107" i="2" s="1"/>
  <c r="B108" i="2" s="1"/>
  <c r="D108" i="2" l="1"/>
  <c r="C108" i="2" s="1"/>
  <c r="F108" i="2" s="1"/>
  <c r="B109" i="2" s="1"/>
  <c r="D109" i="2" l="1"/>
  <c r="C109" i="2" s="1"/>
  <c r="F109" i="2" s="1"/>
  <c r="B110" i="2" s="1"/>
  <c r="D110" i="2" l="1"/>
  <c r="C110" i="2" s="1"/>
  <c r="F110" i="2" s="1"/>
  <c r="B111" i="2" s="1"/>
  <c r="D111" i="2" l="1"/>
  <c r="C111" i="2" l="1"/>
  <c r="D112" i="2"/>
  <c r="J46" i="1" s="1"/>
  <c r="J49" i="1" s="1"/>
  <c r="C112" i="2" l="1"/>
  <c r="F111" i="2"/>
  <c r="J50" i="1"/>
  <c r="J69" i="1" s="1"/>
  <c r="J51" i="1" l="1"/>
  <c r="J76" i="1" s="1"/>
  <c r="D219" i="1" s="1"/>
  <c r="B114" i="2"/>
  <c r="J71" i="1"/>
  <c r="D217" i="1" s="1"/>
  <c r="I218" i="1" s="1"/>
  <c r="I220" i="1" s="1"/>
  <c r="J218" i="1" l="1"/>
  <c r="J219" i="1"/>
  <c r="D220" i="1"/>
  <c r="J78" i="1"/>
  <c r="J79" i="1" s="1"/>
  <c r="D114" i="2"/>
  <c r="E217" i="1" l="1"/>
  <c r="E219" i="1"/>
  <c r="C114" i="2"/>
  <c r="F222" i="1" l="1"/>
  <c r="F223" i="1" s="1"/>
  <c r="F224" i="1" s="1"/>
  <c r="F114" i="2"/>
  <c r="B115" i="2" s="1"/>
  <c r="D115" i="2" l="1"/>
  <c r="C115" i="2" l="1"/>
  <c r="F115" i="2" l="1"/>
  <c r="B116" i="2" s="1"/>
  <c r="D116" i="2" l="1"/>
  <c r="C116" i="2" l="1"/>
  <c r="F116" i="2" l="1"/>
  <c r="B117" i="2" s="1"/>
  <c r="D117" i="2" l="1"/>
  <c r="C117" i="2" l="1"/>
  <c r="F117" i="2" l="1"/>
  <c r="B118" i="2" s="1"/>
  <c r="D118" i="2" l="1"/>
  <c r="C118" i="2" l="1"/>
  <c r="F118" i="2" l="1"/>
  <c r="B119" i="2" s="1"/>
  <c r="D119" i="2" s="1"/>
  <c r="C119" i="2" s="1"/>
  <c r="F119" i="2" s="1"/>
  <c r="B120" i="2" s="1"/>
  <c r="D120" i="2" l="1"/>
  <c r="C120" i="2" s="1"/>
  <c r="F120" i="2" s="1"/>
  <c r="B121" i="2" s="1"/>
  <c r="D121" i="2" l="1"/>
  <c r="C121" i="2" s="1"/>
  <c r="F121" i="2" s="1"/>
  <c r="B122" i="2" s="1"/>
  <c r="D122" i="2" l="1"/>
  <c r="C122" i="2" s="1"/>
  <c r="F122" i="2" s="1"/>
  <c r="B123" i="2" s="1"/>
  <c r="D123" i="2" l="1"/>
  <c r="C123" i="2" s="1"/>
  <c r="F123" i="2" s="1"/>
  <c r="B124" i="2" s="1"/>
  <c r="D124" i="2" l="1"/>
  <c r="C124" i="2" s="1"/>
  <c r="F124" i="2" s="1"/>
  <c r="B125" i="2" s="1"/>
  <c r="D125" i="2" l="1"/>
  <c r="C125" i="2" l="1"/>
  <c r="D126" i="2"/>
  <c r="K46" i="1" s="1"/>
  <c r="K49" i="1" s="1"/>
  <c r="K50" i="1" l="1"/>
  <c r="K69" i="1" s="1"/>
  <c r="C126" i="2"/>
  <c r="F125" i="2"/>
  <c r="B128" i="2" l="1"/>
  <c r="K71" i="1"/>
  <c r="D227" i="1" s="1"/>
  <c r="I228" i="1" s="1"/>
  <c r="K51" i="1"/>
  <c r="K76" i="1" s="1"/>
  <c r="D229" i="1" s="1"/>
  <c r="I230" i="1" l="1"/>
  <c r="J229" i="1" s="1"/>
  <c r="D230" i="1"/>
  <c r="K78" i="1"/>
  <c r="K79" i="1" s="1"/>
  <c r="D128" i="2"/>
  <c r="J228" i="1" l="1"/>
  <c r="E227" i="1"/>
  <c r="E229" i="1"/>
  <c r="C128" i="2"/>
  <c r="F232" i="1" l="1"/>
  <c r="F233" i="1" s="1"/>
  <c r="F234" i="1" s="1"/>
  <c r="F128" i="2"/>
  <c r="B129" i="2" s="1"/>
  <c r="D129" i="2" l="1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l="1"/>
  <c r="C132" i="2" l="1"/>
  <c r="F132" i="2" l="1"/>
  <c r="B133" i="2" s="1"/>
  <c r="D133" i="2" l="1"/>
  <c r="C133" i="2" s="1"/>
  <c r="F133" i="2" s="1"/>
  <c r="B134" i="2" s="1"/>
  <c r="D134" i="2" l="1"/>
  <c r="C134" i="2" s="1"/>
  <c r="F134" i="2" s="1"/>
  <c r="B135" i="2" s="1"/>
  <c r="D135" i="2" l="1"/>
  <c r="C135" i="2" s="1"/>
  <c r="F135" i="2" s="1"/>
  <c r="B136" i="2" s="1"/>
  <c r="D136" i="2" l="1"/>
  <c r="C136" i="2" s="1"/>
  <c r="F136" i="2" s="1"/>
  <c r="B137" i="2" s="1"/>
  <c r="D137" i="2" l="1"/>
  <c r="C137" i="2" s="1"/>
  <c r="F137" i="2" s="1"/>
  <c r="B138" i="2" s="1"/>
  <c r="D138" i="2" l="1"/>
  <c r="C138" i="2" s="1"/>
  <c r="F138" i="2" s="1"/>
  <c r="B139" i="2" s="1"/>
  <c r="D139" i="2" l="1"/>
  <c r="C139" i="2" l="1"/>
  <c r="D140" i="2"/>
  <c r="L46" i="1" s="1"/>
  <c r="L49" i="1" s="1"/>
  <c r="C140" i="2" l="1"/>
  <c r="F139" i="2"/>
  <c r="L71" i="1" s="1"/>
  <c r="C94" i="1" s="1"/>
  <c r="L50" i="1"/>
  <c r="L69" i="1" s="1"/>
  <c r="C96" i="1" l="1"/>
  <c r="C100" i="1" s="1"/>
  <c r="D237" i="1"/>
  <c r="I238" i="1" s="1"/>
  <c r="L51" i="1"/>
  <c r="L76" i="1" s="1"/>
  <c r="I240" i="1" l="1"/>
  <c r="J239" i="1" s="1"/>
  <c r="C101" i="1"/>
  <c r="D239" i="1"/>
  <c r="D240" i="1" s="1"/>
  <c r="D95" i="1"/>
  <c r="D94" i="1"/>
  <c r="J238" i="1" l="1"/>
  <c r="E237" i="1"/>
  <c r="E239" i="1"/>
  <c r="F95" i="1"/>
  <c r="L78" i="1"/>
  <c r="L79" i="1" s="1"/>
  <c r="C102" i="1"/>
  <c r="D101" i="1" s="1"/>
  <c r="F242" i="1" l="1"/>
  <c r="F243" i="1" s="1"/>
  <c r="F244" i="1" s="1"/>
  <c r="G95" i="1"/>
  <c r="D100" i="1"/>
  <c r="E100" i="1" l="1"/>
  <c r="F101" i="1" s="1"/>
  <c r="L159" i="1"/>
  <c r="M159" i="1" s="1"/>
  <c r="L149" i="1"/>
  <c r="F165" i="1" l="1"/>
  <c r="F157" i="1"/>
  <c r="F160" i="1" s="1"/>
  <c r="D81" i="1" s="1"/>
  <c r="M149" i="1"/>
  <c r="F147" i="1" s="1"/>
  <c r="F150" i="1" s="1"/>
  <c r="C81" i="1" s="1"/>
  <c r="L199" i="1"/>
  <c r="M199" i="1" s="1"/>
  <c r="L179" i="1"/>
  <c r="M179" i="1" s="1"/>
  <c r="L169" i="1"/>
  <c r="M169" i="1" s="1"/>
  <c r="L189" i="1"/>
  <c r="M189" i="1" s="1"/>
  <c r="F155" i="1" l="1"/>
  <c r="F175" i="1"/>
  <c r="F167" i="1"/>
  <c r="F170" i="1" s="1"/>
  <c r="E81" i="1" s="1"/>
  <c r="F205" i="1"/>
  <c r="F197" i="1"/>
  <c r="F195" i="1"/>
  <c r="F187" i="1"/>
  <c r="F185" i="1"/>
  <c r="F177" i="1"/>
  <c r="F180" i="1" s="1"/>
  <c r="F81" i="1" s="1"/>
  <c r="L209" i="1"/>
  <c r="M209" i="1" s="1"/>
  <c r="F215" i="1" l="1"/>
  <c r="F207" i="1"/>
  <c r="F190" i="1"/>
  <c r="G81" i="1" s="1"/>
  <c r="L219" i="1"/>
  <c r="M219" i="1" s="1"/>
  <c r="F225" i="1" l="1"/>
  <c r="F217" i="1"/>
  <c r="F200" i="1"/>
  <c r="H81" i="1" s="1"/>
  <c r="L229" i="1"/>
  <c r="M229" i="1" s="1"/>
  <c r="F235" i="1" l="1"/>
  <c r="F227" i="1"/>
  <c r="F210" i="1"/>
  <c r="I81" i="1" s="1"/>
  <c r="L239" i="1"/>
  <c r="M239" i="1" s="1"/>
  <c r="F245" i="1" l="1"/>
  <c r="F237" i="1"/>
  <c r="F220" i="1"/>
  <c r="J81" i="1" s="1"/>
  <c r="F230" i="1" l="1"/>
  <c r="K81" i="1" s="1"/>
  <c r="F240" i="1"/>
  <c r="L81" i="1" s="1"/>
  <c r="B140" i="1" l="1"/>
  <c r="H138" i="1" l="1"/>
  <c r="L138" i="1"/>
  <c r="D138" i="1"/>
  <c r="E138" i="1"/>
  <c r="I138" i="1"/>
  <c r="J138" i="1"/>
  <c r="C138" i="1"/>
  <c r="K138" i="1"/>
  <c r="G138" i="1"/>
  <c r="F138" i="1"/>
  <c r="B138" i="1"/>
  <c r="B139" i="1" l="1"/>
</calcChain>
</file>

<file path=xl/sharedStrings.xml><?xml version="1.0" encoding="utf-8"?>
<sst xmlns="http://schemas.openxmlformats.org/spreadsheetml/2006/main" count="376" uniqueCount="217">
  <si>
    <t>Assumptions</t>
  </si>
  <si>
    <t>INCOME STATEMENT</t>
  </si>
  <si>
    <t>BALANCE SHEET</t>
  </si>
  <si>
    <t>Mortgage Interest Expense</t>
  </si>
  <si>
    <t>Extra Bank Loan Interest Expense</t>
  </si>
  <si>
    <t>Taxable Income</t>
  </si>
  <si>
    <t>Income Tax</t>
  </si>
  <si>
    <t>Net Income</t>
  </si>
  <si>
    <t>Assets</t>
  </si>
  <si>
    <t>Minimum Cash</t>
  </si>
  <si>
    <t>Extra Cash</t>
  </si>
  <si>
    <t>Buildings</t>
  </si>
  <si>
    <t>Accumulated Depreciation</t>
  </si>
  <si>
    <t>TOTAL ASSETS</t>
  </si>
  <si>
    <t>Liabilities</t>
  </si>
  <si>
    <t>Mortgage Loan</t>
  </si>
  <si>
    <t>Extra Bank Loan</t>
  </si>
  <si>
    <t xml:space="preserve">Common Stock </t>
  </si>
  <si>
    <t>Retained Earnings</t>
  </si>
  <si>
    <t>TOTAL LIAB AND EQUITY</t>
  </si>
  <si>
    <t>Beg Balance</t>
  </si>
  <si>
    <t>Principal</t>
  </si>
  <si>
    <t xml:space="preserve">Interest </t>
  </si>
  <si>
    <t>Payment</t>
  </si>
  <si>
    <t>End Balance</t>
  </si>
  <si>
    <t>Rate</t>
  </si>
  <si>
    <t>January 2012</t>
  </si>
  <si>
    <t>Per Rate</t>
  </si>
  <si>
    <t>February 2012</t>
  </si>
  <si>
    <t>FV</t>
  </si>
  <si>
    <t>March 2012</t>
  </si>
  <si>
    <t>Per</t>
  </si>
  <si>
    <t>April 2012</t>
  </si>
  <si>
    <t>Type</t>
  </si>
  <si>
    <t>May 2012</t>
  </si>
  <si>
    <t>PV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</si>
  <si>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</si>
  <si>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</si>
  <si>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</si>
  <si>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</si>
  <si>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</si>
  <si>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</si>
  <si>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</si>
  <si>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</si>
  <si>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</si>
  <si>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</si>
  <si>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</si>
  <si>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</si>
  <si>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</si>
  <si>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</si>
  <si>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</si>
  <si>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</si>
  <si>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</si>
  <si>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</si>
  <si>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</si>
  <si>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</si>
  <si>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</si>
  <si>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</si>
  <si>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</si>
  <si>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</si>
  <si>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</si>
  <si>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</si>
  <si>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</si>
  <si>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</si>
  <si>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</si>
  <si>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</si>
  <si>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</si>
  <si>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</si>
  <si>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</si>
  <si>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</si>
  <si>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</si>
  <si>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</si>
  <si>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</si>
  <si>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</si>
  <si>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</si>
  <si>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</si>
  <si>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</si>
  <si>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</si>
  <si>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</si>
  <si>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</si>
  <si>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Income Tax Payable</t>
  </si>
  <si>
    <t>Equity</t>
  </si>
  <si>
    <t>WACC</t>
  </si>
  <si>
    <t>IRR</t>
  </si>
  <si>
    <t xml:space="preserve">Fun Park </t>
  </si>
  <si>
    <t>Miniature Golf</t>
  </si>
  <si>
    <t>People Visiting the Park</t>
  </si>
  <si>
    <t>Go Cards Rates</t>
  </si>
  <si>
    <t>Average Games per person</t>
  </si>
  <si>
    <t>Miniature Golf Price</t>
  </si>
  <si>
    <t>Concession %</t>
  </si>
  <si>
    <t>Batting Cages %</t>
  </si>
  <si>
    <t>Paintball %</t>
  </si>
  <si>
    <t>Concession Price</t>
  </si>
  <si>
    <t>Go Cards Price</t>
  </si>
  <si>
    <t>Batting Cages Price</t>
  </si>
  <si>
    <t>Paintball Price</t>
  </si>
  <si>
    <t>Total Revenue</t>
  </si>
  <si>
    <t>Maintainance</t>
  </si>
  <si>
    <t>Supplies</t>
  </si>
  <si>
    <t>Wages</t>
  </si>
  <si>
    <t>Paintball Rev</t>
  </si>
  <si>
    <t>Go cards Rev</t>
  </si>
  <si>
    <t>Batting Cages Rev</t>
  </si>
  <si>
    <t>Concession Rev</t>
  </si>
  <si>
    <t>Miniature Golf Rev</t>
  </si>
  <si>
    <t>Arcade Games</t>
  </si>
  <si>
    <t>Arcade Price</t>
  </si>
  <si>
    <t>Arcade games %</t>
  </si>
  <si>
    <t>COGS</t>
  </si>
  <si>
    <t xml:space="preserve">Depreciation - Building </t>
  </si>
  <si>
    <t xml:space="preserve">Depreciation -Equipment </t>
  </si>
  <si>
    <t xml:space="preserve">Inventory </t>
  </si>
  <si>
    <t xml:space="preserve">Equipment </t>
  </si>
  <si>
    <t>Operating Expenses:</t>
  </si>
  <si>
    <t>Of Revenue</t>
  </si>
  <si>
    <t xml:space="preserve">Of Concession Revenue </t>
  </si>
  <si>
    <t xml:space="preserve">Of Revenue </t>
  </si>
  <si>
    <t xml:space="preserve">Purchase Price of Complex </t>
  </si>
  <si>
    <t xml:space="preserve">Land </t>
  </si>
  <si>
    <t xml:space="preserve">Size of Lot </t>
  </si>
  <si>
    <t xml:space="preserve">Acres </t>
  </si>
  <si>
    <t xml:space="preserve">Price Per Acre </t>
  </si>
  <si>
    <t xml:space="preserve">Building Sq Ft </t>
  </si>
  <si>
    <t xml:space="preserve">Cost Per Sq Ft - Building </t>
  </si>
  <si>
    <t xml:space="preserve">Cost of Equipment </t>
  </si>
  <si>
    <t>Days in Inventory</t>
  </si>
  <si>
    <t>Less: Depreciation</t>
  </si>
  <si>
    <t>Accounts Payable(COGS)</t>
  </si>
  <si>
    <t xml:space="preserve">Days Payables </t>
  </si>
  <si>
    <t>Percent</t>
  </si>
  <si>
    <t>Inflation</t>
  </si>
  <si>
    <t>Januray 2016</t>
  </si>
  <si>
    <t>Feburary 2016</t>
  </si>
  <si>
    <t>Utilities</t>
  </si>
  <si>
    <t>of Revenue</t>
  </si>
  <si>
    <t>Insurance</t>
  </si>
  <si>
    <t>Of Building</t>
  </si>
  <si>
    <t>Return Equity Holders Want</t>
  </si>
  <si>
    <t>Beta</t>
  </si>
  <si>
    <t>S&amp;P 500</t>
  </si>
  <si>
    <t>T-Bills</t>
  </si>
  <si>
    <t xml:space="preserve">CAPM </t>
  </si>
  <si>
    <t>No tax adjustment needed</t>
  </si>
  <si>
    <t>Cost of Debtholders</t>
  </si>
  <si>
    <t>Proportion</t>
  </si>
  <si>
    <t>Blended</t>
  </si>
  <si>
    <t>Tax adjusted</t>
  </si>
  <si>
    <t>Mortgage on Buildings</t>
  </si>
  <si>
    <t>Bank Loans</t>
  </si>
  <si>
    <t>TOTAL LOANS</t>
  </si>
  <si>
    <t>Total Debt</t>
  </si>
  <si>
    <t>Total Equity</t>
  </si>
  <si>
    <t>Total Capital</t>
  </si>
  <si>
    <t>FCF, NPV, IRR</t>
  </si>
  <si>
    <t>Cash From Operations</t>
  </si>
  <si>
    <t>Operating Income</t>
  </si>
  <si>
    <t>Taxable Op Income</t>
  </si>
  <si>
    <t>Taxes on Operations</t>
  </si>
  <si>
    <t>Add back: Depreciation</t>
  </si>
  <si>
    <t>CASH FROM OPERATIONS</t>
  </si>
  <si>
    <t>Cash in/out from Capital Expenditures</t>
  </si>
  <si>
    <t>Book Value</t>
  </si>
  <si>
    <t>Taxes on Building Sale</t>
  </si>
  <si>
    <t>Sales %</t>
  </si>
  <si>
    <t>Cash in/out from Changes in Working Capital</t>
  </si>
  <si>
    <t>Cash in/out from Liquidation of Working Capital</t>
  </si>
  <si>
    <t>TOTAL FREE CASH FLOWS</t>
  </si>
  <si>
    <t>PV of FCF</t>
  </si>
  <si>
    <t>Net PV of FCF</t>
  </si>
  <si>
    <t xml:space="preserve">Income Tax </t>
  </si>
  <si>
    <t>-Accounts Receivable</t>
  </si>
  <si>
    <t>-Inventory</t>
  </si>
  <si>
    <t>+Accounts Payable</t>
  </si>
  <si>
    <t>+Income Tax Payable</t>
  </si>
  <si>
    <t>+Accounts Receivable</t>
  </si>
  <si>
    <t>+Inventory</t>
  </si>
  <si>
    <t>-Accounts Payable</t>
  </si>
  <si>
    <t>-Income Tax Payable</t>
  </si>
  <si>
    <t>Change</t>
  </si>
  <si>
    <t xml:space="preserve">Buy Buildings/Equipment </t>
  </si>
  <si>
    <t>Sell Building/Equipment</t>
  </si>
  <si>
    <t>WACC 2012</t>
  </si>
  <si>
    <t>total</t>
  </si>
  <si>
    <t>mortgage loan</t>
  </si>
  <si>
    <t>WACC 2013</t>
  </si>
  <si>
    <t>equity</t>
  </si>
  <si>
    <t>WACC 2014</t>
  </si>
  <si>
    <t>WACC 2015</t>
  </si>
  <si>
    <t>WACC 2016</t>
  </si>
  <si>
    <t>WACC 2017</t>
  </si>
  <si>
    <t>WACC 2018</t>
  </si>
  <si>
    <t>WACC 2019</t>
  </si>
  <si>
    <t>WACC 2020</t>
  </si>
  <si>
    <t>WACC 2021</t>
  </si>
  <si>
    <t>WACC:</t>
  </si>
  <si>
    <t xml:space="preserve">Unlevered Beta </t>
  </si>
  <si>
    <t>Cost of Equity with Relevered Beta using CAPM (%)</t>
  </si>
  <si>
    <t>Relevered Beta at 50% Debt/50% Equity</t>
  </si>
  <si>
    <t>WACC in 2017 at 50% Debt/50% Equity</t>
  </si>
  <si>
    <t>Goodwill (Loss)</t>
  </si>
  <si>
    <t>Debt</t>
  </si>
  <si>
    <t xml:space="preserve">Debt </t>
  </si>
  <si>
    <t>Inventory bigger</t>
  </si>
  <si>
    <t>Consumer stock chosen and fixed - no dividends</t>
  </si>
  <si>
    <t>Gap between mortgage and extra loan rate</t>
  </si>
  <si>
    <t>terminal value changed</t>
  </si>
  <si>
    <t xml:space="preserve">refurbishing  - Balance the balance sheet </t>
  </si>
  <si>
    <t>no crazy debt/equity</t>
  </si>
  <si>
    <t xml:space="preserve">The medium option would be cash flows as outlined in the forcast. </t>
  </si>
  <si>
    <t>GOOD - Cash Flows</t>
  </si>
  <si>
    <t>NPV</t>
  </si>
  <si>
    <t>Medium -Cash Flows</t>
  </si>
  <si>
    <t>BAD - Cash Flows</t>
  </si>
  <si>
    <t>The good option would be that cash the company purchases and builds another complex during year 5 for 1500000 and cash flows double. Year 10 complex both are sold for 6,000,000</t>
  </si>
  <si>
    <t>The bad option would be that cash flows are half of the forecast in positive years and the complex is sold in year 5 for half what they paid for it.</t>
  </si>
  <si>
    <t>Expected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</si>
</sst>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$-409]#,##0.00;[Red]\-[$$-409]#,##0.00"/>
    <numFmt numFmtId="166" formatCode="_(* #,##0_);_(* \(#,##0\);_(* &quot;-&quot;??_);_(@_)"/>
    <numFmt numFmtId="167" formatCode="[$$-409]#,##0;[Red]\-[$$-409]#,##0"/>
    <numFmt numFmtId="168" formatCode="_(\$* #,##0_);_(\$* \(#,##0\);_(\$* \-??_);_(@_)"/>
    <numFmt numFmtId="169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9" fontId="0" fillId="0" borderId="0" xfId="0" applyNumberFormat="1"/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0" fontId="0" fillId="0" borderId="0" xfId="0" applyNumberFormat="1"/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wrapText="1"/>
    </xf>
    <xf numFmtId="165" fontId="0" fillId="0" borderId="0" xfId="0" applyNumberFormat="1"/>
    <xf numFmtId="0" fontId="0" fillId="0" borderId="0" xfId="0" applyNumberFormat="1"/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1" xfId="0" applyBorder="1"/>
    <xf numFmtId="164" fontId="0" fillId="0" borderId="2" xfId="1" applyNumberFormat="1" applyFont="1" applyBorder="1"/>
    <xf numFmtId="9" fontId="0" fillId="0" borderId="0" xfId="2" applyFont="1"/>
    <xf numFmtId="164" fontId="0" fillId="0" borderId="2" xfId="0" applyNumberFormat="1" applyBorder="1"/>
    <xf numFmtId="164" fontId="0" fillId="0" borderId="1" xfId="0" applyNumberFormat="1" applyBorder="1"/>
    <xf numFmtId="0" fontId="0" fillId="2" borderId="0" xfId="0" applyFill="1"/>
    <xf numFmtId="0" fontId="0" fillId="0" borderId="0" xfId="0" applyFont="1"/>
    <xf numFmtId="0" fontId="0" fillId="0" borderId="0" xfId="2" applyNumberFormat="1" applyFont="1"/>
    <xf numFmtId="166" fontId="0" fillId="0" borderId="0" xfId="3" applyNumberFormat="1" applyFont="1"/>
    <xf numFmtId="164" fontId="0" fillId="0" borderId="0" xfId="1" applyNumberFormat="1" applyFont="1" applyFill="1"/>
    <xf numFmtId="0" fontId="0" fillId="0" borderId="0" xfId="0" applyAlignment="1">
      <alignment horizontal="left" indent="1"/>
    </xf>
    <xf numFmtId="43" fontId="0" fillId="0" borderId="0" xfId="3" applyFont="1"/>
    <xf numFmtId="0" fontId="0" fillId="2" borderId="0" xfId="0" applyFill="1" applyAlignment="1">
      <alignment horizontal="center"/>
    </xf>
    <xf numFmtId="167" fontId="0" fillId="0" borderId="0" xfId="0" applyNumberFormat="1"/>
    <xf numFmtId="8" fontId="0" fillId="0" borderId="0" xfId="0" applyNumberFormat="1" applyFont="1"/>
    <xf numFmtId="0" fontId="0" fillId="0" borderId="0" xfId="0" applyNumberFormat="1" applyFont="1" applyAlignment="1">
      <alignment wrapText="1"/>
    </xf>
    <xf numFmtId="17" fontId="0" fillId="0" borderId="0" xfId="0" applyNumberFormat="1" applyFont="1" applyAlignment="1">
      <alignment horizontal="left" vertical="top" wrapText="1"/>
    </xf>
    <xf numFmtId="17" fontId="0" fillId="0" borderId="0" xfId="0" applyNumberFormat="1" applyFont="1" applyAlignment="1">
      <alignment horizontal="left" wrapText="1"/>
    </xf>
    <xf numFmtId="0" fontId="5" fillId="0" borderId="0" xfId="4" applyFont="1" applyBorder="1"/>
    <xf numFmtId="0" fontId="4" fillId="0" borderId="0" xfId="4" applyBorder="1"/>
    <xf numFmtId="9" fontId="4" fillId="0" borderId="0" xfId="4" applyNumberFormat="1" applyBorder="1"/>
    <xf numFmtId="10" fontId="5" fillId="0" borderId="0" xfId="2" applyNumberFormat="1" applyFont="1"/>
    <xf numFmtId="0" fontId="4" fillId="0" borderId="0" xfId="4"/>
    <xf numFmtId="168" fontId="4" fillId="0" borderId="0" xfId="4" applyNumberFormat="1" applyBorder="1"/>
    <xf numFmtId="9" fontId="1" fillId="0" borderId="0" xfId="2"/>
    <xf numFmtId="10" fontId="4" fillId="0" borderId="0" xfId="4" applyNumberFormat="1" applyBorder="1"/>
    <xf numFmtId="168" fontId="4" fillId="0" borderId="1" xfId="4" applyNumberFormat="1" applyBorder="1"/>
    <xf numFmtId="169" fontId="1" fillId="0" borderId="0" xfId="2" applyNumberFormat="1"/>
    <xf numFmtId="0" fontId="4" fillId="0" borderId="1" xfId="4" applyBorder="1"/>
    <xf numFmtId="0" fontId="5" fillId="0" borderId="0" xfId="4" applyFont="1"/>
    <xf numFmtId="168" fontId="4" fillId="0" borderId="0" xfId="4" applyNumberFormat="1"/>
    <xf numFmtId="168" fontId="6" fillId="0" borderId="0" xfId="4" applyNumberFormat="1" applyFont="1"/>
    <xf numFmtId="168" fontId="5" fillId="0" borderId="0" xfId="4" applyNumberFormat="1" applyFont="1"/>
    <xf numFmtId="168" fontId="1" fillId="0" borderId="0" xfId="1" applyNumberFormat="1"/>
    <xf numFmtId="0" fontId="4" fillId="0" borderId="0" xfId="4" quotePrefix="1"/>
    <xf numFmtId="0" fontId="4" fillId="0" borderId="0" xfId="4" applyAlignment="1">
      <alignment horizontal="left" indent="1"/>
    </xf>
    <xf numFmtId="0" fontId="4" fillId="0" borderId="0" xfId="4" quotePrefix="1" applyAlignment="1">
      <alignment horizontal="left" indent="1"/>
    </xf>
    <xf numFmtId="166" fontId="1" fillId="0" borderId="0" xfId="1" applyNumberFormat="1"/>
    <xf numFmtId="10" fontId="0" fillId="0" borderId="0" xfId="2" applyNumberFormat="1" applyFont="1"/>
    <xf numFmtId="0" fontId="0" fillId="0" borderId="0" xfId="0" applyBorder="1"/>
    <xf numFmtId="164" fontId="0" fillId="0" borderId="0" xfId="0" applyNumberFormat="1" applyBorder="1"/>
    <xf numFmtId="10" fontId="0" fillId="0" borderId="1" xfId="2" applyNumberFormat="1" applyFont="1" applyBorder="1"/>
    <xf numFmtId="10" fontId="2" fillId="0" borderId="0" xfId="2" applyNumberFormat="1" applyFont="1"/>
    <xf numFmtId="10" fontId="5" fillId="0" borderId="0" xfId="4" applyNumberFormat="1" applyFont="1" applyBorder="1"/>
    <xf numFmtId="10" fontId="0" fillId="0" borderId="1" xfId="0" applyNumberFormat="1" applyBorder="1"/>
    <xf numFmtId="0" fontId="0" fillId="0" borderId="1" xfId="0" applyFont="1" applyBorder="1"/>
    <xf numFmtId="164" fontId="0" fillId="0" borderId="1" xfId="0" applyNumberFormat="1" applyFont="1" applyBorder="1"/>
    <xf numFmtId="10" fontId="1" fillId="0" borderId="1" xfId="2" applyNumberFormat="1" applyFont="1" applyBorder="1"/>
    <xf numFmtId="10" fontId="0" fillId="0" borderId="1" xfId="0" applyNumberFormat="1" applyFont="1" applyBorder="1"/>
    <xf numFmtId="0" fontId="7" fillId="0" borderId="0" xfId="0" applyFont="1"/>
    <xf numFmtId="0" fontId="4" fillId="0" borderId="0" xfId="4" applyFill="1"/>
    <xf numFmtId="2" fontId="4" fillId="0" borderId="0" xfId="4" applyNumberFormat="1" applyFill="1" applyBorder="1"/>
    <xf numFmtId="169" fontId="1" fillId="0" borderId="0" xfId="2" applyNumberFormat="1" applyFill="1" applyBorder="1"/>
    <xf numFmtId="0" fontId="5" fillId="0" borderId="0" xfId="4" quotePrefix="1" applyFont="1"/>
    <xf numFmtId="168" fontId="2" fillId="0" borderId="0" xfId="1" applyNumberFormat="1" applyFont="1"/>
    <xf numFmtId="10" fontId="5" fillId="0" borderId="0" xfId="4" applyNumberFormat="1" applyFont="1"/>
    <xf numFmtId="164" fontId="4" fillId="0" borderId="0" xfId="1" applyNumberFormat="1" applyFont="1"/>
    <xf numFmtId="168" fontId="0" fillId="0" borderId="0" xfId="0" applyNumberFormat="1"/>
    <xf numFmtId="0" fontId="0" fillId="2" borderId="0" xfId="0" applyFill="1" applyAlignment="1">
      <alignment horizontal="center"/>
    </xf>
  </cellXfs>
  <cellStyles count="5">
    <cellStyle name="Comma" xfId="3" builtinId="3"/>
    <cellStyle name="Currency" xfId="1" builtinId="4"/>
    <cellStyle name="Excel Built-in Normal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5"/>
  <sheetViews>
    <sheetView tabSelected="1" zoomScaleNormal="100" workbookViewId="0">
      <selection activeCell="C139" sqref="C139"/>
    </sheetView>
  </sheetViews>
  <sheetFormatPr defaultRowHeight="15" x14ac:dyDescent="0.25"/>
  <cols>
    <col min="1" max="1" width="44.28515625" bestFit="1" customWidth="1"/>
    <col min="2" max="2" width="12.42578125" customWidth="1"/>
    <col min="3" max="3" width="16" bestFit="1" customWidth="1"/>
    <col min="4" max="4" width="13.28515625" bestFit="1" customWidth="1"/>
    <col min="5" max="5" width="16.28515625" customWidth="1"/>
    <col min="6" max="6" width="15.140625" customWidth="1"/>
    <col min="7" max="7" width="12.5703125" bestFit="1" customWidth="1"/>
    <col min="8" max="8" width="21" bestFit="1" customWidth="1"/>
    <col min="9" max="12" width="14.42578125" customWidth="1"/>
    <col min="14" max="14" width="25.140625" bestFit="1" customWidth="1"/>
    <col min="15" max="15" width="11.5703125" bestFit="1" customWidth="1"/>
  </cols>
  <sheetData>
    <row r="1" spans="1:14" x14ac:dyDescent="0.25">
      <c r="A1" s="6"/>
      <c r="C1" s="73" t="s">
        <v>84</v>
      </c>
      <c r="D1" s="73"/>
      <c r="E1" s="73"/>
      <c r="F1" s="73"/>
      <c r="G1" s="27"/>
      <c r="H1" s="27"/>
      <c r="I1" s="27"/>
      <c r="J1" s="27"/>
      <c r="K1" s="27"/>
      <c r="L1" s="27"/>
    </row>
    <row r="2" spans="1:14" x14ac:dyDescent="0.25">
      <c r="C2" s="20">
        <v>2012</v>
      </c>
      <c r="D2" s="20">
        <v>2013</v>
      </c>
      <c r="E2" s="20">
        <v>2014</v>
      </c>
      <c r="F2" s="20">
        <v>2015</v>
      </c>
      <c r="G2" s="20">
        <v>2016</v>
      </c>
      <c r="H2" s="20">
        <v>2017</v>
      </c>
      <c r="I2" s="20">
        <v>2018</v>
      </c>
      <c r="J2" s="20">
        <v>2019</v>
      </c>
      <c r="K2" s="20">
        <v>2020</v>
      </c>
      <c r="L2" s="20">
        <v>2021</v>
      </c>
    </row>
    <row r="3" spans="1:14" x14ac:dyDescent="0.25">
      <c r="A3" s="6" t="s">
        <v>0</v>
      </c>
    </row>
    <row r="4" spans="1:14" x14ac:dyDescent="0.25">
      <c r="A4" s="21" t="s">
        <v>86</v>
      </c>
      <c r="C4" s="23">
        <v>10000</v>
      </c>
      <c r="D4" s="23">
        <f>C4*(1+$M$4)</f>
        <v>10400</v>
      </c>
      <c r="E4" s="23">
        <f t="shared" ref="E4:L4" si="0">D4*(1+$M$4)</f>
        <v>10816</v>
      </c>
      <c r="F4" s="23">
        <f t="shared" si="0"/>
        <v>11248.640000000001</v>
      </c>
      <c r="G4" s="23">
        <f t="shared" si="0"/>
        <v>11698.585600000002</v>
      </c>
      <c r="H4" s="23">
        <f t="shared" si="0"/>
        <v>12166.529024000003</v>
      </c>
      <c r="I4" s="23">
        <f t="shared" si="0"/>
        <v>12653.190184960004</v>
      </c>
      <c r="J4" s="23">
        <f t="shared" si="0"/>
        <v>13159.317792358404</v>
      </c>
      <c r="K4" s="23">
        <f t="shared" si="0"/>
        <v>13685.690504052742</v>
      </c>
      <c r="L4" s="23">
        <f t="shared" si="0"/>
        <v>14233.118124214852</v>
      </c>
      <c r="M4" s="1">
        <v>0.04</v>
      </c>
      <c r="N4" t="s">
        <v>88</v>
      </c>
    </row>
    <row r="5" spans="1:14" x14ac:dyDescent="0.25">
      <c r="A5" s="21" t="s">
        <v>108</v>
      </c>
      <c r="C5" s="17">
        <v>0.7</v>
      </c>
      <c r="D5" s="17">
        <v>0.7</v>
      </c>
      <c r="E5" s="17">
        <v>0.7</v>
      </c>
      <c r="F5" s="17">
        <v>0.7</v>
      </c>
      <c r="G5" s="17">
        <v>0.7</v>
      </c>
      <c r="H5" s="17">
        <v>0.7</v>
      </c>
      <c r="I5" s="17">
        <v>0.7</v>
      </c>
      <c r="J5" s="17">
        <v>0.7</v>
      </c>
      <c r="K5" s="17">
        <v>0.7</v>
      </c>
      <c r="L5" s="17">
        <v>0.7</v>
      </c>
      <c r="N5" s="11">
        <v>20</v>
      </c>
    </row>
    <row r="6" spans="1:14" x14ac:dyDescent="0.25">
      <c r="A6" s="21" t="s">
        <v>85</v>
      </c>
      <c r="C6" s="17">
        <v>0.6</v>
      </c>
      <c r="D6" s="17">
        <v>0.6</v>
      </c>
      <c r="E6" s="17">
        <v>0.6</v>
      </c>
      <c r="F6" s="17">
        <v>0.6</v>
      </c>
      <c r="G6" s="17">
        <v>0.6</v>
      </c>
      <c r="H6" s="17">
        <v>0.6</v>
      </c>
      <c r="I6" s="17">
        <v>0.6</v>
      </c>
      <c r="J6" s="17">
        <v>0.6</v>
      </c>
      <c r="K6" s="17">
        <v>0.6</v>
      </c>
      <c r="L6" s="17">
        <v>0.6</v>
      </c>
      <c r="N6" s="22">
        <v>1</v>
      </c>
    </row>
    <row r="7" spans="1:14" x14ac:dyDescent="0.25">
      <c r="A7" s="21" t="s">
        <v>87</v>
      </c>
      <c r="C7" s="17">
        <v>0.8</v>
      </c>
      <c r="D7" s="17">
        <v>0.8</v>
      </c>
      <c r="E7" s="17">
        <v>0.8</v>
      </c>
      <c r="F7" s="17">
        <v>0.8</v>
      </c>
      <c r="G7" s="17">
        <v>0.8</v>
      </c>
      <c r="H7" s="17">
        <v>0.8</v>
      </c>
      <c r="I7" s="17">
        <v>0.8</v>
      </c>
      <c r="J7" s="17">
        <v>0.8</v>
      </c>
      <c r="K7" s="17">
        <v>0.8</v>
      </c>
      <c r="L7" s="17">
        <v>0.8</v>
      </c>
      <c r="N7" s="22">
        <v>4</v>
      </c>
    </row>
    <row r="8" spans="1:14" x14ac:dyDescent="0.25">
      <c r="A8" s="21" t="s">
        <v>90</v>
      </c>
      <c r="C8" s="17">
        <v>0.6</v>
      </c>
      <c r="D8" s="17">
        <v>0.6</v>
      </c>
      <c r="E8" s="17">
        <v>0.6</v>
      </c>
      <c r="F8" s="17">
        <v>0.6</v>
      </c>
      <c r="G8" s="17">
        <v>0.6</v>
      </c>
      <c r="H8" s="17">
        <v>0.6</v>
      </c>
      <c r="I8" s="17">
        <v>0.6</v>
      </c>
      <c r="J8" s="17">
        <v>0.6</v>
      </c>
      <c r="K8" s="17">
        <v>0.6</v>
      </c>
      <c r="L8" s="17">
        <v>0.6</v>
      </c>
      <c r="N8" s="11"/>
    </row>
    <row r="9" spans="1:14" x14ac:dyDescent="0.25">
      <c r="A9" s="21" t="s">
        <v>91</v>
      </c>
      <c r="C9" s="17">
        <v>0.3</v>
      </c>
      <c r="D9" s="17">
        <v>0.3</v>
      </c>
      <c r="E9" s="17">
        <v>0.3</v>
      </c>
      <c r="F9" s="17">
        <v>0.3</v>
      </c>
      <c r="G9" s="17">
        <v>0.3</v>
      </c>
      <c r="H9" s="17">
        <v>0.3</v>
      </c>
      <c r="I9" s="17">
        <v>0.3</v>
      </c>
      <c r="J9" s="17">
        <v>0.3</v>
      </c>
      <c r="K9" s="17">
        <v>0.3</v>
      </c>
      <c r="L9" s="17">
        <v>0.3</v>
      </c>
      <c r="N9" s="22">
        <v>1</v>
      </c>
    </row>
    <row r="10" spans="1:14" x14ac:dyDescent="0.25">
      <c r="A10" s="21" t="s">
        <v>92</v>
      </c>
      <c r="C10" s="17">
        <v>0.4</v>
      </c>
      <c r="D10" s="17">
        <v>0.4</v>
      </c>
      <c r="E10" s="17">
        <v>0.4</v>
      </c>
      <c r="F10" s="17">
        <v>0.4</v>
      </c>
      <c r="G10" s="17">
        <v>0.4</v>
      </c>
      <c r="H10" s="17">
        <v>0.4</v>
      </c>
      <c r="I10" s="17">
        <v>0.4</v>
      </c>
      <c r="J10" s="17">
        <v>0.4</v>
      </c>
      <c r="K10" s="17">
        <v>0.4</v>
      </c>
      <c r="L10" s="17">
        <v>0.4</v>
      </c>
      <c r="N10" s="22">
        <v>1</v>
      </c>
    </row>
    <row r="11" spans="1:14" s="21" customFormat="1" x14ac:dyDescent="0.25">
      <c r="A11" s="21" t="s">
        <v>107</v>
      </c>
      <c r="C11" s="29">
        <v>1</v>
      </c>
      <c r="D11" s="29">
        <v>1</v>
      </c>
      <c r="E11" s="29">
        <v>1</v>
      </c>
      <c r="F11" s="29">
        <v>1.25</v>
      </c>
      <c r="G11" s="29">
        <v>1.25</v>
      </c>
      <c r="H11" s="29">
        <v>1.25</v>
      </c>
      <c r="I11" s="29">
        <v>1.5</v>
      </c>
      <c r="J11" s="29">
        <v>1.5</v>
      </c>
      <c r="K11" s="29">
        <v>1.5</v>
      </c>
      <c r="L11" s="29">
        <v>1.75</v>
      </c>
      <c r="M11" s="1">
        <v>0.03</v>
      </c>
      <c r="N11" t="s">
        <v>131</v>
      </c>
    </row>
    <row r="12" spans="1:14" x14ac:dyDescent="0.25">
      <c r="A12" t="s">
        <v>106</v>
      </c>
      <c r="C12" s="2">
        <f>+(C4*C5*$C$11)*$N$5</f>
        <v>140000</v>
      </c>
      <c r="D12" s="2">
        <f>+(D4*D5*D$11)*$N$5</f>
        <v>145599.99999999997</v>
      </c>
      <c r="E12" s="2">
        <f t="shared" ref="E12:L12" si="1">+(E4*E5*E$11)*$N$5</f>
        <v>151424</v>
      </c>
      <c r="F12" s="2">
        <f t="shared" si="1"/>
        <v>196851.20000000001</v>
      </c>
      <c r="G12" s="2">
        <f>+(G4*G5*G$11)*$N$5</f>
        <v>204725.24800000002</v>
      </c>
      <c r="H12" s="2">
        <f t="shared" si="1"/>
        <v>212914.25792000006</v>
      </c>
      <c r="I12" s="2">
        <f t="shared" si="1"/>
        <v>265716.99388416007</v>
      </c>
      <c r="J12" s="2">
        <f t="shared" si="1"/>
        <v>276345.67363952642</v>
      </c>
      <c r="K12" s="2">
        <f t="shared" si="1"/>
        <v>287399.50058510754</v>
      </c>
      <c r="L12" s="2">
        <f t="shared" si="1"/>
        <v>348711.39404326386</v>
      </c>
    </row>
    <row r="13" spans="1:14" x14ac:dyDescent="0.25">
      <c r="A13" t="s">
        <v>89</v>
      </c>
      <c r="C13" s="2">
        <v>6.5</v>
      </c>
      <c r="D13" s="2">
        <f t="shared" ref="D13:L13" si="2">+C13*(1+$M$11)</f>
        <v>6.6950000000000003</v>
      </c>
      <c r="E13" s="2">
        <f t="shared" si="2"/>
        <v>6.8958500000000003</v>
      </c>
      <c r="F13" s="2">
        <f t="shared" si="2"/>
        <v>7.1027255</v>
      </c>
      <c r="G13" s="2">
        <f t="shared" si="2"/>
        <v>7.3158072650000001</v>
      </c>
      <c r="H13" s="2">
        <f t="shared" si="2"/>
        <v>7.5352814829500003</v>
      </c>
      <c r="I13" s="2">
        <f t="shared" si="2"/>
        <v>7.7613399274385007</v>
      </c>
      <c r="J13" s="2">
        <f t="shared" si="2"/>
        <v>7.9941801252616562</v>
      </c>
      <c r="K13" s="2">
        <f t="shared" si="2"/>
        <v>8.2340055290195053</v>
      </c>
      <c r="L13" s="2">
        <f t="shared" si="2"/>
        <v>8.4810256948900911</v>
      </c>
      <c r="M13" s="1"/>
    </row>
    <row r="14" spans="1:14" x14ac:dyDescent="0.25">
      <c r="A14" t="s">
        <v>105</v>
      </c>
      <c r="C14" s="2">
        <f>+(C4*C6*C$13)*$N$6</f>
        <v>39000</v>
      </c>
      <c r="D14" s="2">
        <f t="shared" ref="D14:L14" si="3">+(D4*D6*D$13)*$N$6</f>
        <v>41776.800000000003</v>
      </c>
      <c r="E14" s="2">
        <f t="shared" si="3"/>
        <v>44751.30816</v>
      </c>
      <c r="F14" s="2">
        <f t="shared" si="3"/>
        <v>47937.601300991999</v>
      </c>
      <c r="G14" s="2">
        <f t="shared" si="3"/>
        <v>51350.758513622633</v>
      </c>
      <c r="H14" s="2">
        <f t="shared" si="3"/>
        <v>55006.932519792579</v>
      </c>
      <c r="I14" s="2">
        <f t="shared" si="3"/>
        <v>58923.426115201815</v>
      </c>
      <c r="J14" s="2">
        <f t="shared" si="3"/>
        <v>63118.774054604182</v>
      </c>
      <c r="K14" s="2">
        <f t="shared" si="3"/>
        <v>67612.83076729202</v>
      </c>
      <c r="L14" s="2">
        <f t="shared" si="3"/>
        <v>72426.864317923217</v>
      </c>
      <c r="M14" s="1"/>
    </row>
    <row r="15" spans="1:14" x14ac:dyDescent="0.25">
      <c r="A15" t="s">
        <v>93</v>
      </c>
      <c r="C15" s="2">
        <v>12</v>
      </c>
      <c r="D15" s="2">
        <f>+C15*(1+$M$11)</f>
        <v>12.36</v>
      </c>
      <c r="E15" s="2">
        <f t="shared" ref="E15:L15" si="4">+D15*(1+$M$11)</f>
        <v>12.7308</v>
      </c>
      <c r="F15" s="2">
        <f t="shared" si="4"/>
        <v>13.112724</v>
      </c>
      <c r="G15" s="2">
        <f t="shared" si="4"/>
        <v>13.506105720000001</v>
      </c>
      <c r="H15" s="2">
        <f t="shared" si="4"/>
        <v>13.911288891600002</v>
      </c>
      <c r="I15" s="2">
        <f t="shared" si="4"/>
        <v>14.328627558348002</v>
      </c>
      <c r="J15" s="2">
        <f t="shared" si="4"/>
        <v>14.758486385098442</v>
      </c>
      <c r="K15" s="2">
        <f t="shared" si="4"/>
        <v>15.201240976651395</v>
      </c>
      <c r="L15" s="2">
        <f t="shared" si="4"/>
        <v>15.657278205950936</v>
      </c>
      <c r="M15" s="1"/>
    </row>
    <row r="16" spans="1:14" x14ac:dyDescent="0.25">
      <c r="A16" t="s">
        <v>104</v>
      </c>
      <c r="C16" s="2">
        <f>C4*C8*C15</f>
        <v>72000</v>
      </c>
      <c r="D16" s="2">
        <f>C16*(1+$M$11)</f>
        <v>74160</v>
      </c>
      <c r="E16" s="2">
        <f>D16*(1+$M$11)</f>
        <v>76384.800000000003</v>
      </c>
      <c r="F16" s="2">
        <f>E16*(1+$M$11)</f>
        <v>78676.344000000012</v>
      </c>
      <c r="G16" s="2">
        <f t="shared" ref="G16" si="5">G4*G8*G15</f>
        <v>94801.400332841789</v>
      </c>
      <c r="H16" s="2">
        <f t="shared" ref="H16" si="6">G16*(1+$M$16)</f>
        <v>94801.400332841789</v>
      </c>
      <c r="I16" s="2">
        <f>H16*(1+$M$11)</f>
        <v>97645.442342827038</v>
      </c>
      <c r="J16" s="2">
        <f>I16*(1+$M$11)</f>
        <v>100574.80561311185</v>
      </c>
      <c r="K16" s="2">
        <f t="shared" ref="K16" si="7">K4*K8*K15</f>
        <v>124823.68757038526</v>
      </c>
      <c r="L16" s="2">
        <f t="shared" ref="L16" si="8">K16*(1+$M$16)</f>
        <v>124823.68757038526</v>
      </c>
      <c r="M16" s="1"/>
    </row>
    <row r="17" spans="1:14" x14ac:dyDescent="0.25">
      <c r="A17" t="s">
        <v>95</v>
      </c>
      <c r="C17" s="2">
        <v>10</v>
      </c>
      <c r="D17" s="2">
        <f>+C17*(1+$M$11)</f>
        <v>10.3</v>
      </c>
      <c r="E17" s="2">
        <f t="shared" ref="E17:L17" si="9">+D17*(1+$M$11)</f>
        <v>10.609000000000002</v>
      </c>
      <c r="F17" s="2">
        <f t="shared" si="9"/>
        <v>10.927270000000002</v>
      </c>
      <c r="G17" s="2">
        <f t="shared" si="9"/>
        <v>11.255088100000002</v>
      </c>
      <c r="H17" s="2">
        <f t="shared" si="9"/>
        <v>11.592740743000002</v>
      </c>
      <c r="I17" s="2">
        <f t="shared" si="9"/>
        <v>11.940522965290002</v>
      </c>
      <c r="J17" s="2">
        <f t="shared" si="9"/>
        <v>12.298738654248703</v>
      </c>
      <c r="K17" s="2">
        <f t="shared" si="9"/>
        <v>12.667700813876165</v>
      </c>
      <c r="L17" s="2">
        <f t="shared" si="9"/>
        <v>13.047731838292449</v>
      </c>
      <c r="M17" s="1"/>
    </row>
    <row r="18" spans="1:14" x14ac:dyDescent="0.25">
      <c r="A18" t="s">
        <v>103</v>
      </c>
      <c r="C18" s="3">
        <f>(C4*C9*$C$17)*$N$9</f>
        <v>30000</v>
      </c>
      <c r="D18" s="3">
        <f>(D4*D9*C$17)*$N$9</f>
        <v>31200</v>
      </c>
      <c r="E18" s="3">
        <f t="shared" ref="E18:K18" si="10">(E4*E9*D$17)*$N$9</f>
        <v>33421.440000000002</v>
      </c>
      <c r="F18" s="3">
        <f t="shared" si="10"/>
        <v>35801.046528000006</v>
      </c>
      <c r="G18" s="3">
        <f t="shared" si="10"/>
        <v>38350.081040793608</v>
      </c>
      <c r="H18" s="3">
        <f t="shared" si="10"/>
        <v>41080.60681089812</v>
      </c>
      <c r="I18" s="3">
        <f t="shared" si="10"/>
        <v>44005.546015834072</v>
      </c>
      <c r="J18" s="3">
        <f t="shared" si="10"/>
        <v>47138.740892161455</v>
      </c>
      <c r="K18" s="3">
        <f t="shared" si="10"/>
        <v>50495.019243683368</v>
      </c>
      <c r="L18" s="3">
        <f>(L4*L9*K$17)*$N$9</f>
        <v>54090.26461383362</v>
      </c>
    </row>
    <row r="19" spans="1:14" x14ac:dyDescent="0.25">
      <c r="A19" t="s">
        <v>94</v>
      </c>
      <c r="C19" s="3">
        <v>6.5</v>
      </c>
      <c r="D19" s="2">
        <f>+C19*(1+$M$11)</f>
        <v>6.6950000000000003</v>
      </c>
      <c r="E19" s="2">
        <f t="shared" ref="E19:L19" si="11">+D19*(1+$M$11)</f>
        <v>6.8958500000000003</v>
      </c>
      <c r="F19" s="2">
        <f t="shared" si="11"/>
        <v>7.1027255</v>
      </c>
      <c r="G19" s="2">
        <f t="shared" si="11"/>
        <v>7.3158072650000001</v>
      </c>
      <c r="H19" s="2">
        <f t="shared" si="11"/>
        <v>7.5352814829500003</v>
      </c>
      <c r="I19" s="2">
        <f t="shared" si="11"/>
        <v>7.7613399274385007</v>
      </c>
      <c r="J19" s="2">
        <f t="shared" si="11"/>
        <v>7.9941801252616562</v>
      </c>
      <c r="K19" s="2">
        <f t="shared" si="11"/>
        <v>8.2340055290195053</v>
      </c>
      <c r="L19" s="2">
        <f t="shared" si="11"/>
        <v>8.4810256948900911</v>
      </c>
    </row>
    <row r="20" spans="1:14" x14ac:dyDescent="0.25">
      <c r="A20" t="s">
        <v>102</v>
      </c>
      <c r="C20" s="4">
        <f>(C4*C7*C$19)*$N$7</f>
        <v>208000</v>
      </c>
      <c r="D20" s="4">
        <f t="shared" ref="D20:L20" si="12">(D4*D7*D$19)*$N$7</f>
        <v>222809.60000000001</v>
      </c>
      <c r="E20" s="4">
        <f t="shared" si="12"/>
        <v>238673.64352000004</v>
      </c>
      <c r="F20" s="4">
        <f t="shared" si="12"/>
        <v>255667.20693862406</v>
      </c>
      <c r="G20" s="4">
        <f t="shared" si="12"/>
        <v>273870.7120726541</v>
      </c>
      <c r="H20" s="4">
        <f t="shared" si="12"/>
        <v>293370.30677222711</v>
      </c>
      <c r="I20" s="4">
        <f t="shared" si="12"/>
        <v>314258.27261440968</v>
      </c>
      <c r="J20" s="4">
        <f t="shared" si="12"/>
        <v>336633.46162455576</v>
      </c>
      <c r="K20" s="4">
        <f t="shared" si="12"/>
        <v>360601.76409222407</v>
      </c>
      <c r="L20" s="4">
        <f t="shared" si="12"/>
        <v>386276.60969559045</v>
      </c>
      <c r="M20" s="1"/>
    </row>
    <row r="21" spans="1:14" x14ac:dyDescent="0.25">
      <c r="A21" t="s">
        <v>96</v>
      </c>
      <c r="C21" s="4">
        <v>15</v>
      </c>
      <c r="D21" s="2">
        <f>+C21*(1+$M$11)</f>
        <v>15.450000000000001</v>
      </c>
      <c r="E21" s="2">
        <f t="shared" ref="E21:L21" si="13">+D21*(1+$M$11)</f>
        <v>15.913500000000001</v>
      </c>
      <c r="F21" s="2">
        <f t="shared" si="13"/>
        <v>16.390905</v>
      </c>
      <c r="G21" s="2">
        <f t="shared" si="13"/>
        <v>16.882632149999999</v>
      </c>
      <c r="H21" s="2">
        <f t="shared" si="13"/>
        <v>17.3891111145</v>
      </c>
      <c r="I21" s="2">
        <f t="shared" si="13"/>
        <v>17.910784447935001</v>
      </c>
      <c r="J21" s="2">
        <f t="shared" si="13"/>
        <v>18.448107981373052</v>
      </c>
      <c r="K21" s="2">
        <f t="shared" si="13"/>
        <v>19.001551220814246</v>
      </c>
      <c r="L21" s="2">
        <f t="shared" si="13"/>
        <v>19.571597757438674</v>
      </c>
      <c r="M21" s="1"/>
    </row>
    <row r="22" spans="1:14" x14ac:dyDescent="0.25">
      <c r="A22" t="s">
        <v>101</v>
      </c>
      <c r="C22" s="4">
        <f>(C4*C10*C$21)*$N$10</f>
        <v>60000</v>
      </c>
      <c r="D22" s="4">
        <f t="shared" ref="D22:L22" si="14">(D4*D10*D$21)*$N$10</f>
        <v>64272.000000000007</v>
      </c>
      <c r="E22" s="4">
        <f t="shared" si="14"/>
        <v>68848.166400000016</v>
      </c>
      <c r="F22" s="4">
        <f t="shared" si="14"/>
        <v>73750.155847680013</v>
      </c>
      <c r="G22" s="4">
        <f t="shared" si="14"/>
        <v>79001.166944034834</v>
      </c>
      <c r="H22" s="4">
        <f t="shared" si="14"/>
        <v>84626.050030450118</v>
      </c>
      <c r="I22" s="4">
        <f t="shared" si="14"/>
        <v>90651.424792618171</v>
      </c>
      <c r="J22" s="4">
        <f t="shared" si="14"/>
        <v>97105.806237852608</v>
      </c>
      <c r="K22" s="4">
        <f t="shared" si="14"/>
        <v>104019.73964198773</v>
      </c>
      <c r="L22" s="4">
        <f t="shared" si="14"/>
        <v>111425.94510449727</v>
      </c>
      <c r="M22" s="1"/>
    </row>
    <row r="23" spans="1:14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1"/>
    </row>
    <row r="24" spans="1:14" x14ac:dyDescent="0.25">
      <c r="A24" t="s">
        <v>118</v>
      </c>
      <c r="C24" s="4">
        <v>2650000</v>
      </c>
      <c r="D24" s="4"/>
      <c r="E24" s="4"/>
      <c r="F24" s="4"/>
      <c r="G24" s="4"/>
      <c r="H24" s="4"/>
      <c r="I24" s="4"/>
      <c r="J24" s="4"/>
      <c r="K24" s="4"/>
      <c r="L24" s="4"/>
      <c r="M24" s="1"/>
    </row>
    <row r="25" spans="1:14" x14ac:dyDescent="0.25">
      <c r="A25" t="s">
        <v>120</v>
      </c>
      <c r="C25" s="26">
        <v>10</v>
      </c>
      <c r="D25" s="4" t="s">
        <v>121</v>
      </c>
      <c r="E25" s="4"/>
      <c r="F25" s="4"/>
      <c r="G25" s="4"/>
      <c r="H25" s="4"/>
      <c r="I25" s="4"/>
      <c r="J25" s="4"/>
      <c r="K25" s="4"/>
      <c r="L25" s="4"/>
      <c r="M25" s="1"/>
    </row>
    <row r="26" spans="1:14" x14ac:dyDescent="0.25">
      <c r="A26" t="s">
        <v>122</v>
      </c>
      <c r="C26" s="4">
        <v>65000</v>
      </c>
      <c r="D26" s="4"/>
      <c r="E26" s="4"/>
      <c r="F26" s="4"/>
      <c r="G26" s="4"/>
      <c r="H26" s="4"/>
      <c r="I26" s="4"/>
      <c r="J26" s="4"/>
      <c r="K26" s="4"/>
      <c r="L26" s="4"/>
      <c r="M26" s="1"/>
    </row>
    <row r="27" spans="1:14" x14ac:dyDescent="0.25">
      <c r="A27" t="s">
        <v>123</v>
      </c>
      <c r="C27" s="23">
        <v>9870</v>
      </c>
      <c r="D27" s="4"/>
      <c r="E27" s="4"/>
      <c r="F27" s="4"/>
      <c r="G27" s="4"/>
      <c r="H27" s="4"/>
      <c r="I27" s="4"/>
      <c r="J27" s="4"/>
      <c r="K27" s="4"/>
      <c r="L27" s="4"/>
      <c r="M27" s="1"/>
    </row>
    <row r="28" spans="1:14" x14ac:dyDescent="0.25">
      <c r="A28" t="s">
        <v>124</v>
      </c>
      <c r="C28" s="4">
        <v>185</v>
      </c>
      <c r="D28" s="4"/>
      <c r="E28" s="4"/>
      <c r="F28" s="4"/>
      <c r="G28" s="4"/>
      <c r="H28" s="4"/>
      <c r="I28" s="4"/>
      <c r="J28" s="4"/>
      <c r="K28" s="4"/>
      <c r="L28" s="4"/>
      <c r="M28" s="1"/>
    </row>
    <row r="29" spans="1:14" x14ac:dyDescent="0.25">
      <c r="A29" t="s">
        <v>125</v>
      </c>
      <c r="C29" s="4">
        <v>250000</v>
      </c>
      <c r="D29" s="4"/>
      <c r="E29" s="4"/>
      <c r="F29" s="4"/>
      <c r="G29" s="4"/>
      <c r="H29" s="4"/>
      <c r="I29" s="4"/>
      <c r="J29" s="4"/>
      <c r="K29" s="4"/>
      <c r="L29" s="4"/>
      <c r="M29" s="1"/>
    </row>
    <row r="30" spans="1:14" x14ac:dyDescent="0.25">
      <c r="A30" t="s">
        <v>126</v>
      </c>
      <c r="C30" s="23">
        <v>30</v>
      </c>
      <c r="D30" s="23">
        <f>+C30*(1+$M$30)</f>
        <v>30.3</v>
      </c>
      <c r="E30" s="23">
        <f t="shared" ref="E30:L30" si="15">+D30*(1+$M$30)</f>
        <v>30.603000000000002</v>
      </c>
      <c r="F30" s="23">
        <f t="shared" si="15"/>
        <v>30.909030000000001</v>
      </c>
      <c r="G30" s="23">
        <f t="shared" si="15"/>
        <v>31.218120300000002</v>
      </c>
      <c r="H30" s="23">
        <f t="shared" si="15"/>
        <v>31.530301503000004</v>
      </c>
      <c r="I30" s="23">
        <f t="shared" si="15"/>
        <v>31.845604518030004</v>
      </c>
      <c r="J30" s="23">
        <f t="shared" si="15"/>
        <v>32.164060563210306</v>
      </c>
      <c r="K30" s="23">
        <f t="shared" si="15"/>
        <v>32.485701168842411</v>
      </c>
      <c r="L30" s="23">
        <f t="shared" si="15"/>
        <v>32.810558180530833</v>
      </c>
      <c r="M30" s="1">
        <v>0.01</v>
      </c>
      <c r="N30" t="s">
        <v>179</v>
      </c>
    </row>
    <row r="31" spans="1:14" x14ac:dyDescent="0.25">
      <c r="A31" t="s">
        <v>129</v>
      </c>
      <c r="C31" s="23">
        <v>30</v>
      </c>
    </row>
    <row r="33" spans="1:14" x14ac:dyDescent="0.25">
      <c r="A33" s="6" t="s">
        <v>1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4" x14ac:dyDescent="0.25">
      <c r="A34" t="s">
        <v>97</v>
      </c>
      <c r="C34" s="4">
        <f>C12+C14+C16+C18+C20+C22</f>
        <v>549000</v>
      </c>
      <c r="D34" s="4">
        <f>D12+D14+D16+D18+D20+D22</f>
        <v>579818.4</v>
      </c>
      <c r="E34" s="4">
        <f t="shared" ref="E34:H34" si="16">E12+E14+E16+E18+E20+E22</f>
        <v>613503.35808000003</v>
      </c>
      <c r="F34" s="4">
        <f t="shared" si="16"/>
        <v>688683.55461529619</v>
      </c>
      <c r="G34" s="4">
        <f>G12+G14+G16+G18+G20+G22</f>
        <v>742099.36690394697</v>
      </c>
      <c r="H34" s="4">
        <f t="shared" si="16"/>
        <v>781799.5543862097</v>
      </c>
      <c r="I34" s="4">
        <f t="shared" ref="I34:L34" si="17">I12+I14+I16+I18+I20+I22</f>
        <v>871201.10576505086</v>
      </c>
      <c r="J34" s="4">
        <f t="shared" si="17"/>
        <v>920917.26206181222</v>
      </c>
      <c r="K34" s="4">
        <f>K12+K14+K16+K18+K20+K22</f>
        <v>994952.54190067993</v>
      </c>
      <c r="L34" s="4">
        <f t="shared" si="17"/>
        <v>1097754.7653454938</v>
      </c>
    </row>
    <row r="35" spans="1:14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x14ac:dyDescent="0.25">
      <c r="A36" t="s">
        <v>114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4" x14ac:dyDescent="0.25">
      <c r="A37" s="25" t="s">
        <v>98</v>
      </c>
      <c r="C37" s="4">
        <f>+C34*$M$37</f>
        <v>54900</v>
      </c>
      <c r="D37" s="4">
        <f t="shared" ref="D37:G37" si="18">+D34*$M$37</f>
        <v>57981.840000000004</v>
      </c>
      <c r="E37" s="4">
        <f t="shared" si="18"/>
        <v>61350.335808000003</v>
      </c>
      <c r="F37" s="4">
        <f t="shared" si="18"/>
        <v>68868.355461529616</v>
      </c>
      <c r="G37" s="4">
        <f t="shared" si="18"/>
        <v>74209.936690394694</v>
      </c>
      <c r="H37" s="4">
        <f t="shared" ref="H37:L37" si="19">+H34*$M$37</f>
        <v>78179.955438620978</v>
      </c>
      <c r="I37" s="4">
        <f t="shared" si="19"/>
        <v>87120.110576505089</v>
      </c>
      <c r="J37" s="4">
        <f t="shared" si="19"/>
        <v>92091.726206181222</v>
      </c>
      <c r="K37" s="4">
        <f t="shared" si="19"/>
        <v>99495.254190067993</v>
      </c>
      <c r="L37" s="4">
        <f t="shared" si="19"/>
        <v>109775.47653454938</v>
      </c>
      <c r="M37" s="17">
        <v>0.1</v>
      </c>
      <c r="N37" t="s">
        <v>115</v>
      </c>
    </row>
    <row r="38" spans="1:14" x14ac:dyDescent="0.25">
      <c r="A38" s="25" t="s">
        <v>99</v>
      </c>
      <c r="C38" s="4">
        <f>+C34*$M$38</f>
        <v>43920</v>
      </c>
      <c r="D38" s="4">
        <f t="shared" ref="D38:G38" si="20">+D34*$M$38</f>
        <v>46385.472000000002</v>
      </c>
      <c r="E38" s="4">
        <f t="shared" si="20"/>
        <v>49080.268646400007</v>
      </c>
      <c r="F38" s="4">
        <f t="shared" si="20"/>
        <v>55094.684369223694</v>
      </c>
      <c r="G38" s="4">
        <f t="shared" si="20"/>
        <v>59367.949352315758</v>
      </c>
      <c r="H38" s="4">
        <f t="shared" ref="H38:L38" si="21">+H34*$M$38</f>
        <v>62543.964350896778</v>
      </c>
      <c r="I38" s="4">
        <f t="shared" si="21"/>
        <v>69696.088461204068</v>
      </c>
      <c r="J38" s="4">
        <f t="shared" si="21"/>
        <v>73673.380964944983</v>
      </c>
      <c r="K38" s="4">
        <f t="shared" si="21"/>
        <v>79596.203352054392</v>
      </c>
      <c r="L38" s="4">
        <f t="shared" si="21"/>
        <v>87820.381227639504</v>
      </c>
      <c r="M38" s="17">
        <v>0.08</v>
      </c>
      <c r="N38" t="s">
        <v>115</v>
      </c>
    </row>
    <row r="39" spans="1:14" x14ac:dyDescent="0.25">
      <c r="A39" s="25" t="s">
        <v>109</v>
      </c>
      <c r="C39" s="4">
        <f>+C16*$M$39</f>
        <v>43200</v>
      </c>
      <c r="D39" s="4">
        <f t="shared" ref="D39:G39" si="22">+D16*$M$39</f>
        <v>44496</v>
      </c>
      <c r="E39" s="4">
        <f t="shared" si="22"/>
        <v>45830.879999999997</v>
      </c>
      <c r="F39" s="4">
        <f t="shared" si="22"/>
        <v>47205.806400000009</v>
      </c>
      <c r="G39" s="4">
        <f t="shared" si="22"/>
        <v>56880.840199705075</v>
      </c>
      <c r="H39" s="4">
        <f t="shared" ref="H39:L39" si="23">+H16*$M$39</f>
        <v>56880.840199705075</v>
      </c>
      <c r="I39" s="4">
        <f t="shared" si="23"/>
        <v>58587.26540569622</v>
      </c>
      <c r="J39" s="4">
        <f t="shared" si="23"/>
        <v>60344.883367867107</v>
      </c>
      <c r="K39" s="4">
        <f t="shared" si="23"/>
        <v>74894.212542231151</v>
      </c>
      <c r="L39" s="4">
        <f t="shared" si="23"/>
        <v>74894.212542231151</v>
      </c>
      <c r="M39" s="17">
        <v>0.6</v>
      </c>
      <c r="N39" t="s">
        <v>116</v>
      </c>
    </row>
    <row r="40" spans="1:14" x14ac:dyDescent="0.25">
      <c r="A40" s="25" t="s">
        <v>100</v>
      </c>
      <c r="C40" s="4">
        <f>+C34*$M$40</f>
        <v>137250</v>
      </c>
      <c r="D40" s="4">
        <f t="shared" ref="D40:F40" si="24">+D34*$M$40</f>
        <v>144954.6</v>
      </c>
      <c r="E40" s="4">
        <f t="shared" si="24"/>
        <v>153375.83952000001</v>
      </c>
      <c r="F40" s="4">
        <f t="shared" si="24"/>
        <v>172170.88865382405</v>
      </c>
      <c r="G40" s="4">
        <f>+G34*$M$40</f>
        <v>185524.84172598674</v>
      </c>
      <c r="H40" s="4">
        <f t="shared" ref="H40:L40" si="25">+H34*$M$40</f>
        <v>195449.88859655242</v>
      </c>
      <c r="I40" s="4">
        <f t="shared" si="25"/>
        <v>217800.27644126271</v>
      </c>
      <c r="J40" s="4">
        <f t="shared" si="25"/>
        <v>230229.31551545305</v>
      </c>
      <c r="K40" s="4">
        <f t="shared" si="25"/>
        <v>248738.13547516998</v>
      </c>
      <c r="L40" s="4">
        <f t="shared" si="25"/>
        <v>274438.69133637345</v>
      </c>
      <c r="M40" s="1">
        <v>0.25</v>
      </c>
      <c r="N40" t="s">
        <v>117</v>
      </c>
    </row>
    <row r="41" spans="1:14" x14ac:dyDescent="0.25">
      <c r="A41" s="25" t="s">
        <v>134</v>
      </c>
      <c r="C41" s="5">
        <f>+C34*$M$41</f>
        <v>82350</v>
      </c>
      <c r="D41" s="5">
        <f t="shared" ref="D41:L41" si="26">+D34*$M$41</f>
        <v>86972.76</v>
      </c>
      <c r="E41" s="5">
        <f t="shared" si="26"/>
        <v>92025.503712000005</v>
      </c>
      <c r="F41" s="5">
        <f t="shared" si="26"/>
        <v>103302.53319229443</v>
      </c>
      <c r="G41" s="5">
        <f t="shared" si="26"/>
        <v>111314.90503559205</v>
      </c>
      <c r="H41" s="5">
        <f t="shared" si="26"/>
        <v>117269.93315793145</v>
      </c>
      <c r="I41" s="5">
        <f t="shared" si="26"/>
        <v>130680.16586475763</v>
      </c>
      <c r="J41" s="5">
        <f t="shared" si="26"/>
        <v>138137.58930927183</v>
      </c>
      <c r="K41" s="5">
        <f t="shared" si="26"/>
        <v>149242.88128510199</v>
      </c>
      <c r="L41" s="5">
        <f t="shared" si="26"/>
        <v>164663.21480182407</v>
      </c>
      <c r="M41" s="1">
        <v>0.15</v>
      </c>
      <c r="N41" t="s">
        <v>135</v>
      </c>
    </row>
    <row r="42" spans="1:14" x14ac:dyDescent="0.25">
      <c r="A42" s="25" t="s">
        <v>136</v>
      </c>
      <c r="C42" s="5">
        <f>+C59*$M$42</f>
        <v>9129.75</v>
      </c>
      <c r="D42" s="5">
        <f t="shared" ref="D42:L42" si="27">+D59*$M$42</f>
        <v>10379.75</v>
      </c>
      <c r="E42" s="5">
        <f t="shared" si="27"/>
        <v>10379.75</v>
      </c>
      <c r="F42" s="5">
        <f t="shared" si="27"/>
        <v>10379.75</v>
      </c>
      <c r="G42" s="5">
        <f t="shared" si="27"/>
        <v>10379.75</v>
      </c>
      <c r="H42" s="5">
        <f t="shared" si="27"/>
        <v>10379.75</v>
      </c>
      <c r="I42" s="5">
        <f t="shared" si="27"/>
        <v>10379.75</v>
      </c>
      <c r="J42" s="5">
        <f t="shared" si="27"/>
        <v>10379.75</v>
      </c>
      <c r="K42" s="5">
        <f t="shared" si="27"/>
        <v>12879.75</v>
      </c>
      <c r="L42" s="5">
        <f t="shared" si="27"/>
        <v>12879.75</v>
      </c>
      <c r="M42" s="1">
        <v>5.0000000000000001E-3</v>
      </c>
      <c r="N42" t="s">
        <v>137</v>
      </c>
    </row>
    <row r="43" spans="1:14" x14ac:dyDescent="0.25">
      <c r="A43" s="2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x14ac:dyDescent="0.25">
      <c r="A44" s="25" t="s">
        <v>110</v>
      </c>
      <c r="C44" s="4">
        <f>C59/30</f>
        <v>60865</v>
      </c>
      <c r="D44" s="4">
        <f>D59/30</f>
        <v>69198.333333333328</v>
      </c>
      <c r="E44" s="4">
        <f>E59/30</f>
        <v>69198.333333333328</v>
      </c>
      <c r="F44" s="4">
        <f>F59/30</f>
        <v>69198.333333333328</v>
      </c>
      <c r="G44" s="4">
        <f t="shared" ref="G44:L44" si="28">G59/30</f>
        <v>69198.333333333328</v>
      </c>
      <c r="H44" s="4">
        <f t="shared" si="28"/>
        <v>69198.333333333328</v>
      </c>
      <c r="I44" s="4">
        <f t="shared" si="28"/>
        <v>69198.333333333328</v>
      </c>
      <c r="J44" s="4">
        <f t="shared" si="28"/>
        <v>69198.333333333328</v>
      </c>
      <c r="K44" s="4">
        <f t="shared" si="28"/>
        <v>85865</v>
      </c>
      <c r="L44" s="4">
        <f t="shared" si="28"/>
        <v>85865</v>
      </c>
    </row>
    <row r="45" spans="1:14" x14ac:dyDescent="0.25">
      <c r="A45" s="25" t="s">
        <v>111</v>
      </c>
      <c r="C45" s="4">
        <f>+C62/7</f>
        <v>35714.285714285717</v>
      </c>
      <c r="D45" s="4">
        <f t="shared" ref="D45:G45" si="29">+D62/7</f>
        <v>35714.285714285717</v>
      </c>
      <c r="E45" s="4">
        <f t="shared" si="29"/>
        <v>35714.285714285717</v>
      </c>
      <c r="F45" s="4">
        <f t="shared" si="29"/>
        <v>35714.285714285717</v>
      </c>
      <c r="G45" s="4">
        <f t="shared" si="29"/>
        <v>35714.285714285717</v>
      </c>
      <c r="H45" s="4">
        <f t="shared" ref="H45:J45" si="30">+H62/7</f>
        <v>35714.285714285717</v>
      </c>
      <c r="I45" s="4">
        <f t="shared" si="30"/>
        <v>35714.285714285717</v>
      </c>
      <c r="J45" s="4">
        <f t="shared" si="30"/>
        <v>35714.285714285717</v>
      </c>
      <c r="K45" s="4">
        <f t="shared" ref="K45:L45" si="31">+IF(J62=(-J63),0,K62/7)</f>
        <v>35714.285714285717</v>
      </c>
      <c r="L45" s="4">
        <f t="shared" si="31"/>
        <v>35714.285714285717</v>
      </c>
    </row>
    <row r="46" spans="1:14" x14ac:dyDescent="0.25">
      <c r="A46" s="25" t="s">
        <v>3</v>
      </c>
      <c r="C46" s="4">
        <f>Mortgage!D14</f>
        <v>73605.418933785637</v>
      </c>
      <c r="D46" s="4">
        <f>Mortgage!D28</f>
        <v>72274.505750284137</v>
      </c>
      <c r="E46" s="4">
        <f>Mortgage!D42</f>
        <v>70889.369110194501</v>
      </c>
      <c r="F46" s="4">
        <f>Mortgage!D56</f>
        <v>69447.79986623289</v>
      </c>
      <c r="G46" s="4">
        <f>+Mortgage!D70</f>
        <v>67947.498867046583</v>
      </c>
      <c r="H46" s="4">
        <f>+Mortgage!D84</f>
        <v>66386.073290309287</v>
      </c>
      <c r="I46" s="4">
        <f>+Mortgage!D98</f>
        <v>64761.032826421317</v>
      </c>
      <c r="J46" s="4">
        <f>+Mortgage!D112</f>
        <v>63069.785706727453</v>
      </c>
      <c r="K46" s="4">
        <f>+Mortgage!D126</f>
        <v>61309.634569918606</v>
      </c>
      <c r="L46" s="4">
        <f>+Mortgage!D140</f>
        <v>59477.772160024157</v>
      </c>
    </row>
    <row r="47" spans="1:14" x14ac:dyDescent="0.25">
      <c r="A47" s="25" t="s">
        <v>4</v>
      </c>
      <c r="C47" s="4">
        <f>C72*$M$47</f>
        <v>21215.762425132991</v>
      </c>
      <c r="D47" s="4">
        <f t="shared" ref="D47:G47" si="32">D72*$M$47</f>
        <v>46999.561849060767</v>
      </c>
      <c r="E47" s="4">
        <f t="shared" si="32"/>
        <v>40464.453841203678</v>
      </c>
      <c r="F47" s="4">
        <f t="shared" si="32"/>
        <v>28958.912103000916</v>
      </c>
      <c r="G47" s="4">
        <f t="shared" si="32"/>
        <v>15091.835959314187</v>
      </c>
      <c r="H47" s="4">
        <f t="shared" ref="H47:L47" si="33">H72*$M$47</f>
        <v>0</v>
      </c>
      <c r="I47" s="4">
        <f t="shared" si="33"/>
        <v>0</v>
      </c>
      <c r="J47" s="4">
        <f t="shared" si="33"/>
        <v>0</v>
      </c>
      <c r="K47" s="4">
        <f t="shared" si="33"/>
        <v>27827.038037290935</v>
      </c>
      <c r="L47" s="4">
        <f t="shared" si="33"/>
        <v>0</v>
      </c>
      <c r="M47" s="1">
        <v>0.12</v>
      </c>
      <c r="N47" t="s">
        <v>22</v>
      </c>
    </row>
    <row r="48" spans="1:14" x14ac:dyDescent="0.25">
      <c r="A48" s="2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4" x14ac:dyDescent="0.25">
      <c r="A49" t="s">
        <v>5</v>
      </c>
      <c r="C49" s="5">
        <f>C34-SUM(C37:C47)</f>
        <v>-13150.217073204461</v>
      </c>
      <c r="D49" s="5">
        <f>D34-SUM(D37:D47)</f>
        <v>-35538.708646964049</v>
      </c>
      <c r="E49" s="5">
        <f>E34-SUM(E37:E47)</f>
        <v>-14805.661605417263</v>
      </c>
      <c r="F49" s="5">
        <f>F34-SUM(F37:F47)</f>
        <v>28342.205521571566</v>
      </c>
      <c r="G49" s="5">
        <f t="shared" ref="G49:L49" si="34">G34-SUM(G37:G47)</f>
        <v>56469.190025972901</v>
      </c>
      <c r="H49" s="5">
        <f t="shared" si="34"/>
        <v>89796.53030457464</v>
      </c>
      <c r="I49" s="5">
        <f t="shared" si="34"/>
        <v>127263.7971415848</v>
      </c>
      <c r="J49" s="5">
        <f t="shared" si="34"/>
        <v>148078.21194374748</v>
      </c>
      <c r="K49" s="5">
        <f t="shared" si="34"/>
        <v>119390.14673455921</v>
      </c>
      <c r="L49" s="5">
        <f t="shared" si="34"/>
        <v>192225.98102856649</v>
      </c>
      <c r="M49" s="17">
        <v>0.25</v>
      </c>
      <c r="N49" t="s">
        <v>170</v>
      </c>
    </row>
    <row r="50" spans="1:14" x14ac:dyDescent="0.25">
      <c r="A50" t="s">
        <v>6</v>
      </c>
      <c r="C50" s="4">
        <f>IF(C49&lt;0,0,C49*$M$49)</f>
        <v>0</v>
      </c>
      <c r="D50" s="4">
        <f>IF(D49&lt;0,0,D49*$M$49)</f>
        <v>0</v>
      </c>
      <c r="E50" s="4">
        <f>IF(E49&lt;0,0,E49*$M$49)</f>
        <v>0</v>
      </c>
      <c r="F50" s="4">
        <f>IF(F49&lt;0,0,F49*$M$49)</f>
        <v>7085.5513803928916</v>
      </c>
      <c r="G50" s="4">
        <f>IF(G49&lt;0,0,G49*$M$49)</f>
        <v>14117.297506493225</v>
      </c>
      <c r="H50" s="4">
        <f t="shared" ref="H50:L50" si="35">IF(H49&lt;0,0,H49*$M$49)</f>
        <v>22449.13257614366</v>
      </c>
      <c r="I50" s="4">
        <f t="shared" si="35"/>
        <v>31815.9492853962</v>
      </c>
      <c r="J50" s="4">
        <f t="shared" si="35"/>
        <v>37019.552985936869</v>
      </c>
      <c r="K50" s="4">
        <f t="shared" si="35"/>
        <v>29847.536683639803</v>
      </c>
      <c r="L50" s="4">
        <f t="shared" si="35"/>
        <v>48056.495257141622</v>
      </c>
    </row>
    <row r="51" spans="1:14" ht="15.75" thickBot="1" x14ac:dyDescent="0.3">
      <c r="A51" t="s">
        <v>7</v>
      </c>
      <c r="C51" s="18">
        <f>C49-C50</f>
        <v>-13150.217073204461</v>
      </c>
      <c r="D51" s="18">
        <f>D49-D50</f>
        <v>-35538.708646964049</v>
      </c>
      <c r="E51" s="18">
        <f>E49-E50</f>
        <v>-14805.661605417263</v>
      </c>
      <c r="F51" s="18">
        <f>F49-F50</f>
        <v>21256.654141178675</v>
      </c>
      <c r="G51" s="18">
        <f t="shared" ref="G51:L51" si="36">G49-G50</f>
        <v>42351.892519479676</v>
      </c>
      <c r="H51" s="18">
        <f t="shared" si="36"/>
        <v>67347.39772843098</v>
      </c>
      <c r="I51" s="18">
        <f t="shared" si="36"/>
        <v>95447.8478561886</v>
      </c>
      <c r="J51" s="18">
        <f t="shared" si="36"/>
        <v>111058.65895781061</v>
      </c>
      <c r="K51" s="18">
        <f t="shared" si="36"/>
        <v>89542.610050919408</v>
      </c>
      <c r="L51" s="18">
        <f t="shared" si="36"/>
        <v>144169.48577142486</v>
      </c>
    </row>
    <row r="52" spans="1:14" ht="15.75" thickTop="1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4" x14ac:dyDescent="0.25">
      <c r="A53" s="6" t="s">
        <v>2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4" x14ac:dyDescent="0.25">
      <c r="A54" s="6" t="s">
        <v>8</v>
      </c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4" x14ac:dyDescent="0.25">
      <c r="A55" t="s">
        <v>9</v>
      </c>
      <c r="C55" s="4">
        <v>3000</v>
      </c>
      <c r="D55" s="4">
        <v>3000</v>
      </c>
      <c r="E55" s="4">
        <v>3000</v>
      </c>
      <c r="F55" s="4">
        <v>3000</v>
      </c>
      <c r="G55" s="4">
        <v>3000</v>
      </c>
      <c r="H55" s="4">
        <v>3000</v>
      </c>
      <c r="I55" s="4">
        <v>3000</v>
      </c>
      <c r="J55" s="4">
        <v>3000</v>
      </c>
      <c r="K55" s="4">
        <v>3000</v>
      </c>
      <c r="L55" s="4">
        <v>3000</v>
      </c>
      <c r="M55" s="4"/>
    </row>
    <row r="56" spans="1:14" x14ac:dyDescent="0.25">
      <c r="A56" t="s">
        <v>10</v>
      </c>
      <c r="C56" s="5"/>
      <c r="D56" s="5"/>
      <c r="E56" s="5"/>
      <c r="F56" s="5"/>
      <c r="G56" s="5"/>
      <c r="H56" s="5">
        <v>14614.845722715479</v>
      </c>
      <c r="I56" s="5">
        <v>182152.47899045705</v>
      </c>
      <c r="J56" s="5">
        <v>109713.21117318957</v>
      </c>
      <c r="K56" s="5"/>
      <c r="L56" s="5">
        <v>4460.7443485434642</v>
      </c>
    </row>
    <row r="57" spans="1:14" x14ac:dyDescent="0.25">
      <c r="A57" t="s">
        <v>112</v>
      </c>
      <c r="C57" s="4">
        <f>+((C39/365)*$C$30)+((C38/365)*$C$30)</f>
        <v>7160.5479452054797</v>
      </c>
      <c r="D57" s="4">
        <f>+((D39/365)*$C$30)+((D38/365)*D$30)</f>
        <v>7507.8350728767127</v>
      </c>
      <c r="E57" s="4">
        <f t="shared" ref="E57:L57" si="37">+((E39/365)*$C$30)+((E38/365)*E$30)</f>
        <v>7881.9996202350121</v>
      </c>
      <c r="F57" s="4">
        <f t="shared" si="37"/>
        <v>8545.4724493393587</v>
      </c>
      <c r="G57" s="4">
        <f t="shared" si="37"/>
        <v>9752.8246324275424</v>
      </c>
      <c r="H57" s="4">
        <f t="shared" si="37"/>
        <v>10077.959614158386</v>
      </c>
      <c r="I57" s="4">
        <f t="shared" si="37"/>
        <v>10896.252141808291</v>
      </c>
      <c r="J57" s="4">
        <f t="shared" si="37"/>
        <v>11452.004351476628</v>
      </c>
      <c r="K57" s="4">
        <f t="shared" si="37"/>
        <v>13239.903705578592</v>
      </c>
      <c r="L57" s="4">
        <f t="shared" si="37"/>
        <v>14050.03316156931</v>
      </c>
    </row>
    <row r="58" spans="1:14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4" x14ac:dyDescent="0.25">
      <c r="A59" t="s">
        <v>11</v>
      </c>
      <c r="C59" s="4">
        <f>+$C$28*$C$27</f>
        <v>1825950</v>
      </c>
      <c r="D59" s="4">
        <f>+$C$59+250000</f>
        <v>2075950</v>
      </c>
      <c r="E59" s="4">
        <f t="shared" ref="E59:J59" si="38">+$C$59+250000</f>
        <v>2075950</v>
      </c>
      <c r="F59" s="4">
        <f t="shared" si="38"/>
        <v>2075950</v>
      </c>
      <c r="G59" s="4">
        <f t="shared" si="38"/>
        <v>2075950</v>
      </c>
      <c r="H59" s="4">
        <f t="shared" si="38"/>
        <v>2075950</v>
      </c>
      <c r="I59" s="4">
        <f t="shared" si="38"/>
        <v>2075950</v>
      </c>
      <c r="J59" s="4">
        <f t="shared" si="38"/>
        <v>2075950</v>
      </c>
      <c r="K59" s="4">
        <f>+$C$59+250000+500000</f>
        <v>2575950</v>
      </c>
      <c r="L59" s="4">
        <f>+$C$59+250000+500000</f>
        <v>2575950</v>
      </c>
    </row>
    <row r="60" spans="1:14" x14ac:dyDescent="0.25">
      <c r="A60" t="s">
        <v>12</v>
      </c>
      <c r="C60" s="5">
        <f>-(B60+C44)</f>
        <v>-60865</v>
      </c>
      <c r="D60" s="5">
        <f>C60-D44</f>
        <v>-130063.33333333333</v>
      </c>
      <c r="E60" s="5">
        <f t="shared" ref="E60:L60" si="39">D60-E44</f>
        <v>-199261.66666666666</v>
      </c>
      <c r="F60" s="5">
        <f t="shared" si="39"/>
        <v>-268460</v>
      </c>
      <c r="G60" s="5">
        <f t="shared" si="39"/>
        <v>-337658.33333333331</v>
      </c>
      <c r="H60" s="5">
        <f t="shared" si="39"/>
        <v>-406856.66666666663</v>
      </c>
      <c r="I60" s="5">
        <f t="shared" si="39"/>
        <v>-476054.99999999994</v>
      </c>
      <c r="J60" s="5">
        <f t="shared" si="39"/>
        <v>-545253.33333333326</v>
      </c>
      <c r="K60" s="5">
        <f t="shared" si="39"/>
        <v>-631118.33333333326</v>
      </c>
      <c r="L60" s="5">
        <f t="shared" si="39"/>
        <v>-716983.33333333326</v>
      </c>
    </row>
    <row r="61" spans="1:14" x14ac:dyDescent="0.25">
      <c r="A61" t="s">
        <v>119</v>
      </c>
      <c r="C61" s="5">
        <f>+$C$26*$C$25</f>
        <v>650000</v>
      </c>
      <c r="D61" s="5">
        <f t="shared" ref="D61:L61" si="40">+$C$26*$C$25</f>
        <v>650000</v>
      </c>
      <c r="E61" s="5">
        <f t="shared" si="40"/>
        <v>650000</v>
      </c>
      <c r="F61" s="5">
        <f t="shared" si="40"/>
        <v>650000</v>
      </c>
      <c r="G61" s="5">
        <f t="shared" si="40"/>
        <v>650000</v>
      </c>
      <c r="H61" s="5">
        <f t="shared" si="40"/>
        <v>650000</v>
      </c>
      <c r="I61" s="5">
        <f t="shared" si="40"/>
        <v>650000</v>
      </c>
      <c r="J61" s="5">
        <f t="shared" si="40"/>
        <v>650000</v>
      </c>
      <c r="K61" s="5">
        <f t="shared" si="40"/>
        <v>650000</v>
      </c>
      <c r="L61" s="5">
        <f t="shared" si="40"/>
        <v>650000</v>
      </c>
    </row>
    <row r="62" spans="1:14" x14ac:dyDescent="0.25">
      <c r="A62" t="s">
        <v>113</v>
      </c>
      <c r="C62" s="5">
        <f>+$C$29</f>
        <v>250000</v>
      </c>
      <c r="D62" s="5">
        <f t="shared" ref="D62:L62" si="41">+$C$29</f>
        <v>250000</v>
      </c>
      <c r="E62" s="5">
        <f t="shared" si="41"/>
        <v>250000</v>
      </c>
      <c r="F62" s="5">
        <f t="shared" si="41"/>
        <v>250000</v>
      </c>
      <c r="G62" s="5">
        <f t="shared" si="41"/>
        <v>250000</v>
      </c>
      <c r="H62" s="5">
        <f t="shared" si="41"/>
        <v>250000</v>
      </c>
      <c r="I62" s="5">
        <f t="shared" si="41"/>
        <v>250000</v>
      </c>
      <c r="J62" s="5">
        <f t="shared" si="41"/>
        <v>250000</v>
      </c>
      <c r="K62" s="5">
        <f t="shared" si="41"/>
        <v>250000</v>
      </c>
      <c r="L62" s="5">
        <f t="shared" si="41"/>
        <v>250000</v>
      </c>
    </row>
    <row r="63" spans="1:14" x14ac:dyDescent="0.25">
      <c r="A63" t="s">
        <v>12</v>
      </c>
      <c r="C63" s="5">
        <f>+B63-C45</f>
        <v>-35714.285714285717</v>
      </c>
      <c r="D63" s="5">
        <f t="shared" ref="D63:G63" si="42">+C63-D45</f>
        <v>-71428.571428571435</v>
      </c>
      <c r="E63" s="5">
        <f t="shared" si="42"/>
        <v>-107142.85714285716</v>
      </c>
      <c r="F63" s="5">
        <f t="shared" si="42"/>
        <v>-142857.14285714287</v>
      </c>
      <c r="G63" s="5">
        <f t="shared" si="42"/>
        <v>-178571.42857142858</v>
      </c>
      <c r="H63" s="5">
        <f t="shared" ref="H63" si="43">+G63-H45</f>
        <v>-214285.71428571429</v>
      </c>
      <c r="I63" s="5">
        <f t="shared" ref="I63" si="44">+H63-I45</f>
        <v>-250000</v>
      </c>
      <c r="J63" s="5">
        <f>-J62/7</f>
        <v>-35714.285714285717</v>
      </c>
      <c r="K63" s="5">
        <f t="shared" ref="K63" si="45">+J63-K45</f>
        <v>-71428.571428571435</v>
      </c>
      <c r="L63" s="5">
        <f t="shared" ref="L63" si="46">+K63-L45</f>
        <v>-107142.85714285716</v>
      </c>
    </row>
    <row r="64" spans="1:14" x14ac:dyDescent="0.25"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4" ht="15.75" thickBot="1" x14ac:dyDescent="0.3">
      <c r="A65" t="s">
        <v>13</v>
      </c>
      <c r="C65" s="16">
        <f>SUM(C55:C64)</f>
        <v>2639531.2622309197</v>
      </c>
      <c r="D65" s="16">
        <f>SUM(D55:D64)</f>
        <v>2784965.930310972</v>
      </c>
      <c r="E65" s="16">
        <f>SUM(E55:E64)</f>
        <v>2680427.4758107113</v>
      </c>
      <c r="F65" s="16">
        <f>SUM(F55:F64)</f>
        <v>2576178.3295921967</v>
      </c>
      <c r="G65" s="16">
        <f t="shared" ref="G65:L65" si="47">SUM(G55:G64)</f>
        <v>2472473.062727666</v>
      </c>
      <c r="H65" s="16">
        <f t="shared" si="47"/>
        <v>2382500.4243844934</v>
      </c>
      <c r="I65" s="16">
        <f t="shared" si="47"/>
        <v>2445943.7311322652</v>
      </c>
      <c r="J65" s="16">
        <f t="shared" si="47"/>
        <v>2519147.5964770471</v>
      </c>
      <c r="K65" s="16">
        <f t="shared" si="47"/>
        <v>2789642.9989436739</v>
      </c>
      <c r="L65" s="16">
        <f t="shared" si="47"/>
        <v>2673334.5870339219</v>
      </c>
    </row>
    <row r="66" spans="1:14" ht="15.75" thickTop="1" x14ac:dyDescent="0.25"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4" x14ac:dyDescent="0.25">
      <c r="A67" s="6" t="s">
        <v>14</v>
      </c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4" x14ac:dyDescent="0.25">
      <c r="A68" t="s">
        <v>128</v>
      </c>
      <c r="C68" s="5">
        <f>C39/365*$C$31</f>
        <v>3550.6849315068494</v>
      </c>
      <c r="D68" s="5">
        <f t="shared" ref="D68:G68" si="48">D39/365*$C$31</f>
        <v>3657.205479452055</v>
      </c>
      <c r="E68" s="5">
        <f t="shared" si="48"/>
        <v>3766.9216438356161</v>
      </c>
      <c r="F68" s="5">
        <f t="shared" si="48"/>
        <v>3879.9292931506852</v>
      </c>
      <c r="G68" s="5">
        <f t="shared" si="48"/>
        <v>4675.137550660691</v>
      </c>
      <c r="H68" s="5">
        <f>H39/365*$C$31</f>
        <v>4675.137550660691</v>
      </c>
      <c r="I68" s="5">
        <f>I39/365*$C$31</f>
        <v>4815.3916771805107</v>
      </c>
      <c r="J68" s="5">
        <f>J39/365*$C$31</f>
        <v>4959.8534274959266</v>
      </c>
      <c r="K68" s="5">
        <f>K39/365*$C$31</f>
        <v>6155.6887021011908</v>
      </c>
      <c r="L68" s="5">
        <f>L39/365*$C$31</f>
        <v>6155.6887021011908</v>
      </c>
    </row>
    <row r="69" spans="1:14" x14ac:dyDescent="0.25">
      <c r="A69" t="s">
        <v>80</v>
      </c>
      <c r="C69" s="5">
        <f>C50</f>
        <v>0</v>
      </c>
      <c r="D69" s="5">
        <f>D50</f>
        <v>0</v>
      </c>
      <c r="E69" s="5">
        <f>E50</f>
        <v>0</v>
      </c>
      <c r="F69" s="5">
        <f>F50</f>
        <v>7085.5513803928916</v>
      </c>
      <c r="G69" s="5">
        <f t="shared" ref="G69:L69" si="49">G50</f>
        <v>14117.297506493225</v>
      </c>
      <c r="H69" s="5">
        <f t="shared" si="49"/>
        <v>22449.13257614366</v>
      </c>
      <c r="I69" s="5">
        <f t="shared" si="49"/>
        <v>31815.9492853962</v>
      </c>
      <c r="J69" s="5">
        <f t="shared" si="49"/>
        <v>37019.552985936869</v>
      </c>
      <c r="K69" s="5">
        <f t="shared" si="49"/>
        <v>29847.536683639803</v>
      </c>
      <c r="L69" s="5">
        <f t="shared" si="49"/>
        <v>48056.495257141622</v>
      </c>
    </row>
    <row r="70" spans="1:14" x14ac:dyDescent="0.25"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4" x14ac:dyDescent="0.25">
      <c r="A71" t="s">
        <v>15</v>
      </c>
      <c r="C71" s="4">
        <f>Mortgage!F13</f>
        <v>1822332.7741631744</v>
      </c>
      <c r="D71" s="4">
        <f>Mortgage!F27</f>
        <v>1788334.6351428472</v>
      </c>
      <c r="E71" s="4">
        <f>Mortgage!F41</f>
        <v>1752951.3594824306</v>
      </c>
      <c r="F71" s="4">
        <f>Mortgage!F55</f>
        <v>1716126.5145780523</v>
      </c>
      <c r="G71" s="4">
        <f>+Mortgage!F69</f>
        <v>1677801.3686744878</v>
      </c>
      <c r="H71" s="4">
        <f>+Mortgage!F83</f>
        <v>1637914.7971941857</v>
      </c>
      <c r="I71" s="4">
        <f>+Mortgage!F97</f>
        <v>1596403.1852499961</v>
      </c>
      <c r="J71" s="4">
        <f>+Mortgage!F111</f>
        <v>1553200.3261861121</v>
      </c>
      <c r="K71" s="4">
        <f>+Mortgage!F125</f>
        <v>1508237.3159854198</v>
      </c>
      <c r="L71" s="4">
        <f>+Mortgage!F139</f>
        <v>1461442.4433748326</v>
      </c>
    </row>
    <row r="72" spans="1:14" x14ac:dyDescent="0.25">
      <c r="A72" t="s">
        <v>16</v>
      </c>
      <c r="C72" s="24">
        <v>176798.0202094416</v>
      </c>
      <c r="D72" s="24">
        <v>391663.01540883974</v>
      </c>
      <c r="E72" s="24">
        <v>337203.78201003064</v>
      </c>
      <c r="F72" s="24">
        <v>241324.26752500763</v>
      </c>
      <c r="G72" s="24">
        <v>125765.29966095157</v>
      </c>
      <c r="H72" s="24"/>
      <c r="I72" s="24"/>
      <c r="J72" s="24"/>
      <c r="K72" s="24">
        <v>231891.98364409115</v>
      </c>
      <c r="L72" s="24"/>
    </row>
    <row r="73" spans="1:14" x14ac:dyDescent="0.25"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4" x14ac:dyDescent="0.25">
      <c r="A74" s="6" t="s">
        <v>81</v>
      </c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4" x14ac:dyDescent="0.25">
      <c r="A75" t="s">
        <v>17</v>
      </c>
      <c r="C75" s="5">
        <v>650000</v>
      </c>
      <c r="D75" s="5">
        <v>650000</v>
      </c>
      <c r="E75" s="5">
        <v>650000</v>
      </c>
      <c r="F75" s="5">
        <v>650000</v>
      </c>
      <c r="G75" s="5">
        <v>650000</v>
      </c>
      <c r="H75" s="5">
        <v>650000</v>
      </c>
      <c r="I75" s="5">
        <v>650000</v>
      </c>
      <c r="J75" s="5">
        <v>650000</v>
      </c>
      <c r="K75" s="5">
        <v>650000</v>
      </c>
      <c r="L75" s="5">
        <v>650000</v>
      </c>
      <c r="N75" s="2"/>
    </row>
    <row r="76" spans="1:14" x14ac:dyDescent="0.25">
      <c r="A76" t="s">
        <v>18</v>
      </c>
      <c r="C76" s="5">
        <f>C51</f>
        <v>-13150.217073204461</v>
      </c>
      <c r="D76" s="5">
        <f>C76+D51</f>
        <v>-48688.92572016851</v>
      </c>
      <c r="E76" s="5">
        <f>D76+E51</f>
        <v>-63494.587325585773</v>
      </c>
      <c r="F76" s="5">
        <f>E76+F51</f>
        <v>-42237.933184407098</v>
      </c>
      <c r="G76" s="5">
        <f t="shared" ref="G76:K76" si="50">F76+G51</f>
        <v>113.95933507257723</v>
      </c>
      <c r="H76" s="5">
        <f t="shared" si="50"/>
        <v>67461.357063503558</v>
      </c>
      <c r="I76" s="5">
        <f t="shared" si="50"/>
        <v>162909.20491969216</v>
      </c>
      <c r="J76" s="5">
        <f t="shared" si="50"/>
        <v>273967.86387750274</v>
      </c>
      <c r="K76" s="5">
        <f t="shared" si="50"/>
        <v>363510.47392842214</v>
      </c>
      <c r="L76" s="5">
        <f>K76+L51</f>
        <v>507679.95969984704</v>
      </c>
    </row>
    <row r="77" spans="1:14" x14ac:dyDescent="0.25"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4" ht="15.75" thickBot="1" x14ac:dyDescent="0.3">
      <c r="A78" t="s">
        <v>19</v>
      </c>
      <c r="C78" s="18">
        <f>SUM(C68:C77)</f>
        <v>2639531.2622309183</v>
      </c>
      <c r="D78" s="18">
        <f>SUM(D68:D77)</f>
        <v>2784965.9303109702</v>
      </c>
      <c r="E78" s="18">
        <f>SUM(E68:E77)</f>
        <v>2680427.4758107113</v>
      </c>
      <c r="F78" s="18">
        <f>SUM(F68:F77)</f>
        <v>2576178.3295921967</v>
      </c>
      <c r="G78" s="18">
        <f t="shared" ref="G78:L78" si="51">SUM(G68:G77)</f>
        <v>2472473.062727666</v>
      </c>
      <c r="H78" s="18">
        <f t="shared" si="51"/>
        <v>2382500.4243844934</v>
      </c>
      <c r="I78" s="18">
        <f t="shared" si="51"/>
        <v>2445943.7311322652</v>
      </c>
      <c r="J78" s="18">
        <f t="shared" si="51"/>
        <v>2519147.5964770475</v>
      </c>
      <c r="K78" s="18">
        <f t="shared" si="51"/>
        <v>2789642.9989436739</v>
      </c>
      <c r="L78" s="18">
        <f t="shared" si="51"/>
        <v>2673334.5870339228</v>
      </c>
    </row>
    <row r="79" spans="1:14" ht="15.75" thickTop="1" x14ac:dyDescent="0.25">
      <c r="C79" s="3">
        <f>C78-C65</f>
        <v>0</v>
      </c>
      <c r="D79" s="3">
        <f>D78-D65</f>
        <v>0</v>
      </c>
      <c r="E79" s="3">
        <f>E78-E65</f>
        <v>0</v>
      </c>
      <c r="F79" s="3">
        <f>F78-F65</f>
        <v>0</v>
      </c>
      <c r="G79" s="3">
        <f t="shared" ref="G79:L79" si="52">G78-G65</f>
        <v>0</v>
      </c>
      <c r="H79" s="3">
        <f t="shared" si="52"/>
        <v>0</v>
      </c>
      <c r="I79" s="3">
        <f t="shared" si="52"/>
        <v>0</v>
      </c>
      <c r="J79" s="3">
        <f t="shared" si="52"/>
        <v>0</v>
      </c>
      <c r="K79" s="3">
        <f t="shared" si="52"/>
        <v>0</v>
      </c>
      <c r="L79" s="3">
        <f t="shared" si="52"/>
        <v>0</v>
      </c>
    </row>
    <row r="81" spans="1:14" s="6" customFormat="1" x14ac:dyDescent="0.25">
      <c r="A81" s="33" t="s">
        <v>82</v>
      </c>
      <c r="B81" s="33"/>
      <c r="C81" s="58">
        <f>F150</f>
        <v>6.7086241515354458E-2</v>
      </c>
      <c r="D81" s="58">
        <f>F160</f>
        <v>6.7040822579782333E-2</v>
      </c>
      <c r="E81" s="58">
        <f>F170</f>
        <v>7.1899991534854615E-2</v>
      </c>
      <c r="F81" s="58">
        <f>F180</f>
        <v>7.160572718759857E-2</v>
      </c>
      <c r="G81" s="58">
        <f>F190</f>
        <v>6.9491602281773437E-2</v>
      </c>
      <c r="H81" s="58">
        <f>F200</f>
        <v>7.2096528559543349E-2</v>
      </c>
      <c r="I81" s="58">
        <f>F210</f>
        <v>7.6629093254274513E-2</v>
      </c>
      <c r="J81" s="58">
        <f>F220</f>
        <v>8.1547714563778434E-2</v>
      </c>
      <c r="K81" s="58">
        <f>F230</f>
        <v>9.0325831458777886E-2</v>
      </c>
      <c r="L81" s="58">
        <f>F240</f>
        <v>9.1085869924482837E-2</v>
      </c>
      <c r="M81" s="33"/>
      <c r="N81" s="33"/>
    </row>
    <row r="82" spans="1:14" s="6" customFormat="1" x14ac:dyDescent="0.25">
      <c r="A82" s="33"/>
      <c r="B82" s="33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33"/>
      <c r="N82" s="33"/>
    </row>
    <row r="83" spans="1:14" s="6" customFormat="1" x14ac:dyDescent="0.25">
      <c r="A83" s="33"/>
      <c r="B83" s="33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33"/>
      <c r="N83" s="33"/>
    </row>
    <row r="84" spans="1:14" s="6" customFormat="1" x14ac:dyDescent="0.25">
      <c r="A84" s="33"/>
      <c r="B84" s="33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33"/>
      <c r="N84" s="33"/>
    </row>
    <row r="85" spans="1:14" x14ac:dyDescent="0.25">
      <c r="A85" s="33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x14ac:dyDescent="0.25">
      <c r="A86" s="33" t="s">
        <v>138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x14ac:dyDescent="0.25">
      <c r="A87" s="33"/>
      <c r="B87" s="34" t="s">
        <v>139</v>
      </c>
      <c r="C87" s="34">
        <v>1.1299999999999999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x14ac:dyDescent="0.25">
      <c r="A88" s="33"/>
      <c r="B88" s="34" t="s">
        <v>140</v>
      </c>
      <c r="C88" s="35">
        <v>0.15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x14ac:dyDescent="0.25">
      <c r="A89" s="33"/>
      <c r="B89" s="34" t="s">
        <v>141</v>
      </c>
      <c r="C89" s="35">
        <v>0.01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x14ac:dyDescent="0.25">
      <c r="A90" s="3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x14ac:dyDescent="0.25">
      <c r="A91" s="34"/>
      <c r="B91" s="33" t="s">
        <v>142</v>
      </c>
      <c r="C91" s="36">
        <f>C89+C87*(C88-C89)</f>
        <v>0.16819999999999999</v>
      </c>
      <c r="D91" s="34"/>
      <c r="E91" s="34" t="s">
        <v>143</v>
      </c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x14ac:dyDescent="0.25">
      <c r="A93" s="33" t="s">
        <v>144</v>
      </c>
      <c r="B93" s="34"/>
      <c r="C93" s="34"/>
      <c r="D93" s="34" t="s">
        <v>145</v>
      </c>
      <c r="E93" s="34" t="s">
        <v>25</v>
      </c>
      <c r="F93" s="34" t="s">
        <v>146</v>
      </c>
      <c r="G93" s="34" t="s">
        <v>147</v>
      </c>
      <c r="H93" s="34"/>
      <c r="I93" s="34"/>
      <c r="J93" s="34"/>
      <c r="K93" s="34"/>
      <c r="L93" s="34"/>
      <c r="M93" s="34"/>
      <c r="N93" s="34"/>
    </row>
    <row r="94" spans="1:14" x14ac:dyDescent="0.25">
      <c r="A94" s="34"/>
      <c r="B94" s="37" t="s">
        <v>148</v>
      </c>
      <c r="C94" s="38">
        <f>L71</f>
        <v>1461442.4433748326</v>
      </c>
      <c r="D94" s="39">
        <f>C94/C96</f>
        <v>1</v>
      </c>
      <c r="E94" s="40">
        <f>+Mortgage!I1</f>
        <v>0.04</v>
      </c>
      <c r="F94" s="34"/>
      <c r="G94" s="34"/>
      <c r="H94" s="34"/>
      <c r="I94" s="34"/>
      <c r="J94" s="34"/>
      <c r="K94" s="34"/>
      <c r="L94" s="34"/>
      <c r="M94" s="34"/>
      <c r="N94" s="34"/>
    </row>
    <row r="95" spans="1:14" x14ac:dyDescent="0.25">
      <c r="A95" s="34"/>
      <c r="B95" s="37" t="s">
        <v>149</v>
      </c>
      <c r="C95" s="41">
        <f>L72</f>
        <v>0</v>
      </c>
      <c r="D95" s="39">
        <f>C95/C96</f>
        <v>0</v>
      </c>
      <c r="E95" s="40">
        <f>M47</f>
        <v>0.12</v>
      </c>
      <c r="F95" s="40">
        <f>E94*D94+E95*D95</f>
        <v>0.04</v>
      </c>
      <c r="G95" s="36">
        <f>F95*(1-M49)</f>
        <v>0.03</v>
      </c>
      <c r="H95" s="34"/>
      <c r="I95" s="34"/>
      <c r="J95" s="34"/>
      <c r="K95" s="34"/>
      <c r="L95" s="34"/>
      <c r="M95" s="34"/>
      <c r="N95" s="34"/>
    </row>
    <row r="96" spans="1:14" x14ac:dyDescent="0.25">
      <c r="A96" s="34"/>
      <c r="B96" s="34" t="s">
        <v>150</v>
      </c>
      <c r="C96" s="38">
        <f>SUM(C94:C95)</f>
        <v>1461442.4433748326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  <row r="97" spans="1:1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</row>
    <row r="98" spans="1:1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x14ac:dyDescent="0.25">
      <c r="A99" s="33" t="s">
        <v>82</v>
      </c>
      <c r="B99" s="34"/>
      <c r="C99" s="34"/>
      <c r="D99" s="34" t="s">
        <v>145</v>
      </c>
      <c r="E99" s="34" t="s">
        <v>25</v>
      </c>
      <c r="F99" s="34" t="s">
        <v>146</v>
      </c>
      <c r="G99" s="34"/>
      <c r="H99" s="34"/>
      <c r="I99" s="34"/>
      <c r="J99" s="34"/>
      <c r="K99" s="34"/>
      <c r="L99" s="34"/>
      <c r="M99" s="34"/>
      <c r="N99" s="34"/>
    </row>
    <row r="100" spans="1:14" x14ac:dyDescent="0.25">
      <c r="A100" s="34"/>
      <c r="B100" s="34" t="s">
        <v>151</v>
      </c>
      <c r="C100" s="38">
        <f>C96</f>
        <v>1461442.4433748326</v>
      </c>
      <c r="D100" s="42">
        <f>C100/C102</f>
        <v>0.55798936378811237</v>
      </c>
      <c r="E100" s="40">
        <f>+G95</f>
        <v>0.03</v>
      </c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x14ac:dyDescent="0.25">
      <c r="A101" s="34"/>
      <c r="B101" s="34" t="s">
        <v>152</v>
      </c>
      <c r="C101" s="41">
        <f>SUM(L75:L76)</f>
        <v>1157679.959699847</v>
      </c>
      <c r="D101" s="42">
        <f>C101/C102</f>
        <v>0.44201063621188752</v>
      </c>
      <c r="E101" s="40">
        <f>C91</f>
        <v>0.16819999999999999</v>
      </c>
      <c r="F101" s="36">
        <f>D100*E100+E101*D101</f>
        <v>9.1085869924482837E-2</v>
      </c>
      <c r="G101" s="34"/>
      <c r="H101" s="34"/>
      <c r="I101" s="34"/>
      <c r="J101" s="34"/>
      <c r="K101" s="34"/>
      <c r="L101" s="34"/>
      <c r="M101" s="34"/>
      <c r="N101" s="34"/>
    </row>
    <row r="102" spans="1:14" x14ac:dyDescent="0.25">
      <c r="A102" s="34"/>
      <c r="B102" s="34" t="s">
        <v>153</v>
      </c>
      <c r="C102" s="38">
        <f>SUM(C100:C101)</f>
        <v>2619122.4030746799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1:14" x14ac:dyDescent="0.25">
      <c r="A105" s="44" t="s">
        <v>154</v>
      </c>
      <c r="B105" s="37">
        <v>0</v>
      </c>
      <c r="C105" s="37">
        <v>1</v>
      </c>
      <c r="D105" s="37">
        <v>2</v>
      </c>
      <c r="E105" s="37">
        <v>3</v>
      </c>
      <c r="F105" s="37">
        <v>4</v>
      </c>
      <c r="G105" s="37">
        <v>5</v>
      </c>
      <c r="H105" s="37">
        <v>6</v>
      </c>
      <c r="I105" s="37">
        <v>7</v>
      </c>
      <c r="J105" s="37">
        <v>8</v>
      </c>
      <c r="K105" s="37">
        <v>9</v>
      </c>
      <c r="L105" s="37">
        <v>10</v>
      </c>
      <c r="N105" s="37"/>
    </row>
    <row r="106" spans="1:14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N106" s="37"/>
    </row>
    <row r="107" spans="1:14" x14ac:dyDescent="0.25">
      <c r="A107" s="44" t="s">
        <v>155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N107" s="37"/>
    </row>
    <row r="108" spans="1:14" x14ac:dyDescent="0.25">
      <c r="A108" s="50" t="s">
        <v>156</v>
      </c>
      <c r="C108" s="45">
        <f>+C34-SUM(C37:C42)</f>
        <v>178250.25</v>
      </c>
      <c r="D108" s="45">
        <f t="shared" ref="D108:L108" si="53">+D34-SUM(D37:D42)</f>
        <v>188647.978</v>
      </c>
      <c r="E108" s="45">
        <f t="shared" si="53"/>
        <v>201460.7803936</v>
      </c>
      <c r="F108" s="45">
        <f t="shared" si="53"/>
        <v>231661.53653842444</v>
      </c>
      <c r="G108" s="45">
        <f t="shared" si="53"/>
        <v>244421.14389995264</v>
      </c>
      <c r="H108" s="45">
        <f t="shared" si="53"/>
        <v>261095.22264250298</v>
      </c>
      <c r="I108" s="45">
        <f t="shared" si="53"/>
        <v>296937.44901562517</v>
      </c>
      <c r="J108" s="45">
        <f t="shared" si="53"/>
        <v>316060.61669809395</v>
      </c>
      <c r="K108" s="45">
        <f t="shared" si="53"/>
        <v>330106.10505605442</v>
      </c>
      <c r="L108" s="45">
        <f t="shared" si="53"/>
        <v>373283.03890287632</v>
      </c>
      <c r="N108" s="37"/>
    </row>
    <row r="109" spans="1:14" x14ac:dyDescent="0.25">
      <c r="A109" s="50" t="s">
        <v>127</v>
      </c>
      <c r="C109" s="45">
        <f>-SUM(C44:C45)</f>
        <v>-96579.28571428571</v>
      </c>
      <c r="D109" s="45">
        <f t="shared" ref="D109:L109" si="54">-SUM(D44:D45)</f>
        <v>-104912.61904761905</v>
      </c>
      <c r="E109" s="45">
        <f t="shared" si="54"/>
        <v>-104912.61904761905</v>
      </c>
      <c r="F109" s="45">
        <f t="shared" si="54"/>
        <v>-104912.61904761905</v>
      </c>
      <c r="G109" s="45">
        <f t="shared" si="54"/>
        <v>-104912.61904761905</v>
      </c>
      <c r="H109" s="45">
        <f t="shared" si="54"/>
        <v>-104912.61904761905</v>
      </c>
      <c r="I109" s="45">
        <f t="shared" si="54"/>
        <v>-104912.61904761905</v>
      </c>
      <c r="J109" s="45">
        <f t="shared" si="54"/>
        <v>-104912.61904761905</v>
      </c>
      <c r="K109" s="45">
        <f t="shared" si="54"/>
        <v>-121579.28571428571</v>
      </c>
      <c r="L109" s="45">
        <f t="shared" si="54"/>
        <v>-121579.28571428571</v>
      </c>
      <c r="N109" s="37"/>
    </row>
    <row r="110" spans="1:14" x14ac:dyDescent="0.25">
      <c r="A110" s="50" t="s">
        <v>157</v>
      </c>
      <c r="C110" s="46">
        <f>+C108+C109</f>
        <v>81670.96428571429</v>
      </c>
      <c r="D110" s="46">
        <f t="shared" ref="D110:L110" si="55">+D108+D109</f>
        <v>83735.35895238095</v>
      </c>
      <c r="E110" s="46">
        <f t="shared" si="55"/>
        <v>96548.161345980945</v>
      </c>
      <c r="F110" s="46">
        <f t="shared" si="55"/>
        <v>126748.91749080538</v>
      </c>
      <c r="G110" s="46">
        <f t="shared" si="55"/>
        <v>139508.52485233359</v>
      </c>
      <c r="H110" s="46">
        <f t="shared" si="55"/>
        <v>156182.60359488393</v>
      </c>
      <c r="I110" s="46">
        <f t="shared" si="55"/>
        <v>192024.82996800612</v>
      </c>
      <c r="J110" s="46">
        <f t="shared" si="55"/>
        <v>211147.99765047489</v>
      </c>
      <c r="K110" s="46">
        <f t="shared" si="55"/>
        <v>208526.81934176871</v>
      </c>
      <c r="L110" s="46">
        <f t="shared" si="55"/>
        <v>251703.75318859061</v>
      </c>
      <c r="N110" s="37"/>
    </row>
    <row r="111" spans="1:14" x14ac:dyDescent="0.25">
      <c r="A111" s="50" t="s">
        <v>158</v>
      </c>
      <c r="C111" s="45">
        <f>-C110*$M$49</f>
        <v>-20417.741071428572</v>
      </c>
      <c r="D111" s="45">
        <f t="shared" ref="D111:L111" si="56">-D110*$M$49</f>
        <v>-20933.839738095237</v>
      </c>
      <c r="E111" s="45">
        <f t="shared" si="56"/>
        <v>-24137.040336495236</v>
      </c>
      <c r="F111" s="45">
        <f t="shared" si="56"/>
        <v>-31687.229372701346</v>
      </c>
      <c r="G111" s="45">
        <f t="shared" si="56"/>
        <v>-34877.131213083398</v>
      </c>
      <c r="H111" s="45">
        <f t="shared" si="56"/>
        <v>-39045.650898720982</v>
      </c>
      <c r="I111" s="45">
        <f t="shared" si="56"/>
        <v>-48006.207492001529</v>
      </c>
      <c r="J111" s="45">
        <f t="shared" si="56"/>
        <v>-52786.999412618723</v>
      </c>
      <c r="K111" s="45">
        <f t="shared" si="56"/>
        <v>-52131.704835442179</v>
      </c>
      <c r="L111" s="45">
        <f t="shared" si="56"/>
        <v>-62925.938297147652</v>
      </c>
      <c r="N111" s="37"/>
    </row>
    <row r="112" spans="1:14" x14ac:dyDescent="0.25">
      <c r="A112" s="50" t="s">
        <v>159</v>
      </c>
      <c r="C112" s="45">
        <f>-C109</f>
        <v>96579.28571428571</v>
      </c>
      <c r="D112" s="45">
        <f t="shared" ref="D112:L112" si="57">-D109</f>
        <v>104912.61904761905</v>
      </c>
      <c r="E112" s="45">
        <f t="shared" si="57"/>
        <v>104912.61904761905</v>
      </c>
      <c r="F112" s="45">
        <f t="shared" si="57"/>
        <v>104912.61904761905</v>
      </c>
      <c r="G112" s="45">
        <f t="shared" si="57"/>
        <v>104912.61904761905</v>
      </c>
      <c r="H112" s="45">
        <f t="shared" si="57"/>
        <v>104912.61904761905</v>
      </c>
      <c r="I112" s="45">
        <f t="shared" si="57"/>
        <v>104912.61904761905</v>
      </c>
      <c r="J112" s="45">
        <f t="shared" si="57"/>
        <v>104912.61904761905</v>
      </c>
      <c r="K112" s="45">
        <f t="shared" si="57"/>
        <v>121579.28571428571</v>
      </c>
      <c r="L112" s="45">
        <f t="shared" si="57"/>
        <v>121579.28571428571</v>
      </c>
      <c r="N112" s="37"/>
    </row>
    <row r="113" spans="1:15" x14ac:dyDescent="0.25">
      <c r="A113" s="50" t="s">
        <v>160</v>
      </c>
      <c r="C113" s="47">
        <f>+SUM(C110:C112)</f>
        <v>157832.50892857142</v>
      </c>
      <c r="D113" s="47">
        <f t="shared" ref="D113:L113" si="58">+SUM(D110:D112)</f>
        <v>167714.13826190477</v>
      </c>
      <c r="E113" s="47">
        <f t="shared" si="58"/>
        <v>177323.74005710476</v>
      </c>
      <c r="F113" s="47">
        <f t="shared" si="58"/>
        <v>199974.30716572309</v>
      </c>
      <c r="G113" s="47">
        <f t="shared" si="58"/>
        <v>209544.01268686925</v>
      </c>
      <c r="H113" s="47">
        <f t="shared" si="58"/>
        <v>222049.571743782</v>
      </c>
      <c r="I113" s="47">
        <f t="shared" si="58"/>
        <v>248931.24152362364</v>
      </c>
      <c r="J113" s="47">
        <f t="shared" si="58"/>
        <v>263273.61728547525</v>
      </c>
      <c r="K113" s="47">
        <f t="shared" si="58"/>
        <v>277974.40022061224</v>
      </c>
      <c r="L113" s="47">
        <f t="shared" si="58"/>
        <v>310357.10060572869</v>
      </c>
      <c r="N113" s="37"/>
    </row>
    <row r="114" spans="1:15" x14ac:dyDescent="0.25">
      <c r="A114" s="37"/>
      <c r="B114" s="37"/>
      <c r="C114" s="37"/>
      <c r="D114" s="45"/>
      <c r="E114" s="45"/>
      <c r="F114" s="45"/>
      <c r="G114" s="45"/>
      <c r="H114" s="37"/>
      <c r="I114" s="37"/>
      <c r="J114" s="37"/>
      <c r="K114" s="37"/>
      <c r="L114" s="37"/>
      <c r="M114" s="37"/>
      <c r="N114" s="37"/>
    </row>
    <row r="115" spans="1:15" x14ac:dyDescent="0.25">
      <c r="A115" s="37"/>
      <c r="B115" s="37"/>
      <c r="C115" s="37"/>
      <c r="D115" s="45"/>
      <c r="E115" s="45"/>
      <c r="F115" s="45"/>
      <c r="G115" s="45"/>
      <c r="H115" s="37"/>
      <c r="I115" s="37"/>
      <c r="J115" s="37"/>
      <c r="K115" s="37"/>
      <c r="L115" s="37"/>
      <c r="M115" s="37"/>
      <c r="N115" s="37"/>
    </row>
    <row r="116" spans="1:15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1:15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5" x14ac:dyDescent="0.25">
      <c r="A118" s="44" t="s">
        <v>161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</row>
    <row r="119" spans="1:15" x14ac:dyDescent="0.25">
      <c r="A119" s="50" t="s">
        <v>180</v>
      </c>
      <c r="B119" s="45">
        <f>-(C59+C62)</f>
        <v>-2075950</v>
      </c>
      <c r="C119" s="45">
        <v>-250000</v>
      </c>
      <c r="D119" s="37"/>
      <c r="E119" s="37"/>
      <c r="F119" s="37"/>
      <c r="G119" s="37"/>
      <c r="H119" s="37"/>
      <c r="I119" s="45">
        <v>-250000</v>
      </c>
      <c r="J119" s="45">
        <v>-500000</v>
      </c>
      <c r="K119" s="37"/>
      <c r="L119" s="37"/>
      <c r="M119" s="37"/>
      <c r="N119" s="37"/>
    </row>
    <row r="120" spans="1:15" x14ac:dyDescent="0.25">
      <c r="A120" s="50" t="s">
        <v>181</v>
      </c>
      <c r="B120" s="37"/>
      <c r="C120" s="37"/>
      <c r="D120" s="48"/>
      <c r="E120" s="37"/>
      <c r="K120" s="37"/>
      <c r="L120" s="48">
        <f>+O120*O121</f>
        <v>2202006.1904761908</v>
      </c>
      <c r="M120" s="37"/>
      <c r="N120" s="37" t="s">
        <v>162</v>
      </c>
      <c r="O120" s="45">
        <f>+L59+L60+L62+L63</f>
        <v>2001823.8095238097</v>
      </c>
    </row>
    <row r="121" spans="1:15" x14ac:dyDescent="0.25">
      <c r="A121" s="50" t="s">
        <v>163</v>
      </c>
      <c r="B121" s="37"/>
      <c r="C121" s="37"/>
      <c r="D121" s="37"/>
      <c r="E121" s="37"/>
      <c r="K121" s="37"/>
      <c r="L121" s="52">
        <f>-M49*(L120-O120)</f>
        <v>-50045.595238095266</v>
      </c>
      <c r="M121" s="37"/>
      <c r="N121" s="37" t="s">
        <v>164</v>
      </c>
      <c r="O121" s="39">
        <v>1.1000000000000001</v>
      </c>
    </row>
    <row r="122" spans="1:15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</row>
    <row r="123" spans="1:15" x14ac:dyDescent="0.25">
      <c r="A123" s="44" t="s">
        <v>165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</row>
    <row r="124" spans="1:15" x14ac:dyDescent="0.25">
      <c r="A124" s="51" t="s">
        <v>171</v>
      </c>
      <c r="B124" s="37"/>
      <c r="C124" s="45"/>
      <c r="D124" s="45"/>
      <c r="E124" s="45"/>
      <c r="F124" s="45"/>
      <c r="H124" s="37"/>
      <c r="I124" s="45"/>
      <c r="J124" s="37"/>
      <c r="K124" s="37"/>
      <c r="L124" s="37"/>
      <c r="M124" s="37"/>
      <c r="N124" s="37"/>
    </row>
    <row r="125" spans="1:15" x14ac:dyDescent="0.25">
      <c r="A125" s="51" t="s">
        <v>172</v>
      </c>
      <c r="B125" s="37"/>
      <c r="C125" s="45">
        <f>-(C57-B57)</f>
        <v>-7160.5479452054797</v>
      </c>
      <c r="D125" s="45">
        <f t="shared" ref="D125:L125" si="59">-(D57-C57)</f>
        <v>-347.28712767123307</v>
      </c>
      <c r="E125" s="45">
        <f t="shared" si="59"/>
        <v>-374.16454735829939</v>
      </c>
      <c r="F125" s="45">
        <f t="shared" si="59"/>
        <v>-663.4728291043466</v>
      </c>
      <c r="G125" s="45">
        <f t="shared" si="59"/>
        <v>-1207.3521830881837</v>
      </c>
      <c r="H125" s="45">
        <f t="shared" si="59"/>
        <v>-325.13498173084372</v>
      </c>
      <c r="I125" s="45">
        <f t="shared" si="59"/>
        <v>-818.29252764990451</v>
      </c>
      <c r="J125" s="45">
        <f t="shared" si="59"/>
        <v>-555.75220966833695</v>
      </c>
      <c r="K125" s="45">
        <f t="shared" si="59"/>
        <v>-1787.8993541019645</v>
      </c>
      <c r="L125" s="45">
        <f t="shared" si="59"/>
        <v>-810.12945599071827</v>
      </c>
      <c r="M125" s="37"/>
      <c r="N125" s="37"/>
    </row>
    <row r="126" spans="1:15" x14ac:dyDescent="0.25">
      <c r="A126" s="51" t="s">
        <v>173</v>
      </c>
      <c r="B126" s="37"/>
      <c r="C126" s="48">
        <f>+(C68-B68)</f>
        <v>3550.6849315068494</v>
      </c>
      <c r="D126" s="48">
        <f t="shared" ref="D126:K126" si="60">+(D68-C68)</f>
        <v>106.52054794520564</v>
      </c>
      <c r="E126" s="48">
        <f t="shared" si="60"/>
        <v>109.71616438356114</v>
      </c>
      <c r="F126" s="48">
        <f t="shared" si="60"/>
        <v>113.0076493150691</v>
      </c>
      <c r="G126" s="48">
        <f t="shared" si="60"/>
        <v>795.20825751000575</v>
      </c>
      <c r="H126" s="48">
        <f t="shared" si="60"/>
        <v>0</v>
      </c>
      <c r="I126" s="48">
        <f t="shared" si="60"/>
        <v>140.25412651981969</v>
      </c>
      <c r="J126" s="48">
        <f t="shared" si="60"/>
        <v>144.46175031541588</v>
      </c>
      <c r="K126" s="48">
        <f t="shared" si="60"/>
        <v>1195.8352746052642</v>
      </c>
      <c r="L126" s="48">
        <f>+(L68-K68)</f>
        <v>0</v>
      </c>
      <c r="M126" s="37"/>
      <c r="N126" s="37"/>
    </row>
    <row r="127" spans="1:15" x14ac:dyDescent="0.25">
      <c r="A127" s="51" t="s">
        <v>174</v>
      </c>
      <c r="B127" s="37"/>
      <c r="C127" s="45">
        <f>-(C111-B111)</f>
        <v>20417.741071428572</v>
      </c>
      <c r="D127" s="45">
        <f t="shared" ref="D127:L127" si="61">-(D111-C111)</f>
        <v>516.09866666666494</v>
      </c>
      <c r="E127" s="45">
        <f t="shared" si="61"/>
        <v>3203.2005983999989</v>
      </c>
      <c r="F127" s="45">
        <f t="shared" si="61"/>
        <v>7550.1890362061094</v>
      </c>
      <c r="G127" s="45">
        <f t="shared" si="61"/>
        <v>3189.9018403820519</v>
      </c>
      <c r="H127" s="45">
        <f t="shared" si="61"/>
        <v>4168.5196856375842</v>
      </c>
      <c r="I127" s="45">
        <f t="shared" si="61"/>
        <v>8960.5565932805475</v>
      </c>
      <c r="J127" s="45">
        <f t="shared" si="61"/>
        <v>4780.7919206171937</v>
      </c>
      <c r="K127" s="45">
        <f t="shared" si="61"/>
        <v>-655.29457717654441</v>
      </c>
      <c r="L127" s="45">
        <f t="shared" si="61"/>
        <v>10794.233461705473</v>
      </c>
      <c r="M127" s="37"/>
      <c r="N127" s="37"/>
    </row>
    <row r="128" spans="1:15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 x14ac:dyDescent="0.25">
      <c r="A129" s="44" t="s">
        <v>166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</row>
    <row r="130" spans="1:14" x14ac:dyDescent="0.25">
      <c r="A130" s="51" t="s">
        <v>175</v>
      </c>
      <c r="B130" s="37"/>
      <c r="C130" s="48"/>
      <c r="D130" s="48"/>
      <c r="E130" s="48"/>
      <c r="H130" s="37"/>
      <c r="I130" s="37"/>
      <c r="J130" s="37"/>
      <c r="K130" s="37"/>
      <c r="L130" s="45">
        <v>0</v>
      </c>
      <c r="M130" s="37"/>
      <c r="N130" s="37"/>
    </row>
    <row r="131" spans="1:14" x14ac:dyDescent="0.25">
      <c r="A131" s="51" t="s">
        <v>176</v>
      </c>
      <c r="B131" s="37"/>
      <c r="C131" s="48"/>
      <c r="D131" s="48"/>
      <c r="E131" s="48"/>
      <c r="H131" s="37"/>
      <c r="I131" s="37"/>
      <c r="J131" s="37"/>
      <c r="K131" s="37"/>
      <c r="L131" s="48">
        <f>+L57</f>
        <v>14050.03316156931</v>
      </c>
      <c r="M131" s="37"/>
      <c r="N131" s="37"/>
    </row>
    <row r="132" spans="1:14" x14ac:dyDescent="0.25">
      <c r="A132" s="51" t="s">
        <v>177</v>
      </c>
      <c r="B132" s="37"/>
      <c r="C132" s="37"/>
      <c r="D132" s="37"/>
      <c r="E132" s="37"/>
      <c r="H132" s="37"/>
      <c r="I132" s="37"/>
      <c r="J132" s="37"/>
      <c r="K132" s="37"/>
      <c r="L132" s="45">
        <f>-L68</f>
        <v>-6155.6887021011908</v>
      </c>
      <c r="M132" s="37"/>
      <c r="N132" s="37"/>
    </row>
    <row r="133" spans="1:14" x14ac:dyDescent="0.25">
      <c r="A133" s="51" t="s">
        <v>178</v>
      </c>
      <c r="B133" s="37"/>
      <c r="C133" s="37"/>
      <c r="D133" s="37"/>
      <c r="E133" s="37"/>
      <c r="H133" s="37"/>
      <c r="I133" s="37"/>
      <c r="J133" s="37"/>
      <c r="K133" s="37"/>
      <c r="L133" s="45">
        <f>+L111</f>
        <v>-62925.938297147652</v>
      </c>
      <c r="M133" s="37"/>
      <c r="N133" s="37"/>
    </row>
    <row r="134" spans="1:14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</row>
    <row r="135" spans="1:14" x14ac:dyDescent="0.25">
      <c r="A135" s="37" t="s">
        <v>200</v>
      </c>
      <c r="B135" s="71">
        <v>228247.38573994522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6" spans="1:14" x14ac:dyDescent="0.25">
      <c r="A136" s="44" t="s">
        <v>167</v>
      </c>
      <c r="B136" s="48">
        <f>+SUM(B113:B135)</f>
        <v>-1847702.6142600547</v>
      </c>
      <c r="C136" s="48">
        <f>+SUM(C113:C135)</f>
        <v>-75359.613013698632</v>
      </c>
      <c r="D136" s="48">
        <f t="shared" ref="D136:K136" si="62">+SUM(D113:D135)</f>
        <v>167989.47034884538</v>
      </c>
      <c r="E136" s="48">
        <f t="shared" si="62"/>
        <v>180262.49227253004</v>
      </c>
      <c r="F136" s="48">
        <f t="shared" si="62"/>
        <v>206974.03102213991</v>
      </c>
      <c r="G136" s="48">
        <f t="shared" si="62"/>
        <v>212321.77060167311</v>
      </c>
      <c r="H136" s="48">
        <f t="shared" si="62"/>
        <v>225892.95644768875</v>
      </c>
      <c r="I136" s="48">
        <f t="shared" si="62"/>
        <v>7213.7597157741038</v>
      </c>
      <c r="J136" s="48">
        <f t="shared" si="62"/>
        <v>-232356.88125326048</v>
      </c>
      <c r="K136" s="48">
        <f t="shared" si="62"/>
        <v>276727.04156393895</v>
      </c>
      <c r="L136" s="48">
        <f>+SUM(L113:L135)</f>
        <v>2417270.2060118592</v>
      </c>
      <c r="M136" s="37"/>
      <c r="N136" s="37"/>
    </row>
    <row r="137" spans="1:14" x14ac:dyDescent="0.25">
      <c r="A137" s="49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</row>
    <row r="138" spans="1:14" x14ac:dyDescent="0.25">
      <c r="A138" s="49" t="s">
        <v>168</v>
      </c>
      <c r="B138" s="48">
        <f>-PV($B$140,B105,,B136)</f>
        <v>-1847702.6142600547</v>
      </c>
      <c r="C138" s="48">
        <f t="shared" ref="C138:K138" si="63">-PV($B$140,C105,,C136)</f>
        <v>-70044.565389898271</v>
      </c>
      <c r="D138" s="48">
        <f t="shared" si="63"/>
        <v>145128.80908155831</v>
      </c>
      <c r="E138" s="48">
        <f t="shared" si="63"/>
        <v>144748.05182482823</v>
      </c>
      <c r="F138" s="48">
        <f t="shared" si="63"/>
        <v>154475.2829537908</v>
      </c>
      <c r="G138" s="48">
        <f t="shared" si="63"/>
        <v>147290.06501853865</v>
      </c>
      <c r="H138" s="48">
        <f>-PV($B$140,H105,,H136)</f>
        <v>145652.31825930605</v>
      </c>
      <c r="I138" s="48">
        <f t="shared" si="63"/>
        <v>4323.2681117207576</v>
      </c>
      <c r="J138" s="48">
        <f t="shared" si="63"/>
        <v>-129432.04747674712</v>
      </c>
      <c r="K138" s="48">
        <f t="shared" si="63"/>
        <v>143276.07252299436</v>
      </c>
      <c r="L138" s="48">
        <f>-PV($B$140,L105,,L136)</f>
        <v>1163276.7618619483</v>
      </c>
      <c r="M138" s="37"/>
      <c r="N138" s="37"/>
    </row>
    <row r="139" spans="1:14" x14ac:dyDescent="0.25">
      <c r="A139" s="68" t="s">
        <v>169</v>
      </c>
      <c r="B139" s="69">
        <f>+SUM(B138:L138)</f>
        <v>991.40250798524357</v>
      </c>
      <c r="D139" s="48"/>
      <c r="E139" s="48"/>
      <c r="F139" s="48"/>
      <c r="G139" s="48"/>
      <c r="H139" s="37"/>
      <c r="I139" s="37"/>
      <c r="J139" s="37"/>
      <c r="K139" s="37"/>
      <c r="L139" s="37"/>
      <c r="M139" s="37"/>
      <c r="N139" s="37"/>
    </row>
    <row r="140" spans="1:14" x14ac:dyDescent="0.25">
      <c r="A140" s="68" t="s">
        <v>82</v>
      </c>
      <c r="B140" s="70">
        <f>AVERAGE(C81:L81)</f>
        <v>7.5880942286022046E-2</v>
      </c>
      <c r="C140" s="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</row>
    <row r="141" spans="1:14" x14ac:dyDescent="0.25">
      <c r="A141" s="44" t="s">
        <v>83</v>
      </c>
      <c r="B141" s="57">
        <f>+IRR(B136:L136)</f>
        <v>7.5953037145939817E-2</v>
      </c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</row>
    <row r="142" spans="1:14" x14ac:dyDescent="0.25">
      <c r="B142" s="7"/>
    </row>
    <row r="143" spans="1:14" x14ac:dyDescent="0.25">
      <c r="B143" s="34" t="s">
        <v>139</v>
      </c>
      <c r="C143" s="34">
        <v>1.1299999999999999</v>
      </c>
    </row>
    <row r="144" spans="1:14" x14ac:dyDescent="0.25">
      <c r="B144" s="34" t="s">
        <v>140</v>
      </c>
      <c r="C144" s="35">
        <v>0.15</v>
      </c>
    </row>
    <row r="145" spans="1:13" x14ac:dyDescent="0.25">
      <c r="B145" s="34" t="s">
        <v>141</v>
      </c>
      <c r="C145" s="35">
        <v>0.01</v>
      </c>
      <c r="E145" s="7"/>
      <c r="F145" s="7"/>
    </row>
    <row r="147" spans="1:13" x14ac:dyDescent="0.25">
      <c r="A147" s="64" t="s">
        <v>195</v>
      </c>
      <c r="B147" t="s">
        <v>182</v>
      </c>
      <c r="C147" t="s">
        <v>201</v>
      </c>
      <c r="D147" s="5">
        <f>SUM(C71,C72)</f>
        <v>1999130.7943726161</v>
      </c>
      <c r="E147" s="53">
        <f>D147/D150</f>
        <v>0.75840118534588963</v>
      </c>
      <c r="F147" s="7">
        <f>+M149</f>
        <v>3.4875104893817038E-2</v>
      </c>
      <c r="H147" s="34"/>
      <c r="I147" s="34"/>
      <c r="J147" s="34" t="s">
        <v>145</v>
      </c>
      <c r="K147" s="34" t="s">
        <v>25</v>
      </c>
      <c r="L147" s="34" t="s">
        <v>146</v>
      </c>
      <c r="M147" s="34" t="s">
        <v>147</v>
      </c>
    </row>
    <row r="148" spans="1:13" x14ac:dyDescent="0.25">
      <c r="C148" s="54"/>
      <c r="D148" s="55"/>
      <c r="E148" s="53"/>
      <c r="F148" s="1"/>
      <c r="H148" s="37" t="s">
        <v>148</v>
      </c>
      <c r="I148" s="38">
        <f>+D147</f>
        <v>1999130.7943726161</v>
      </c>
      <c r="J148" s="39">
        <f>I148/I150</f>
        <v>0.91874825176971597</v>
      </c>
      <c r="K148" s="40">
        <f>+Mortgage!$I$1</f>
        <v>0.04</v>
      </c>
      <c r="L148" s="34"/>
      <c r="M148" s="34"/>
    </row>
    <row r="149" spans="1:13" x14ac:dyDescent="0.25">
      <c r="C149" s="15" t="s">
        <v>186</v>
      </c>
      <c r="D149" s="19">
        <f>C75+C76</f>
        <v>636849.78292679554</v>
      </c>
      <c r="E149" s="56">
        <f>D149/D150</f>
        <v>0.24159881465411046</v>
      </c>
      <c r="F149" s="59">
        <f>C91</f>
        <v>0.16819999999999999</v>
      </c>
      <c r="H149" s="37" t="s">
        <v>149</v>
      </c>
      <c r="I149" s="41">
        <f>+C72</f>
        <v>176798.0202094416</v>
      </c>
      <c r="J149" s="39">
        <f>I149/I150</f>
        <v>8.1251748230283971E-2</v>
      </c>
      <c r="K149" s="40">
        <f>+$M$47</f>
        <v>0.12</v>
      </c>
      <c r="L149" s="40">
        <f>K148*J148+K149*J149</f>
        <v>4.6500139858422718E-2</v>
      </c>
      <c r="M149" s="36">
        <f>L149*(1-$M$49)</f>
        <v>3.4875104893817038E-2</v>
      </c>
    </row>
    <row r="150" spans="1:13" x14ac:dyDescent="0.25">
      <c r="C150" t="s">
        <v>183</v>
      </c>
      <c r="D150" s="5">
        <f>SUM(D147:D149)</f>
        <v>2635980.5772994114</v>
      </c>
      <c r="F150" s="57">
        <f>(E147*F147)+(E148*F148)+(E149*F149)</f>
        <v>6.7086241515354458E-2</v>
      </c>
      <c r="H150" s="34" t="s">
        <v>150</v>
      </c>
      <c r="I150" s="38">
        <f>SUM(I148:I149)</f>
        <v>2175928.8145820578</v>
      </c>
      <c r="J150" s="34"/>
      <c r="K150" s="34"/>
      <c r="L150" s="34"/>
      <c r="M150" s="34"/>
    </row>
    <row r="151" spans="1:13" x14ac:dyDescent="0.25">
      <c r="D151" s="5"/>
      <c r="F151" s="57"/>
      <c r="H151" s="65"/>
      <c r="I151" s="65"/>
      <c r="K151" s="66"/>
    </row>
    <row r="152" spans="1:13" x14ac:dyDescent="0.25">
      <c r="C152" s="65" t="s">
        <v>196</v>
      </c>
      <c r="D152" s="65"/>
      <c r="F152" s="66">
        <f>$C$143/(1+(1-$M$49)*((E147+E148)/E149))</f>
        <v>0.33687902318445967</v>
      </c>
      <c r="H152" s="65"/>
      <c r="I152" s="65"/>
      <c r="K152" s="66"/>
    </row>
    <row r="153" spans="1:13" x14ac:dyDescent="0.25">
      <c r="C153" s="65" t="s">
        <v>198</v>
      </c>
      <c r="D153" s="65"/>
      <c r="F153" s="66">
        <f>F152*(1+(1-M49)*(0.5/0.5))</f>
        <v>0.58953829057280438</v>
      </c>
      <c r="H153" s="65"/>
      <c r="I153" s="65"/>
      <c r="K153" s="66"/>
    </row>
    <row r="154" spans="1:13" x14ac:dyDescent="0.25">
      <c r="C154" s="65" t="s">
        <v>197</v>
      </c>
      <c r="D154" s="65"/>
      <c r="F154" s="67">
        <f>$C$145+F153*($C$144-$C$145)</f>
        <v>9.2535360680192594E-2</v>
      </c>
      <c r="H154" s="65"/>
      <c r="I154" s="65"/>
      <c r="K154" s="66"/>
    </row>
    <row r="155" spans="1:13" x14ac:dyDescent="0.25">
      <c r="C155" s="65" t="s">
        <v>199</v>
      </c>
      <c r="D155" s="65"/>
      <c r="F155" s="66">
        <f>0.5*M149+0.5*F154</f>
        <v>6.3705232787004823E-2</v>
      </c>
      <c r="H155" s="65"/>
      <c r="I155" s="65"/>
      <c r="K155" s="66"/>
    </row>
    <row r="157" spans="1:13" x14ac:dyDescent="0.25">
      <c r="B157" t="s">
        <v>185</v>
      </c>
      <c r="C157" t="s">
        <v>201</v>
      </c>
      <c r="D157" s="5">
        <f>SUM(D71,D72)</f>
        <v>2179997.650551687</v>
      </c>
      <c r="E157" s="53">
        <f>D157/D160</f>
        <v>0.78380283033259568</v>
      </c>
      <c r="F157" s="7">
        <f>+M159</f>
        <v>3.9137978908174935E-2</v>
      </c>
      <c r="H157" s="34"/>
      <c r="I157" s="34"/>
      <c r="J157" s="34" t="s">
        <v>145</v>
      </c>
      <c r="K157" s="34" t="s">
        <v>25</v>
      </c>
      <c r="L157" s="34" t="s">
        <v>146</v>
      </c>
      <c r="M157" s="34" t="s">
        <v>147</v>
      </c>
    </row>
    <row r="158" spans="1:13" x14ac:dyDescent="0.25">
      <c r="C158" s="54"/>
      <c r="D158" s="5"/>
      <c r="E158" s="53"/>
      <c r="F158" s="1"/>
      <c r="H158" s="37" t="s">
        <v>148</v>
      </c>
      <c r="I158" s="38">
        <f>+D157</f>
        <v>2179997.650551687</v>
      </c>
      <c r="J158" s="39">
        <f>I158/I160</f>
        <v>0.84770035153041789</v>
      </c>
      <c r="K158" s="40">
        <f>+Mortgage!$I$1</f>
        <v>0.04</v>
      </c>
      <c r="L158" s="34"/>
      <c r="M158" s="34"/>
    </row>
    <row r="159" spans="1:13" x14ac:dyDescent="0.25">
      <c r="C159" s="15" t="s">
        <v>186</v>
      </c>
      <c r="D159" s="19">
        <f>D75+D76</f>
        <v>601311.07427983149</v>
      </c>
      <c r="E159" s="56">
        <f>D159/D160</f>
        <v>0.21619716966740421</v>
      </c>
      <c r="F159" s="59">
        <f>F149</f>
        <v>0.16819999999999999</v>
      </c>
      <c r="H159" s="37" t="s">
        <v>149</v>
      </c>
      <c r="I159" s="41">
        <f>+D72</f>
        <v>391663.01540883974</v>
      </c>
      <c r="J159" s="39">
        <f>I159/I160</f>
        <v>0.15229964846958216</v>
      </c>
      <c r="K159" s="40">
        <f>+$M$47</f>
        <v>0.12</v>
      </c>
      <c r="L159" s="40">
        <f>K158*J158+K159*J159</f>
        <v>5.2183971877566578E-2</v>
      </c>
      <c r="M159" s="36">
        <f>L159*(1-$M$49)</f>
        <v>3.9137978908174935E-2</v>
      </c>
    </row>
    <row r="160" spans="1:13" x14ac:dyDescent="0.25">
      <c r="C160" t="s">
        <v>183</v>
      </c>
      <c r="D160" s="5">
        <f>SUM(D157:D159)</f>
        <v>2781308.7248315187</v>
      </c>
      <c r="F160" s="57">
        <f>(E157*F157)+(E158*F158)+(E159*F159)</f>
        <v>6.7040822579782333E-2</v>
      </c>
      <c r="H160" s="34" t="s">
        <v>150</v>
      </c>
      <c r="I160" s="38">
        <f>SUM(I158:I159)</f>
        <v>2571660.6659605266</v>
      </c>
      <c r="J160" s="34"/>
      <c r="K160" s="34"/>
      <c r="L160" s="34"/>
      <c r="M160" s="34"/>
    </row>
    <row r="161" spans="2:13" x14ac:dyDescent="0.25">
      <c r="D161" s="5"/>
      <c r="F161" s="57"/>
    </row>
    <row r="162" spans="2:13" x14ac:dyDescent="0.25">
      <c r="C162" s="65" t="s">
        <v>196</v>
      </c>
      <c r="D162" s="65"/>
      <c r="F162" s="66">
        <f>$C$143/(1+(1-$M$49)*((E157+E158)/E159))</f>
        <v>0.30384057796982739</v>
      </c>
    </row>
    <row r="163" spans="2:13" x14ac:dyDescent="0.25">
      <c r="C163" s="65" t="s">
        <v>198</v>
      </c>
      <c r="D163" s="65"/>
      <c r="F163" s="66">
        <f>F162*(1+(1-M59)*(0.5/0.5))</f>
        <v>0.60768115593965477</v>
      </c>
    </row>
    <row r="164" spans="2:13" x14ac:dyDescent="0.25">
      <c r="C164" s="65" t="s">
        <v>197</v>
      </c>
      <c r="D164" s="65"/>
      <c r="F164" s="67">
        <f>$C$145+F163*($C$144-$C$145)</f>
        <v>9.5075361831551658E-2</v>
      </c>
    </row>
    <row r="165" spans="2:13" x14ac:dyDescent="0.25">
      <c r="C165" s="65" t="s">
        <v>199</v>
      </c>
      <c r="D165" s="65"/>
      <c r="F165" s="66">
        <f>0.5*M159+0.5*F164</f>
        <v>6.71066703698633E-2</v>
      </c>
    </row>
    <row r="167" spans="2:13" x14ac:dyDescent="0.25">
      <c r="B167" t="s">
        <v>187</v>
      </c>
      <c r="C167" t="s">
        <v>184</v>
      </c>
      <c r="D167" s="5">
        <f>E71</f>
        <v>1752951.3594824306</v>
      </c>
      <c r="E167" s="53">
        <f>D167/D170</f>
        <v>0.74929846122624022</v>
      </c>
      <c r="F167" s="7">
        <f>+M169</f>
        <v>3.967977281636384E-2</v>
      </c>
      <c r="H167" s="34"/>
      <c r="I167" s="34"/>
      <c r="J167" s="34" t="s">
        <v>145</v>
      </c>
      <c r="K167" s="34" t="s">
        <v>25</v>
      </c>
      <c r="L167" s="34" t="s">
        <v>146</v>
      </c>
      <c r="M167" s="34" t="s">
        <v>147</v>
      </c>
    </row>
    <row r="168" spans="2:13" x14ac:dyDescent="0.25">
      <c r="C168" s="54"/>
      <c r="D168" s="5"/>
      <c r="E168" s="53"/>
      <c r="F168" s="1"/>
      <c r="H168" s="37" t="s">
        <v>148</v>
      </c>
      <c r="I168" s="38">
        <f>+D167</f>
        <v>1752951.3594824306</v>
      </c>
      <c r="J168" s="39">
        <f>I168/I170</f>
        <v>0.83867045306060273</v>
      </c>
      <c r="K168" s="40">
        <f>+Mortgage!$I$1</f>
        <v>0.04</v>
      </c>
      <c r="L168" s="34"/>
      <c r="M168" s="34"/>
    </row>
    <row r="169" spans="2:13" x14ac:dyDescent="0.25">
      <c r="C169" s="15" t="s">
        <v>186</v>
      </c>
      <c r="D169" s="19">
        <f>E75+E76</f>
        <v>586505.41267441423</v>
      </c>
      <c r="E169" s="56">
        <f>D169/D170</f>
        <v>0.25070153877375984</v>
      </c>
      <c r="F169" s="59">
        <f>F149</f>
        <v>0.16819999999999999</v>
      </c>
      <c r="H169" s="37" t="s">
        <v>149</v>
      </c>
      <c r="I169" s="41">
        <f>+E72</f>
        <v>337203.78201003064</v>
      </c>
      <c r="J169" s="39">
        <f>I169/I170</f>
        <v>0.1613295469393973</v>
      </c>
      <c r="K169" s="40">
        <f>+$M$47</f>
        <v>0.12</v>
      </c>
      <c r="L169" s="40">
        <f>K168*J168+K169*J169</f>
        <v>5.2906363755151786E-2</v>
      </c>
      <c r="M169" s="36">
        <f>L169*(1-$M$49)</f>
        <v>3.967977281636384E-2</v>
      </c>
    </row>
    <row r="170" spans="2:13" x14ac:dyDescent="0.25">
      <c r="C170" t="s">
        <v>183</v>
      </c>
      <c r="D170" s="5">
        <f>SUM(D167:D169)</f>
        <v>2339456.7721568448</v>
      </c>
      <c r="F170" s="57">
        <f>(E167*F167)+(E168*F168)+(E169*F169)</f>
        <v>7.1899991534854615E-2</v>
      </c>
      <c r="H170" s="34" t="s">
        <v>150</v>
      </c>
      <c r="I170" s="38">
        <f>SUM(I168:I169)</f>
        <v>2090155.1414924613</v>
      </c>
      <c r="J170" s="34"/>
      <c r="K170" s="34"/>
      <c r="L170" s="34"/>
      <c r="M170" s="34"/>
    </row>
    <row r="171" spans="2:13" x14ac:dyDescent="0.25">
      <c r="D171" s="5"/>
      <c r="F171" s="57"/>
    </row>
    <row r="172" spans="2:13" x14ac:dyDescent="0.25">
      <c r="C172" s="65" t="s">
        <v>196</v>
      </c>
      <c r="D172" s="65"/>
      <c r="F172" s="66">
        <f>$C$143/(1+(1-$M$49)*((E167+E168)/E169))</f>
        <v>0.34859273967208099</v>
      </c>
    </row>
    <row r="173" spans="2:13" x14ac:dyDescent="0.25">
      <c r="C173" s="65" t="s">
        <v>198</v>
      </c>
      <c r="D173" s="65"/>
      <c r="F173" s="66">
        <f>F172*(1+(1-M69)*(0.5/0.5))</f>
        <v>0.69718547934416197</v>
      </c>
    </row>
    <row r="174" spans="2:13" x14ac:dyDescent="0.25">
      <c r="C174" s="65" t="s">
        <v>197</v>
      </c>
      <c r="D174" s="65"/>
      <c r="F174" s="67">
        <f>$C$145+F173*($C$144-$C$145)</f>
        <v>0.10760596710818267</v>
      </c>
    </row>
    <row r="175" spans="2:13" x14ac:dyDescent="0.25">
      <c r="C175" s="65" t="s">
        <v>199</v>
      </c>
      <c r="D175" s="65"/>
      <c r="F175" s="66">
        <f>0.5*M169+0.5*F174</f>
        <v>7.3642869962273261E-2</v>
      </c>
    </row>
    <row r="176" spans="2:13" x14ac:dyDescent="0.25">
      <c r="D176" s="5"/>
      <c r="F176" s="57"/>
    </row>
    <row r="177" spans="2:13" x14ac:dyDescent="0.25">
      <c r="B177" t="s">
        <v>188</v>
      </c>
      <c r="C177" t="s">
        <v>184</v>
      </c>
      <c r="D177" s="5">
        <f>F71</f>
        <v>1716126.5145780523</v>
      </c>
      <c r="E177" s="53">
        <f>D177/D180</f>
        <v>0.73847194238068181</v>
      </c>
      <c r="F177" s="7">
        <f>+M179</f>
        <v>3.7397098401597564E-2</v>
      </c>
      <c r="H177" s="34"/>
      <c r="I177" s="34"/>
      <c r="J177" s="34" t="s">
        <v>145</v>
      </c>
      <c r="K177" s="34" t="s">
        <v>25</v>
      </c>
      <c r="L177" s="34" t="s">
        <v>146</v>
      </c>
      <c r="M177" s="34" t="s">
        <v>147</v>
      </c>
    </row>
    <row r="178" spans="2:13" x14ac:dyDescent="0.25">
      <c r="C178" s="54"/>
      <c r="D178" s="5"/>
      <c r="E178" s="53"/>
      <c r="F178" s="1"/>
      <c r="H178" s="37" t="s">
        <v>148</v>
      </c>
      <c r="I178" s="38">
        <f>+D177</f>
        <v>1716126.5145780523</v>
      </c>
      <c r="J178" s="39">
        <f>I178/I180</f>
        <v>0.87671502664004042</v>
      </c>
      <c r="K178" s="40">
        <f>+Mortgage!$I$1</f>
        <v>0.04</v>
      </c>
      <c r="L178" s="34"/>
      <c r="M178" s="34"/>
    </row>
    <row r="179" spans="2:13" x14ac:dyDescent="0.25">
      <c r="C179" s="15" t="s">
        <v>186</v>
      </c>
      <c r="D179" s="19">
        <f>F75+F76</f>
        <v>607762.06681559293</v>
      </c>
      <c r="E179" s="56">
        <f>D179/D180</f>
        <v>0.26152805761931824</v>
      </c>
      <c r="F179" s="59">
        <f>F169</f>
        <v>0.16819999999999999</v>
      </c>
      <c r="H179" s="37" t="s">
        <v>149</v>
      </c>
      <c r="I179" s="41">
        <f>+F72</f>
        <v>241324.26752500763</v>
      </c>
      <c r="J179" s="39">
        <f>I179/I180</f>
        <v>0.12328497335995948</v>
      </c>
      <c r="K179" s="40">
        <f>+$M$47</f>
        <v>0.12</v>
      </c>
      <c r="L179" s="40">
        <f>K178*J178+K179*J179</f>
        <v>4.9862797868796757E-2</v>
      </c>
      <c r="M179" s="36">
        <f>L179*(1-$M$49)</f>
        <v>3.7397098401597564E-2</v>
      </c>
    </row>
    <row r="180" spans="2:13" x14ac:dyDescent="0.25">
      <c r="C180" t="s">
        <v>183</v>
      </c>
      <c r="D180" s="5">
        <f>SUM(D177:D179)</f>
        <v>2323888.5813936451</v>
      </c>
      <c r="F180" s="57">
        <f>(E177*F177)+(E178*F178)+(E179*F179)</f>
        <v>7.160572718759857E-2</v>
      </c>
      <c r="H180" s="34" t="s">
        <v>150</v>
      </c>
      <c r="I180" s="38">
        <f>SUM(I178:I179)</f>
        <v>1957450.78210306</v>
      </c>
      <c r="J180" s="34"/>
      <c r="K180" s="34"/>
      <c r="L180" s="34"/>
      <c r="M180" s="34"/>
    </row>
    <row r="181" spans="2:13" x14ac:dyDescent="0.25">
      <c r="D181" s="5"/>
      <c r="F181" s="57"/>
    </row>
    <row r="182" spans="2:13" x14ac:dyDescent="0.25">
      <c r="C182" s="65" t="s">
        <v>196</v>
      </c>
      <c r="D182" s="65"/>
      <c r="F182" s="66">
        <f>$C$143/(1+(1-$M$49)*((E177+E178)/E179))</f>
        <v>0.36243956806619393</v>
      </c>
    </row>
    <row r="183" spans="2:13" x14ac:dyDescent="0.25">
      <c r="C183" s="65" t="s">
        <v>198</v>
      </c>
      <c r="D183" s="65"/>
      <c r="F183" s="66">
        <f>F182*(1+(1-M80)*(0.5/0.5))</f>
        <v>0.72487913613238786</v>
      </c>
    </row>
    <row r="184" spans="2:13" x14ac:dyDescent="0.25">
      <c r="C184" s="65" t="s">
        <v>197</v>
      </c>
      <c r="D184" s="65"/>
      <c r="F184" s="67">
        <f>$C$145+F183*($C$144-$C$145)</f>
        <v>0.11148307905853429</v>
      </c>
    </row>
    <row r="185" spans="2:13" x14ac:dyDescent="0.25">
      <c r="C185" s="65" t="s">
        <v>199</v>
      </c>
      <c r="D185" s="65"/>
      <c r="F185" s="66">
        <f>0.5*M179+0.5*F184</f>
        <v>7.4440088730065926E-2</v>
      </c>
    </row>
    <row r="186" spans="2:13" x14ac:dyDescent="0.25">
      <c r="D186" s="5"/>
      <c r="F186" s="57"/>
    </row>
    <row r="187" spans="2:13" x14ac:dyDescent="0.25">
      <c r="B187" t="s">
        <v>189</v>
      </c>
      <c r="C187" t="s">
        <v>202</v>
      </c>
      <c r="D187" s="5">
        <f>SUM(G71,G72)</f>
        <v>1803566.6683354394</v>
      </c>
      <c r="E187" s="53">
        <f>D187/D190</f>
        <v>0.73504540403357987</v>
      </c>
      <c r="F187" s="7">
        <f>+M189</f>
        <v>3.3911155832603304E-2</v>
      </c>
      <c r="H187" s="34"/>
      <c r="I187" s="34"/>
      <c r="J187" s="34" t="s">
        <v>145</v>
      </c>
      <c r="K187" s="34" t="s">
        <v>25</v>
      </c>
      <c r="L187" s="34" t="s">
        <v>146</v>
      </c>
      <c r="M187" s="34" t="s">
        <v>147</v>
      </c>
    </row>
    <row r="188" spans="2:13" x14ac:dyDescent="0.25">
      <c r="C188" s="54"/>
      <c r="D188" s="5"/>
      <c r="E188" s="53"/>
      <c r="F188" s="1"/>
      <c r="H188" s="37" t="s">
        <v>148</v>
      </c>
      <c r="I188" s="38">
        <f>+D187</f>
        <v>1803566.6683354394</v>
      </c>
      <c r="J188" s="39">
        <f>I188/I190</f>
        <v>0.93481406945661161</v>
      </c>
      <c r="K188" s="40">
        <f>+Mortgage!$I$1</f>
        <v>0.04</v>
      </c>
      <c r="L188" s="34"/>
      <c r="M188" s="34"/>
    </row>
    <row r="189" spans="2:13" x14ac:dyDescent="0.25">
      <c r="C189" s="15" t="s">
        <v>186</v>
      </c>
      <c r="D189" s="19">
        <f>G75+G76</f>
        <v>650113.95933507255</v>
      </c>
      <c r="E189" s="56">
        <f>D189/D190</f>
        <v>0.26495459596642007</v>
      </c>
      <c r="F189" s="59">
        <f>F179</f>
        <v>0.16819999999999999</v>
      </c>
      <c r="H189" s="37" t="s">
        <v>149</v>
      </c>
      <c r="I189" s="41">
        <f>+G72</f>
        <v>125765.29966095157</v>
      </c>
      <c r="J189" s="39">
        <f>I189/I190</f>
        <v>6.5185930543388393E-2</v>
      </c>
      <c r="K189" s="40">
        <f>+$M$47</f>
        <v>0.12</v>
      </c>
      <c r="L189" s="40">
        <f>K188*J188+K189*J189</f>
        <v>4.5214874443471068E-2</v>
      </c>
      <c r="M189" s="36">
        <f>L189*(1-$M$49)</f>
        <v>3.3911155832603304E-2</v>
      </c>
    </row>
    <row r="190" spans="2:13" x14ac:dyDescent="0.25">
      <c r="C190" t="s">
        <v>183</v>
      </c>
      <c r="D190" s="5">
        <f>SUM(D187:D189)</f>
        <v>2453680.6276705121</v>
      </c>
      <c r="E190" s="53"/>
      <c r="F190" s="57">
        <f>(E187*F187)+(E188*F188)+(E189*F189)</f>
        <v>6.9491602281773437E-2</v>
      </c>
      <c r="H190" s="34" t="s">
        <v>150</v>
      </c>
      <c r="I190" s="38">
        <f>SUM(I188:I189)</f>
        <v>1929331.967996391</v>
      </c>
      <c r="J190" s="34"/>
      <c r="K190" s="34"/>
      <c r="L190" s="34"/>
      <c r="M190" s="34"/>
    </row>
    <row r="191" spans="2:13" x14ac:dyDescent="0.25">
      <c r="D191" s="5"/>
      <c r="E191" s="53"/>
      <c r="F191" s="57"/>
    </row>
    <row r="192" spans="2:13" x14ac:dyDescent="0.25">
      <c r="C192" s="65" t="s">
        <v>196</v>
      </c>
      <c r="D192" s="65"/>
      <c r="F192" s="66">
        <f>$C$143/(1+(1-$M$49)*((E187+E188)/E189))</f>
        <v>0.36680288762598645</v>
      </c>
    </row>
    <row r="193" spans="2:13" x14ac:dyDescent="0.25">
      <c r="C193" s="65" t="s">
        <v>198</v>
      </c>
      <c r="D193" s="65"/>
      <c r="F193" s="66">
        <f>F192*(1+(1-M91)*(0.5/0.5))</f>
        <v>0.7336057752519729</v>
      </c>
    </row>
    <row r="194" spans="2:13" x14ac:dyDescent="0.25">
      <c r="C194" s="65" t="s">
        <v>197</v>
      </c>
      <c r="D194" s="65"/>
      <c r="F194" s="67">
        <f>$C$145+F193*($C$144-$C$145)</f>
        <v>0.11270480853527619</v>
      </c>
    </row>
    <row r="195" spans="2:13" x14ac:dyDescent="0.25">
      <c r="C195" s="65" t="s">
        <v>199</v>
      </c>
      <c r="D195" s="65"/>
      <c r="F195" s="66">
        <f>0.5*M189+0.5*F194</f>
        <v>7.3307982183939746E-2</v>
      </c>
    </row>
    <row r="196" spans="2:13" x14ac:dyDescent="0.25">
      <c r="D196" s="5"/>
      <c r="E196" s="53"/>
      <c r="F196" s="57"/>
    </row>
    <row r="197" spans="2:13" x14ac:dyDescent="0.25">
      <c r="B197" t="s">
        <v>190</v>
      </c>
      <c r="C197" t="s">
        <v>184</v>
      </c>
      <c r="D197" s="5">
        <f>SUM(H71,H72)</f>
        <v>1637914.7971941857</v>
      </c>
      <c r="E197" s="53">
        <f>D197/D200</f>
        <v>0.69539414935207422</v>
      </c>
      <c r="F197" s="7">
        <f>+M199</f>
        <v>0.03</v>
      </c>
      <c r="H197" s="34"/>
      <c r="I197" s="34"/>
      <c r="J197" s="34" t="s">
        <v>145</v>
      </c>
      <c r="K197" s="34" t="s">
        <v>25</v>
      </c>
      <c r="L197" s="34" t="s">
        <v>146</v>
      </c>
      <c r="M197" s="34" t="s">
        <v>147</v>
      </c>
    </row>
    <row r="198" spans="2:13" x14ac:dyDescent="0.25">
      <c r="C198" s="54"/>
      <c r="D198" s="5"/>
      <c r="E198" s="53"/>
      <c r="F198" s="1"/>
      <c r="H198" s="37" t="s">
        <v>148</v>
      </c>
      <c r="I198" s="38">
        <f>+D197</f>
        <v>1637914.7971941857</v>
      </c>
      <c r="J198" s="39">
        <f>I198/I200</f>
        <v>1</v>
      </c>
      <c r="K198" s="40">
        <f>+Mortgage!$I$1</f>
        <v>0.04</v>
      </c>
      <c r="L198" s="34"/>
      <c r="M198" s="34"/>
    </row>
    <row r="199" spans="2:13" x14ac:dyDescent="0.25">
      <c r="C199" s="15" t="s">
        <v>186</v>
      </c>
      <c r="D199" s="19">
        <f>H75+H76</f>
        <v>717461.35706350359</v>
      </c>
      <c r="E199" s="56">
        <f>D199/D200</f>
        <v>0.30460585064792584</v>
      </c>
      <c r="F199" s="59">
        <f>F189</f>
        <v>0.16819999999999999</v>
      </c>
      <c r="H199" s="37" t="s">
        <v>149</v>
      </c>
      <c r="I199" s="41">
        <f>+H72</f>
        <v>0</v>
      </c>
      <c r="J199" s="39">
        <f>I199/I200</f>
        <v>0</v>
      </c>
      <c r="K199" s="40">
        <f>+$M$47</f>
        <v>0.12</v>
      </c>
      <c r="L199" s="40">
        <f>K198*J198+K199*J199</f>
        <v>0.04</v>
      </c>
      <c r="M199" s="36">
        <f>L199*(1-$M$49)</f>
        <v>0.03</v>
      </c>
    </row>
    <row r="200" spans="2:13" x14ac:dyDescent="0.25">
      <c r="C200" t="s">
        <v>183</v>
      </c>
      <c r="D200" s="5">
        <f>SUM(D197:D199)</f>
        <v>2355376.1542576891</v>
      </c>
      <c r="F200" s="57">
        <f>(E197*F197)+(E198*F198)+(E199*F199)</f>
        <v>7.2096528559543349E-2</v>
      </c>
      <c r="H200" s="34" t="s">
        <v>150</v>
      </c>
      <c r="I200" s="38">
        <f>SUM(I198:I199)</f>
        <v>1637914.7971941857</v>
      </c>
      <c r="J200" s="34"/>
      <c r="K200" s="34"/>
      <c r="L200" s="34"/>
      <c r="M200" s="34"/>
    </row>
    <row r="201" spans="2:13" x14ac:dyDescent="0.25">
      <c r="D201" s="5"/>
      <c r="F201" s="57"/>
    </row>
    <row r="202" spans="2:13" x14ac:dyDescent="0.25">
      <c r="C202" s="65" t="s">
        <v>196</v>
      </c>
      <c r="D202" s="65"/>
      <c r="F202" s="66">
        <f>$C$143/(1+(1-$M$49)*((E197+E198)/E199))</f>
        <v>0.41663620629936104</v>
      </c>
    </row>
    <row r="203" spans="2:13" x14ac:dyDescent="0.25">
      <c r="C203" s="65" t="s">
        <v>198</v>
      </c>
      <c r="D203" s="65"/>
      <c r="F203" s="66">
        <f>F202*(1+(1-M102)*(0.5/0.5))</f>
        <v>0.83327241259872209</v>
      </c>
    </row>
    <row r="204" spans="2:13" x14ac:dyDescent="0.25">
      <c r="C204" s="65" t="s">
        <v>197</v>
      </c>
      <c r="D204" s="65"/>
      <c r="F204" s="67">
        <f>$C$145+F203*($C$144-$C$145)</f>
        <v>0.12665813776382109</v>
      </c>
    </row>
    <row r="205" spans="2:13" x14ac:dyDescent="0.25">
      <c r="C205" s="65" t="s">
        <v>199</v>
      </c>
      <c r="D205" s="65"/>
      <c r="F205" s="66">
        <f>0.5*M199+0.5*F204</f>
        <v>7.8329068881910546E-2</v>
      </c>
    </row>
    <row r="206" spans="2:13" x14ac:dyDescent="0.25">
      <c r="D206" s="5"/>
      <c r="F206" s="57"/>
    </row>
    <row r="207" spans="2:13" x14ac:dyDescent="0.25">
      <c r="B207" t="s">
        <v>191</v>
      </c>
      <c r="C207" t="s">
        <v>184</v>
      </c>
      <c r="D207" s="5">
        <f>I71</f>
        <v>1596403.1852499961</v>
      </c>
      <c r="E207" s="53">
        <f>D207/D210</f>
        <v>0.66259700973752145</v>
      </c>
      <c r="F207" s="7">
        <f>+M209</f>
        <v>0.03</v>
      </c>
      <c r="H207" s="34"/>
      <c r="I207" s="34"/>
      <c r="J207" s="34" t="s">
        <v>145</v>
      </c>
      <c r="K207" s="34" t="s">
        <v>25</v>
      </c>
      <c r="L207" s="34" t="s">
        <v>146</v>
      </c>
      <c r="M207" s="34" t="s">
        <v>147</v>
      </c>
    </row>
    <row r="208" spans="2:13" x14ac:dyDescent="0.25">
      <c r="C208" s="54"/>
      <c r="D208" s="5"/>
      <c r="E208" s="53"/>
      <c r="F208" s="1"/>
      <c r="H208" s="37" t="s">
        <v>148</v>
      </c>
      <c r="I208" s="38">
        <f>+D207</f>
        <v>1596403.1852499961</v>
      </c>
      <c r="J208" s="39">
        <f>I208/I210</f>
        <v>1</v>
      </c>
      <c r="K208" s="40">
        <f>+Mortgage!$I$1</f>
        <v>0.04</v>
      </c>
      <c r="L208" s="34"/>
      <c r="M208" s="34"/>
    </row>
    <row r="209" spans="2:13" x14ac:dyDescent="0.25">
      <c r="C209" s="15" t="s">
        <v>186</v>
      </c>
      <c r="D209" s="19">
        <f>I75+I76</f>
        <v>812909.20491969213</v>
      </c>
      <c r="E209" s="56">
        <f>D209/D210</f>
        <v>0.33740299026247844</v>
      </c>
      <c r="F209" s="59">
        <f>F199</f>
        <v>0.16819999999999999</v>
      </c>
      <c r="H209" s="37" t="s">
        <v>149</v>
      </c>
      <c r="I209" s="41">
        <f>+I72</f>
        <v>0</v>
      </c>
      <c r="J209" s="39">
        <f>I209/I210</f>
        <v>0</v>
      </c>
      <c r="K209" s="40">
        <f>+$M$47</f>
        <v>0.12</v>
      </c>
      <c r="L209" s="40">
        <f>K208*J208+K209*J209</f>
        <v>0.04</v>
      </c>
      <c r="M209" s="36">
        <f>L209*(1-$M$49)</f>
        <v>0.03</v>
      </c>
    </row>
    <row r="210" spans="2:13" x14ac:dyDescent="0.25">
      <c r="C210" t="s">
        <v>183</v>
      </c>
      <c r="D210" s="5">
        <f>SUM(D207:D209)</f>
        <v>2409312.3901696885</v>
      </c>
      <c r="F210" s="57">
        <f>(E207*F207)+(E208*F208)+(E209*F209)</f>
        <v>7.6629093254274513E-2</v>
      </c>
      <c r="H210" s="34" t="s">
        <v>150</v>
      </c>
      <c r="I210" s="38">
        <f>SUM(I208:I209)</f>
        <v>1596403.1852499961</v>
      </c>
      <c r="J210" s="34"/>
      <c r="K210" s="34"/>
      <c r="L210" s="34"/>
      <c r="M210" s="34"/>
    </row>
    <row r="211" spans="2:13" x14ac:dyDescent="0.25">
      <c r="D211" s="5"/>
      <c r="F211" s="57"/>
    </row>
    <row r="212" spans="2:13" x14ac:dyDescent="0.25">
      <c r="C212" s="65" t="s">
        <v>196</v>
      </c>
      <c r="D212" s="65"/>
      <c r="F212" s="66">
        <f>$C$143/(1+(1-$M$49)*((E207+E208)/E209))</f>
        <v>0.45696055299167221</v>
      </c>
    </row>
    <row r="213" spans="2:13" x14ac:dyDescent="0.25">
      <c r="C213" s="65" t="s">
        <v>198</v>
      </c>
      <c r="D213" s="65"/>
      <c r="F213" s="66">
        <f>F212*(1+(1-M113)*(0.5/0.5))</f>
        <v>0.91392110598334442</v>
      </c>
    </row>
    <row r="214" spans="2:13" x14ac:dyDescent="0.25">
      <c r="C214" s="65" t="s">
        <v>197</v>
      </c>
      <c r="D214" s="65"/>
      <c r="F214" s="67">
        <f>$C$145+F213*($C$144-$C$145)</f>
        <v>0.13794895483766823</v>
      </c>
    </row>
    <row r="215" spans="2:13" x14ac:dyDescent="0.25">
      <c r="C215" s="65" t="s">
        <v>199</v>
      </c>
      <c r="D215" s="65"/>
      <c r="F215" s="66">
        <f>0.5*M209+0.5*F214</f>
        <v>8.3974477418834112E-2</v>
      </c>
    </row>
    <row r="216" spans="2:13" x14ac:dyDescent="0.25">
      <c r="D216" s="5"/>
      <c r="F216" s="57"/>
    </row>
    <row r="217" spans="2:13" x14ac:dyDescent="0.25">
      <c r="B217" t="s">
        <v>192</v>
      </c>
      <c r="C217" t="s">
        <v>184</v>
      </c>
      <c r="D217" s="5">
        <f>J71</f>
        <v>1553200.3261861121</v>
      </c>
      <c r="E217" s="53">
        <f>D217/D220</f>
        <v>0.62700640691911402</v>
      </c>
      <c r="F217" s="7">
        <f>+M219</f>
        <v>0.03</v>
      </c>
      <c r="H217" s="34"/>
      <c r="I217" s="34"/>
      <c r="J217" s="34" t="s">
        <v>145</v>
      </c>
      <c r="K217" s="34" t="s">
        <v>25</v>
      </c>
      <c r="L217" s="34" t="s">
        <v>146</v>
      </c>
      <c r="M217" s="34" t="s">
        <v>147</v>
      </c>
    </row>
    <row r="218" spans="2:13" x14ac:dyDescent="0.25">
      <c r="C218" s="54"/>
      <c r="D218" s="5"/>
      <c r="E218" s="53"/>
      <c r="F218" s="1"/>
      <c r="H218" s="37" t="s">
        <v>148</v>
      </c>
      <c r="I218" s="38">
        <f>+D217</f>
        <v>1553200.3261861121</v>
      </c>
      <c r="J218" s="39">
        <f>I218/I220</f>
        <v>1</v>
      </c>
      <c r="K218" s="40">
        <f>+Mortgage!$I$1</f>
        <v>0.04</v>
      </c>
      <c r="L218" s="34"/>
      <c r="M218" s="34"/>
    </row>
    <row r="219" spans="2:13" x14ac:dyDescent="0.25">
      <c r="C219" s="15" t="s">
        <v>186</v>
      </c>
      <c r="D219" s="19">
        <f>J75+J76</f>
        <v>923967.86387750274</v>
      </c>
      <c r="E219" s="56">
        <f>D219/D220</f>
        <v>0.37299359308088598</v>
      </c>
      <c r="F219" s="59">
        <f>F209</f>
        <v>0.16819999999999999</v>
      </c>
      <c r="H219" s="37" t="s">
        <v>149</v>
      </c>
      <c r="I219" s="41">
        <f>+J72</f>
        <v>0</v>
      </c>
      <c r="J219" s="39">
        <f>I219/I220</f>
        <v>0</v>
      </c>
      <c r="K219" s="40">
        <f>+$M$47</f>
        <v>0.12</v>
      </c>
      <c r="L219" s="40">
        <f>K218*J218+K219*J219</f>
        <v>0.04</v>
      </c>
      <c r="M219" s="36">
        <f>L219*(1-$M$49)</f>
        <v>0.03</v>
      </c>
    </row>
    <row r="220" spans="2:13" x14ac:dyDescent="0.25">
      <c r="C220" t="s">
        <v>183</v>
      </c>
      <c r="D220" s="5">
        <f>SUM(D217:D219)</f>
        <v>2477168.1900636149</v>
      </c>
      <c r="F220" s="57">
        <f>(E217*F217)+(E218*F218)+(E219*F219)</f>
        <v>8.1547714563778434E-2</v>
      </c>
      <c r="H220" s="34" t="s">
        <v>150</v>
      </c>
      <c r="I220" s="38">
        <f>SUM(I218:I219)</f>
        <v>1553200.3261861121</v>
      </c>
      <c r="J220" s="34"/>
      <c r="K220" s="34"/>
      <c r="L220" s="34"/>
      <c r="M220" s="34"/>
    </row>
    <row r="221" spans="2:13" x14ac:dyDescent="0.25">
      <c r="D221" s="5"/>
      <c r="F221" s="57"/>
    </row>
    <row r="222" spans="2:13" x14ac:dyDescent="0.25">
      <c r="C222" s="65" t="s">
        <v>196</v>
      </c>
      <c r="D222" s="65"/>
      <c r="F222" s="66">
        <f>$C$143/(1+(1-$M$49)*((E217+E218)/E219))</f>
        <v>0.49983226893285559</v>
      </c>
    </row>
    <row r="223" spans="2:13" x14ac:dyDescent="0.25">
      <c r="C223" s="65" t="s">
        <v>198</v>
      </c>
      <c r="D223" s="65"/>
      <c r="F223" s="66">
        <f>F222*(1+(1-M124)*(0.5/0.5))</f>
        <v>0.99966453786571119</v>
      </c>
    </row>
    <row r="224" spans="2:13" x14ac:dyDescent="0.25">
      <c r="C224" s="65" t="s">
        <v>197</v>
      </c>
      <c r="D224" s="65"/>
      <c r="F224" s="67">
        <f>$C$145+F223*($C$144-$C$145)</f>
        <v>0.14995303530119955</v>
      </c>
    </row>
    <row r="225" spans="2:13" x14ac:dyDescent="0.25">
      <c r="C225" s="65" t="s">
        <v>199</v>
      </c>
      <c r="D225" s="65"/>
      <c r="F225" s="66">
        <f>0.5*M219+0.5*F224</f>
        <v>8.9976517650599774E-2</v>
      </c>
    </row>
    <row r="226" spans="2:13" x14ac:dyDescent="0.25">
      <c r="D226" s="5"/>
      <c r="F226" s="57"/>
    </row>
    <row r="227" spans="2:13" x14ac:dyDescent="0.25">
      <c r="B227" t="s">
        <v>193</v>
      </c>
      <c r="C227" t="s">
        <v>184</v>
      </c>
      <c r="D227" s="5">
        <f>K71</f>
        <v>1508237.3159854198</v>
      </c>
      <c r="E227" s="53">
        <f>D227/D230</f>
        <v>0.59809205425612777</v>
      </c>
      <c r="F227" s="7">
        <f>+M229</f>
        <v>3.7995681137952098E-2</v>
      </c>
      <c r="H227" s="34"/>
      <c r="I227" s="34"/>
      <c r="J227" s="34" t="s">
        <v>145</v>
      </c>
      <c r="K227" s="34" t="s">
        <v>25</v>
      </c>
      <c r="L227" s="34" t="s">
        <v>146</v>
      </c>
      <c r="M227" s="34" t="s">
        <v>147</v>
      </c>
    </row>
    <row r="228" spans="2:13" x14ac:dyDescent="0.25">
      <c r="C228" s="54"/>
      <c r="D228" s="5"/>
      <c r="E228" s="53"/>
      <c r="F228" s="1"/>
      <c r="H228" s="37" t="s">
        <v>148</v>
      </c>
      <c r="I228" s="38">
        <f>+D227</f>
        <v>1508237.3159854198</v>
      </c>
      <c r="J228" s="39">
        <f>I228/I230</f>
        <v>0.86673864770079845</v>
      </c>
      <c r="K228" s="40">
        <f>+Mortgage!$I$1</f>
        <v>0.04</v>
      </c>
      <c r="L228" s="34"/>
      <c r="M228" s="34"/>
    </row>
    <row r="229" spans="2:13" x14ac:dyDescent="0.25">
      <c r="C229" s="60" t="s">
        <v>186</v>
      </c>
      <c r="D229" s="61">
        <f>K75+K76</f>
        <v>1013510.4739284222</v>
      </c>
      <c r="E229" s="62">
        <f>D229/D230</f>
        <v>0.40190794574387229</v>
      </c>
      <c r="F229" s="63">
        <f>F219</f>
        <v>0.16819999999999999</v>
      </c>
      <c r="H229" s="37" t="s">
        <v>149</v>
      </c>
      <c r="I229" s="41">
        <f>+K72</f>
        <v>231891.98364409115</v>
      </c>
      <c r="J229" s="39">
        <f>I229/I230</f>
        <v>0.13326135229920158</v>
      </c>
      <c r="K229" s="40">
        <f>+$M$47</f>
        <v>0.12</v>
      </c>
      <c r="L229" s="40">
        <f>K228*J228+K229*J229</f>
        <v>5.0660908183936128E-2</v>
      </c>
      <c r="M229" s="36">
        <f>L229*(1-$M$49)</f>
        <v>3.7995681137952098E-2</v>
      </c>
    </row>
    <row r="230" spans="2:13" x14ac:dyDescent="0.25">
      <c r="C230" t="s">
        <v>183</v>
      </c>
      <c r="D230" s="5">
        <f>SUM(D227:D229)</f>
        <v>2521747.789913842</v>
      </c>
      <c r="E230" s="53"/>
      <c r="F230" s="57">
        <f>(E227*F227)+(E228*F228)+(E229*F229)</f>
        <v>9.0325831458777886E-2</v>
      </c>
      <c r="H230" s="34" t="s">
        <v>150</v>
      </c>
      <c r="I230" s="38">
        <f>SUM(I228:I229)</f>
        <v>1740129.2996295108</v>
      </c>
      <c r="J230" s="34"/>
      <c r="K230" s="34"/>
      <c r="L230" s="34"/>
      <c r="M230" s="34"/>
    </row>
    <row r="231" spans="2:13" x14ac:dyDescent="0.25">
      <c r="D231" s="5"/>
      <c r="E231" s="53"/>
      <c r="F231" s="57"/>
    </row>
    <row r="232" spans="2:13" x14ac:dyDescent="0.25">
      <c r="C232" s="65" t="s">
        <v>196</v>
      </c>
      <c r="D232" s="65"/>
      <c r="F232" s="66">
        <f>$C$143/(1+(1-$M$49)*((E227+E228)/E229))</f>
        <v>0.53400149085018045</v>
      </c>
    </row>
    <row r="233" spans="2:13" x14ac:dyDescent="0.25">
      <c r="C233" s="65" t="s">
        <v>198</v>
      </c>
      <c r="D233" s="65"/>
      <c r="F233" s="66">
        <f>F232*(1+(1-M135)*(0.5/0.5))</f>
        <v>1.0680029817003609</v>
      </c>
    </row>
    <row r="234" spans="2:13" x14ac:dyDescent="0.25">
      <c r="C234" s="65" t="s">
        <v>197</v>
      </c>
      <c r="D234" s="65"/>
      <c r="F234" s="67">
        <f>$C$145+F233*($C$144-$C$145)</f>
        <v>0.15952041743805051</v>
      </c>
    </row>
    <row r="235" spans="2:13" x14ac:dyDescent="0.25">
      <c r="C235" s="65" t="s">
        <v>199</v>
      </c>
      <c r="D235" s="65"/>
      <c r="F235" s="66">
        <f>0.5*M229+0.5*F234</f>
        <v>9.8758049288001304E-2</v>
      </c>
    </row>
    <row r="236" spans="2:13" x14ac:dyDescent="0.25">
      <c r="D236" s="5"/>
      <c r="E236" s="53"/>
      <c r="F236" s="57"/>
    </row>
    <row r="237" spans="2:13" x14ac:dyDescent="0.25">
      <c r="B237" t="s">
        <v>194</v>
      </c>
      <c r="C237" t="s">
        <v>184</v>
      </c>
      <c r="D237" s="5">
        <f>L71</f>
        <v>1461442.4433748326</v>
      </c>
      <c r="E237" s="53">
        <f>D237/D240</f>
        <v>0.55798936378811237</v>
      </c>
      <c r="F237" s="7">
        <f>+M239</f>
        <v>0.03</v>
      </c>
      <c r="H237" s="34"/>
      <c r="I237" s="34"/>
      <c r="J237" s="34" t="s">
        <v>145</v>
      </c>
      <c r="K237" s="34" t="s">
        <v>25</v>
      </c>
      <c r="L237" s="34" t="s">
        <v>146</v>
      </c>
      <c r="M237" s="34" t="s">
        <v>147</v>
      </c>
    </row>
    <row r="238" spans="2:13" x14ac:dyDescent="0.25">
      <c r="C238" s="54"/>
      <c r="D238" s="5"/>
      <c r="E238" s="53"/>
      <c r="F238" s="1"/>
      <c r="H238" s="37" t="s">
        <v>148</v>
      </c>
      <c r="I238" s="38">
        <f>+D237</f>
        <v>1461442.4433748326</v>
      </c>
      <c r="J238" s="39">
        <f>I238/I240</f>
        <v>1</v>
      </c>
      <c r="K238" s="40">
        <f>+Mortgage!$I$1</f>
        <v>0.04</v>
      </c>
      <c r="L238" s="34"/>
      <c r="M238" s="34"/>
    </row>
    <row r="239" spans="2:13" x14ac:dyDescent="0.25">
      <c r="C239" s="60" t="s">
        <v>186</v>
      </c>
      <c r="D239" s="19">
        <f>L75+L76</f>
        <v>1157679.959699847</v>
      </c>
      <c r="E239" s="56">
        <f>D239/D240</f>
        <v>0.44201063621188752</v>
      </c>
      <c r="F239" s="59">
        <f>F229</f>
        <v>0.16819999999999999</v>
      </c>
      <c r="H239" s="37" t="s">
        <v>149</v>
      </c>
      <c r="I239" s="41">
        <f>+L72</f>
        <v>0</v>
      </c>
      <c r="J239" s="39">
        <f>I239/I240</f>
        <v>0</v>
      </c>
      <c r="K239" s="40">
        <f>+$M$47</f>
        <v>0.12</v>
      </c>
      <c r="L239" s="40">
        <f>K238*J238+K239*J239</f>
        <v>0.04</v>
      </c>
      <c r="M239" s="36">
        <f>L239*(1-$M$49)</f>
        <v>0.03</v>
      </c>
    </row>
    <row r="240" spans="2:13" x14ac:dyDescent="0.25">
      <c r="C240" t="s">
        <v>183</v>
      </c>
      <c r="D240" s="5">
        <f>SUM(D237:D239)</f>
        <v>2619122.4030746799</v>
      </c>
      <c r="E240" s="53"/>
      <c r="F240" s="57">
        <f>(E237*F237)+(E238*F238)+(E239*F239)</f>
        <v>9.1085869924482837E-2</v>
      </c>
      <c r="H240" s="34" t="s">
        <v>150</v>
      </c>
      <c r="I240" s="38">
        <f>SUM(I238:I239)</f>
        <v>1461442.4433748326</v>
      </c>
      <c r="J240" s="34"/>
      <c r="K240" s="34"/>
      <c r="L240" s="34"/>
      <c r="M240" s="34"/>
    </row>
    <row r="242" spans="3:6" x14ac:dyDescent="0.25">
      <c r="C242" s="65" t="s">
        <v>196</v>
      </c>
      <c r="D242" s="65"/>
      <c r="F242" s="66">
        <f>$C$143/(1+(1-$M$49)*((E237+E238)/E239))</f>
        <v>0.58044215629633023</v>
      </c>
    </row>
    <row r="243" spans="3:6" x14ac:dyDescent="0.25">
      <c r="C243" s="65" t="s">
        <v>198</v>
      </c>
      <c r="D243" s="65"/>
      <c r="F243" s="66">
        <f>F242*(1+(1-M146)*(0.5/0.5))</f>
        <v>1.1608843125926605</v>
      </c>
    </row>
    <row r="244" spans="3:6" x14ac:dyDescent="0.25">
      <c r="C244" s="65" t="s">
        <v>197</v>
      </c>
      <c r="D244" s="65"/>
      <c r="F244" s="67">
        <f>$C$145+F243*($C$144-$C$145)</f>
        <v>0.17252380376297247</v>
      </c>
    </row>
    <row r="245" spans="3:6" x14ac:dyDescent="0.25">
      <c r="C245" s="65" t="s">
        <v>199</v>
      </c>
      <c r="D245" s="65"/>
      <c r="F245" s="66">
        <f>0.5*M239+0.5*F244</f>
        <v>0.10126190188148623</v>
      </c>
    </row>
  </sheetData>
  <mergeCells count="1">
    <mergeCell ref="C1:F1"/>
  </mergeCells>
  <pageMargins left="0.7" right="0.7" top="0.75" bottom="0.75" header="0.3" footer="0.3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workbookViewId="0">
      <selection activeCell="I6" sqref="I6"/>
    </sheetView>
  </sheetViews>
  <sheetFormatPr defaultColWidth="11.5703125" defaultRowHeight="15" x14ac:dyDescent="0.25"/>
  <cols>
    <col min="1" max="1" width="30.14062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9" max="9" width="12.7109375" bestFit="1" customWidth="1"/>
    <col min="257" max="257" width="30.140625" customWidth="1"/>
    <col min="258" max="259" width="12.7109375" customWidth="1"/>
    <col min="260" max="260" width="12.85546875" customWidth="1"/>
    <col min="261" max="261" width="13.5703125" customWidth="1"/>
    <col min="262" max="262" width="12.42578125" customWidth="1"/>
    <col min="513" max="513" width="30.140625" customWidth="1"/>
    <col min="514" max="515" width="12.7109375" customWidth="1"/>
    <col min="516" max="516" width="12.85546875" customWidth="1"/>
    <col min="517" max="517" width="13.5703125" customWidth="1"/>
    <col min="518" max="518" width="12.42578125" customWidth="1"/>
    <col min="769" max="769" width="30.140625" customWidth="1"/>
    <col min="770" max="771" width="12.7109375" customWidth="1"/>
    <col min="772" max="772" width="12.85546875" customWidth="1"/>
    <col min="773" max="773" width="13.5703125" customWidth="1"/>
    <col min="774" max="774" width="12.42578125" customWidth="1"/>
    <col min="1025" max="1025" width="30.140625" customWidth="1"/>
    <col min="1026" max="1027" width="12.7109375" customWidth="1"/>
    <col min="1028" max="1028" width="12.85546875" customWidth="1"/>
    <col min="1029" max="1029" width="13.5703125" customWidth="1"/>
    <col min="1030" max="1030" width="12.42578125" customWidth="1"/>
    <col min="1281" max="1281" width="30.140625" customWidth="1"/>
    <col min="1282" max="1283" width="12.7109375" customWidth="1"/>
    <col min="1284" max="1284" width="12.85546875" customWidth="1"/>
    <col min="1285" max="1285" width="13.5703125" customWidth="1"/>
    <col min="1286" max="1286" width="12.42578125" customWidth="1"/>
    <col min="1537" max="1537" width="30.140625" customWidth="1"/>
    <col min="1538" max="1539" width="12.7109375" customWidth="1"/>
    <col min="1540" max="1540" width="12.85546875" customWidth="1"/>
    <col min="1541" max="1541" width="13.5703125" customWidth="1"/>
    <col min="1542" max="1542" width="12.42578125" customWidth="1"/>
    <col min="1793" max="1793" width="30.140625" customWidth="1"/>
    <col min="1794" max="1795" width="12.7109375" customWidth="1"/>
    <col min="1796" max="1796" width="12.85546875" customWidth="1"/>
    <col min="1797" max="1797" width="13.5703125" customWidth="1"/>
    <col min="1798" max="1798" width="12.42578125" customWidth="1"/>
    <col min="2049" max="2049" width="30.140625" customWidth="1"/>
    <col min="2050" max="2051" width="12.7109375" customWidth="1"/>
    <col min="2052" max="2052" width="12.85546875" customWidth="1"/>
    <col min="2053" max="2053" width="13.5703125" customWidth="1"/>
    <col min="2054" max="2054" width="12.42578125" customWidth="1"/>
    <col min="2305" max="2305" width="30.140625" customWidth="1"/>
    <col min="2306" max="2307" width="12.7109375" customWidth="1"/>
    <col min="2308" max="2308" width="12.85546875" customWidth="1"/>
    <col min="2309" max="2309" width="13.5703125" customWidth="1"/>
    <col min="2310" max="2310" width="12.42578125" customWidth="1"/>
    <col min="2561" max="2561" width="30.140625" customWidth="1"/>
    <col min="2562" max="2563" width="12.7109375" customWidth="1"/>
    <col min="2564" max="2564" width="12.85546875" customWidth="1"/>
    <col min="2565" max="2565" width="13.5703125" customWidth="1"/>
    <col min="2566" max="2566" width="12.42578125" customWidth="1"/>
    <col min="2817" max="2817" width="30.140625" customWidth="1"/>
    <col min="2818" max="2819" width="12.7109375" customWidth="1"/>
    <col min="2820" max="2820" width="12.85546875" customWidth="1"/>
    <col min="2821" max="2821" width="13.5703125" customWidth="1"/>
    <col min="2822" max="2822" width="12.42578125" customWidth="1"/>
    <col min="3073" max="3073" width="30.140625" customWidth="1"/>
    <col min="3074" max="3075" width="12.7109375" customWidth="1"/>
    <col min="3076" max="3076" width="12.85546875" customWidth="1"/>
    <col min="3077" max="3077" width="13.5703125" customWidth="1"/>
    <col min="3078" max="3078" width="12.42578125" customWidth="1"/>
    <col min="3329" max="3329" width="30.140625" customWidth="1"/>
    <col min="3330" max="3331" width="12.7109375" customWidth="1"/>
    <col min="3332" max="3332" width="12.85546875" customWidth="1"/>
    <col min="3333" max="3333" width="13.5703125" customWidth="1"/>
    <col min="3334" max="3334" width="12.42578125" customWidth="1"/>
    <col min="3585" max="3585" width="30.140625" customWidth="1"/>
    <col min="3586" max="3587" width="12.7109375" customWidth="1"/>
    <col min="3588" max="3588" width="12.85546875" customWidth="1"/>
    <col min="3589" max="3589" width="13.5703125" customWidth="1"/>
    <col min="3590" max="3590" width="12.42578125" customWidth="1"/>
    <col min="3841" max="3841" width="30.140625" customWidth="1"/>
    <col min="3842" max="3843" width="12.7109375" customWidth="1"/>
    <col min="3844" max="3844" width="12.85546875" customWidth="1"/>
    <col min="3845" max="3845" width="13.5703125" customWidth="1"/>
    <col min="3846" max="3846" width="12.42578125" customWidth="1"/>
    <col min="4097" max="4097" width="30.140625" customWidth="1"/>
    <col min="4098" max="4099" width="12.7109375" customWidth="1"/>
    <col min="4100" max="4100" width="12.85546875" customWidth="1"/>
    <col min="4101" max="4101" width="13.5703125" customWidth="1"/>
    <col min="4102" max="4102" width="12.42578125" customWidth="1"/>
    <col min="4353" max="4353" width="30.140625" customWidth="1"/>
    <col min="4354" max="4355" width="12.7109375" customWidth="1"/>
    <col min="4356" max="4356" width="12.85546875" customWidth="1"/>
    <col min="4357" max="4357" width="13.5703125" customWidth="1"/>
    <col min="4358" max="4358" width="12.42578125" customWidth="1"/>
    <col min="4609" max="4609" width="30.140625" customWidth="1"/>
    <col min="4610" max="4611" width="12.7109375" customWidth="1"/>
    <col min="4612" max="4612" width="12.85546875" customWidth="1"/>
    <col min="4613" max="4613" width="13.5703125" customWidth="1"/>
    <col min="4614" max="4614" width="12.42578125" customWidth="1"/>
    <col min="4865" max="4865" width="30.140625" customWidth="1"/>
    <col min="4866" max="4867" width="12.7109375" customWidth="1"/>
    <col min="4868" max="4868" width="12.85546875" customWidth="1"/>
    <col min="4869" max="4869" width="13.5703125" customWidth="1"/>
    <col min="4870" max="4870" width="12.42578125" customWidth="1"/>
    <col min="5121" max="5121" width="30.140625" customWidth="1"/>
    <col min="5122" max="5123" width="12.7109375" customWidth="1"/>
    <col min="5124" max="5124" width="12.85546875" customWidth="1"/>
    <col min="5125" max="5125" width="13.5703125" customWidth="1"/>
    <col min="5126" max="5126" width="12.42578125" customWidth="1"/>
    <col min="5377" max="5377" width="30.140625" customWidth="1"/>
    <col min="5378" max="5379" width="12.7109375" customWidth="1"/>
    <col min="5380" max="5380" width="12.85546875" customWidth="1"/>
    <col min="5381" max="5381" width="13.5703125" customWidth="1"/>
    <col min="5382" max="5382" width="12.42578125" customWidth="1"/>
    <col min="5633" max="5633" width="30.140625" customWidth="1"/>
    <col min="5634" max="5635" width="12.7109375" customWidth="1"/>
    <col min="5636" max="5636" width="12.85546875" customWidth="1"/>
    <col min="5637" max="5637" width="13.5703125" customWidth="1"/>
    <col min="5638" max="5638" width="12.42578125" customWidth="1"/>
    <col min="5889" max="5889" width="30.140625" customWidth="1"/>
    <col min="5890" max="5891" width="12.7109375" customWidth="1"/>
    <col min="5892" max="5892" width="12.85546875" customWidth="1"/>
    <col min="5893" max="5893" width="13.5703125" customWidth="1"/>
    <col min="5894" max="5894" width="12.42578125" customWidth="1"/>
    <col min="6145" max="6145" width="30.140625" customWidth="1"/>
    <col min="6146" max="6147" width="12.7109375" customWidth="1"/>
    <col min="6148" max="6148" width="12.85546875" customWidth="1"/>
    <col min="6149" max="6149" width="13.5703125" customWidth="1"/>
    <col min="6150" max="6150" width="12.42578125" customWidth="1"/>
    <col min="6401" max="6401" width="30.140625" customWidth="1"/>
    <col min="6402" max="6403" width="12.7109375" customWidth="1"/>
    <col min="6404" max="6404" width="12.85546875" customWidth="1"/>
    <col min="6405" max="6405" width="13.5703125" customWidth="1"/>
    <col min="6406" max="6406" width="12.42578125" customWidth="1"/>
    <col min="6657" max="6657" width="30.140625" customWidth="1"/>
    <col min="6658" max="6659" width="12.7109375" customWidth="1"/>
    <col min="6660" max="6660" width="12.85546875" customWidth="1"/>
    <col min="6661" max="6661" width="13.5703125" customWidth="1"/>
    <col min="6662" max="6662" width="12.42578125" customWidth="1"/>
    <col min="6913" max="6913" width="30.140625" customWidth="1"/>
    <col min="6914" max="6915" width="12.7109375" customWidth="1"/>
    <col min="6916" max="6916" width="12.85546875" customWidth="1"/>
    <col min="6917" max="6917" width="13.5703125" customWidth="1"/>
    <col min="6918" max="6918" width="12.42578125" customWidth="1"/>
    <col min="7169" max="7169" width="30.140625" customWidth="1"/>
    <col min="7170" max="7171" width="12.7109375" customWidth="1"/>
    <col min="7172" max="7172" width="12.85546875" customWidth="1"/>
    <col min="7173" max="7173" width="13.5703125" customWidth="1"/>
    <col min="7174" max="7174" width="12.42578125" customWidth="1"/>
    <col min="7425" max="7425" width="30.140625" customWidth="1"/>
    <col min="7426" max="7427" width="12.7109375" customWidth="1"/>
    <col min="7428" max="7428" width="12.85546875" customWidth="1"/>
    <col min="7429" max="7429" width="13.5703125" customWidth="1"/>
    <col min="7430" max="7430" width="12.42578125" customWidth="1"/>
    <col min="7681" max="7681" width="30.140625" customWidth="1"/>
    <col min="7682" max="7683" width="12.7109375" customWidth="1"/>
    <col min="7684" max="7684" width="12.85546875" customWidth="1"/>
    <col min="7685" max="7685" width="13.5703125" customWidth="1"/>
    <col min="7686" max="7686" width="12.42578125" customWidth="1"/>
    <col min="7937" max="7937" width="30.140625" customWidth="1"/>
    <col min="7938" max="7939" width="12.7109375" customWidth="1"/>
    <col min="7940" max="7940" width="12.85546875" customWidth="1"/>
    <col min="7941" max="7941" width="13.5703125" customWidth="1"/>
    <col min="7942" max="7942" width="12.42578125" customWidth="1"/>
    <col min="8193" max="8193" width="30.140625" customWidth="1"/>
    <col min="8194" max="8195" width="12.7109375" customWidth="1"/>
    <col min="8196" max="8196" width="12.85546875" customWidth="1"/>
    <col min="8197" max="8197" width="13.5703125" customWidth="1"/>
    <col min="8198" max="8198" width="12.42578125" customWidth="1"/>
    <col min="8449" max="8449" width="30.140625" customWidth="1"/>
    <col min="8450" max="8451" width="12.7109375" customWidth="1"/>
    <col min="8452" max="8452" width="12.85546875" customWidth="1"/>
    <col min="8453" max="8453" width="13.5703125" customWidth="1"/>
    <col min="8454" max="8454" width="12.42578125" customWidth="1"/>
    <col min="8705" max="8705" width="30.140625" customWidth="1"/>
    <col min="8706" max="8707" width="12.7109375" customWidth="1"/>
    <col min="8708" max="8708" width="12.85546875" customWidth="1"/>
    <col min="8709" max="8709" width="13.5703125" customWidth="1"/>
    <col min="8710" max="8710" width="12.42578125" customWidth="1"/>
    <col min="8961" max="8961" width="30.140625" customWidth="1"/>
    <col min="8962" max="8963" width="12.7109375" customWidth="1"/>
    <col min="8964" max="8964" width="12.85546875" customWidth="1"/>
    <col min="8965" max="8965" width="13.5703125" customWidth="1"/>
    <col min="8966" max="8966" width="12.42578125" customWidth="1"/>
    <col min="9217" max="9217" width="30.140625" customWidth="1"/>
    <col min="9218" max="9219" width="12.7109375" customWidth="1"/>
    <col min="9220" max="9220" width="12.85546875" customWidth="1"/>
    <col min="9221" max="9221" width="13.5703125" customWidth="1"/>
    <col min="9222" max="9222" width="12.42578125" customWidth="1"/>
    <col min="9473" max="9473" width="30.140625" customWidth="1"/>
    <col min="9474" max="9475" width="12.7109375" customWidth="1"/>
    <col min="9476" max="9476" width="12.85546875" customWidth="1"/>
    <col min="9477" max="9477" width="13.5703125" customWidth="1"/>
    <col min="9478" max="9478" width="12.42578125" customWidth="1"/>
    <col min="9729" max="9729" width="30.140625" customWidth="1"/>
    <col min="9730" max="9731" width="12.7109375" customWidth="1"/>
    <col min="9732" max="9732" width="12.85546875" customWidth="1"/>
    <col min="9733" max="9733" width="13.5703125" customWidth="1"/>
    <col min="9734" max="9734" width="12.42578125" customWidth="1"/>
    <col min="9985" max="9985" width="30.140625" customWidth="1"/>
    <col min="9986" max="9987" width="12.7109375" customWidth="1"/>
    <col min="9988" max="9988" width="12.85546875" customWidth="1"/>
    <col min="9989" max="9989" width="13.5703125" customWidth="1"/>
    <col min="9990" max="9990" width="12.42578125" customWidth="1"/>
    <col min="10241" max="10241" width="30.140625" customWidth="1"/>
    <col min="10242" max="10243" width="12.7109375" customWidth="1"/>
    <col min="10244" max="10244" width="12.85546875" customWidth="1"/>
    <col min="10245" max="10245" width="13.5703125" customWidth="1"/>
    <col min="10246" max="10246" width="12.42578125" customWidth="1"/>
    <col min="10497" max="10497" width="30.140625" customWidth="1"/>
    <col min="10498" max="10499" width="12.7109375" customWidth="1"/>
    <col min="10500" max="10500" width="12.85546875" customWidth="1"/>
    <col min="10501" max="10501" width="13.5703125" customWidth="1"/>
    <col min="10502" max="10502" width="12.42578125" customWidth="1"/>
    <col min="10753" max="10753" width="30.140625" customWidth="1"/>
    <col min="10754" max="10755" width="12.7109375" customWidth="1"/>
    <col min="10756" max="10756" width="12.85546875" customWidth="1"/>
    <col min="10757" max="10757" width="13.5703125" customWidth="1"/>
    <col min="10758" max="10758" width="12.42578125" customWidth="1"/>
    <col min="11009" max="11009" width="30.140625" customWidth="1"/>
    <col min="11010" max="11011" width="12.7109375" customWidth="1"/>
    <col min="11012" max="11012" width="12.85546875" customWidth="1"/>
    <col min="11013" max="11013" width="13.5703125" customWidth="1"/>
    <col min="11014" max="11014" width="12.42578125" customWidth="1"/>
    <col min="11265" max="11265" width="30.140625" customWidth="1"/>
    <col min="11266" max="11267" width="12.7109375" customWidth="1"/>
    <col min="11268" max="11268" width="12.85546875" customWidth="1"/>
    <col min="11269" max="11269" width="13.5703125" customWidth="1"/>
    <col min="11270" max="11270" width="12.42578125" customWidth="1"/>
    <col min="11521" max="11521" width="30.140625" customWidth="1"/>
    <col min="11522" max="11523" width="12.7109375" customWidth="1"/>
    <col min="11524" max="11524" width="12.85546875" customWidth="1"/>
    <col min="11525" max="11525" width="13.5703125" customWidth="1"/>
    <col min="11526" max="11526" width="12.42578125" customWidth="1"/>
    <col min="11777" max="11777" width="30.140625" customWidth="1"/>
    <col min="11778" max="11779" width="12.7109375" customWidth="1"/>
    <col min="11780" max="11780" width="12.85546875" customWidth="1"/>
    <col min="11781" max="11781" width="13.5703125" customWidth="1"/>
    <col min="11782" max="11782" width="12.42578125" customWidth="1"/>
    <col min="12033" max="12033" width="30.140625" customWidth="1"/>
    <col min="12034" max="12035" width="12.7109375" customWidth="1"/>
    <col min="12036" max="12036" width="12.85546875" customWidth="1"/>
    <col min="12037" max="12037" width="13.5703125" customWidth="1"/>
    <col min="12038" max="12038" width="12.42578125" customWidth="1"/>
    <col min="12289" max="12289" width="30.140625" customWidth="1"/>
    <col min="12290" max="12291" width="12.7109375" customWidth="1"/>
    <col min="12292" max="12292" width="12.85546875" customWidth="1"/>
    <col min="12293" max="12293" width="13.5703125" customWidth="1"/>
    <col min="12294" max="12294" width="12.42578125" customWidth="1"/>
    <col min="12545" max="12545" width="30.140625" customWidth="1"/>
    <col min="12546" max="12547" width="12.7109375" customWidth="1"/>
    <col min="12548" max="12548" width="12.85546875" customWidth="1"/>
    <col min="12549" max="12549" width="13.5703125" customWidth="1"/>
    <col min="12550" max="12550" width="12.42578125" customWidth="1"/>
    <col min="12801" max="12801" width="30.140625" customWidth="1"/>
    <col min="12802" max="12803" width="12.7109375" customWidth="1"/>
    <col min="12804" max="12804" width="12.85546875" customWidth="1"/>
    <col min="12805" max="12805" width="13.5703125" customWidth="1"/>
    <col min="12806" max="12806" width="12.42578125" customWidth="1"/>
    <col min="13057" max="13057" width="30.140625" customWidth="1"/>
    <col min="13058" max="13059" width="12.7109375" customWidth="1"/>
    <col min="13060" max="13060" width="12.85546875" customWidth="1"/>
    <col min="13061" max="13061" width="13.5703125" customWidth="1"/>
    <col min="13062" max="13062" width="12.42578125" customWidth="1"/>
    <col min="13313" max="13313" width="30.140625" customWidth="1"/>
    <col min="13314" max="13315" width="12.7109375" customWidth="1"/>
    <col min="13316" max="13316" width="12.85546875" customWidth="1"/>
    <col min="13317" max="13317" width="13.5703125" customWidth="1"/>
    <col min="13318" max="13318" width="12.42578125" customWidth="1"/>
    <col min="13569" max="13569" width="30.140625" customWidth="1"/>
    <col min="13570" max="13571" width="12.7109375" customWidth="1"/>
    <col min="13572" max="13572" width="12.85546875" customWidth="1"/>
    <col min="13573" max="13573" width="13.5703125" customWidth="1"/>
    <col min="13574" max="13574" width="12.42578125" customWidth="1"/>
    <col min="13825" max="13825" width="30.140625" customWidth="1"/>
    <col min="13826" max="13827" width="12.7109375" customWidth="1"/>
    <col min="13828" max="13828" width="12.85546875" customWidth="1"/>
    <col min="13829" max="13829" width="13.5703125" customWidth="1"/>
    <col min="13830" max="13830" width="12.42578125" customWidth="1"/>
    <col min="14081" max="14081" width="30.140625" customWidth="1"/>
    <col min="14082" max="14083" width="12.7109375" customWidth="1"/>
    <col min="14084" max="14084" width="12.85546875" customWidth="1"/>
    <col min="14085" max="14085" width="13.5703125" customWidth="1"/>
    <col min="14086" max="14086" width="12.42578125" customWidth="1"/>
    <col min="14337" max="14337" width="30.140625" customWidth="1"/>
    <col min="14338" max="14339" width="12.7109375" customWidth="1"/>
    <col min="14340" max="14340" width="12.85546875" customWidth="1"/>
    <col min="14341" max="14341" width="13.5703125" customWidth="1"/>
    <col min="14342" max="14342" width="12.42578125" customWidth="1"/>
    <col min="14593" max="14593" width="30.140625" customWidth="1"/>
    <col min="14594" max="14595" width="12.7109375" customWidth="1"/>
    <col min="14596" max="14596" width="12.85546875" customWidth="1"/>
    <col min="14597" max="14597" width="13.5703125" customWidth="1"/>
    <col min="14598" max="14598" width="12.42578125" customWidth="1"/>
    <col min="14849" max="14849" width="30.140625" customWidth="1"/>
    <col min="14850" max="14851" width="12.7109375" customWidth="1"/>
    <col min="14852" max="14852" width="12.85546875" customWidth="1"/>
    <col min="14853" max="14853" width="13.5703125" customWidth="1"/>
    <col min="14854" max="14854" width="12.42578125" customWidth="1"/>
    <col min="15105" max="15105" width="30.140625" customWidth="1"/>
    <col min="15106" max="15107" width="12.7109375" customWidth="1"/>
    <col min="15108" max="15108" width="12.85546875" customWidth="1"/>
    <col min="15109" max="15109" width="13.5703125" customWidth="1"/>
    <col min="15110" max="15110" width="12.42578125" customWidth="1"/>
    <col min="15361" max="15361" width="30.140625" customWidth="1"/>
    <col min="15362" max="15363" width="12.7109375" customWidth="1"/>
    <col min="15364" max="15364" width="12.85546875" customWidth="1"/>
    <col min="15365" max="15365" width="13.5703125" customWidth="1"/>
    <col min="15366" max="15366" width="12.42578125" customWidth="1"/>
    <col min="15617" max="15617" width="30.140625" customWidth="1"/>
    <col min="15618" max="15619" width="12.7109375" customWidth="1"/>
    <col min="15620" max="15620" width="12.85546875" customWidth="1"/>
    <col min="15621" max="15621" width="13.5703125" customWidth="1"/>
    <col min="15622" max="15622" width="12.42578125" customWidth="1"/>
    <col min="15873" max="15873" width="30.140625" customWidth="1"/>
    <col min="15874" max="15875" width="12.7109375" customWidth="1"/>
    <col min="15876" max="15876" width="12.85546875" customWidth="1"/>
    <col min="15877" max="15877" width="13.5703125" customWidth="1"/>
    <col min="15878" max="15878" width="12.42578125" customWidth="1"/>
    <col min="16129" max="16129" width="30.140625" customWidth="1"/>
    <col min="16130" max="16131" width="12.7109375" customWidth="1"/>
    <col min="16132" max="16132" width="12.85546875" customWidth="1"/>
    <col min="16133" max="16133" width="13.5703125" customWidth="1"/>
    <col min="16134" max="16134" width="12.42578125" customWidth="1"/>
  </cols>
  <sheetData>
    <row r="1" spans="1:11" x14ac:dyDescent="0.25">
      <c r="B1" t="s">
        <v>20</v>
      </c>
      <c r="C1" t="s">
        <v>21</v>
      </c>
      <c r="D1" t="s">
        <v>22</v>
      </c>
      <c r="E1" t="s">
        <v>23</v>
      </c>
      <c r="F1" t="s">
        <v>24</v>
      </c>
      <c r="H1" t="s">
        <v>25</v>
      </c>
      <c r="I1" s="7">
        <v>0.04</v>
      </c>
    </row>
    <row r="2" spans="1:11" x14ac:dyDescent="0.25">
      <c r="A2" s="8" t="s">
        <v>26</v>
      </c>
      <c r="B2" s="9">
        <f>I6</f>
        <v>1854999.9999999998</v>
      </c>
      <c r="C2" s="9">
        <f t="shared" ref="C2:C13" si="0">+E2-D2</f>
        <v>2672.7203975509392</v>
      </c>
      <c r="D2" s="9">
        <f t="shared" ref="D2:D13" si="1">B2*$I$2</f>
        <v>6183.333333333333</v>
      </c>
      <c r="E2" s="9">
        <f t="shared" ref="E2:E13" si="2">-$I$8</f>
        <v>8856.0537308842722</v>
      </c>
      <c r="F2" s="9">
        <f t="shared" ref="F2:F13" si="3">+B2-C2</f>
        <v>1852327.2796024489</v>
      </c>
      <c r="H2" t="s">
        <v>27</v>
      </c>
      <c r="I2" s="7">
        <f>+I1/12</f>
        <v>3.3333333333333335E-3</v>
      </c>
    </row>
    <row r="3" spans="1:11" x14ac:dyDescent="0.25">
      <c r="A3" s="8" t="s">
        <v>28</v>
      </c>
      <c r="B3" s="9">
        <f t="shared" ref="B3:B13" si="4">+F2</f>
        <v>1852327.2796024489</v>
      </c>
      <c r="C3" s="9">
        <f t="shared" si="0"/>
        <v>2681.6294655427755</v>
      </c>
      <c r="D3" s="9">
        <f t="shared" si="1"/>
        <v>6174.4242653414967</v>
      </c>
      <c r="E3" s="9">
        <f t="shared" si="2"/>
        <v>8856.0537308842722</v>
      </c>
      <c r="F3" s="9">
        <f t="shared" si="3"/>
        <v>1849645.6501369062</v>
      </c>
      <c r="H3" t="s">
        <v>29</v>
      </c>
      <c r="I3" s="10">
        <v>0</v>
      </c>
    </row>
    <row r="4" spans="1:11" x14ac:dyDescent="0.25">
      <c r="A4" s="8" t="s">
        <v>30</v>
      </c>
      <c r="B4" s="9">
        <f t="shared" si="4"/>
        <v>1849645.6501369062</v>
      </c>
      <c r="C4" s="9">
        <f t="shared" si="0"/>
        <v>2690.568230427918</v>
      </c>
      <c r="D4" s="9">
        <f t="shared" si="1"/>
        <v>6165.4855004563542</v>
      </c>
      <c r="E4" s="9">
        <f t="shared" si="2"/>
        <v>8856.0537308842722</v>
      </c>
      <c r="F4" s="9">
        <f t="shared" si="3"/>
        <v>1846955.0819064784</v>
      </c>
      <c r="H4" t="s">
        <v>31</v>
      </c>
      <c r="I4" s="11">
        <f>12*30</f>
        <v>360</v>
      </c>
    </row>
    <row r="5" spans="1:11" x14ac:dyDescent="0.25">
      <c r="A5" s="8" t="s">
        <v>32</v>
      </c>
      <c r="B5" s="9">
        <f t="shared" si="4"/>
        <v>1846955.0819064784</v>
      </c>
      <c r="C5" s="9">
        <f t="shared" si="0"/>
        <v>2699.5367911960102</v>
      </c>
      <c r="D5" s="9">
        <f t="shared" si="1"/>
        <v>6156.516939688262</v>
      </c>
      <c r="E5" s="9">
        <f t="shared" si="2"/>
        <v>8856.0537308842722</v>
      </c>
      <c r="F5" s="9">
        <f t="shared" si="3"/>
        <v>1844255.5451152823</v>
      </c>
      <c r="H5" t="s">
        <v>33</v>
      </c>
      <c r="I5">
        <v>0</v>
      </c>
    </row>
    <row r="6" spans="1:11" x14ac:dyDescent="0.25">
      <c r="A6" s="8" t="s">
        <v>34</v>
      </c>
      <c r="B6" s="9">
        <f t="shared" si="4"/>
        <v>1844255.5451152823</v>
      </c>
      <c r="C6" s="9">
        <f t="shared" si="0"/>
        <v>2708.5352471666638</v>
      </c>
      <c r="D6" s="9">
        <f t="shared" si="1"/>
        <v>6147.5184837176084</v>
      </c>
      <c r="E6" s="9">
        <f t="shared" si="2"/>
        <v>8856.0537308842722</v>
      </c>
      <c r="F6" s="9">
        <f t="shared" si="3"/>
        <v>1841547.0098681157</v>
      </c>
      <c r="H6" t="s">
        <v>35</v>
      </c>
      <c r="I6" s="28">
        <f>K6*Forecast!C24</f>
        <v>1854999.9999999998</v>
      </c>
      <c r="J6" t="s">
        <v>130</v>
      </c>
      <c r="K6" s="17">
        <v>0.7</v>
      </c>
    </row>
    <row r="7" spans="1:11" x14ac:dyDescent="0.25">
      <c r="A7" s="8" t="s">
        <v>36</v>
      </c>
      <c r="B7" s="9">
        <f t="shared" si="4"/>
        <v>1841547.0098681157</v>
      </c>
      <c r="C7" s="9">
        <f t="shared" si="0"/>
        <v>2717.563697990553</v>
      </c>
      <c r="D7" s="9">
        <f t="shared" si="1"/>
        <v>6138.4900328937192</v>
      </c>
      <c r="E7" s="9">
        <f t="shared" si="2"/>
        <v>8856.0537308842722</v>
      </c>
      <c r="F7" s="9">
        <f t="shared" si="3"/>
        <v>1838829.4461701252</v>
      </c>
    </row>
    <row r="8" spans="1:11" x14ac:dyDescent="0.25">
      <c r="A8" s="8" t="s">
        <v>37</v>
      </c>
      <c r="B8" s="9">
        <f t="shared" si="4"/>
        <v>1838829.4461701252</v>
      </c>
      <c r="C8" s="9">
        <f t="shared" si="0"/>
        <v>2726.6222436505213</v>
      </c>
      <c r="D8" s="9">
        <f t="shared" si="1"/>
        <v>6129.4314872337509</v>
      </c>
      <c r="E8" s="9">
        <f t="shared" si="2"/>
        <v>8856.0537308842722</v>
      </c>
      <c r="F8" s="9">
        <f t="shared" si="3"/>
        <v>1836102.8239264747</v>
      </c>
      <c r="H8" t="s">
        <v>23</v>
      </c>
      <c r="I8" s="10">
        <f>PMT(I2,I4,I6,I3,I5)</f>
        <v>-8856.0537308842722</v>
      </c>
    </row>
    <row r="9" spans="1:11" x14ac:dyDescent="0.25">
      <c r="A9" s="8" t="s">
        <v>38</v>
      </c>
      <c r="B9" s="9">
        <f t="shared" si="4"/>
        <v>1836102.8239264747</v>
      </c>
      <c r="C9" s="9">
        <f t="shared" si="0"/>
        <v>2735.7109844626893</v>
      </c>
      <c r="D9" s="9">
        <f t="shared" si="1"/>
        <v>6120.3427464215829</v>
      </c>
      <c r="E9" s="9">
        <f t="shared" si="2"/>
        <v>8856.0537308842722</v>
      </c>
      <c r="F9" s="9">
        <f t="shared" si="3"/>
        <v>1833367.112942012</v>
      </c>
    </row>
    <row r="10" spans="1:11" x14ac:dyDescent="0.25">
      <c r="A10" s="8" t="s">
        <v>39</v>
      </c>
      <c r="B10" s="9">
        <f t="shared" si="4"/>
        <v>1833367.112942012</v>
      </c>
      <c r="C10" s="9">
        <f t="shared" si="0"/>
        <v>2744.8300210775651</v>
      </c>
      <c r="D10" s="9">
        <f t="shared" si="1"/>
        <v>6111.2237098067071</v>
      </c>
      <c r="E10" s="9">
        <f t="shared" si="2"/>
        <v>8856.0537308842722</v>
      </c>
      <c r="F10" s="9">
        <f t="shared" si="3"/>
        <v>1830622.2829209345</v>
      </c>
    </row>
    <row r="11" spans="1:11" x14ac:dyDescent="0.25">
      <c r="A11" s="8" t="s">
        <v>40</v>
      </c>
      <c r="B11" s="9">
        <f t="shared" si="4"/>
        <v>1830622.2829209345</v>
      </c>
      <c r="C11" s="9">
        <f t="shared" si="0"/>
        <v>2753.9794544811566</v>
      </c>
      <c r="D11" s="9">
        <f t="shared" si="1"/>
        <v>6102.0742764031156</v>
      </c>
      <c r="E11" s="9">
        <f t="shared" si="2"/>
        <v>8856.0537308842722</v>
      </c>
      <c r="F11" s="9">
        <f t="shared" si="3"/>
        <v>1827868.3034664534</v>
      </c>
    </row>
    <row r="12" spans="1:11" x14ac:dyDescent="0.25">
      <c r="A12" s="8" t="s">
        <v>41</v>
      </c>
      <c r="B12" s="9">
        <f t="shared" si="4"/>
        <v>1827868.3034664534</v>
      </c>
      <c r="C12" s="9">
        <f t="shared" si="0"/>
        <v>2763.159385996094</v>
      </c>
      <c r="D12" s="9">
        <f t="shared" si="1"/>
        <v>6092.8943448881782</v>
      </c>
      <c r="E12" s="9">
        <f t="shared" si="2"/>
        <v>8856.0537308842722</v>
      </c>
      <c r="F12" s="9">
        <f t="shared" si="3"/>
        <v>1825105.1440804573</v>
      </c>
    </row>
    <row r="13" spans="1:11" x14ac:dyDescent="0.25">
      <c r="A13" s="8" t="s">
        <v>42</v>
      </c>
      <c r="B13" s="9">
        <f t="shared" si="4"/>
        <v>1825105.1440804573</v>
      </c>
      <c r="C13" s="9">
        <f t="shared" si="0"/>
        <v>2772.3699172827473</v>
      </c>
      <c r="D13" s="9">
        <f t="shared" si="1"/>
        <v>6083.6838136015249</v>
      </c>
      <c r="E13" s="9">
        <f t="shared" si="2"/>
        <v>8856.0537308842722</v>
      </c>
      <c r="F13" s="12">
        <f t="shared" si="3"/>
        <v>1822332.7741631744</v>
      </c>
    </row>
    <row r="14" spans="1:11" x14ac:dyDescent="0.25">
      <c r="A14" s="13" t="s">
        <v>43</v>
      </c>
      <c r="B14" s="13"/>
      <c r="C14" s="12">
        <f>SUM(C2:C13)</f>
        <v>32667.225836825637</v>
      </c>
      <c r="D14" s="12">
        <f>SUM(D2:D13)</f>
        <v>73605.418933785637</v>
      </c>
      <c r="E14" s="9"/>
      <c r="F14" s="9"/>
    </row>
    <row r="15" spans="1:11" x14ac:dyDescent="0.25">
      <c r="A15" s="8"/>
      <c r="B15" s="8"/>
      <c r="C15" s="9"/>
      <c r="D15" s="9"/>
      <c r="E15" s="9"/>
      <c r="F15" s="9"/>
    </row>
    <row r="16" spans="1:11" x14ac:dyDescent="0.25">
      <c r="A16" s="8" t="s">
        <v>44</v>
      </c>
      <c r="B16" s="9">
        <f>+F13</f>
        <v>1822332.7741631744</v>
      </c>
      <c r="C16" s="9">
        <f t="shared" ref="C16:C27" si="5">+E16-D16</f>
        <v>2781.6111503403572</v>
      </c>
      <c r="D16" s="9">
        <f t="shared" ref="D16:D27" si="6">B16*$I$2</f>
        <v>6074.442580543915</v>
      </c>
      <c r="E16" s="9">
        <f t="shared" ref="E16:E27" si="7">-$I$8</f>
        <v>8856.0537308842722</v>
      </c>
      <c r="F16" s="9">
        <f t="shared" ref="F16:F27" si="8">+B16-C16</f>
        <v>1819551.163012834</v>
      </c>
    </row>
    <row r="17" spans="1:6" x14ac:dyDescent="0.25">
      <c r="A17" s="8" t="s">
        <v>45</v>
      </c>
      <c r="B17" s="9">
        <f t="shared" ref="B17:B27" si="9">+F16</f>
        <v>1819551.163012834</v>
      </c>
      <c r="C17" s="9">
        <f t="shared" si="5"/>
        <v>2790.8831875081587</v>
      </c>
      <c r="D17" s="9">
        <f t="shared" si="6"/>
        <v>6065.1705433761135</v>
      </c>
      <c r="E17" s="9">
        <f t="shared" si="7"/>
        <v>8856.0537308842722</v>
      </c>
      <c r="F17" s="9">
        <f t="shared" si="8"/>
        <v>1816760.2798253258</v>
      </c>
    </row>
    <row r="18" spans="1:6" x14ac:dyDescent="0.25">
      <c r="A18" s="8" t="s">
        <v>46</v>
      </c>
      <c r="B18" s="9">
        <f t="shared" si="9"/>
        <v>1816760.2798253258</v>
      </c>
      <c r="C18" s="9">
        <f t="shared" si="5"/>
        <v>2800.1861314665193</v>
      </c>
      <c r="D18" s="9">
        <f t="shared" si="6"/>
        <v>6055.8675994177529</v>
      </c>
      <c r="E18" s="9">
        <f t="shared" si="7"/>
        <v>8856.0537308842722</v>
      </c>
      <c r="F18" s="9">
        <f t="shared" si="8"/>
        <v>1813960.0936938594</v>
      </c>
    </row>
    <row r="19" spans="1:6" x14ac:dyDescent="0.25">
      <c r="A19" s="8" t="s">
        <v>47</v>
      </c>
      <c r="B19" s="9">
        <f t="shared" si="9"/>
        <v>1813960.0936938594</v>
      </c>
      <c r="C19" s="9">
        <f t="shared" si="5"/>
        <v>2809.520085238074</v>
      </c>
      <c r="D19" s="9">
        <f t="shared" si="6"/>
        <v>6046.5336456461982</v>
      </c>
      <c r="E19" s="9">
        <f t="shared" si="7"/>
        <v>8856.0537308842722</v>
      </c>
      <c r="F19" s="9">
        <f t="shared" si="8"/>
        <v>1811150.5736086213</v>
      </c>
    </row>
    <row r="20" spans="1:6" x14ac:dyDescent="0.25">
      <c r="A20" s="8" t="s">
        <v>48</v>
      </c>
      <c r="B20" s="9">
        <f t="shared" si="9"/>
        <v>1811150.5736086213</v>
      </c>
      <c r="C20" s="9">
        <f t="shared" si="5"/>
        <v>2818.8851521888673</v>
      </c>
      <c r="D20" s="9">
        <f t="shared" si="6"/>
        <v>6037.1685786954049</v>
      </c>
      <c r="E20" s="9">
        <f t="shared" si="7"/>
        <v>8856.0537308842722</v>
      </c>
      <c r="F20" s="9">
        <f t="shared" si="8"/>
        <v>1808331.6884564324</v>
      </c>
    </row>
    <row r="21" spans="1:6" x14ac:dyDescent="0.25">
      <c r="A21" s="8" t="s">
        <v>49</v>
      </c>
      <c r="B21" s="9">
        <f t="shared" si="9"/>
        <v>1808331.6884564324</v>
      </c>
      <c r="C21" s="9">
        <f t="shared" si="5"/>
        <v>2828.2814360294969</v>
      </c>
      <c r="D21" s="9">
        <f t="shared" si="6"/>
        <v>6027.7722948547753</v>
      </c>
      <c r="E21" s="9">
        <f t="shared" si="7"/>
        <v>8856.0537308842722</v>
      </c>
      <c r="F21" s="9">
        <f t="shared" si="8"/>
        <v>1805503.4070204028</v>
      </c>
    </row>
    <row r="22" spans="1:6" x14ac:dyDescent="0.25">
      <c r="A22" s="8" t="s">
        <v>50</v>
      </c>
      <c r="B22" s="9">
        <f t="shared" si="9"/>
        <v>1805503.4070204028</v>
      </c>
      <c r="C22" s="9">
        <f t="shared" si="5"/>
        <v>2837.7090408162621</v>
      </c>
      <c r="D22" s="9">
        <f t="shared" si="6"/>
        <v>6018.3446900680101</v>
      </c>
      <c r="E22" s="9">
        <f t="shared" si="7"/>
        <v>8856.0537308842722</v>
      </c>
      <c r="F22" s="9">
        <f t="shared" si="8"/>
        <v>1802665.6979795867</v>
      </c>
    </row>
    <row r="23" spans="1:6" x14ac:dyDescent="0.25">
      <c r="A23" s="8" t="s">
        <v>51</v>
      </c>
      <c r="B23" s="9">
        <f t="shared" si="9"/>
        <v>1802665.6979795867</v>
      </c>
      <c r="C23" s="9">
        <f t="shared" si="5"/>
        <v>2847.1680709523162</v>
      </c>
      <c r="D23" s="9">
        <f t="shared" si="6"/>
        <v>6008.8856599319561</v>
      </c>
      <c r="E23" s="9">
        <f t="shared" si="7"/>
        <v>8856.0537308842722</v>
      </c>
      <c r="F23" s="9">
        <f t="shared" si="8"/>
        <v>1799818.5299086343</v>
      </c>
    </row>
    <row r="24" spans="1:6" x14ac:dyDescent="0.25">
      <c r="A24" s="8" t="s">
        <v>52</v>
      </c>
      <c r="B24" s="9">
        <f t="shared" si="9"/>
        <v>1799818.5299086343</v>
      </c>
      <c r="C24" s="9">
        <f t="shared" si="5"/>
        <v>2856.6586311888241</v>
      </c>
      <c r="D24" s="9">
        <f t="shared" si="6"/>
        <v>5999.3950996954482</v>
      </c>
      <c r="E24" s="9">
        <f t="shared" si="7"/>
        <v>8856.0537308842722</v>
      </c>
      <c r="F24" s="9">
        <f t="shared" si="8"/>
        <v>1796961.8712774455</v>
      </c>
    </row>
    <row r="25" spans="1:6" x14ac:dyDescent="0.25">
      <c r="A25" s="8" t="s">
        <v>53</v>
      </c>
      <c r="B25" s="9">
        <f t="shared" si="9"/>
        <v>1796961.8712774455</v>
      </c>
      <c r="C25" s="9">
        <f t="shared" si="5"/>
        <v>2866.1808266261205</v>
      </c>
      <c r="D25" s="9">
        <f t="shared" si="6"/>
        <v>5989.8729042581517</v>
      </c>
      <c r="E25" s="9">
        <f t="shared" si="7"/>
        <v>8856.0537308842722</v>
      </c>
      <c r="F25" s="9">
        <f t="shared" si="8"/>
        <v>1794095.6904508194</v>
      </c>
    </row>
    <row r="26" spans="1:6" x14ac:dyDescent="0.25">
      <c r="A26" s="8" t="s">
        <v>54</v>
      </c>
      <c r="B26" s="9">
        <f t="shared" si="9"/>
        <v>1794095.6904508194</v>
      </c>
      <c r="C26" s="9">
        <f t="shared" si="5"/>
        <v>2875.7347627148738</v>
      </c>
      <c r="D26" s="9">
        <f t="shared" si="6"/>
        <v>5980.3189681693984</v>
      </c>
      <c r="E26" s="9">
        <f t="shared" si="7"/>
        <v>8856.0537308842722</v>
      </c>
      <c r="F26" s="9">
        <f t="shared" si="8"/>
        <v>1791219.9556881045</v>
      </c>
    </row>
    <row r="27" spans="1:6" x14ac:dyDescent="0.25">
      <c r="A27" s="8" t="s">
        <v>55</v>
      </c>
      <c r="B27" s="9">
        <f t="shared" si="9"/>
        <v>1791219.9556881045</v>
      </c>
      <c r="C27" s="9">
        <f t="shared" si="5"/>
        <v>2885.3205452572565</v>
      </c>
      <c r="D27" s="9">
        <f t="shared" si="6"/>
        <v>5970.7331856270157</v>
      </c>
      <c r="E27" s="9">
        <f t="shared" si="7"/>
        <v>8856.0537308842722</v>
      </c>
      <c r="F27" s="12">
        <f t="shared" si="8"/>
        <v>1788334.6351428472</v>
      </c>
    </row>
    <row r="28" spans="1:6" x14ac:dyDescent="0.25">
      <c r="A28" s="13" t="s">
        <v>43</v>
      </c>
      <c r="B28" s="13"/>
      <c r="C28" s="12">
        <f>SUM(C16:C27)</f>
        <v>33998.139020327129</v>
      </c>
      <c r="D28" s="12">
        <f>SUM(D16:D27)</f>
        <v>72274.505750284137</v>
      </c>
      <c r="E28" s="9"/>
      <c r="F28" s="9"/>
    </row>
    <row r="29" spans="1:6" x14ac:dyDescent="0.25">
      <c r="A29" s="8"/>
      <c r="B29" s="8"/>
      <c r="C29" s="9"/>
      <c r="D29" s="9"/>
      <c r="E29" s="9"/>
      <c r="F29" s="9"/>
    </row>
    <row r="30" spans="1:6" x14ac:dyDescent="0.25">
      <c r="A30" s="8" t="s">
        <v>56</v>
      </c>
      <c r="B30" s="9">
        <f>+F27</f>
        <v>1788334.6351428472</v>
      </c>
      <c r="C30" s="9">
        <f t="shared" ref="C30:C41" si="10">+E30-D30</f>
        <v>2894.9382804081142</v>
      </c>
      <c r="D30" s="9">
        <f t="shared" ref="D30:D41" si="11">B30*$I$2</f>
        <v>5961.115450476158</v>
      </c>
      <c r="E30" s="9">
        <f t="shared" ref="E30:E41" si="12">-$I$8</f>
        <v>8856.0537308842722</v>
      </c>
      <c r="F30" s="9">
        <f t="shared" ref="F30:F41" si="13">+B30-C30</f>
        <v>1785439.6968624392</v>
      </c>
    </row>
    <row r="31" spans="1:6" x14ac:dyDescent="0.25">
      <c r="A31" s="8" t="s">
        <v>57</v>
      </c>
      <c r="B31" s="9">
        <f t="shared" ref="B31:B41" si="14">+F30</f>
        <v>1785439.6968624392</v>
      </c>
      <c r="C31" s="9">
        <f t="shared" si="10"/>
        <v>2904.5880746761413</v>
      </c>
      <c r="D31" s="9">
        <f t="shared" si="11"/>
        <v>5951.4656562081309</v>
      </c>
      <c r="E31" s="9">
        <f t="shared" si="12"/>
        <v>8856.0537308842722</v>
      </c>
      <c r="F31" s="9">
        <f t="shared" si="13"/>
        <v>1782535.1087877629</v>
      </c>
    </row>
    <row r="32" spans="1:6" x14ac:dyDescent="0.25">
      <c r="A32" s="8" t="s">
        <v>58</v>
      </c>
      <c r="B32" s="9">
        <f t="shared" si="14"/>
        <v>1782535.1087877629</v>
      </c>
      <c r="C32" s="9">
        <f t="shared" si="10"/>
        <v>2914.2700349250617</v>
      </c>
      <c r="D32" s="9">
        <f t="shared" si="11"/>
        <v>5941.7836959592105</v>
      </c>
      <c r="E32" s="9">
        <f t="shared" si="12"/>
        <v>8856.0537308842722</v>
      </c>
      <c r="F32" s="9">
        <f t="shared" si="13"/>
        <v>1779620.8387528379</v>
      </c>
    </row>
    <row r="33" spans="1:6" x14ac:dyDescent="0.25">
      <c r="A33" s="8" t="s">
        <v>59</v>
      </c>
      <c r="B33" s="9">
        <f t="shared" si="14"/>
        <v>1779620.8387528379</v>
      </c>
      <c r="C33" s="9">
        <f t="shared" si="10"/>
        <v>2923.984268374812</v>
      </c>
      <c r="D33" s="9">
        <f t="shared" si="11"/>
        <v>5932.0694625094602</v>
      </c>
      <c r="E33" s="9">
        <f t="shared" si="12"/>
        <v>8856.0537308842722</v>
      </c>
      <c r="F33" s="9">
        <f t="shared" si="13"/>
        <v>1776696.8544844631</v>
      </c>
    </row>
    <row r="34" spans="1:6" x14ac:dyDescent="0.25">
      <c r="A34" s="8" t="s">
        <v>60</v>
      </c>
      <c r="B34" s="9">
        <f t="shared" si="14"/>
        <v>1776696.8544844631</v>
      </c>
      <c r="C34" s="9">
        <f t="shared" si="10"/>
        <v>2933.7308826027283</v>
      </c>
      <c r="D34" s="9">
        <f t="shared" si="11"/>
        <v>5922.3228482815439</v>
      </c>
      <c r="E34" s="9">
        <f t="shared" si="12"/>
        <v>8856.0537308842722</v>
      </c>
      <c r="F34" s="9">
        <f t="shared" si="13"/>
        <v>1773763.1236018604</v>
      </c>
    </row>
    <row r="35" spans="1:6" x14ac:dyDescent="0.25">
      <c r="A35" s="8" t="s">
        <v>61</v>
      </c>
      <c r="B35" s="9">
        <f t="shared" si="14"/>
        <v>1773763.1236018604</v>
      </c>
      <c r="C35" s="9">
        <f t="shared" si="10"/>
        <v>2943.509985544737</v>
      </c>
      <c r="D35" s="9">
        <f t="shared" si="11"/>
        <v>5912.5437453395352</v>
      </c>
      <c r="E35" s="9">
        <f t="shared" si="12"/>
        <v>8856.0537308842722</v>
      </c>
      <c r="F35" s="9">
        <f t="shared" si="13"/>
        <v>1770819.6136163156</v>
      </c>
    </row>
    <row r="36" spans="1:6" x14ac:dyDescent="0.25">
      <c r="A36" s="8" t="s">
        <v>62</v>
      </c>
      <c r="B36" s="9">
        <f t="shared" si="14"/>
        <v>1770819.6136163156</v>
      </c>
      <c r="C36" s="9">
        <f t="shared" si="10"/>
        <v>2953.3216854965531</v>
      </c>
      <c r="D36" s="9">
        <f t="shared" si="11"/>
        <v>5902.7320453877192</v>
      </c>
      <c r="E36" s="9">
        <f t="shared" si="12"/>
        <v>8856.0537308842722</v>
      </c>
      <c r="F36" s="9">
        <f t="shared" si="13"/>
        <v>1767866.2919308192</v>
      </c>
    </row>
    <row r="37" spans="1:6" x14ac:dyDescent="0.25">
      <c r="A37" s="8" t="s">
        <v>63</v>
      </c>
      <c r="B37" s="9">
        <f t="shared" si="14"/>
        <v>1767866.2919308192</v>
      </c>
      <c r="C37" s="9">
        <f t="shared" si="10"/>
        <v>2963.1660911148747</v>
      </c>
      <c r="D37" s="9">
        <f t="shared" si="11"/>
        <v>5892.8876397693975</v>
      </c>
      <c r="E37" s="9">
        <f t="shared" si="12"/>
        <v>8856.0537308842722</v>
      </c>
      <c r="F37" s="9">
        <f t="shared" si="13"/>
        <v>1764903.1258397042</v>
      </c>
    </row>
    <row r="38" spans="1:6" x14ac:dyDescent="0.25">
      <c r="A38" s="8" t="s">
        <v>64</v>
      </c>
      <c r="B38" s="9">
        <f t="shared" si="14"/>
        <v>1764903.1258397042</v>
      </c>
      <c r="C38" s="9">
        <f t="shared" si="10"/>
        <v>2973.0433114185917</v>
      </c>
      <c r="D38" s="9">
        <f t="shared" si="11"/>
        <v>5883.0104194656806</v>
      </c>
      <c r="E38" s="9">
        <f t="shared" si="12"/>
        <v>8856.0537308842722</v>
      </c>
      <c r="F38" s="9">
        <f t="shared" si="13"/>
        <v>1761930.0825282857</v>
      </c>
    </row>
    <row r="39" spans="1:6" x14ac:dyDescent="0.25">
      <c r="A39" s="8" t="s">
        <v>65</v>
      </c>
      <c r="B39" s="9">
        <f t="shared" si="14"/>
        <v>1761930.0825282857</v>
      </c>
      <c r="C39" s="9">
        <f t="shared" si="10"/>
        <v>2982.953455789986</v>
      </c>
      <c r="D39" s="9">
        <f t="shared" si="11"/>
        <v>5873.1002750942862</v>
      </c>
      <c r="E39" s="9">
        <f t="shared" si="12"/>
        <v>8856.0537308842722</v>
      </c>
      <c r="F39" s="9">
        <f t="shared" si="13"/>
        <v>1758947.1290724957</v>
      </c>
    </row>
    <row r="40" spans="1:6" x14ac:dyDescent="0.25">
      <c r="A40" s="8" t="s">
        <v>66</v>
      </c>
      <c r="B40" s="9">
        <f t="shared" si="14"/>
        <v>1758947.1290724957</v>
      </c>
      <c r="C40" s="9">
        <f t="shared" si="10"/>
        <v>2992.8966339759527</v>
      </c>
      <c r="D40" s="9">
        <f t="shared" si="11"/>
        <v>5863.1570969083195</v>
      </c>
      <c r="E40" s="9">
        <f t="shared" si="12"/>
        <v>8856.0537308842722</v>
      </c>
      <c r="F40" s="9">
        <f t="shared" si="13"/>
        <v>1755954.2324385198</v>
      </c>
    </row>
    <row r="41" spans="1:6" x14ac:dyDescent="0.25">
      <c r="A41" s="8" t="s">
        <v>67</v>
      </c>
      <c r="B41" s="9">
        <f t="shared" si="14"/>
        <v>1755954.2324385198</v>
      </c>
      <c r="C41" s="9">
        <f t="shared" si="10"/>
        <v>3002.8729560892061</v>
      </c>
      <c r="D41" s="9">
        <f t="shared" si="11"/>
        <v>5853.1807747950661</v>
      </c>
      <c r="E41" s="9">
        <f t="shared" si="12"/>
        <v>8856.0537308842722</v>
      </c>
      <c r="F41" s="12">
        <f t="shared" si="13"/>
        <v>1752951.3594824306</v>
      </c>
    </row>
    <row r="42" spans="1:6" x14ac:dyDescent="0.25">
      <c r="A42" s="13" t="s">
        <v>43</v>
      </c>
      <c r="B42" s="13"/>
      <c r="C42" s="12">
        <f>SUM(C30:C41)</f>
        <v>35383.275660416759</v>
      </c>
      <c r="D42" s="12">
        <f>SUM(D30:D41)</f>
        <v>70889.369110194501</v>
      </c>
      <c r="E42" s="9"/>
      <c r="F42" s="9"/>
    </row>
    <row r="43" spans="1:6" x14ac:dyDescent="0.25">
      <c r="A43" s="8"/>
      <c r="B43" s="8"/>
      <c r="C43" s="9"/>
      <c r="D43" s="9"/>
      <c r="E43" s="9"/>
      <c r="F43" s="9"/>
    </row>
    <row r="44" spans="1:6" x14ac:dyDescent="0.25">
      <c r="A44" s="8" t="s">
        <v>68</v>
      </c>
      <c r="B44" s="9">
        <f>+F41</f>
        <v>1752951.3594824306</v>
      </c>
      <c r="C44" s="9">
        <f t="shared" ref="C44:C55" si="15">+E44-D44</f>
        <v>3012.882532609503</v>
      </c>
      <c r="D44" s="9">
        <f t="shared" ref="D44:D55" si="16">B44*$I$2</f>
        <v>5843.1711982747693</v>
      </c>
      <c r="E44" s="9">
        <f t="shared" ref="E44:E55" si="17">-$I$8</f>
        <v>8856.0537308842722</v>
      </c>
      <c r="F44" s="9">
        <f t="shared" ref="F44:F55" si="18">+B44-C44</f>
        <v>1749938.4769498212</v>
      </c>
    </row>
    <row r="45" spans="1:6" x14ac:dyDescent="0.25">
      <c r="A45" s="8" t="s">
        <v>69</v>
      </c>
      <c r="B45" s="9">
        <f t="shared" ref="B45:B55" si="19">+F44</f>
        <v>1749938.4769498212</v>
      </c>
      <c r="C45" s="9">
        <f t="shared" si="15"/>
        <v>3022.9254743848678</v>
      </c>
      <c r="D45" s="9">
        <f t="shared" si="16"/>
        <v>5833.1282564994044</v>
      </c>
      <c r="E45" s="9">
        <f t="shared" si="17"/>
        <v>8856.0537308842722</v>
      </c>
      <c r="F45" s="9">
        <f t="shared" si="18"/>
        <v>1746915.5514754364</v>
      </c>
    </row>
    <row r="46" spans="1:6" x14ac:dyDescent="0.25">
      <c r="A46" s="8" t="s">
        <v>70</v>
      </c>
      <c r="B46" s="9">
        <f t="shared" si="19"/>
        <v>1746915.5514754364</v>
      </c>
      <c r="C46" s="9">
        <f t="shared" si="15"/>
        <v>3033.0018926328175</v>
      </c>
      <c r="D46" s="9">
        <f t="shared" si="16"/>
        <v>5823.0518382514547</v>
      </c>
      <c r="E46" s="9">
        <f t="shared" si="17"/>
        <v>8856.0537308842722</v>
      </c>
      <c r="F46" s="9">
        <f t="shared" si="18"/>
        <v>1743882.5495828036</v>
      </c>
    </row>
    <row r="47" spans="1:6" x14ac:dyDescent="0.25">
      <c r="A47" s="8" t="s">
        <v>71</v>
      </c>
      <c r="B47" s="9">
        <f t="shared" si="19"/>
        <v>1743882.5495828036</v>
      </c>
      <c r="C47" s="9">
        <f t="shared" si="15"/>
        <v>3043.1118989415927</v>
      </c>
      <c r="D47" s="9">
        <f t="shared" si="16"/>
        <v>5812.9418319426795</v>
      </c>
      <c r="E47" s="9">
        <f t="shared" si="17"/>
        <v>8856.0537308842722</v>
      </c>
      <c r="F47" s="9">
        <f t="shared" si="18"/>
        <v>1740839.4376838619</v>
      </c>
    </row>
    <row r="48" spans="1:6" x14ac:dyDescent="0.25">
      <c r="A48" s="8" t="s">
        <v>72</v>
      </c>
      <c r="B48" s="9">
        <f t="shared" si="19"/>
        <v>1740839.4376838619</v>
      </c>
      <c r="C48" s="9">
        <f t="shared" si="15"/>
        <v>3053.255605271399</v>
      </c>
      <c r="D48" s="9">
        <f t="shared" si="16"/>
        <v>5802.7981256128733</v>
      </c>
      <c r="E48" s="9">
        <f t="shared" si="17"/>
        <v>8856.0537308842722</v>
      </c>
      <c r="F48" s="9">
        <f t="shared" si="18"/>
        <v>1737786.1820785906</v>
      </c>
    </row>
    <row r="49" spans="1:7" x14ac:dyDescent="0.25">
      <c r="A49" s="8" t="s">
        <v>73</v>
      </c>
      <c r="B49" s="9">
        <f t="shared" si="19"/>
        <v>1737786.1820785906</v>
      </c>
      <c r="C49" s="9">
        <f t="shared" si="15"/>
        <v>3063.4331239556368</v>
      </c>
      <c r="D49" s="9">
        <f t="shared" si="16"/>
        <v>5792.6206069286354</v>
      </c>
      <c r="E49" s="9">
        <f t="shared" si="17"/>
        <v>8856.0537308842722</v>
      </c>
      <c r="F49" s="9">
        <f t="shared" si="18"/>
        <v>1734722.7489546349</v>
      </c>
    </row>
    <row r="50" spans="1:7" x14ac:dyDescent="0.25">
      <c r="A50" s="8" t="s">
        <v>74</v>
      </c>
      <c r="B50" s="9">
        <f t="shared" si="19"/>
        <v>1734722.7489546349</v>
      </c>
      <c r="C50" s="9">
        <f t="shared" si="15"/>
        <v>3073.6445677021557</v>
      </c>
      <c r="D50" s="9">
        <f t="shared" si="16"/>
        <v>5782.4091631821166</v>
      </c>
      <c r="E50" s="9">
        <f t="shared" si="17"/>
        <v>8856.0537308842722</v>
      </c>
      <c r="F50" s="9">
        <f t="shared" si="18"/>
        <v>1731649.1043869327</v>
      </c>
    </row>
    <row r="51" spans="1:7" x14ac:dyDescent="0.25">
      <c r="A51" s="8" t="s">
        <v>75</v>
      </c>
      <c r="B51" s="9">
        <f t="shared" si="19"/>
        <v>1731649.1043869327</v>
      </c>
      <c r="C51" s="9">
        <f t="shared" si="15"/>
        <v>3083.8900495944963</v>
      </c>
      <c r="D51" s="9">
        <f t="shared" si="16"/>
        <v>5772.1636812897759</v>
      </c>
      <c r="E51" s="9">
        <f t="shared" si="17"/>
        <v>8856.0537308842722</v>
      </c>
      <c r="F51" s="9">
        <f t="shared" si="18"/>
        <v>1728565.2143373382</v>
      </c>
    </row>
    <row r="52" spans="1:7" x14ac:dyDescent="0.25">
      <c r="A52" s="8" t="s">
        <v>76</v>
      </c>
      <c r="B52" s="9">
        <f t="shared" si="19"/>
        <v>1728565.2143373382</v>
      </c>
      <c r="C52" s="9">
        <f t="shared" si="15"/>
        <v>3094.1696830931442</v>
      </c>
      <c r="D52" s="9">
        <f t="shared" si="16"/>
        <v>5761.8840477911281</v>
      </c>
      <c r="E52" s="9">
        <f t="shared" si="17"/>
        <v>8856.0537308842722</v>
      </c>
      <c r="F52" s="9">
        <f t="shared" si="18"/>
        <v>1725471.044654245</v>
      </c>
    </row>
    <row r="53" spans="1:7" x14ac:dyDescent="0.25">
      <c r="A53" s="8" t="s">
        <v>77</v>
      </c>
      <c r="B53" s="9">
        <f t="shared" si="19"/>
        <v>1725471.044654245</v>
      </c>
      <c r="C53" s="9">
        <f t="shared" si="15"/>
        <v>3104.4835820367889</v>
      </c>
      <c r="D53" s="9">
        <f t="shared" si="16"/>
        <v>5751.5701488474833</v>
      </c>
      <c r="E53" s="9">
        <f t="shared" si="17"/>
        <v>8856.0537308842722</v>
      </c>
      <c r="F53" s="9">
        <f t="shared" si="18"/>
        <v>1722366.5610722082</v>
      </c>
    </row>
    <row r="54" spans="1:7" x14ac:dyDescent="0.25">
      <c r="A54" s="8" t="s">
        <v>78</v>
      </c>
      <c r="B54" s="9">
        <f t="shared" si="19"/>
        <v>1722366.5610722082</v>
      </c>
      <c r="C54" s="9">
        <f t="shared" si="15"/>
        <v>3114.8318606435778</v>
      </c>
      <c r="D54" s="9">
        <f t="shared" si="16"/>
        <v>5741.2218702406944</v>
      </c>
      <c r="E54" s="9">
        <f t="shared" si="17"/>
        <v>8856.0537308842722</v>
      </c>
      <c r="F54" s="9">
        <f t="shared" si="18"/>
        <v>1719251.7292115646</v>
      </c>
    </row>
    <row r="55" spans="1:7" x14ac:dyDescent="0.25">
      <c r="A55" s="8" t="s">
        <v>79</v>
      </c>
      <c r="B55" s="9">
        <f t="shared" si="19"/>
        <v>1719251.7292115646</v>
      </c>
      <c r="C55" s="9">
        <f t="shared" si="15"/>
        <v>3125.2146335123898</v>
      </c>
      <c r="D55" s="9">
        <f t="shared" si="16"/>
        <v>5730.8390973718824</v>
      </c>
      <c r="E55" s="9">
        <f t="shared" si="17"/>
        <v>8856.0537308842722</v>
      </c>
      <c r="F55" s="12">
        <f t="shared" si="18"/>
        <v>1716126.5145780523</v>
      </c>
      <c r="G55" s="9"/>
    </row>
    <row r="56" spans="1:7" x14ac:dyDescent="0.25">
      <c r="A56" s="13" t="s">
        <v>43</v>
      </c>
      <c r="B56" s="14"/>
      <c r="C56" s="12">
        <f>SUM(C44:C55)</f>
        <v>36824.844904378362</v>
      </c>
      <c r="D56" s="12">
        <f>SUM(D44:D55)</f>
        <v>69447.79986623289</v>
      </c>
    </row>
    <row r="58" spans="1:7" x14ac:dyDescent="0.25">
      <c r="A58" s="30" t="s">
        <v>132</v>
      </c>
      <c r="B58" s="9">
        <f>+F55</f>
        <v>1716126.5145780523</v>
      </c>
      <c r="C58" s="9">
        <f t="shared" ref="C58:C69" si="20">+E58-D58</f>
        <v>3135.6320156240972</v>
      </c>
      <c r="D58" s="9">
        <f t="shared" ref="D58:D69" si="21">B58*$I$2</f>
        <v>5720.421715260175</v>
      </c>
      <c r="E58" s="9">
        <f t="shared" ref="E58:E69" si="22">-$I$8</f>
        <v>8856.0537308842722</v>
      </c>
      <c r="F58" s="9">
        <f t="shared" ref="F58:F69" si="23">+B58-C58</f>
        <v>1712990.8825624282</v>
      </c>
    </row>
    <row r="59" spans="1:7" x14ac:dyDescent="0.25">
      <c r="A59" s="30" t="s">
        <v>133</v>
      </c>
      <c r="B59" s="9">
        <f t="shared" ref="B59:B69" si="24">+F58</f>
        <v>1712990.8825624282</v>
      </c>
      <c r="C59" s="9">
        <f t="shared" si="20"/>
        <v>3146.0841223428442</v>
      </c>
      <c r="D59" s="9">
        <f t="shared" si="21"/>
        <v>5709.969608541428</v>
      </c>
      <c r="E59" s="9">
        <f t="shared" si="22"/>
        <v>8856.0537308842722</v>
      </c>
      <c r="F59" s="9">
        <f t="shared" si="23"/>
        <v>1709844.7984400855</v>
      </c>
    </row>
    <row r="60" spans="1:7" x14ac:dyDescent="0.25">
      <c r="A60" s="31">
        <v>42430</v>
      </c>
      <c r="B60" s="9">
        <f t="shared" si="24"/>
        <v>1709844.7984400855</v>
      </c>
      <c r="C60" s="9">
        <f t="shared" si="20"/>
        <v>3156.5710694173204</v>
      </c>
      <c r="D60" s="9">
        <f t="shared" si="21"/>
        <v>5699.4826614669519</v>
      </c>
      <c r="E60" s="9">
        <f t="shared" si="22"/>
        <v>8856.0537308842722</v>
      </c>
      <c r="F60" s="9">
        <f t="shared" si="23"/>
        <v>1706688.2273706682</v>
      </c>
    </row>
    <row r="61" spans="1:7" x14ac:dyDescent="0.25">
      <c r="A61" s="31">
        <v>42461</v>
      </c>
      <c r="B61" s="9">
        <f t="shared" si="24"/>
        <v>1706688.2273706682</v>
      </c>
      <c r="C61" s="9">
        <f t="shared" si="20"/>
        <v>3167.0929729820446</v>
      </c>
      <c r="D61" s="9">
        <f t="shared" si="21"/>
        <v>5688.9607579022277</v>
      </c>
      <c r="E61" s="9">
        <f t="shared" si="22"/>
        <v>8856.0537308842722</v>
      </c>
      <c r="F61" s="9">
        <f t="shared" si="23"/>
        <v>1703521.1343976862</v>
      </c>
    </row>
    <row r="62" spans="1:7" x14ac:dyDescent="0.25">
      <c r="A62" s="31">
        <v>42491</v>
      </c>
      <c r="B62" s="9">
        <f t="shared" si="24"/>
        <v>1703521.1343976862</v>
      </c>
      <c r="C62" s="9">
        <f t="shared" si="20"/>
        <v>3177.6499495586513</v>
      </c>
      <c r="D62" s="9">
        <f t="shared" si="21"/>
        <v>5678.4037813256209</v>
      </c>
      <c r="E62" s="9">
        <f t="shared" si="22"/>
        <v>8856.0537308842722</v>
      </c>
      <c r="F62" s="9">
        <f t="shared" si="23"/>
        <v>1700343.4844481277</v>
      </c>
    </row>
    <row r="63" spans="1:7" x14ac:dyDescent="0.25">
      <c r="A63" s="31">
        <v>42522</v>
      </c>
      <c r="B63" s="9">
        <f t="shared" si="24"/>
        <v>1700343.4844481277</v>
      </c>
      <c r="C63" s="9">
        <f t="shared" si="20"/>
        <v>3188.2421160571794</v>
      </c>
      <c r="D63" s="9">
        <f t="shared" si="21"/>
        <v>5667.8116148270929</v>
      </c>
      <c r="E63" s="9">
        <f t="shared" si="22"/>
        <v>8856.0537308842722</v>
      </c>
      <c r="F63" s="9">
        <f t="shared" si="23"/>
        <v>1697155.2423320706</v>
      </c>
    </row>
    <row r="64" spans="1:7" x14ac:dyDescent="0.25">
      <c r="A64" s="31">
        <v>42552</v>
      </c>
      <c r="B64" s="9">
        <f t="shared" si="24"/>
        <v>1697155.2423320706</v>
      </c>
      <c r="C64" s="9">
        <f t="shared" si="20"/>
        <v>3198.8695897773696</v>
      </c>
      <c r="D64" s="9">
        <f t="shared" si="21"/>
        <v>5657.1841411069026</v>
      </c>
      <c r="E64" s="9">
        <f t="shared" si="22"/>
        <v>8856.0537308842722</v>
      </c>
      <c r="F64" s="9">
        <f t="shared" si="23"/>
        <v>1693956.3727422932</v>
      </c>
    </row>
    <row r="65" spans="1:6" x14ac:dyDescent="0.25">
      <c r="A65" s="31">
        <v>42583</v>
      </c>
      <c r="B65" s="9">
        <f t="shared" si="24"/>
        <v>1693956.3727422932</v>
      </c>
      <c r="C65" s="9">
        <f t="shared" si="20"/>
        <v>3209.5324884099609</v>
      </c>
      <c r="D65" s="9">
        <f t="shared" si="21"/>
        <v>5646.5212424743113</v>
      </c>
      <c r="E65" s="9">
        <f t="shared" si="22"/>
        <v>8856.0537308842722</v>
      </c>
      <c r="F65" s="9">
        <f t="shared" si="23"/>
        <v>1690746.8402538833</v>
      </c>
    </row>
    <row r="66" spans="1:6" x14ac:dyDescent="0.25">
      <c r="A66" s="31">
        <v>42614</v>
      </c>
      <c r="B66" s="9">
        <f t="shared" si="24"/>
        <v>1690746.8402538833</v>
      </c>
      <c r="C66" s="9">
        <f t="shared" si="20"/>
        <v>3220.2309300379939</v>
      </c>
      <c r="D66" s="9">
        <f t="shared" si="21"/>
        <v>5635.8228008462784</v>
      </c>
      <c r="E66" s="9">
        <f t="shared" si="22"/>
        <v>8856.0537308842722</v>
      </c>
      <c r="F66" s="9">
        <f t="shared" si="23"/>
        <v>1687526.6093238452</v>
      </c>
    </row>
    <row r="67" spans="1:6" x14ac:dyDescent="0.25">
      <c r="A67" s="31">
        <v>42644</v>
      </c>
      <c r="B67" s="9">
        <f t="shared" si="24"/>
        <v>1687526.6093238452</v>
      </c>
      <c r="C67" s="9">
        <f t="shared" si="20"/>
        <v>3230.9650331381208</v>
      </c>
      <c r="D67" s="9">
        <f t="shared" si="21"/>
        <v>5625.0886977461514</v>
      </c>
      <c r="E67" s="9">
        <f t="shared" si="22"/>
        <v>8856.0537308842722</v>
      </c>
      <c r="F67" s="9">
        <f t="shared" si="23"/>
        <v>1684295.6442907071</v>
      </c>
    </row>
    <row r="68" spans="1:6" x14ac:dyDescent="0.25">
      <c r="A68" s="31">
        <v>42675</v>
      </c>
      <c r="B68" s="9">
        <f t="shared" si="24"/>
        <v>1684295.6442907071</v>
      </c>
      <c r="C68" s="9">
        <f t="shared" si="20"/>
        <v>3241.7349165819151</v>
      </c>
      <c r="D68" s="9">
        <f t="shared" si="21"/>
        <v>5614.3188143023572</v>
      </c>
      <c r="E68" s="9">
        <f t="shared" si="22"/>
        <v>8856.0537308842722</v>
      </c>
      <c r="F68" s="9">
        <f t="shared" si="23"/>
        <v>1681053.9093741251</v>
      </c>
    </row>
    <row r="69" spans="1:6" x14ac:dyDescent="0.25">
      <c r="A69" s="31">
        <v>42705</v>
      </c>
      <c r="B69" s="9">
        <f t="shared" si="24"/>
        <v>1681053.9093741251</v>
      </c>
      <c r="C69" s="9">
        <f t="shared" si="20"/>
        <v>3252.5406996371885</v>
      </c>
      <c r="D69" s="9">
        <f t="shared" si="21"/>
        <v>5603.5130312470837</v>
      </c>
      <c r="E69" s="9">
        <f t="shared" si="22"/>
        <v>8856.0537308842722</v>
      </c>
      <c r="F69" s="12">
        <f t="shared" si="23"/>
        <v>1677801.3686744878</v>
      </c>
    </row>
    <row r="70" spans="1:6" x14ac:dyDescent="0.25">
      <c r="A70" s="13" t="s">
        <v>43</v>
      </c>
      <c r="B70" s="13"/>
      <c r="C70" s="12">
        <f>SUM(C58:C69)</f>
        <v>38325.145903564684</v>
      </c>
      <c r="D70" s="12">
        <f>SUM(D58:D69)</f>
        <v>67947.498867046583</v>
      </c>
      <c r="E70" s="9"/>
      <c r="F70" s="9"/>
    </row>
    <row r="71" spans="1:6" x14ac:dyDescent="0.25">
      <c r="A71" s="8"/>
      <c r="B71" s="8"/>
      <c r="C71" s="9"/>
      <c r="D71" s="9"/>
      <c r="E71" s="9"/>
      <c r="F71" s="9"/>
    </row>
    <row r="72" spans="1:6" x14ac:dyDescent="0.25">
      <c r="A72" s="32">
        <v>42736</v>
      </c>
      <c r="B72" s="9">
        <f>+F69</f>
        <v>1677801.3686744878</v>
      </c>
      <c r="C72" s="9">
        <f t="shared" ref="C72:C83" si="25">+E72-D72</f>
        <v>3263.3825019693122</v>
      </c>
      <c r="D72" s="9">
        <f t="shared" ref="D72:D83" si="26">B72*$I$2</f>
        <v>5592.67122891496</v>
      </c>
      <c r="E72" s="9">
        <f t="shared" ref="E72:E83" si="27">-$I$8</f>
        <v>8856.0537308842722</v>
      </c>
      <c r="F72" s="9">
        <f t="shared" ref="F72:F83" si="28">+B72-C72</f>
        <v>1674537.9861725185</v>
      </c>
    </row>
    <row r="73" spans="1:6" x14ac:dyDescent="0.25">
      <c r="A73" s="32">
        <v>42767</v>
      </c>
      <c r="B73" s="9">
        <f t="shared" ref="B73:B83" si="29">+F72</f>
        <v>1674537.9861725185</v>
      </c>
      <c r="C73" s="9">
        <f t="shared" si="25"/>
        <v>3274.2604436425436</v>
      </c>
      <c r="D73" s="9">
        <f t="shared" si="26"/>
        <v>5581.7932872417286</v>
      </c>
      <c r="E73" s="9">
        <f t="shared" si="27"/>
        <v>8856.0537308842722</v>
      </c>
      <c r="F73" s="9">
        <f t="shared" si="28"/>
        <v>1671263.725728876</v>
      </c>
    </row>
    <row r="74" spans="1:6" x14ac:dyDescent="0.25">
      <c r="A74" s="32">
        <v>42795</v>
      </c>
      <c r="B74" s="9">
        <f t="shared" si="29"/>
        <v>1671263.725728876</v>
      </c>
      <c r="C74" s="9">
        <f t="shared" si="25"/>
        <v>3285.1746451213521</v>
      </c>
      <c r="D74" s="9">
        <f t="shared" si="26"/>
        <v>5570.8790857629201</v>
      </c>
      <c r="E74" s="9">
        <f t="shared" si="27"/>
        <v>8856.0537308842722</v>
      </c>
      <c r="F74" s="9">
        <f t="shared" si="28"/>
        <v>1667978.5510837545</v>
      </c>
    </row>
    <row r="75" spans="1:6" x14ac:dyDescent="0.25">
      <c r="A75" s="32">
        <v>42826</v>
      </c>
      <c r="B75" s="9">
        <f t="shared" si="29"/>
        <v>1667978.5510837545</v>
      </c>
      <c r="C75" s="9">
        <f t="shared" si="25"/>
        <v>3296.1252272717566</v>
      </c>
      <c r="D75" s="9">
        <f t="shared" si="26"/>
        <v>5559.9285036125157</v>
      </c>
      <c r="E75" s="9">
        <f t="shared" si="27"/>
        <v>8856.0537308842722</v>
      </c>
      <c r="F75" s="9">
        <f t="shared" si="28"/>
        <v>1664682.4258564827</v>
      </c>
    </row>
    <row r="76" spans="1:6" x14ac:dyDescent="0.25">
      <c r="A76" s="32">
        <v>42856</v>
      </c>
      <c r="B76" s="9">
        <f t="shared" si="29"/>
        <v>1664682.4258564827</v>
      </c>
      <c r="C76" s="9">
        <f t="shared" si="25"/>
        <v>3307.1123113626627</v>
      </c>
      <c r="D76" s="9">
        <f t="shared" si="26"/>
        <v>5548.9414195216095</v>
      </c>
      <c r="E76" s="9">
        <f t="shared" si="27"/>
        <v>8856.0537308842722</v>
      </c>
      <c r="F76" s="9">
        <f t="shared" si="28"/>
        <v>1661375.3135451199</v>
      </c>
    </row>
    <row r="77" spans="1:6" x14ac:dyDescent="0.25">
      <c r="A77" s="32">
        <v>42887</v>
      </c>
      <c r="B77" s="9">
        <f t="shared" si="29"/>
        <v>1661375.3135451199</v>
      </c>
      <c r="C77" s="9">
        <f t="shared" si="25"/>
        <v>3318.1360190672058</v>
      </c>
      <c r="D77" s="9">
        <f t="shared" si="26"/>
        <v>5537.9177118170664</v>
      </c>
      <c r="E77" s="9">
        <f t="shared" si="27"/>
        <v>8856.0537308842722</v>
      </c>
      <c r="F77" s="9">
        <f t="shared" si="28"/>
        <v>1658057.1775260528</v>
      </c>
    </row>
    <row r="78" spans="1:6" x14ac:dyDescent="0.25">
      <c r="A78" s="32">
        <v>42917</v>
      </c>
      <c r="B78" s="9">
        <f t="shared" si="29"/>
        <v>1658057.1775260528</v>
      </c>
      <c r="C78" s="9">
        <f t="shared" si="25"/>
        <v>3329.1964724640957</v>
      </c>
      <c r="D78" s="9">
        <f t="shared" si="26"/>
        <v>5526.8572584201765</v>
      </c>
      <c r="E78" s="9">
        <f t="shared" si="27"/>
        <v>8856.0537308842722</v>
      </c>
      <c r="F78" s="9">
        <f t="shared" si="28"/>
        <v>1654727.9810535887</v>
      </c>
    </row>
    <row r="79" spans="1:6" x14ac:dyDescent="0.25">
      <c r="A79" s="32">
        <v>42948</v>
      </c>
      <c r="B79" s="9">
        <f t="shared" si="29"/>
        <v>1654727.9810535887</v>
      </c>
      <c r="C79" s="9">
        <f t="shared" si="25"/>
        <v>3340.2937940389766</v>
      </c>
      <c r="D79" s="9">
        <f t="shared" si="26"/>
        <v>5515.7599368452957</v>
      </c>
      <c r="E79" s="9">
        <f t="shared" si="27"/>
        <v>8856.0537308842722</v>
      </c>
      <c r="F79" s="9">
        <f t="shared" si="28"/>
        <v>1651387.6872595497</v>
      </c>
    </row>
    <row r="80" spans="1:6" x14ac:dyDescent="0.25">
      <c r="A80" s="32">
        <v>42979</v>
      </c>
      <c r="B80" s="9">
        <f t="shared" si="29"/>
        <v>1651387.6872595497</v>
      </c>
      <c r="C80" s="9">
        <f t="shared" si="25"/>
        <v>3351.4281066857729</v>
      </c>
      <c r="D80" s="9">
        <f t="shared" si="26"/>
        <v>5504.6256241984993</v>
      </c>
      <c r="E80" s="9">
        <f t="shared" si="27"/>
        <v>8856.0537308842722</v>
      </c>
      <c r="F80" s="9">
        <f t="shared" si="28"/>
        <v>1648036.2591528639</v>
      </c>
    </row>
    <row r="81" spans="1:6" x14ac:dyDescent="0.25">
      <c r="A81" s="32">
        <v>43009</v>
      </c>
      <c r="B81" s="9">
        <f t="shared" si="29"/>
        <v>1648036.2591528639</v>
      </c>
      <c r="C81" s="9">
        <f t="shared" si="25"/>
        <v>3362.5995337080585</v>
      </c>
      <c r="D81" s="9">
        <f t="shared" si="26"/>
        <v>5493.4541971762137</v>
      </c>
      <c r="E81" s="9">
        <f t="shared" si="27"/>
        <v>8856.0537308842722</v>
      </c>
      <c r="F81" s="9">
        <f t="shared" si="28"/>
        <v>1644673.6596191558</v>
      </c>
    </row>
    <row r="82" spans="1:6" x14ac:dyDescent="0.25">
      <c r="A82" s="32">
        <v>43040</v>
      </c>
      <c r="B82" s="9">
        <f t="shared" si="29"/>
        <v>1644673.6596191558</v>
      </c>
      <c r="C82" s="9">
        <f t="shared" si="25"/>
        <v>3373.8081988204194</v>
      </c>
      <c r="D82" s="9">
        <f t="shared" si="26"/>
        <v>5482.2455320638528</v>
      </c>
      <c r="E82" s="9">
        <f t="shared" si="27"/>
        <v>8856.0537308842722</v>
      </c>
      <c r="F82" s="9">
        <f t="shared" si="28"/>
        <v>1641299.8514203355</v>
      </c>
    </row>
    <row r="83" spans="1:6" x14ac:dyDescent="0.25">
      <c r="A83" s="32">
        <v>43070</v>
      </c>
      <c r="B83" s="9">
        <f t="shared" si="29"/>
        <v>1641299.8514203355</v>
      </c>
      <c r="C83" s="9">
        <f t="shared" si="25"/>
        <v>3385.0542261498204</v>
      </c>
      <c r="D83" s="9">
        <f t="shared" si="26"/>
        <v>5470.9995047344519</v>
      </c>
      <c r="E83" s="9">
        <f t="shared" si="27"/>
        <v>8856.0537308842722</v>
      </c>
      <c r="F83" s="12">
        <f t="shared" si="28"/>
        <v>1637914.7971941857</v>
      </c>
    </row>
    <row r="84" spans="1:6" x14ac:dyDescent="0.25">
      <c r="A84" s="13" t="s">
        <v>43</v>
      </c>
      <c r="B84" s="13"/>
      <c r="C84" s="12">
        <f>SUM(C72:C83)</f>
        <v>39886.57148030198</v>
      </c>
      <c r="D84" s="12">
        <f>SUM(D72:D83)</f>
        <v>66386.073290309287</v>
      </c>
      <c r="E84" s="9"/>
      <c r="F84" s="9"/>
    </row>
    <row r="85" spans="1:6" x14ac:dyDescent="0.25">
      <c r="A85" s="8"/>
      <c r="B85" s="8"/>
      <c r="C85" s="9"/>
      <c r="D85" s="9"/>
      <c r="E85" s="9"/>
      <c r="F85" s="9"/>
    </row>
    <row r="86" spans="1:6" x14ac:dyDescent="0.25">
      <c r="A86" s="32">
        <v>43101</v>
      </c>
      <c r="B86" s="9">
        <f>+F83</f>
        <v>1637914.7971941857</v>
      </c>
      <c r="C86" s="9">
        <f t="shared" ref="C86:C97" si="30">+E86-D86</f>
        <v>3396.3377402369861</v>
      </c>
      <c r="D86" s="9">
        <f t="shared" ref="D86:D97" si="31">B86*$I$2</f>
        <v>5459.7159906472862</v>
      </c>
      <c r="E86" s="9">
        <f t="shared" ref="E86:E97" si="32">-$I$8</f>
        <v>8856.0537308842722</v>
      </c>
      <c r="F86" s="9">
        <f t="shared" ref="F86:F97" si="33">+B86-C86</f>
        <v>1634518.4594539488</v>
      </c>
    </row>
    <row r="87" spans="1:6" x14ac:dyDescent="0.25">
      <c r="A87" s="32">
        <v>43132</v>
      </c>
      <c r="B87" s="9">
        <f t="shared" ref="B87:B97" si="34">+F86</f>
        <v>1634518.4594539488</v>
      </c>
      <c r="C87" s="9">
        <f t="shared" si="30"/>
        <v>3407.6588660377756</v>
      </c>
      <c r="D87" s="9">
        <f t="shared" si="31"/>
        <v>5448.3948648464966</v>
      </c>
      <c r="E87" s="9">
        <f t="shared" si="32"/>
        <v>8856.0537308842722</v>
      </c>
      <c r="F87" s="9">
        <f t="shared" si="33"/>
        <v>1631110.8005879109</v>
      </c>
    </row>
    <row r="88" spans="1:6" x14ac:dyDescent="0.25">
      <c r="A88" s="32">
        <v>43160</v>
      </c>
      <c r="B88" s="9">
        <f t="shared" si="34"/>
        <v>1631110.8005879109</v>
      </c>
      <c r="C88" s="9">
        <f t="shared" si="30"/>
        <v>3419.0177289245685</v>
      </c>
      <c r="D88" s="9">
        <f t="shared" si="31"/>
        <v>5437.0360019597038</v>
      </c>
      <c r="E88" s="9">
        <f t="shared" si="32"/>
        <v>8856.0537308842722</v>
      </c>
      <c r="F88" s="9">
        <f t="shared" si="33"/>
        <v>1627691.7828589864</v>
      </c>
    </row>
    <row r="89" spans="1:6" x14ac:dyDescent="0.25">
      <c r="A89" s="32">
        <v>43191</v>
      </c>
      <c r="B89" s="9">
        <f t="shared" si="34"/>
        <v>1627691.7828589864</v>
      </c>
      <c r="C89" s="9">
        <f t="shared" si="30"/>
        <v>3430.4144546876505</v>
      </c>
      <c r="D89" s="9">
        <f t="shared" si="31"/>
        <v>5425.6392761966217</v>
      </c>
      <c r="E89" s="9">
        <f t="shared" si="32"/>
        <v>8856.0537308842722</v>
      </c>
      <c r="F89" s="9">
        <f t="shared" si="33"/>
        <v>1624261.3684042988</v>
      </c>
    </row>
    <row r="90" spans="1:6" x14ac:dyDescent="0.25">
      <c r="A90" s="32">
        <v>43221</v>
      </c>
      <c r="B90" s="9">
        <f t="shared" si="34"/>
        <v>1624261.3684042988</v>
      </c>
      <c r="C90" s="9">
        <f t="shared" si="30"/>
        <v>3441.8491695366092</v>
      </c>
      <c r="D90" s="9">
        <f t="shared" si="31"/>
        <v>5414.204561347663</v>
      </c>
      <c r="E90" s="9">
        <f t="shared" si="32"/>
        <v>8856.0537308842722</v>
      </c>
      <c r="F90" s="9">
        <f t="shared" si="33"/>
        <v>1620819.5192347623</v>
      </c>
    </row>
    <row r="91" spans="1:6" x14ac:dyDescent="0.25">
      <c r="A91" s="32">
        <v>43252</v>
      </c>
      <c r="B91" s="9">
        <f t="shared" si="34"/>
        <v>1620819.5192347623</v>
      </c>
      <c r="C91" s="9">
        <f t="shared" si="30"/>
        <v>3453.3220001017307</v>
      </c>
      <c r="D91" s="9">
        <f t="shared" si="31"/>
        <v>5402.7317307825415</v>
      </c>
      <c r="E91" s="9">
        <f t="shared" si="32"/>
        <v>8856.0537308842722</v>
      </c>
      <c r="F91" s="9">
        <f t="shared" si="33"/>
        <v>1617366.1972346606</v>
      </c>
    </row>
    <row r="92" spans="1:6" x14ac:dyDescent="0.25">
      <c r="A92" s="32">
        <v>43282</v>
      </c>
      <c r="B92" s="9">
        <f t="shared" si="34"/>
        <v>1617366.1972346606</v>
      </c>
      <c r="C92" s="9">
        <f t="shared" si="30"/>
        <v>3464.8330734354031</v>
      </c>
      <c r="D92" s="9">
        <f t="shared" si="31"/>
        <v>5391.2206574488691</v>
      </c>
      <c r="E92" s="9">
        <f t="shared" si="32"/>
        <v>8856.0537308842722</v>
      </c>
      <c r="F92" s="9">
        <f t="shared" si="33"/>
        <v>1613901.3641612253</v>
      </c>
    </row>
    <row r="93" spans="1:6" x14ac:dyDescent="0.25">
      <c r="A93" s="32">
        <v>43313</v>
      </c>
      <c r="B93" s="9">
        <f t="shared" si="34"/>
        <v>1613901.3641612253</v>
      </c>
      <c r="C93" s="9">
        <f t="shared" si="30"/>
        <v>3476.3825170135206</v>
      </c>
      <c r="D93" s="9">
        <f t="shared" si="31"/>
        <v>5379.6712138707517</v>
      </c>
      <c r="E93" s="9">
        <f t="shared" si="32"/>
        <v>8856.0537308842722</v>
      </c>
      <c r="F93" s="9">
        <f t="shared" si="33"/>
        <v>1610424.9816442118</v>
      </c>
    </row>
    <row r="94" spans="1:6" x14ac:dyDescent="0.25">
      <c r="A94" s="32">
        <v>43344</v>
      </c>
      <c r="B94" s="9">
        <f t="shared" si="34"/>
        <v>1610424.9816442118</v>
      </c>
      <c r="C94" s="9">
        <f t="shared" si="30"/>
        <v>3487.9704587368988</v>
      </c>
      <c r="D94" s="9">
        <f t="shared" si="31"/>
        <v>5368.0832721473735</v>
      </c>
      <c r="E94" s="9">
        <f t="shared" si="32"/>
        <v>8856.0537308842722</v>
      </c>
      <c r="F94" s="9">
        <f t="shared" si="33"/>
        <v>1606937.0111854749</v>
      </c>
    </row>
    <row r="95" spans="1:6" x14ac:dyDescent="0.25">
      <c r="A95" s="32">
        <v>43374</v>
      </c>
      <c r="B95" s="9">
        <f t="shared" si="34"/>
        <v>1606937.0111854749</v>
      </c>
      <c r="C95" s="9">
        <f t="shared" si="30"/>
        <v>3499.597026932689</v>
      </c>
      <c r="D95" s="9">
        <f t="shared" si="31"/>
        <v>5356.4567039515832</v>
      </c>
      <c r="E95" s="9">
        <f t="shared" si="32"/>
        <v>8856.0537308842722</v>
      </c>
      <c r="F95" s="9">
        <f t="shared" si="33"/>
        <v>1603437.4141585422</v>
      </c>
    </row>
    <row r="96" spans="1:6" x14ac:dyDescent="0.25">
      <c r="A96" s="32">
        <v>43405</v>
      </c>
      <c r="B96" s="9">
        <f t="shared" si="34"/>
        <v>1603437.4141585422</v>
      </c>
      <c r="C96" s="9">
        <f t="shared" si="30"/>
        <v>3511.2623503557979</v>
      </c>
      <c r="D96" s="9">
        <f t="shared" si="31"/>
        <v>5344.7913805284743</v>
      </c>
      <c r="E96" s="9">
        <f t="shared" si="32"/>
        <v>8856.0537308842722</v>
      </c>
      <c r="F96" s="9">
        <f t="shared" si="33"/>
        <v>1599926.1518081864</v>
      </c>
    </row>
    <row r="97" spans="1:6" x14ac:dyDescent="0.25">
      <c r="A97" s="32">
        <v>43435</v>
      </c>
      <c r="B97" s="9">
        <f t="shared" si="34"/>
        <v>1599926.1518081864</v>
      </c>
      <c r="C97" s="9">
        <f t="shared" si="30"/>
        <v>3522.9665581903173</v>
      </c>
      <c r="D97" s="9">
        <f t="shared" si="31"/>
        <v>5333.0871726939549</v>
      </c>
      <c r="E97" s="9">
        <f t="shared" si="32"/>
        <v>8856.0537308842722</v>
      </c>
      <c r="F97" s="12">
        <f t="shared" si="33"/>
        <v>1596403.1852499961</v>
      </c>
    </row>
    <row r="98" spans="1:6" x14ac:dyDescent="0.25">
      <c r="A98" s="13" t="s">
        <v>43</v>
      </c>
      <c r="B98" s="14"/>
      <c r="C98" s="12">
        <f>SUM(C86:C97)</f>
        <v>41511.61194418995</v>
      </c>
      <c r="D98" s="12">
        <f>SUM(D86:D97)</f>
        <v>64761.032826421317</v>
      </c>
    </row>
    <row r="99" spans="1:6" x14ac:dyDescent="0.25">
      <c r="B99" s="8"/>
      <c r="C99" s="9"/>
      <c r="D99" s="9"/>
      <c r="E99" s="9"/>
      <c r="F99" s="9"/>
    </row>
    <row r="100" spans="1:6" x14ac:dyDescent="0.25">
      <c r="A100" s="32">
        <v>43466</v>
      </c>
      <c r="B100" s="9">
        <f>+F97</f>
        <v>1596403.1852499961</v>
      </c>
      <c r="C100" s="9">
        <f t="shared" ref="C100:C111" si="35">+E100-D100</f>
        <v>3534.7097800509518</v>
      </c>
      <c r="D100" s="9">
        <f t="shared" ref="D100:D111" si="36">B100*$I$2</f>
        <v>5321.3439508333204</v>
      </c>
      <c r="E100" s="9">
        <f t="shared" ref="E100:E111" si="37">-$I$8</f>
        <v>8856.0537308842722</v>
      </c>
      <c r="F100" s="9">
        <f t="shared" ref="F100:F111" si="38">+B100-C100</f>
        <v>1592868.4754699452</v>
      </c>
    </row>
    <row r="101" spans="1:6" x14ac:dyDescent="0.25">
      <c r="A101" s="32">
        <v>43497</v>
      </c>
      <c r="B101" s="9">
        <f t="shared" ref="B101:B111" si="39">+F100</f>
        <v>1592868.4754699452</v>
      </c>
      <c r="C101" s="9">
        <f t="shared" si="35"/>
        <v>3546.4921459844545</v>
      </c>
      <c r="D101" s="9">
        <f t="shared" si="36"/>
        <v>5309.5615848998177</v>
      </c>
      <c r="E101" s="9">
        <f t="shared" si="37"/>
        <v>8856.0537308842722</v>
      </c>
      <c r="F101" s="9">
        <f t="shared" si="38"/>
        <v>1589321.9833239608</v>
      </c>
    </row>
    <row r="102" spans="1:6" x14ac:dyDescent="0.25">
      <c r="A102" s="32">
        <v>43525</v>
      </c>
      <c r="B102" s="9">
        <f t="shared" si="39"/>
        <v>1589321.9833239608</v>
      </c>
      <c r="C102" s="9">
        <f t="shared" si="35"/>
        <v>3558.3137864710689</v>
      </c>
      <c r="D102" s="9">
        <f t="shared" si="36"/>
        <v>5297.7399444132034</v>
      </c>
      <c r="E102" s="9">
        <f t="shared" si="37"/>
        <v>8856.0537308842722</v>
      </c>
      <c r="F102" s="9">
        <f t="shared" si="38"/>
        <v>1585763.6695374898</v>
      </c>
    </row>
    <row r="103" spans="1:6" x14ac:dyDescent="0.25">
      <c r="A103" s="32">
        <v>43556</v>
      </c>
      <c r="B103" s="9">
        <f t="shared" si="39"/>
        <v>1585763.6695374898</v>
      </c>
      <c r="C103" s="9">
        <f t="shared" si="35"/>
        <v>3570.1748324259725</v>
      </c>
      <c r="D103" s="9">
        <f t="shared" si="36"/>
        <v>5285.8788984582998</v>
      </c>
      <c r="E103" s="9">
        <f t="shared" si="37"/>
        <v>8856.0537308842722</v>
      </c>
      <c r="F103" s="9">
        <f t="shared" si="38"/>
        <v>1582193.4947050638</v>
      </c>
    </row>
    <row r="104" spans="1:6" x14ac:dyDescent="0.25">
      <c r="A104" s="32">
        <v>43586</v>
      </c>
      <c r="B104" s="9">
        <f t="shared" si="39"/>
        <v>1582193.4947050638</v>
      </c>
      <c r="C104" s="9">
        <f t="shared" si="35"/>
        <v>3582.0754152007257</v>
      </c>
      <c r="D104" s="9">
        <f t="shared" si="36"/>
        <v>5273.9783156835465</v>
      </c>
      <c r="E104" s="9">
        <f t="shared" si="37"/>
        <v>8856.0537308842722</v>
      </c>
      <c r="F104" s="9">
        <f t="shared" si="38"/>
        <v>1578611.419289863</v>
      </c>
    </row>
    <row r="105" spans="1:6" x14ac:dyDescent="0.25">
      <c r="A105" s="32">
        <v>43617</v>
      </c>
      <c r="B105" s="9">
        <f t="shared" si="39"/>
        <v>1578611.419289863</v>
      </c>
      <c r="C105" s="9">
        <f t="shared" si="35"/>
        <v>3594.0156665847289</v>
      </c>
      <c r="D105" s="9">
        <f t="shared" si="36"/>
        <v>5262.0380642995433</v>
      </c>
      <c r="E105" s="9">
        <f t="shared" si="37"/>
        <v>8856.0537308842722</v>
      </c>
      <c r="F105" s="9">
        <f t="shared" si="38"/>
        <v>1575017.4036232783</v>
      </c>
    </row>
    <row r="106" spans="1:6" x14ac:dyDescent="0.25">
      <c r="A106" s="32">
        <v>43647</v>
      </c>
      <c r="B106" s="9">
        <f t="shared" si="39"/>
        <v>1575017.4036232783</v>
      </c>
      <c r="C106" s="9">
        <f t="shared" si="35"/>
        <v>3605.9957188066774</v>
      </c>
      <c r="D106" s="9">
        <f t="shared" si="36"/>
        <v>5250.0580120775949</v>
      </c>
      <c r="E106" s="9">
        <f t="shared" si="37"/>
        <v>8856.0537308842722</v>
      </c>
      <c r="F106" s="9">
        <f t="shared" si="38"/>
        <v>1571411.4079044715</v>
      </c>
    </row>
    <row r="107" spans="1:6" x14ac:dyDescent="0.25">
      <c r="A107" s="32">
        <v>43678</v>
      </c>
      <c r="B107" s="9">
        <f t="shared" si="39"/>
        <v>1571411.4079044715</v>
      </c>
      <c r="C107" s="9">
        <f t="shared" si="35"/>
        <v>3618.0157045360338</v>
      </c>
      <c r="D107" s="9">
        <f t="shared" si="36"/>
        <v>5238.0380263482384</v>
      </c>
      <c r="E107" s="9">
        <f t="shared" si="37"/>
        <v>8856.0537308842722</v>
      </c>
      <c r="F107" s="9">
        <f t="shared" si="38"/>
        <v>1567793.3921999354</v>
      </c>
    </row>
    <row r="108" spans="1:6" x14ac:dyDescent="0.25">
      <c r="A108" s="32">
        <v>43709</v>
      </c>
      <c r="B108" s="9">
        <f t="shared" si="39"/>
        <v>1567793.3921999354</v>
      </c>
      <c r="C108" s="9">
        <f t="shared" si="35"/>
        <v>3630.0757568844874</v>
      </c>
      <c r="D108" s="9">
        <f t="shared" si="36"/>
        <v>5225.9779739997848</v>
      </c>
      <c r="E108" s="9">
        <f t="shared" si="37"/>
        <v>8856.0537308842722</v>
      </c>
      <c r="F108" s="9">
        <f t="shared" si="38"/>
        <v>1564163.316443051</v>
      </c>
    </row>
    <row r="109" spans="1:6" x14ac:dyDescent="0.25">
      <c r="A109" s="32">
        <v>43739</v>
      </c>
      <c r="B109" s="9">
        <f t="shared" si="39"/>
        <v>1564163.316443051</v>
      </c>
      <c r="C109" s="9">
        <f t="shared" si="35"/>
        <v>3642.1760094074352</v>
      </c>
      <c r="D109" s="9">
        <f t="shared" si="36"/>
        <v>5213.877721476837</v>
      </c>
      <c r="E109" s="9">
        <f t="shared" si="37"/>
        <v>8856.0537308842722</v>
      </c>
      <c r="F109" s="9">
        <f t="shared" si="38"/>
        <v>1560521.1404336435</v>
      </c>
    </row>
    <row r="110" spans="1:6" x14ac:dyDescent="0.25">
      <c r="A110" s="32">
        <v>43770</v>
      </c>
      <c r="B110" s="9">
        <f t="shared" si="39"/>
        <v>1560521.1404336435</v>
      </c>
      <c r="C110" s="9">
        <f t="shared" si="35"/>
        <v>3654.3165961054601</v>
      </c>
      <c r="D110" s="9">
        <f t="shared" si="36"/>
        <v>5201.7371347788121</v>
      </c>
      <c r="E110" s="9">
        <f t="shared" si="37"/>
        <v>8856.0537308842722</v>
      </c>
      <c r="F110" s="9">
        <f t="shared" si="38"/>
        <v>1556866.823837538</v>
      </c>
    </row>
    <row r="111" spans="1:6" x14ac:dyDescent="0.25">
      <c r="A111" s="32">
        <v>43800</v>
      </c>
      <c r="B111" s="9">
        <f t="shared" si="39"/>
        <v>1556866.823837538</v>
      </c>
      <c r="C111" s="9">
        <f t="shared" si="35"/>
        <v>3666.4976514258115</v>
      </c>
      <c r="D111" s="9">
        <f t="shared" si="36"/>
        <v>5189.5560794584608</v>
      </c>
      <c r="E111" s="9">
        <f t="shared" si="37"/>
        <v>8856.0537308842722</v>
      </c>
      <c r="F111" s="12">
        <f t="shared" si="38"/>
        <v>1553200.3261861121</v>
      </c>
    </row>
    <row r="112" spans="1:6" x14ac:dyDescent="0.25">
      <c r="A112" s="13" t="s">
        <v>43</v>
      </c>
      <c r="B112" s="13"/>
      <c r="C112" s="12">
        <f>SUM(C100:C111)</f>
        <v>43202.8590638838</v>
      </c>
      <c r="D112" s="12">
        <f>SUM(D100:D111)</f>
        <v>63069.785706727453</v>
      </c>
      <c r="E112" s="9"/>
      <c r="F112" s="9"/>
    </row>
    <row r="113" spans="1:6" x14ac:dyDescent="0.25">
      <c r="A113" s="8"/>
      <c r="B113" s="8"/>
      <c r="C113" s="9"/>
      <c r="D113" s="9"/>
      <c r="E113" s="9"/>
      <c r="F113" s="9"/>
    </row>
    <row r="114" spans="1:6" x14ac:dyDescent="0.25">
      <c r="A114" s="32">
        <v>43831</v>
      </c>
      <c r="B114" s="9">
        <f>+F111</f>
        <v>1553200.3261861121</v>
      </c>
      <c r="C114" s="9">
        <f t="shared" ref="C114:C125" si="40">+E114-D114</f>
        <v>3678.7193102638985</v>
      </c>
      <c r="D114" s="9">
        <f t="shared" ref="D114:D125" si="41">B114*$I$2</f>
        <v>5177.3344206203737</v>
      </c>
      <c r="E114" s="9">
        <f t="shared" ref="E114:E125" si="42">-$I$8</f>
        <v>8856.0537308842722</v>
      </c>
      <c r="F114" s="9">
        <f t="shared" ref="F114:F125" si="43">+B114-C114</f>
        <v>1549521.6068758483</v>
      </c>
    </row>
    <row r="115" spans="1:6" x14ac:dyDescent="0.25">
      <c r="A115" s="32">
        <v>43862</v>
      </c>
      <c r="B115" s="9">
        <f t="shared" ref="B115:B125" si="44">+F114</f>
        <v>1549521.6068758483</v>
      </c>
      <c r="C115" s="9">
        <f t="shared" si="40"/>
        <v>3690.9817079647773</v>
      </c>
      <c r="D115" s="9">
        <f t="shared" si="41"/>
        <v>5165.0720229194949</v>
      </c>
      <c r="E115" s="9">
        <f t="shared" si="42"/>
        <v>8856.0537308842722</v>
      </c>
      <c r="F115" s="9">
        <f t="shared" si="43"/>
        <v>1545830.6251678835</v>
      </c>
    </row>
    <row r="116" spans="1:6" x14ac:dyDescent="0.25">
      <c r="A116" s="32">
        <v>43891</v>
      </c>
      <c r="B116" s="9">
        <f t="shared" si="44"/>
        <v>1545830.6251678835</v>
      </c>
      <c r="C116" s="9">
        <f t="shared" si="40"/>
        <v>3703.28498032466</v>
      </c>
      <c r="D116" s="9">
        <f t="shared" si="41"/>
        <v>5152.7687505596123</v>
      </c>
      <c r="E116" s="9">
        <f t="shared" si="42"/>
        <v>8856.0537308842722</v>
      </c>
      <c r="F116" s="9">
        <f t="shared" si="43"/>
        <v>1542127.3401875589</v>
      </c>
    </row>
    <row r="117" spans="1:6" x14ac:dyDescent="0.25">
      <c r="A117" s="32">
        <v>43922</v>
      </c>
      <c r="B117" s="9">
        <f t="shared" si="44"/>
        <v>1542127.3401875589</v>
      </c>
      <c r="C117" s="9">
        <f t="shared" si="40"/>
        <v>3715.6292635924092</v>
      </c>
      <c r="D117" s="9">
        <f t="shared" si="41"/>
        <v>5140.424467291863</v>
      </c>
      <c r="E117" s="9">
        <f t="shared" si="42"/>
        <v>8856.0537308842722</v>
      </c>
      <c r="F117" s="9">
        <f t="shared" si="43"/>
        <v>1538411.7109239665</v>
      </c>
    </row>
    <row r="118" spans="1:6" x14ac:dyDescent="0.25">
      <c r="A118" s="32">
        <v>43952</v>
      </c>
      <c r="B118" s="9">
        <f t="shared" si="44"/>
        <v>1538411.7109239665</v>
      </c>
      <c r="C118" s="9">
        <f t="shared" si="40"/>
        <v>3728.0146944710505</v>
      </c>
      <c r="D118" s="9">
        <f t="shared" si="41"/>
        <v>5128.0390364132218</v>
      </c>
      <c r="E118" s="9">
        <f t="shared" si="42"/>
        <v>8856.0537308842722</v>
      </c>
      <c r="F118" s="9">
        <f t="shared" si="43"/>
        <v>1534683.6962294953</v>
      </c>
    </row>
    <row r="119" spans="1:6" x14ac:dyDescent="0.25">
      <c r="A119" s="32">
        <v>43983</v>
      </c>
      <c r="B119" s="9">
        <f t="shared" si="44"/>
        <v>1534683.6962294953</v>
      </c>
      <c r="C119" s="9">
        <f t="shared" si="40"/>
        <v>3740.4414101192879</v>
      </c>
      <c r="D119" s="9">
        <f t="shared" si="41"/>
        <v>5115.6123207649844</v>
      </c>
      <c r="E119" s="9">
        <f t="shared" si="42"/>
        <v>8856.0537308842722</v>
      </c>
      <c r="F119" s="9">
        <f t="shared" si="43"/>
        <v>1530943.2548193762</v>
      </c>
    </row>
    <row r="120" spans="1:6" x14ac:dyDescent="0.25">
      <c r="A120" s="32">
        <v>44013</v>
      </c>
      <c r="B120" s="9">
        <f t="shared" si="44"/>
        <v>1530943.2548193762</v>
      </c>
      <c r="C120" s="9">
        <f t="shared" si="40"/>
        <v>3752.9095481530185</v>
      </c>
      <c r="D120" s="9">
        <f t="shared" si="41"/>
        <v>5103.1441827312537</v>
      </c>
      <c r="E120" s="9">
        <f t="shared" si="42"/>
        <v>8856.0537308842722</v>
      </c>
      <c r="F120" s="9">
        <f t="shared" si="43"/>
        <v>1527190.3452712232</v>
      </c>
    </row>
    <row r="121" spans="1:6" x14ac:dyDescent="0.25">
      <c r="A121" s="32">
        <v>44044</v>
      </c>
      <c r="B121" s="9">
        <f t="shared" si="44"/>
        <v>1527190.3452712232</v>
      </c>
      <c r="C121" s="9">
        <f t="shared" si="40"/>
        <v>3765.4192466468612</v>
      </c>
      <c r="D121" s="9">
        <f t="shared" si="41"/>
        <v>5090.634484237411</v>
      </c>
      <c r="E121" s="9">
        <f t="shared" si="42"/>
        <v>8856.0537308842722</v>
      </c>
      <c r="F121" s="9">
        <f t="shared" si="43"/>
        <v>1523424.9260245764</v>
      </c>
    </row>
    <row r="122" spans="1:6" x14ac:dyDescent="0.25">
      <c r="A122" s="32">
        <v>44075</v>
      </c>
      <c r="B122" s="9">
        <f t="shared" si="44"/>
        <v>1523424.9260245764</v>
      </c>
      <c r="C122" s="9">
        <f t="shared" si="40"/>
        <v>3777.9706441356839</v>
      </c>
      <c r="D122" s="9">
        <f t="shared" si="41"/>
        <v>5078.0830867485884</v>
      </c>
      <c r="E122" s="9">
        <f t="shared" si="42"/>
        <v>8856.0537308842722</v>
      </c>
      <c r="F122" s="9">
        <f t="shared" si="43"/>
        <v>1519646.9553804407</v>
      </c>
    </row>
    <row r="123" spans="1:6" x14ac:dyDescent="0.25">
      <c r="A123" s="32">
        <v>44105</v>
      </c>
      <c r="B123" s="9">
        <f t="shared" si="44"/>
        <v>1519646.9553804407</v>
      </c>
      <c r="C123" s="9">
        <f t="shared" si="40"/>
        <v>3790.5638796161365</v>
      </c>
      <c r="D123" s="9">
        <f t="shared" si="41"/>
        <v>5065.4898512681357</v>
      </c>
      <c r="E123" s="9">
        <f t="shared" si="42"/>
        <v>8856.0537308842722</v>
      </c>
      <c r="F123" s="9">
        <f t="shared" si="43"/>
        <v>1515856.3915008246</v>
      </c>
    </row>
    <row r="124" spans="1:6" x14ac:dyDescent="0.25">
      <c r="A124" s="32">
        <v>44136</v>
      </c>
      <c r="B124" s="9">
        <f t="shared" si="44"/>
        <v>1515856.3915008246</v>
      </c>
      <c r="C124" s="9">
        <f t="shared" si="40"/>
        <v>3803.1990925481896</v>
      </c>
      <c r="D124" s="9">
        <f t="shared" si="41"/>
        <v>5052.8546383360826</v>
      </c>
      <c r="E124" s="9">
        <f t="shared" si="42"/>
        <v>8856.0537308842722</v>
      </c>
      <c r="F124" s="9">
        <f t="shared" si="43"/>
        <v>1512053.1924082765</v>
      </c>
    </row>
    <row r="125" spans="1:6" x14ac:dyDescent="0.25">
      <c r="A125" s="32">
        <v>44166</v>
      </c>
      <c r="B125" s="9">
        <f t="shared" si="44"/>
        <v>1512053.1924082765</v>
      </c>
      <c r="C125" s="9">
        <f t="shared" si="40"/>
        <v>3815.8764228566833</v>
      </c>
      <c r="D125" s="9">
        <f t="shared" si="41"/>
        <v>5040.1773080275889</v>
      </c>
      <c r="E125" s="9">
        <f t="shared" si="42"/>
        <v>8856.0537308842722</v>
      </c>
      <c r="F125" s="12">
        <f t="shared" si="43"/>
        <v>1508237.3159854198</v>
      </c>
    </row>
    <row r="126" spans="1:6" x14ac:dyDescent="0.25">
      <c r="A126" s="13" t="s">
        <v>43</v>
      </c>
      <c r="B126" s="13"/>
      <c r="C126" s="12">
        <f>SUM(C114:C125)</f>
        <v>44963.010200692646</v>
      </c>
      <c r="D126" s="12">
        <f>SUM(D114:D125)</f>
        <v>61309.634569918606</v>
      </c>
      <c r="E126" s="9"/>
      <c r="F126" s="9"/>
    </row>
    <row r="127" spans="1:6" x14ac:dyDescent="0.25">
      <c r="A127" s="8"/>
      <c r="B127" s="8"/>
      <c r="C127" s="9"/>
      <c r="D127" s="9"/>
      <c r="E127" s="9"/>
      <c r="F127" s="9"/>
    </row>
    <row r="128" spans="1:6" x14ac:dyDescent="0.25">
      <c r="A128" s="32">
        <v>44197</v>
      </c>
      <c r="B128" s="9">
        <f>+F125</f>
        <v>1508237.3159854198</v>
      </c>
      <c r="C128" s="9">
        <f t="shared" ref="C128:C139" si="45">+E128-D128</f>
        <v>3828.5960109328726</v>
      </c>
      <c r="D128" s="9">
        <f t="shared" ref="D128:D139" si="46">B128*$I$2</f>
        <v>5027.4577199513997</v>
      </c>
      <c r="E128" s="9">
        <f t="shared" ref="E128:E139" si="47">-$I$8</f>
        <v>8856.0537308842722</v>
      </c>
      <c r="F128" s="9">
        <f t="shared" ref="F128:F139" si="48">+B128-C128</f>
        <v>1504408.7199744869</v>
      </c>
    </row>
    <row r="129" spans="1:6" x14ac:dyDescent="0.25">
      <c r="A129" s="32">
        <v>44228</v>
      </c>
      <c r="B129" s="9">
        <f t="shared" ref="B129:B139" si="49">+F128</f>
        <v>1504408.7199744869</v>
      </c>
      <c r="C129" s="9">
        <f t="shared" si="45"/>
        <v>3841.3579976359824</v>
      </c>
      <c r="D129" s="9">
        <f t="shared" si="46"/>
        <v>5014.6957332482898</v>
      </c>
      <c r="E129" s="9">
        <f t="shared" si="47"/>
        <v>8856.0537308842722</v>
      </c>
      <c r="F129" s="9">
        <f t="shared" si="48"/>
        <v>1500567.3619768508</v>
      </c>
    </row>
    <row r="130" spans="1:6" x14ac:dyDescent="0.25">
      <c r="A130" s="32">
        <v>44256</v>
      </c>
      <c r="B130" s="9">
        <f t="shared" si="49"/>
        <v>1500567.3619768508</v>
      </c>
      <c r="C130" s="9">
        <f t="shared" si="45"/>
        <v>3854.1625242947694</v>
      </c>
      <c r="D130" s="9">
        <f t="shared" si="46"/>
        <v>5001.8912065895029</v>
      </c>
      <c r="E130" s="9">
        <f t="shared" si="47"/>
        <v>8856.0537308842722</v>
      </c>
      <c r="F130" s="9">
        <f t="shared" si="48"/>
        <v>1496713.199452556</v>
      </c>
    </row>
    <row r="131" spans="1:6" x14ac:dyDescent="0.25">
      <c r="A131" s="32">
        <v>44287</v>
      </c>
      <c r="B131" s="9">
        <f t="shared" si="49"/>
        <v>1496713.199452556</v>
      </c>
      <c r="C131" s="9">
        <f t="shared" si="45"/>
        <v>3867.0097327090853</v>
      </c>
      <c r="D131" s="9">
        <f t="shared" si="46"/>
        <v>4989.043998175187</v>
      </c>
      <c r="E131" s="9">
        <f t="shared" si="47"/>
        <v>8856.0537308842722</v>
      </c>
      <c r="F131" s="9">
        <f t="shared" si="48"/>
        <v>1492846.1897198469</v>
      </c>
    </row>
    <row r="132" spans="1:6" x14ac:dyDescent="0.25">
      <c r="A132" s="32">
        <v>44317</v>
      </c>
      <c r="B132" s="9">
        <f t="shared" si="49"/>
        <v>1492846.1897198469</v>
      </c>
      <c r="C132" s="9">
        <f t="shared" si="45"/>
        <v>3879.8997651514492</v>
      </c>
      <c r="D132" s="9">
        <f t="shared" si="46"/>
        <v>4976.1539657328231</v>
      </c>
      <c r="E132" s="9">
        <f t="shared" si="47"/>
        <v>8856.0537308842722</v>
      </c>
      <c r="F132" s="9">
        <f t="shared" si="48"/>
        <v>1488966.2899546954</v>
      </c>
    </row>
    <row r="133" spans="1:6" x14ac:dyDescent="0.25">
      <c r="A133" s="32">
        <v>44348</v>
      </c>
      <c r="B133" s="9">
        <f t="shared" si="49"/>
        <v>1488966.2899546954</v>
      </c>
      <c r="C133" s="9">
        <f t="shared" si="45"/>
        <v>3892.8327643686207</v>
      </c>
      <c r="D133" s="9">
        <f t="shared" si="46"/>
        <v>4963.2209665156515</v>
      </c>
      <c r="E133" s="9">
        <f t="shared" si="47"/>
        <v>8856.0537308842722</v>
      </c>
      <c r="F133" s="9">
        <f t="shared" si="48"/>
        <v>1485073.4571903269</v>
      </c>
    </row>
    <row r="134" spans="1:6" x14ac:dyDescent="0.25">
      <c r="A134" s="32">
        <v>44378</v>
      </c>
      <c r="B134" s="9">
        <f t="shared" si="49"/>
        <v>1485073.4571903269</v>
      </c>
      <c r="C134" s="9">
        <f t="shared" si="45"/>
        <v>3905.8088735831825</v>
      </c>
      <c r="D134" s="9">
        <f t="shared" si="46"/>
        <v>4950.2448573010897</v>
      </c>
      <c r="E134" s="9">
        <f t="shared" si="47"/>
        <v>8856.0537308842722</v>
      </c>
      <c r="F134" s="9">
        <f t="shared" si="48"/>
        <v>1481167.6483167438</v>
      </c>
    </row>
    <row r="135" spans="1:6" x14ac:dyDescent="0.25">
      <c r="A135" s="32">
        <v>44409</v>
      </c>
      <c r="B135" s="9">
        <f t="shared" si="49"/>
        <v>1481167.6483167438</v>
      </c>
      <c r="C135" s="9">
        <f t="shared" si="45"/>
        <v>3918.8282364951256</v>
      </c>
      <c r="D135" s="9">
        <f t="shared" si="46"/>
        <v>4937.2254943891467</v>
      </c>
      <c r="E135" s="9">
        <f t="shared" si="47"/>
        <v>8856.0537308842722</v>
      </c>
      <c r="F135" s="9">
        <f t="shared" si="48"/>
        <v>1477248.8200802486</v>
      </c>
    </row>
    <row r="136" spans="1:6" x14ac:dyDescent="0.25">
      <c r="A136" s="32">
        <v>44440</v>
      </c>
      <c r="B136" s="9">
        <f t="shared" si="49"/>
        <v>1477248.8200802486</v>
      </c>
      <c r="C136" s="9">
        <f t="shared" si="45"/>
        <v>3931.8909972834435</v>
      </c>
      <c r="D136" s="9">
        <f t="shared" si="46"/>
        <v>4924.1627336008287</v>
      </c>
      <c r="E136" s="9">
        <f t="shared" si="47"/>
        <v>8856.0537308842722</v>
      </c>
      <c r="F136" s="9">
        <f t="shared" si="48"/>
        <v>1473316.9290829652</v>
      </c>
    </row>
    <row r="137" spans="1:6" x14ac:dyDescent="0.25">
      <c r="A137" s="32">
        <v>44470</v>
      </c>
      <c r="B137" s="9">
        <f t="shared" si="49"/>
        <v>1473316.9290829652</v>
      </c>
      <c r="C137" s="9">
        <f t="shared" si="45"/>
        <v>3944.9973006077207</v>
      </c>
      <c r="D137" s="9">
        <f t="shared" si="46"/>
        <v>4911.0564302765515</v>
      </c>
      <c r="E137" s="9">
        <f t="shared" si="47"/>
        <v>8856.0537308842722</v>
      </c>
      <c r="F137" s="9">
        <f t="shared" si="48"/>
        <v>1469371.9317823576</v>
      </c>
    </row>
    <row r="138" spans="1:6" x14ac:dyDescent="0.25">
      <c r="A138" s="32">
        <v>44501</v>
      </c>
      <c r="B138" s="9">
        <f t="shared" si="49"/>
        <v>1469371.9317823576</v>
      </c>
      <c r="C138" s="9">
        <f t="shared" si="45"/>
        <v>3958.1472916097464</v>
      </c>
      <c r="D138" s="9">
        <f t="shared" si="46"/>
        <v>4897.9064392745258</v>
      </c>
      <c r="E138" s="9">
        <f t="shared" si="47"/>
        <v>8856.0537308842722</v>
      </c>
      <c r="F138" s="9">
        <f t="shared" si="48"/>
        <v>1465413.7844907478</v>
      </c>
    </row>
    <row r="139" spans="1:6" x14ac:dyDescent="0.25">
      <c r="A139" s="32">
        <v>44531</v>
      </c>
      <c r="B139" s="9">
        <f t="shared" si="49"/>
        <v>1465413.7844907478</v>
      </c>
      <c r="C139" s="9">
        <f t="shared" si="45"/>
        <v>3971.3411159151128</v>
      </c>
      <c r="D139" s="9">
        <f t="shared" si="46"/>
        <v>4884.7126149691594</v>
      </c>
      <c r="E139" s="9">
        <f t="shared" si="47"/>
        <v>8856.0537308842722</v>
      </c>
      <c r="F139" s="12">
        <f t="shared" si="48"/>
        <v>1461442.4433748326</v>
      </c>
    </row>
    <row r="140" spans="1:6" x14ac:dyDescent="0.25">
      <c r="A140" s="13" t="s">
        <v>43</v>
      </c>
      <c r="B140" s="14"/>
      <c r="C140" s="12">
        <f>SUM(C128:C139)</f>
        <v>46794.87261058711</v>
      </c>
      <c r="D140" s="12">
        <f>SUM(D128:D139)</f>
        <v>59477.772160024157</v>
      </c>
    </row>
    <row r="141" spans="1:6" x14ac:dyDescent="0.25">
      <c r="B141" s="8"/>
      <c r="C141" s="9"/>
      <c r="D141" s="9"/>
      <c r="E141" s="9"/>
      <c r="F141" s="9"/>
    </row>
    <row r="142" spans="1:6" x14ac:dyDescent="0.25">
      <c r="B142" s="9"/>
      <c r="C142" s="9"/>
      <c r="D142" s="9"/>
      <c r="E142" s="9"/>
      <c r="F142" s="9"/>
    </row>
    <row r="143" spans="1:6" x14ac:dyDescent="0.25">
      <c r="B143" s="9"/>
      <c r="C143" s="9"/>
      <c r="D143" s="9"/>
      <c r="E143" s="9"/>
      <c r="F143" s="9"/>
    </row>
    <row r="144" spans="1:6" x14ac:dyDescent="0.25">
      <c r="B144" s="9"/>
      <c r="C144" s="9"/>
      <c r="D144" s="9"/>
      <c r="E144" s="9"/>
      <c r="F144" s="9"/>
    </row>
    <row r="145" spans="2:6" x14ac:dyDescent="0.25">
      <c r="B145" s="9"/>
      <c r="C145" s="9"/>
      <c r="D145" s="9"/>
      <c r="E145" s="9"/>
      <c r="F145" s="9"/>
    </row>
    <row r="146" spans="2:6" x14ac:dyDescent="0.25">
      <c r="B146" s="9"/>
      <c r="C146" s="9"/>
      <c r="D146" s="9"/>
      <c r="E146" s="9"/>
      <c r="F146" s="9"/>
    </row>
    <row r="147" spans="2:6" x14ac:dyDescent="0.25">
      <c r="B147" s="9"/>
      <c r="C147" s="9"/>
      <c r="D147" s="9"/>
      <c r="E147" s="9"/>
      <c r="F147" s="9"/>
    </row>
    <row r="148" spans="2:6" x14ac:dyDescent="0.25">
      <c r="B148" s="9"/>
      <c r="C148" s="9"/>
      <c r="D148" s="9"/>
      <c r="E148" s="9"/>
      <c r="F148" s="9"/>
    </row>
    <row r="149" spans="2:6" x14ac:dyDescent="0.25">
      <c r="B149" s="9"/>
      <c r="C149" s="9"/>
      <c r="D149" s="9"/>
      <c r="E149" s="9"/>
      <c r="F149" s="9"/>
    </row>
    <row r="150" spans="2:6" x14ac:dyDescent="0.25">
      <c r="B150" s="9"/>
      <c r="C150" s="9"/>
      <c r="D150" s="9"/>
      <c r="E150" s="9"/>
      <c r="F150" s="9"/>
    </row>
    <row r="151" spans="2:6" x14ac:dyDescent="0.25">
      <c r="B151" s="9"/>
      <c r="C151" s="9"/>
      <c r="D151" s="9"/>
      <c r="E151" s="9"/>
      <c r="F151" s="9"/>
    </row>
    <row r="152" spans="2:6" x14ac:dyDescent="0.25">
      <c r="B152" s="9"/>
      <c r="C152" s="9"/>
      <c r="D152" s="9"/>
      <c r="E152" s="9"/>
      <c r="F152" s="9"/>
    </row>
    <row r="153" spans="2:6" x14ac:dyDescent="0.25">
      <c r="B153" s="9"/>
      <c r="C153" s="9"/>
      <c r="D153" s="9"/>
      <c r="E153" s="9"/>
      <c r="F153" s="12"/>
    </row>
    <row r="154" spans="2:6" x14ac:dyDescent="0.25">
      <c r="B154" s="13"/>
      <c r="C154" s="12"/>
      <c r="D154" s="12"/>
      <c r="E154" s="9"/>
      <c r="F154" s="9"/>
    </row>
    <row r="155" spans="2:6" x14ac:dyDescent="0.25">
      <c r="B155" s="8"/>
      <c r="C155" s="9"/>
      <c r="D155" s="9"/>
      <c r="E155" s="9"/>
      <c r="F155" s="9"/>
    </row>
    <row r="156" spans="2:6" x14ac:dyDescent="0.25">
      <c r="B156" s="9"/>
      <c r="C156" s="9"/>
      <c r="D156" s="9"/>
      <c r="E156" s="9"/>
      <c r="F156" s="9"/>
    </row>
    <row r="157" spans="2:6" x14ac:dyDescent="0.25">
      <c r="B157" s="9"/>
      <c r="C157" s="9"/>
      <c r="D157" s="9"/>
      <c r="E157" s="9"/>
      <c r="F157" s="9"/>
    </row>
    <row r="158" spans="2:6" x14ac:dyDescent="0.25">
      <c r="B158" s="9"/>
      <c r="C158" s="9"/>
      <c r="D158" s="9"/>
      <c r="E158" s="9"/>
      <c r="F158" s="9"/>
    </row>
    <row r="159" spans="2:6" x14ac:dyDescent="0.25">
      <c r="B159" s="9"/>
      <c r="C159" s="9"/>
      <c r="D159" s="9"/>
      <c r="E159" s="9"/>
      <c r="F159" s="9"/>
    </row>
    <row r="160" spans="2:6" x14ac:dyDescent="0.25">
      <c r="B160" s="9"/>
      <c r="C160" s="9"/>
      <c r="D160" s="9"/>
      <c r="E160" s="9"/>
      <c r="F160" s="9"/>
    </row>
    <row r="161" spans="2:6" x14ac:dyDescent="0.25">
      <c r="B161" s="9"/>
      <c r="C161" s="9"/>
      <c r="D161" s="9"/>
      <c r="E161" s="9"/>
      <c r="F161" s="9"/>
    </row>
    <row r="162" spans="2:6" x14ac:dyDescent="0.25">
      <c r="B162" s="9"/>
      <c r="C162" s="9"/>
      <c r="D162" s="9"/>
      <c r="E162" s="9"/>
      <c r="F162" s="9"/>
    </row>
    <row r="163" spans="2:6" x14ac:dyDescent="0.25">
      <c r="B163" s="9"/>
      <c r="C163" s="9"/>
      <c r="D163" s="9"/>
      <c r="E163" s="9"/>
      <c r="F163" s="9"/>
    </row>
    <row r="164" spans="2:6" x14ac:dyDescent="0.25">
      <c r="B164" s="9"/>
      <c r="C164" s="9"/>
      <c r="D164" s="9"/>
      <c r="E164" s="9"/>
      <c r="F164" s="9"/>
    </row>
    <row r="165" spans="2:6" x14ac:dyDescent="0.25">
      <c r="B165" s="9"/>
      <c r="C165" s="9"/>
      <c r="D165" s="9"/>
      <c r="E165" s="9"/>
      <c r="F165" s="9"/>
    </row>
    <row r="166" spans="2:6" x14ac:dyDescent="0.25">
      <c r="B166" s="9"/>
      <c r="C166" s="9"/>
      <c r="D166" s="9"/>
      <c r="E166" s="9"/>
      <c r="F166" s="9"/>
    </row>
    <row r="167" spans="2:6" x14ac:dyDescent="0.25">
      <c r="B167" s="9"/>
      <c r="C167" s="9"/>
      <c r="D167" s="9"/>
      <c r="E167" s="9"/>
      <c r="F167" s="12"/>
    </row>
    <row r="168" spans="2:6" x14ac:dyDescent="0.25">
      <c r="B168" s="14"/>
      <c r="C168" s="12"/>
      <c r="D168" s="12"/>
    </row>
    <row r="170" spans="2:6" x14ac:dyDescent="0.25">
      <c r="B170" s="9"/>
      <c r="C170" s="9"/>
      <c r="D170" s="9"/>
      <c r="E170" s="9"/>
      <c r="F170" s="9"/>
    </row>
    <row r="171" spans="2:6" x14ac:dyDescent="0.25">
      <c r="B171" s="9"/>
      <c r="C171" s="9"/>
      <c r="D171" s="9"/>
      <c r="E171" s="9"/>
      <c r="F171" s="9"/>
    </row>
    <row r="172" spans="2:6" x14ac:dyDescent="0.25">
      <c r="B172" s="9"/>
      <c r="C172" s="9"/>
      <c r="D172" s="9"/>
      <c r="E172" s="9"/>
      <c r="F172" s="9"/>
    </row>
    <row r="173" spans="2:6" x14ac:dyDescent="0.25">
      <c r="B173" s="9"/>
      <c r="C173" s="9"/>
      <c r="D173" s="9"/>
      <c r="E173" s="9"/>
      <c r="F173" s="9"/>
    </row>
    <row r="174" spans="2:6" x14ac:dyDescent="0.25">
      <c r="B174" s="9"/>
      <c r="C174" s="9"/>
      <c r="D174" s="9"/>
      <c r="E174" s="9"/>
      <c r="F174" s="9"/>
    </row>
    <row r="175" spans="2:6" x14ac:dyDescent="0.25">
      <c r="B175" s="9"/>
      <c r="C175" s="9"/>
      <c r="D175" s="9"/>
      <c r="E175" s="9"/>
      <c r="F175" s="9"/>
    </row>
    <row r="176" spans="2:6" x14ac:dyDescent="0.25">
      <c r="B176" s="9"/>
      <c r="C176" s="9"/>
      <c r="D176" s="9"/>
      <c r="E176" s="9"/>
      <c r="F176" s="9"/>
    </row>
    <row r="177" spans="2:6" x14ac:dyDescent="0.25">
      <c r="B177" s="9"/>
      <c r="C177" s="9"/>
      <c r="D177" s="9"/>
      <c r="E177" s="9"/>
      <c r="F177" s="9"/>
    </row>
    <row r="178" spans="2:6" x14ac:dyDescent="0.25">
      <c r="B178" s="9"/>
      <c r="C178" s="9"/>
      <c r="D178" s="9"/>
      <c r="E178" s="9"/>
      <c r="F178" s="9"/>
    </row>
    <row r="179" spans="2:6" x14ac:dyDescent="0.25">
      <c r="B179" s="9"/>
      <c r="C179" s="9"/>
      <c r="D179" s="9"/>
      <c r="E179" s="9"/>
      <c r="F179" s="9"/>
    </row>
    <row r="180" spans="2:6" x14ac:dyDescent="0.25">
      <c r="B180" s="9"/>
      <c r="C180" s="9"/>
      <c r="D180" s="9"/>
      <c r="E180" s="9"/>
      <c r="F180" s="9"/>
    </row>
    <row r="181" spans="2:6" x14ac:dyDescent="0.25">
      <c r="B181" s="9"/>
      <c r="C181" s="9"/>
      <c r="D181" s="9"/>
      <c r="E181" s="9"/>
      <c r="F181" s="12"/>
    </row>
    <row r="182" spans="2:6" x14ac:dyDescent="0.25">
      <c r="B182" s="14"/>
      <c r="C182" s="12"/>
      <c r="D182" s="12"/>
    </row>
    <row r="184" spans="2:6" x14ac:dyDescent="0.25">
      <c r="B184" s="9"/>
      <c r="C184" s="9"/>
      <c r="D184" s="9"/>
      <c r="E184" s="9"/>
      <c r="F184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20" sqref="B20"/>
    </sheetView>
  </sheetViews>
  <sheetFormatPr defaultRowHeight="15" x14ac:dyDescent="0.25"/>
  <cols>
    <col min="1" max="1" width="19.85546875" customWidth="1"/>
    <col min="2" max="2" width="15" bestFit="1" customWidth="1"/>
    <col min="3" max="3" width="9.7109375" bestFit="1" customWidth="1"/>
    <col min="4" max="5" width="11.5703125" bestFit="1" customWidth="1"/>
    <col min="6" max="8" width="12.5703125" bestFit="1" customWidth="1"/>
    <col min="9" max="9" width="11.5703125" bestFit="1" customWidth="1"/>
    <col min="10" max="10" width="10.7109375" bestFit="1" customWidth="1"/>
    <col min="11" max="11" width="10" bestFit="1" customWidth="1"/>
    <col min="12" max="12" width="11.5703125" bestFit="1" customWidth="1"/>
  </cols>
  <sheetData>
    <row r="1" spans="1:12" x14ac:dyDescent="0.25">
      <c r="A1" t="s">
        <v>214</v>
      </c>
    </row>
    <row r="2" spans="1:12" x14ac:dyDescent="0.25">
      <c r="A2" t="s">
        <v>209</v>
      </c>
    </row>
    <row r="3" spans="1:12" x14ac:dyDescent="0.25">
      <c r="A3" t="s">
        <v>215</v>
      </c>
    </row>
    <row r="5" spans="1:12" x14ac:dyDescent="0.25">
      <c r="A5" t="s">
        <v>82</v>
      </c>
      <c r="B5" s="70">
        <v>7.5880942286022046E-2</v>
      </c>
    </row>
    <row r="6" spans="1:12" x14ac:dyDescent="0.25">
      <c r="B6">
        <v>0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</row>
    <row r="7" spans="1:12" x14ac:dyDescent="0.25">
      <c r="A7" t="s">
        <v>210</v>
      </c>
      <c r="B7" s="48">
        <v>-1847702.6142600547</v>
      </c>
      <c r="C7" s="48">
        <v>-75359.613013698632</v>
      </c>
      <c r="D7" s="48">
        <v>167989.47034884538</v>
      </c>
      <c r="E7" s="48">
        <v>180262.49227253004</v>
      </c>
      <c r="F7" s="48">
        <v>206974.03102213991</v>
      </c>
      <c r="G7" s="72">
        <f>+G11-1500000</f>
        <v>-1287678.2293983269</v>
      </c>
      <c r="H7" s="4">
        <f>+H11*2</f>
        <v>451785.91289537749</v>
      </c>
      <c r="I7" s="4">
        <f>+I11*2</f>
        <v>14427.519431548208</v>
      </c>
      <c r="J7" s="72">
        <f>+J11/2</f>
        <v>-116178.44062663024</v>
      </c>
      <c r="K7" s="72">
        <f>+K11*2</f>
        <v>553454.08312787791</v>
      </c>
      <c r="L7" s="72">
        <f>+L11+3800000</f>
        <v>6217270.2060118597</v>
      </c>
    </row>
    <row r="8" spans="1:12" x14ac:dyDescent="0.25">
      <c r="A8" t="s">
        <v>35</v>
      </c>
      <c r="B8" s="4">
        <f>-PV($B$5,B6,,B7)</f>
        <v>-1847702.6142600547</v>
      </c>
      <c r="C8" s="4">
        <f t="shared" ref="C8:L8" si="0">-PV($B$5,C6,,C7)</f>
        <v>-70044.565389898271</v>
      </c>
      <c r="D8" s="4">
        <f t="shared" si="0"/>
        <v>145128.80908155831</v>
      </c>
      <c r="E8" s="4">
        <f t="shared" si="0"/>
        <v>144748.05182482823</v>
      </c>
      <c r="F8" s="4">
        <f t="shared" si="0"/>
        <v>154475.2829537908</v>
      </c>
      <c r="G8" s="4">
        <f t="shared" si="0"/>
        <v>-893277.26305962587</v>
      </c>
      <c r="H8" s="4">
        <f t="shared" si="0"/>
        <v>291304.6365186121</v>
      </c>
      <c r="I8" s="4">
        <f t="shared" si="0"/>
        <v>8646.5362234415152</v>
      </c>
      <c r="J8" s="4">
        <f t="shared" si="0"/>
        <v>-64716.023738373558</v>
      </c>
      <c r="K8" s="4">
        <f t="shared" si="0"/>
        <v>286552.14504598873</v>
      </c>
      <c r="L8" s="4">
        <f t="shared" si="0"/>
        <v>2991972.4881740264</v>
      </c>
    </row>
    <row r="9" spans="1:12" x14ac:dyDescent="0.25">
      <c r="A9" t="s">
        <v>211</v>
      </c>
      <c r="B9" s="5">
        <f>+SUM(B8:L8)</f>
        <v>1147087.4833742934</v>
      </c>
      <c r="C9" s="1">
        <v>0.33</v>
      </c>
    </row>
    <row r="11" spans="1:12" x14ac:dyDescent="0.25">
      <c r="A11" t="s">
        <v>212</v>
      </c>
      <c r="B11" s="48">
        <v>-1847702.6142600547</v>
      </c>
      <c r="C11" s="48">
        <v>-75359.613013698632</v>
      </c>
      <c r="D11" s="48">
        <v>167989.47034884538</v>
      </c>
      <c r="E11" s="48">
        <v>180262.49227253004</v>
      </c>
      <c r="F11" s="48">
        <v>206974.03102213991</v>
      </c>
      <c r="G11" s="48">
        <v>212321.77060167311</v>
      </c>
      <c r="H11" s="48">
        <v>225892.95644768875</v>
      </c>
      <c r="I11" s="48">
        <v>7213.7597157741038</v>
      </c>
      <c r="J11" s="48">
        <v>-232356.88125326048</v>
      </c>
      <c r="K11" s="48">
        <v>276727.04156393895</v>
      </c>
      <c r="L11" s="48">
        <v>2417270.2060118592</v>
      </c>
    </row>
    <row r="12" spans="1:12" x14ac:dyDescent="0.25">
      <c r="A12" t="s">
        <v>35</v>
      </c>
      <c r="B12" s="4">
        <f>-PV($B$5,B6,,B11)</f>
        <v>-1847702.6142600547</v>
      </c>
      <c r="C12" s="4">
        <f t="shared" ref="C12:L12" si="1">-PV($B$5,C6,,C11)</f>
        <v>-70044.565389898271</v>
      </c>
      <c r="D12" s="4">
        <f t="shared" si="1"/>
        <v>145128.80908155831</v>
      </c>
      <c r="E12" s="4">
        <f t="shared" si="1"/>
        <v>144748.05182482823</v>
      </c>
      <c r="F12" s="4">
        <f t="shared" si="1"/>
        <v>154475.2829537908</v>
      </c>
      <c r="G12" s="4">
        <f t="shared" si="1"/>
        <v>147290.06501853865</v>
      </c>
      <c r="H12" s="4">
        <f t="shared" si="1"/>
        <v>145652.31825930605</v>
      </c>
      <c r="I12" s="4">
        <f t="shared" si="1"/>
        <v>4323.2681117207576</v>
      </c>
      <c r="J12" s="4">
        <f t="shared" si="1"/>
        <v>-129432.04747674712</v>
      </c>
      <c r="K12" s="4">
        <f t="shared" si="1"/>
        <v>143276.07252299436</v>
      </c>
      <c r="L12" s="4">
        <f t="shared" si="1"/>
        <v>1163276.7618619483</v>
      </c>
    </row>
    <row r="13" spans="1:12" x14ac:dyDescent="0.25">
      <c r="A13" t="s">
        <v>211</v>
      </c>
      <c r="B13" s="5">
        <f>+SUM(B12:L12)</f>
        <v>991.40250798524357</v>
      </c>
      <c r="C13" s="1">
        <v>0.49</v>
      </c>
    </row>
    <row r="15" spans="1:12" x14ac:dyDescent="0.25">
      <c r="A15" t="s">
        <v>213</v>
      </c>
      <c r="B15" s="72">
        <f>+B11</f>
        <v>-1847702.6142600547</v>
      </c>
      <c r="C15" s="72">
        <f>+C11</f>
        <v>-75359.613013698632</v>
      </c>
      <c r="D15" s="4">
        <f>+D11/2</f>
        <v>83994.735174422691</v>
      </c>
      <c r="E15" s="4">
        <f t="shared" ref="E15:F15" si="2">+E11/2</f>
        <v>90131.246136265021</v>
      </c>
      <c r="F15" s="4">
        <f t="shared" si="2"/>
        <v>103487.01551106996</v>
      </c>
      <c r="G15" s="4">
        <f>+G11/2 +1162975</f>
        <v>1269135.8853008365</v>
      </c>
    </row>
    <row r="16" spans="1:12" x14ac:dyDescent="0.25">
      <c r="A16" t="s">
        <v>35</v>
      </c>
      <c r="B16" s="4">
        <f>-PV($B$5,B6,,B15)</f>
        <v>-1847702.6142600547</v>
      </c>
      <c r="C16" s="4">
        <f t="shared" ref="C16:G16" si="3">-PV($B$5,C6,,C15)</f>
        <v>-70044.565389898271</v>
      </c>
      <c r="D16" s="4">
        <f t="shared" si="3"/>
        <v>72564.404540779156</v>
      </c>
      <c r="E16" s="4">
        <f t="shared" si="3"/>
        <v>72374.025912414116</v>
      </c>
      <c r="F16" s="4">
        <f t="shared" si="3"/>
        <v>77237.641476895398</v>
      </c>
      <c r="G16" s="4">
        <f t="shared" si="3"/>
        <v>880414.22475707147</v>
      </c>
    </row>
    <row r="17" spans="1:3" x14ac:dyDescent="0.25">
      <c r="A17" t="s">
        <v>211</v>
      </c>
      <c r="B17" s="5">
        <f>+SUM(B16:G16)</f>
        <v>-815156.882962793</v>
      </c>
      <c r="C17" s="1">
        <v>0.18</v>
      </c>
    </row>
    <row r="20" spans="1:3" x14ac:dyDescent="0.25">
      <c r="A20" t="s">
        <v>216</v>
      </c>
      <c r="B20" s="5">
        <f>+B9*C9+B13*C13+B17*C17</f>
        <v>232296.41780912687</v>
      </c>
    </row>
  </sheetData>
  <scenarios current="0">
    <scenario name="Expected Value" locked="1" count="3" user="Author">
      <inputCells r="C9" val="0.33" numFmtId="9"/>
      <inputCells r="C13" val="0.5" numFmtId="9"/>
      <inputCells r="C17" val="0.17" numFmtId="9"/>
    </scenario>
  </scenario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</vt:lpstr>
      <vt:lpstr>Mortgage</vt:lpstr>
      <vt:lpstr>Options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2013-12-06T21:02:07Z</dcterms:created>
  <dcterms:modified xsi:type="dcterms:W3CDTF">2019-08-14T21:58:42Z</dcterms:modified>
</cp:coreProperties>
</file>