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285" yWindow="600" windowWidth="20730" windowHeight="11760" activeTab="1"/>
  </bookViews>
  <sheets>
    <sheet name="Assumptions" sheetId="1" r:id="rId1"/>
    <sheet name="Inc. Statement &amp; Bal. Sheet" sheetId="2" r:id="rId2"/>
    <sheet name="Amoritization" sheetId="3" r:id="rId3"/>
    <sheet name="Sheet5" sheetId="4" r:id="rId4"/>
  </sheets>
  <definedNames>
    <definedName name="solver_adj" localSheetId="1" hidden="1">'Inc. Statement &amp; Bal. Sheet'!$B$36:$L$36,'Inc. Statement &amp; Bal. Sheet'!$B$53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'Inc. Statement &amp; Bal. Sheet'!$B$59:$L$59</definedName>
    <definedName name="solver_lin" localSheetId="1" hidden="1">2</definedName>
    <definedName name="solver_neg" localSheetId="1" hidden="1">2</definedName>
    <definedName name="solver_num" localSheetId="1" hidden="1">1</definedName>
    <definedName name="solver_nwt" localSheetId="1" hidden="1">1</definedName>
    <definedName name="solver_opt" localSheetId="1" hidden="1">'Inc. Statement &amp; Bal. Sheet'!$B$63</definedName>
    <definedName name="solver_pre" localSheetId="1" hidden="1">0.000001</definedName>
    <definedName name="solver_rel1" localSheetId="1" hidden="1">2</definedName>
    <definedName name="solver_rhs1" localSheetId="1" hidden="1">0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2" l="1"/>
  <c r="C1" i="3"/>
  <c r="C3" i="3"/>
  <c r="F5" i="3"/>
  <c r="D6" i="3"/>
  <c r="F3" i="3"/>
  <c r="C6" i="3"/>
  <c r="E6" i="3"/>
  <c r="F6" i="3"/>
  <c r="B49" i="2"/>
  <c r="D7" i="3"/>
  <c r="C7" i="3"/>
  <c r="E7" i="3"/>
  <c r="F7" i="3"/>
  <c r="C49" i="2"/>
  <c r="D8" i="3"/>
  <c r="C8" i="3"/>
  <c r="E8" i="3"/>
  <c r="F8" i="3"/>
  <c r="D49" i="2"/>
  <c r="D9" i="3"/>
  <c r="C9" i="3"/>
  <c r="E9" i="3"/>
  <c r="F9" i="3"/>
  <c r="E49" i="2"/>
  <c r="D10" i="3"/>
  <c r="C10" i="3"/>
  <c r="E10" i="3"/>
  <c r="F10" i="3"/>
  <c r="F49" i="2"/>
  <c r="D11" i="3"/>
  <c r="C11" i="3"/>
  <c r="E11" i="3"/>
  <c r="F11" i="3"/>
  <c r="G49" i="2"/>
  <c r="D12" i="3"/>
  <c r="C12" i="3"/>
  <c r="E12" i="3"/>
  <c r="F12" i="3"/>
  <c r="H49" i="2"/>
  <c r="D13" i="3"/>
  <c r="C13" i="3"/>
  <c r="E13" i="3"/>
  <c r="F13" i="3"/>
  <c r="I49" i="2"/>
  <c r="D14" i="3"/>
  <c r="C14" i="3"/>
  <c r="E14" i="3"/>
  <c r="F14" i="3"/>
  <c r="J49" i="2"/>
  <c r="D15" i="3"/>
  <c r="C15" i="3"/>
  <c r="E15" i="3"/>
  <c r="F15" i="3"/>
  <c r="K49" i="2"/>
  <c r="D16" i="3"/>
  <c r="C16" i="3"/>
  <c r="E16" i="3"/>
  <c r="F16" i="3"/>
  <c r="L49" i="2"/>
  <c r="F72" i="2"/>
  <c r="F73" i="2"/>
  <c r="C78" i="2"/>
  <c r="C53" i="2"/>
  <c r="D53" i="2"/>
  <c r="E53" i="2"/>
  <c r="F53" i="2"/>
  <c r="G53" i="2"/>
  <c r="H53" i="2"/>
  <c r="I53" i="2"/>
  <c r="J53" i="2"/>
  <c r="K53" i="2"/>
  <c r="L53" i="2"/>
  <c r="F74" i="2"/>
  <c r="C81" i="2"/>
  <c r="B4" i="2"/>
  <c r="B8" i="1"/>
  <c r="B10" i="1"/>
  <c r="B7" i="1"/>
  <c r="B28" i="1"/>
  <c r="B29" i="1"/>
  <c r="B30" i="1"/>
  <c r="B5" i="2"/>
  <c r="B6" i="2"/>
  <c r="B8" i="2"/>
  <c r="M11" i="2"/>
  <c r="B11" i="2"/>
  <c r="B12" i="2"/>
  <c r="B13" i="2"/>
  <c r="B14" i="2"/>
  <c r="B15" i="2"/>
  <c r="B20" i="1"/>
  <c r="B16" i="2"/>
  <c r="B18" i="2"/>
  <c r="B20" i="2"/>
  <c r="B21" i="2"/>
  <c r="B22" i="2"/>
  <c r="B24" i="2"/>
  <c r="B26" i="2"/>
  <c r="B27" i="2"/>
  <c r="B28" i="2"/>
  <c r="B54" i="2"/>
  <c r="C4" i="2"/>
  <c r="C32" i="1"/>
  <c r="C28" i="1"/>
  <c r="C33" i="1"/>
  <c r="C29" i="1"/>
  <c r="C34" i="1"/>
  <c r="C30" i="1"/>
  <c r="C5" i="2"/>
  <c r="C6" i="2"/>
  <c r="C8" i="2"/>
  <c r="C11" i="2"/>
  <c r="C12" i="2"/>
  <c r="C13" i="2"/>
  <c r="C14" i="2"/>
  <c r="C15" i="2"/>
  <c r="C16" i="2"/>
  <c r="C18" i="2"/>
  <c r="C19" i="2"/>
  <c r="C20" i="2"/>
  <c r="C40" i="2"/>
  <c r="C21" i="2"/>
  <c r="C22" i="2"/>
  <c r="C24" i="2"/>
  <c r="C26" i="2"/>
  <c r="C27" i="2"/>
  <c r="C28" i="2"/>
  <c r="C54" i="2"/>
  <c r="D4" i="2"/>
  <c r="D32" i="1"/>
  <c r="D28" i="1"/>
  <c r="D33" i="1"/>
  <c r="D29" i="1"/>
  <c r="D34" i="1"/>
  <c r="D30" i="1"/>
  <c r="D5" i="2"/>
  <c r="D6" i="2"/>
  <c r="D8" i="2"/>
  <c r="D11" i="2"/>
  <c r="D12" i="2"/>
  <c r="D13" i="2"/>
  <c r="D14" i="2"/>
  <c r="D15" i="2"/>
  <c r="D16" i="2"/>
  <c r="D18" i="2"/>
  <c r="D19" i="2"/>
  <c r="D20" i="2"/>
  <c r="D40" i="2"/>
  <c r="D21" i="2"/>
  <c r="D22" i="2"/>
  <c r="D24" i="2"/>
  <c r="D26" i="2"/>
  <c r="D27" i="2"/>
  <c r="D28" i="2"/>
  <c r="D54" i="2"/>
  <c r="E4" i="2"/>
  <c r="E32" i="1"/>
  <c r="E28" i="1"/>
  <c r="E33" i="1"/>
  <c r="E29" i="1"/>
  <c r="E34" i="1"/>
  <c r="E30" i="1"/>
  <c r="E5" i="2"/>
  <c r="E6" i="2"/>
  <c r="E8" i="2"/>
  <c r="E11" i="2"/>
  <c r="E12" i="2"/>
  <c r="E13" i="2"/>
  <c r="E14" i="2"/>
  <c r="E15" i="2"/>
  <c r="E16" i="2"/>
  <c r="E18" i="2"/>
  <c r="E19" i="2"/>
  <c r="E20" i="2"/>
  <c r="E40" i="2"/>
  <c r="E21" i="2"/>
  <c r="E22" i="2"/>
  <c r="E24" i="2"/>
  <c r="E26" i="2"/>
  <c r="E27" i="2"/>
  <c r="E28" i="2"/>
  <c r="E54" i="2"/>
  <c r="F4" i="2"/>
  <c r="F32" i="1"/>
  <c r="F28" i="1"/>
  <c r="F33" i="1"/>
  <c r="F29" i="1"/>
  <c r="F34" i="1"/>
  <c r="F30" i="1"/>
  <c r="F5" i="2"/>
  <c r="F6" i="2"/>
  <c r="F8" i="2"/>
  <c r="F11" i="2"/>
  <c r="F12" i="2"/>
  <c r="F13" i="2"/>
  <c r="F14" i="2"/>
  <c r="F15" i="2"/>
  <c r="F16" i="2"/>
  <c r="F18" i="2"/>
  <c r="F19" i="2"/>
  <c r="F20" i="2"/>
  <c r="F40" i="2"/>
  <c r="F21" i="2"/>
  <c r="F22" i="2"/>
  <c r="F24" i="2"/>
  <c r="F26" i="2"/>
  <c r="F27" i="2"/>
  <c r="F28" i="2"/>
  <c r="F54" i="2"/>
  <c r="G4" i="2"/>
  <c r="G32" i="1"/>
  <c r="G28" i="1"/>
  <c r="G33" i="1"/>
  <c r="G29" i="1"/>
  <c r="G34" i="1"/>
  <c r="G30" i="1"/>
  <c r="G5" i="2"/>
  <c r="G6" i="2"/>
  <c r="G8" i="2"/>
  <c r="G11" i="2"/>
  <c r="G12" i="2"/>
  <c r="G13" i="2"/>
  <c r="G14" i="2"/>
  <c r="G15" i="2"/>
  <c r="G16" i="2"/>
  <c r="G18" i="2"/>
  <c r="G19" i="2"/>
  <c r="G20" i="2"/>
  <c r="G40" i="2"/>
  <c r="G21" i="2"/>
  <c r="G22" i="2"/>
  <c r="G24" i="2"/>
  <c r="G26" i="2"/>
  <c r="G27" i="2"/>
  <c r="G28" i="2"/>
  <c r="G54" i="2"/>
  <c r="H4" i="2"/>
  <c r="H32" i="1"/>
  <c r="H28" i="1"/>
  <c r="H33" i="1"/>
  <c r="H29" i="1"/>
  <c r="H34" i="1"/>
  <c r="H30" i="1"/>
  <c r="H5" i="2"/>
  <c r="H6" i="2"/>
  <c r="H8" i="2"/>
  <c r="H11" i="2"/>
  <c r="H12" i="2"/>
  <c r="H13" i="2"/>
  <c r="H14" i="2"/>
  <c r="H15" i="2"/>
  <c r="H16" i="2"/>
  <c r="H18" i="2"/>
  <c r="H19" i="2"/>
  <c r="H20" i="2"/>
  <c r="H40" i="2"/>
  <c r="H21" i="2"/>
  <c r="H22" i="2"/>
  <c r="H24" i="2"/>
  <c r="H26" i="2"/>
  <c r="H27" i="2"/>
  <c r="H28" i="2"/>
  <c r="H54" i="2"/>
  <c r="I4" i="2"/>
  <c r="I32" i="1"/>
  <c r="I28" i="1"/>
  <c r="I33" i="1"/>
  <c r="I29" i="1"/>
  <c r="I34" i="1"/>
  <c r="I30" i="1"/>
  <c r="I5" i="2"/>
  <c r="I6" i="2"/>
  <c r="I8" i="2"/>
  <c r="I11" i="2"/>
  <c r="I12" i="2"/>
  <c r="I13" i="2"/>
  <c r="I14" i="2"/>
  <c r="I15" i="2"/>
  <c r="I16" i="2"/>
  <c r="I18" i="2"/>
  <c r="I19" i="2"/>
  <c r="I20" i="2"/>
  <c r="I40" i="2"/>
  <c r="I21" i="2"/>
  <c r="I22" i="2"/>
  <c r="I24" i="2"/>
  <c r="I26" i="2"/>
  <c r="I27" i="2"/>
  <c r="I28" i="2"/>
  <c r="I54" i="2"/>
  <c r="J4" i="2"/>
  <c r="J32" i="1"/>
  <c r="J28" i="1"/>
  <c r="J33" i="1"/>
  <c r="J29" i="1"/>
  <c r="J34" i="1"/>
  <c r="J30" i="1"/>
  <c r="J5" i="2"/>
  <c r="J6" i="2"/>
  <c r="J8" i="2"/>
  <c r="J11" i="2"/>
  <c r="J12" i="2"/>
  <c r="J13" i="2"/>
  <c r="J14" i="2"/>
  <c r="J15" i="2"/>
  <c r="J16" i="2"/>
  <c r="J18" i="2"/>
  <c r="J19" i="2"/>
  <c r="J20" i="2"/>
  <c r="J40" i="2"/>
  <c r="J21" i="2"/>
  <c r="J22" i="2"/>
  <c r="J24" i="2"/>
  <c r="J26" i="2"/>
  <c r="J27" i="2"/>
  <c r="J28" i="2"/>
  <c r="J54" i="2"/>
  <c r="K4" i="2"/>
  <c r="K32" i="1"/>
  <c r="K28" i="1"/>
  <c r="K33" i="1"/>
  <c r="K29" i="1"/>
  <c r="K34" i="1"/>
  <c r="K30" i="1"/>
  <c r="K5" i="2"/>
  <c r="K6" i="2"/>
  <c r="K8" i="2"/>
  <c r="K11" i="2"/>
  <c r="K12" i="2"/>
  <c r="K13" i="2"/>
  <c r="K14" i="2"/>
  <c r="K15" i="2"/>
  <c r="K16" i="2"/>
  <c r="K18" i="2"/>
  <c r="K19" i="2"/>
  <c r="K20" i="2"/>
  <c r="K40" i="2"/>
  <c r="K21" i="2"/>
  <c r="K22" i="2"/>
  <c r="K24" i="2"/>
  <c r="K26" i="2"/>
  <c r="K27" i="2"/>
  <c r="K28" i="2"/>
  <c r="K54" i="2"/>
  <c r="L4" i="2"/>
  <c r="L32" i="1"/>
  <c r="L28" i="1"/>
  <c r="L33" i="1"/>
  <c r="L29" i="1"/>
  <c r="L34" i="1"/>
  <c r="L30" i="1"/>
  <c r="L5" i="2"/>
  <c r="L6" i="2"/>
  <c r="L8" i="2"/>
  <c r="L11" i="2"/>
  <c r="L12" i="2"/>
  <c r="L13" i="2"/>
  <c r="L14" i="2"/>
  <c r="L15" i="2"/>
  <c r="L16" i="2"/>
  <c r="L18" i="2"/>
  <c r="L19" i="2"/>
  <c r="L20" i="2"/>
  <c r="L40" i="2"/>
  <c r="L21" i="2"/>
  <c r="L22" i="2"/>
  <c r="L24" i="2"/>
  <c r="L26" i="2"/>
  <c r="L27" i="2"/>
  <c r="L28" i="2"/>
  <c r="L54" i="2"/>
  <c r="F75" i="2"/>
  <c r="C82" i="2"/>
  <c r="C84" i="2"/>
  <c r="E78" i="2"/>
  <c r="C75" i="2"/>
  <c r="H72" i="2"/>
  <c r="G72" i="2"/>
  <c r="I72" i="2"/>
  <c r="H73" i="2"/>
  <c r="G73" i="2"/>
  <c r="I73" i="2"/>
  <c r="J72" i="2"/>
  <c r="C73" i="2"/>
  <c r="E81" i="2"/>
  <c r="C70" i="2"/>
  <c r="C86" i="2"/>
  <c r="B101" i="2"/>
  <c r="B115" i="2"/>
  <c r="B116" i="2"/>
  <c r="C117" i="2"/>
  <c r="C92" i="2"/>
  <c r="C93" i="2"/>
  <c r="C94" i="2"/>
  <c r="C95" i="2"/>
  <c r="C96" i="2"/>
  <c r="C97" i="2"/>
  <c r="B37" i="2"/>
  <c r="C106" i="2"/>
  <c r="C107" i="2"/>
  <c r="B46" i="2"/>
  <c r="C108" i="2"/>
  <c r="C115" i="2"/>
  <c r="C116" i="2"/>
  <c r="D117" i="2"/>
  <c r="D92" i="2"/>
  <c r="D93" i="2"/>
  <c r="D94" i="2"/>
  <c r="D95" i="2"/>
  <c r="D96" i="2"/>
  <c r="D97" i="2"/>
  <c r="C37" i="2"/>
  <c r="D106" i="2"/>
  <c r="D107" i="2"/>
  <c r="C46" i="2"/>
  <c r="D108" i="2"/>
  <c r="D115" i="2"/>
  <c r="D116" i="2"/>
  <c r="E117" i="2"/>
  <c r="E92" i="2"/>
  <c r="E93" i="2"/>
  <c r="E94" i="2"/>
  <c r="E95" i="2"/>
  <c r="E96" i="2"/>
  <c r="E97" i="2"/>
  <c r="D37" i="2"/>
  <c r="E106" i="2"/>
  <c r="E107" i="2"/>
  <c r="D46" i="2"/>
  <c r="E108" i="2"/>
  <c r="E115" i="2"/>
  <c r="E116" i="2"/>
  <c r="F117" i="2"/>
  <c r="F92" i="2"/>
  <c r="F93" i="2"/>
  <c r="F94" i="2"/>
  <c r="F95" i="2"/>
  <c r="F96" i="2"/>
  <c r="F97" i="2"/>
  <c r="E37" i="2"/>
  <c r="F106" i="2"/>
  <c r="F107" i="2"/>
  <c r="E46" i="2"/>
  <c r="F108" i="2"/>
  <c r="F115" i="2"/>
  <c r="F116" i="2"/>
  <c r="G117" i="2"/>
  <c r="G92" i="2"/>
  <c r="G93" i="2"/>
  <c r="G94" i="2"/>
  <c r="G95" i="2"/>
  <c r="G96" i="2"/>
  <c r="G97" i="2"/>
  <c r="F37" i="2"/>
  <c r="G106" i="2"/>
  <c r="G107" i="2"/>
  <c r="F46" i="2"/>
  <c r="G108" i="2"/>
  <c r="G115" i="2"/>
  <c r="G116" i="2"/>
  <c r="H117" i="2"/>
  <c r="H92" i="2"/>
  <c r="H93" i="2"/>
  <c r="H94" i="2"/>
  <c r="H95" i="2"/>
  <c r="H96" i="2"/>
  <c r="H97" i="2"/>
  <c r="G37" i="2"/>
  <c r="H106" i="2"/>
  <c r="H107" i="2"/>
  <c r="G46" i="2"/>
  <c r="H108" i="2"/>
  <c r="H115" i="2"/>
  <c r="H116" i="2"/>
  <c r="I117" i="2"/>
  <c r="I92" i="2"/>
  <c r="I93" i="2"/>
  <c r="I94" i="2"/>
  <c r="I95" i="2"/>
  <c r="I96" i="2"/>
  <c r="I97" i="2"/>
  <c r="H37" i="2"/>
  <c r="I106" i="2"/>
  <c r="I107" i="2"/>
  <c r="H46" i="2"/>
  <c r="I108" i="2"/>
  <c r="I115" i="2"/>
  <c r="I116" i="2"/>
  <c r="J117" i="2"/>
  <c r="J92" i="2"/>
  <c r="J93" i="2"/>
  <c r="J94" i="2"/>
  <c r="J95" i="2"/>
  <c r="J96" i="2"/>
  <c r="J97" i="2"/>
  <c r="I37" i="2"/>
  <c r="J106" i="2"/>
  <c r="J107" i="2"/>
  <c r="I46" i="2"/>
  <c r="J108" i="2"/>
  <c r="J115" i="2"/>
  <c r="J116" i="2"/>
  <c r="K117" i="2"/>
  <c r="K92" i="2"/>
  <c r="K93" i="2"/>
  <c r="K94" i="2"/>
  <c r="K95" i="2"/>
  <c r="K96" i="2"/>
  <c r="K97" i="2"/>
  <c r="J37" i="2"/>
  <c r="K106" i="2"/>
  <c r="K107" i="2"/>
  <c r="J46" i="2"/>
  <c r="K108" i="2"/>
  <c r="K115" i="2"/>
  <c r="K116" i="2"/>
  <c r="L117" i="2"/>
  <c r="L92" i="2"/>
  <c r="L93" i="2"/>
  <c r="L94" i="2"/>
  <c r="L95" i="2"/>
  <c r="L96" i="2"/>
  <c r="L97" i="2"/>
  <c r="K37" i="2"/>
  <c r="L106" i="2"/>
  <c r="L107" i="2"/>
  <c r="K46" i="2"/>
  <c r="L108" i="2"/>
  <c r="L115" i="2"/>
  <c r="L116" i="2"/>
  <c r="M117" i="2"/>
  <c r="M92" i="2"/>
  <c r="M93" i="2"/>
  <c r="M94" i="2"/>
  <c r="M95" i="2"/>
  <c r="M96" i="2"/>
  <c r="M97" i="2"/>
  <c r="B41" i="2"/>
  <c r="C41" i="2"/>
  <c r="D41" i="2"/>
  <c r="E41" i="2"/>
  <c r="O102" i="2"/>
  <c r="M102" i="2"/>
  <c r="M103" i="2"/>
  <c r="L37" i="2"/>
  <c r="M106" i="2"/>
  <c r="M107" i="2"/>
  <c r="L46" i="2"/>
  <c r="M108" i="2"/>
  <c r="M111" i="2"/>
  <c r="L47" i="2"/>
  <c r="M112" i="2"/>
  <c r="M113" i="2"/>
  <c r="M115" i="2"/>
  <c r="M116" i="2"/>
  <c r="B120" i="2"/>
  <c r="B119" i="2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D90" i="2"/>
  <c r="E90" i="2"/>
  <c r="F90" i="2"/>
  <c r="G90" i="2"/>
  <c r="H90" i="2"/>
  <c r="I90" i="2"/>
  <c r="J90" i="2"/>
  <c r="K90" i="2"/>
  <c r="L90" i="2"/>
  <c r="M90" i="2"/>
  <c r="E75" i="2"/>
  <c r="E74" i="2"/>
  <c r="E73" i="2"/>
  <c r="E72" i="2"/>
  <c r="C39" i="2"/>
  <c r="D39" i="2"/>
  <c r="E39" i="2"/>
  <c r="F39" i="2"/>
  <c r="G39" i="2"/>
  <c r="H39" i="2"/>
  <c r="I39" i="2"/>
  <c r="J39" i="2"/>
  <c r="K39" i="2"/>
  <c r="L39" i="2"/>
  <c r="C35" i="2"/>
  <c r="D35" i="2"/>
  <c r="E35" i="2"/>
  <c r="F35" i="2"/>
  <c r="G35" i="2"/>
  <c r="H35" i="2"/>
  <c r="I35" i="2"/>
  <c r="J35" i="2"/>
  <c r="K35" i="2"/>
  <c r="L35" i="2"/>
  <c r="C1" i="2"/>
  <c r="D1" i="2"/>
  <c r="E1" i="2"/>
  <c r="F1" i="2"/>
  <c r="G1" i="2"/>
  <c r="H1" i="2"/>
  <c r="I1" i="2"/>
  <c r="J1" i="2"/>
  <c r="K1" i="2"/>
  <c r="L1" i="2"/>
  <c r="B15" i="1"/>
  <c r="F10" i="1"/>
  <c r="E9" i="1"/>
  <c r="B123" i="2"/>
  <c r="C38" i="2"/>
  <c r="D38" i="2"/>
  <c r="B131" i="2"/>
  <c r="B125" i="2"/>
  <c r="B133" i="2"/>
  <c r="D43" i="2"/>
  <c r="E38" i="2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43" i="2"/>
  <c r="E43" i="2"/>
  <c r="F41" i="2"/>
  <c r="B43" i="2"/>
  <c r="F38" i="2"/>
  <c r="B47" i="2"/>
  <c r="G41" i="2"/>
  <c r="G38" i="2"/>
  <c r="G43" i="2"/>
  <c r="F43" i="2"/>
  <c r="B57" i="2"/>
  <c r="B59" i="2"/>
  <c r="H41" i="2"/>
  <c r="H38" i="2"/>
  <c r="C123" i="2"/>
  <c r="C125" i="2"/>
  <c r="C131" i="2"/>
  <c r="C133" i="2"/>
  <c r="C47" i="2"/>
  <c r="I41" i="2"/>
  <c r="I38" i="2"/>
  <c r="H43" i="2"/>
  <c r="C57" i="2"/>
  <c r="C59" i="2"/>
  <c r="J38" i="2"/>
  <c r="J41" i="2"/>
  <c r="I43" i="2"/>
  <c r="J43" i="2"/>
  <c r="D47" i="2"/>
  <c r="K38" i="2"/>
  <c r="L38" i="2"/>
  <c r="K41" i="2"/>
  <c r="K43" i="2"/>
  <c r="D57" i="2"/>
  <c r="D59" i="2"/>
  <c r="D123" i="2"/>
  <c r="D125" i="2"/>
  <c r="D131" i="2"/>
  <c r="D133" i="2"/>
  <c r="L41" i="2"/>
  <c r="L43" i="2"/>
  <c r="E47" i="2"/>
  <c r="E131" i="2"/>
  <c r="E133" i="2"/>
  <c r="E123" i="2"/>
  <c r="E125" i="2"/>
  <c r="F123" i="2"/>
  <c r="F125" i="2"/>
  <c r="F47" i="2"/>
  <c r="E57" i="2"/>
  <c r="E59" i="2"/>
  <c r="F131" i="2"/>
  <c r="F133" i="2"/>
  <c r="F57" i="2"/>
  <c r="F59" i="2"/>
  <c r="G47" i="2"/>
  <c r="G131" i="2"/>
  <c r="G133" i="2"/>
  <c r="G123" i="2"/>
  <c r="G125" i="2"/>
  <c r="H47" i="2"/>
  <c r="G57" i="2"/>
  <c r="G59" i="2"/>
  <c r="H57" i="2"/>
  <c r="H59" i="2"/>
  <c r="H123" i="2"/>
  <c r="H131" i="2"/>
  <c r="H133" i="2"/>
  <c r="I131" i="2"/>
  <c r="I133" i="2"/>
  <c r="I47" i="2"/>
  <c r="H124" i="2"/>
  <c r="H125" i="2"/>
  <c r="I123" i="2"/>
  <c r="I124" i="2"/>
  <c r="I125" i="2"/>
  <c r="I57" i="2"/>
  <c r="I59" i="2"/>
  <c r="J47" i="2"/>
  <c r="J123" i="2"/>
  <c r="J131" i="2"/>
  <c r="J133" i="2"/>
  <c r="J57" i="2"/>
  <c r="J59" i="2"/>
  <c r="K47" i="2"/>
  <c r="J124" i="2"/>
  <c r="J125" i="2"/>
  <c r="K131" i="2"/>
  <c r="K133" i="2"/>
  <c r="K123" i="2"/>
  <c r="K57" i="2"/>
  <c r="K59" i="2"/>
  <c r="K124" i="2"/>
  <c r="K125" i="2"/>
  <c r="D17" i="3"/>
  <c r="E17" i="3"/>
  <c r="F17" i="3"/>
  <c r="D18" i="3"/>
  <c r="E18" i="3"/>
  <c r="F18" i="3"/>
  <c r="L123" i="2"/>
  <c r="L124" i="2"/>
  <c r="L131" i="2"/>
  <c r="L133" i="2"/>
  <c r="L57" i="2"/>
  <c r="L59" i="2"/>
  <c r="L125" i="2"/>
  <c r="D19" i="3"/>
  <c r="E19" i="3"/>
  <c r="F19" i="3"/>
  <c r="M123" i="2"/>
  <c r="D20" i="3"/>
  <c r="E20" i="3"/>
  <c r="F20" i="3"/>
  <c r="M131" i="2"/>
  <c r="M133" i="2"/>
  <c r="M125" i="2"/>
  <c r="B118" i="2"/>
  <c r="F86" i="2"/>
  <c r="B126" i="2"/>
  <c r="J127" i="2"/>
  <c r="D21" i="3"/>
  <c r="E21" i="3"/>
  <c r="F21" i="3"/>
  <c r="E86" i="2"/>
  <c r="L127" i="2"/>
  <c r="C127" i="2"/>
  <c r="K127" i="2"/>
  <c r="D127" i="2"/>
  <c r="G127" i="2"/>
  <c r="B134" i="2"/>
  <c r="L135" i="2"/>
  <c r="H127" i="2"/>
  <c r="E127" i="2"/>
  <c r="I127" i="2"/>
  <c r="M127" i="2"/>
  <c r="B127" i="2"/>
  <c r="F127" i="2"/>
  <c r="D22" i="3"/>
  <c r="E22" i="3"/>
  <c r="F22" i="3"/>
  <c r="J135" i="2"/>
  <c r="G135" i="2"/>
  <c r="B128" i="2"/>
  <c r="B135" i="2"/>
  <c r="C135" i="2"/>
  <c r="K135" i="2"/>
  <c r="F135" i="2"/>
  <c r="E135" i="2"/>
  <c r="I135" i="2"/>
  <c r="M135" i="2"/>
  <c r="D135" i="2"/>
  <c r="H135" i="2"/>
  <c r="D23" i="3"/>
  <c r="E23" i="3"/>
  <c r="F23" i="3"/>
  <c r="B136" i="2"/>
  <c r="B138" i="2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</calcChain>
</file>

<file path=xl/sharedStrings.xml><?xml version="1.0" encoding="utf-8"?>
<sst xmlns="http://schemas.openxmlformats.org/spreadsheetml/2006/main" count="171" uniqueCount="157">
  <si>
    <t/>
  </si>
  <si>
    <t>Food Costs</t>
  </si>
  <si>
    <t>COGS</t>
  </si>
  <si>
    <t>of price</t>
  </si>
  <si>
    <t>Assumptions</t>
  </si>
  <si>
    <t>Hours:</t>
  </si>
  <si>
    <t>Monday through Friday</t>
  </si>
  <si>
    <t>10:00 am to 8:00 pm</t>
  </si>
  <si>
    <t>Package cost %</t>
  </si>
  <si>
    <t>Saturday and Sunday</t>
  </si>
  <si>
    <t>10 - 12, 1 - 3, 4 - 6, 7 - 9</t>
  </si>
  <si>
    <t>Total Number of Reservations</t>
  </si>
  <si>
    <t>Asking Price</t>
  </si>
  <si>
    <t>Average reservations for weekends</t>
  </si>
  <si>
    <t>square feet</t>
  </si>
  <si>
    <t>Average Per weekend # of reservations</t>
  </si>
  <si>
    <t>Asking Price per square foot</t>
  </si>
  <si>
    <t>Average reservations on weekdays for the year</t>
  </si>
  <si>
    <t>Fair Price per square foot</t>
  </si>
  <si>
    <t>Average Weekday reservations per week</t>
  </si>
  <si>
    <t>Percentage of Total Reservations being Package #1</t>
  </si>
  <si>
    <t>Percentage of Total Reservations being Package #2</t>
  </si>
  <si>
    <t>Cost</t>
  </si>
  <si>
    <t>Price</t>
  </si>
  <si>
    <t>Percentage of Total Reservations being Package #3</t>
  </si>
  <si>
    <t>per Pizza</t>
  </si>
  <si>
    <t>per Liter of Soda</t>
  </si>
  <si>
    <t>Average # of kids on open days per week</t>
  </si>
  <si>
    <t>Only Packages will be sold for credit</t>
  </si>
  <si>
    <t>Price Per Child during open times</t>
  </si>
  <si>
    <t>AR Delay</t>
  </si>
  <si>
    <t>average weekly revenue from food weekly per child</t>
  </si>
  <si>
    <t>Tax Rate</t>
  </si>
  <si>
    <t>Annual Salary exp</t>
  </si>
  <si>
    <t>Annual Maintenance Cost</t>
  </si>
  <si>
    <t>Depreciation life of building</t>
  </si>
  <si>
    <t>Extra Loan Interest Rate</t>
  </si>
  <si>
    <t>Food Days in inventory</t>
  </si>
  <si>
    <t>Utilities Accounts payable delay</t>
  </si>
  <si>
    <t>Forecasts</t>
  </si>
  <si>
    <t>Revenue Package 1</t>
  </si>
  <si>
    <t>Revenue Package 2</t>
  </si>
  <si>
    <t>Revenue Package 3</t>
  </si>
  <si>
    <t>Price Package 1</t>
  </si>
  <si>
    <t>Price Package 2</t>
  </si>
  <si>
    <t>Price Package 3</t>
  </si>
  <si>
    <t>Increase per year in price of package</t>
  </si>
  <si>
    <t>INCOME STATEMENT</t>
  </si>
  <si>
    <t>Percentage Increase Per Year</t>
  </si>
  <si>
    <t>Revenue</t>
  </si>
  <si>
    <t>Open Time Revenue</t>
  </si>
  <si>
    <t>Package Revenue</t>
  </si>
  <si>
    <t>Food Revenue</t>
  </si>
  <si>
    <t>Total Revenue</t>
  </si>
  <si>
    <t>Expenses</t>
  </si>
  <si>
    <t>Cost of Goods Sold</t>
  </si>
  <si>
    <t>COGS %</t>
  </si>
  <si>
    <t>Mortgage Interest Exp</t>
  </si>
  <si>
    <t>Advertising Exp</t>
  </si>
  <si>
    <t>Extra Loan Interest Exp</t>
  </si>
  <si>
    <t>Maintenance</t>
  </si>
  <si>
    <t>Salary Expense</t>
  </si>
  <si>
    <t>Package Exp</t>
  </si>
  <si>
    <t>Insurance Exp</t>
  </si>
  <si>
    <t>Utilitites Exp</t>
  </si>
  <si>
    <t>Depreciation Exp</t>
  </si>
  <si>
    <t>Mortgage Loan Payment</t>
  </si>
  <si>
    <t>Total Expenses</t>
  </si>
  <si>
    <t>Taxable Income</t>
  </si>
  <si>
    <t>Income Tax Expense</t>
  </si>
  <si>
    <t>Net Income After Taxes</t>
  </si>
  <si>
    <t>BALANCE SHEET</t>
  </si>
  <si>
    <t>Assets</t>
  </si>
  <si>
    <t>Minimum Cash</t>
  </si>
  <si>
    <t>Cash Above Minimum</t>
  </si>
  <si>
    <t>Accounts Receivable</t>
  </si>
  <si>
    <t>Inventory</t>
  </si>
  <si>
    <t>Land</t>
  </si>
  <si>
    <t>Buildings &amp; Equip</t>
  </si>
  <si>
    <t>Accumulated Depreciation</t>
  </si>
  <si>
    <t>TOTAL ASSETS</t>
  </si>
  <si>
    <t>Liabilities</t>
  </si>
  <si>
    <t>Accounts Payable</t>
  </si>
  <si>
    <t>Taxes Payable</t>
  </si>
  <si>
    <t>Mortgage Loan</t>
  </si>
  <si>
    <t>Extra Bank Loan</t>
  </si>
  <si>
    <t>Equity</t>
  </si>
  <si>
    <t>Common Stock</t>
  </si>
  <si>
    <t>Retained Earnings</t>
  </si>
  <si>
    <t>TOTAL LIABILITIES &amp; EQUITY</t>
  </si>
  <si>
    <t>Difference</t>
  </si>
  <si>
    <t>WACC</t>
  </si>
  <si>
    <t>CAPM for the return equity holders want</t>
  </si>
  <si>
    <t>Beta</t>
  </si>
  <si>
    <t>https://www.google.com/finance?cid=526162</t>
  </si>
  <si>
    <t>T-Bill rate</t>
  </si>
  <si>
    <t>S&amp;P 500 rate</t>
  </si>
  <si>
    <t>Return equity holders want</t>
  </si>
  <si>
    <t>Averages</t>
  </si>
  <si>
    <t>Proportion</t>
  </si>
  <si>
    <t>Return debt holders want</t>
  </si>
  <si>
    <t>Ave interest rate</t>
  </si>
  <si>
    <t>Tax Rate of Company</t>
  </si>
  <si>
    <t>Debt Investors</t>
  </si>
  <si>
    <t>Percent</t>
  </si>
  <si>
    <t>Total Debt</t>
  </si>
  <si>
    <t>Debt</t>
  </si>
  <si>
    <t>Equity Investors (Including Retained Earnings)</t>
  </si>
  <si>
    <t>Shareholder Contributions</t>
  </si>
  <si>
    <t>Total Debt and Equity Investors</t>
  </si>
  <si>
    <t>Difference with IRR</t>
  </si>
  <si>
    <t>IRR</t>
  </si>
  <si>
    <t>WACC Projected for All Years</t>
  </si>
  <si>
    <t>FREE CASH FLOWS</t>
  </si>
  <si>
    <t>Year 0</t>
  </si>
  <si>
    <t>Cash from Operations</t>
  </si>
  <si>
    <t>Operating Profit</t>
  </si>
  <si>
    <t>Less: Depreciation</t>
  </si>
  <si>
    <t>Taxable Operating Profit</t>
  </si>
  <si>
    <t>Add back: Depreciation</t>
  </si>
  <si>
    <t>Cash from Capital Expenditures</t>
  </si>
  <si>
    <t>Purchase Buildings/Land</t>
  </si>
  <si>
    <t>Sell Buildings/Land</t>
  </si>
  <si>
    <t>Book Value</t>
  </si>
  <si>
    <t>Pay taxes on Sale of Buildings</t>
  </si>
  <si>
    <t>Multiple</t>
  </si>
  <si>
    <t>Cash in/out from Working Capital Changes</t>
  </si>
  <si>
    <t>Income Tax Payable ON OPERATIONS ONLY</t>
  </si>
  <si>
    <t>Cash in/out from Liquidating Working Capital</t>
  </si>
  <si>
    <t>Total Free Cash Flows</t>
  </si>
  <si>
    <t>Present Value of Cash Flows</t>
  </si>
  <si>
    <t>IRR:</t>
  </si>
  <si>
    <t>NPV</t>
  </si>
  <si>
    <t>Average (of Present Value)</t>
  </si>
  <si>
    <t>Increased cash flow multiple for Good scenario</t>
  </si>
  <si>
    <t>Buy the business then remodel the play area.  (Good)</t>
  </si>
  <si>
    <t>Remodel/Renovate</t>
  </si>
  <si>
    <t>Increased cashflow multiple for Renovation</t>
  </si>
  <si>
    <t>Sum</t>
  </si>
  <si>
    <t>WACC</t>
  </si>
  <si>
    <t>PV of Sum</t>
  </si>
  <si>
    <t>NPV of Sum</t>
  </si>
  <si>
    <t>Decreased cash flow multiple for Good scenario</t>
  </si>
  <si>
    <t>Buy the business and don't remodel.  (Bad)</t>
  </si>
  <si>
    <t>Expected Value</t>
  </si>
  <si>
    <t>Percentage of Equity that goes into a down payment for the loan.</t>
  </si>
  <si>
    <t>Loan Principle</t>
  </si>
  <si>
    <t>Annual Rate</t>
  </si>
  <si>
    <t>Loan Term</t>
  </si>
  <si>
    <t>Payments</t>
  </si>
  <si>
    <t>Year # of Loan Term</t>
  </si>
  <si>
    <t>Year</t>
  </si>
  <si>
    <t>Cash Paid</t>
  </si>
  <si>
    <t>Interest Paid</t>
  </si>
  <si>
    <t>Principal Paid</t>
  </si>
  <si>
    <t>Relevered Beta = unlevered BETA x (1+(1-taxrate)x(current debt %/current equity %))</t>
  </si>
  <si>
    <t>CAPM=tbill + relevered beta X (s&amp;p -tbills)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</si>
</sst>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###############"/>
    <numFmt numFmtId="165" formatCode="&quot;$&quot;#,##0.00"/>
  </numFmts>
  <fonts count="6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62" fillId="0" borderId="0" applyFont="0" applyFill="0" applyBorder="0" applyAlignment="0" applyProtection="0"/>
  </cellStyleXfs>
  <cellXfs count="71">
    <xf numFmtId="0" fontId="0" fillId="0" borderId="0" xfId="0" applyAlignment="1">
      <alignment wrapText="1"/>
    </xf>
    <xf numFmtId="3" fontId="1" fillId="2" borderId="0" xfId="0" applyNumberFormat="1" applyFont="1" applyFill="1" applyAlignment="1">
      <alignment wrapText="1"/>
    </xf>
    <xf numFmtId="3" fontId="2" fillId="3" borderId="0" xfId="0" applyNumberFormat="1" applyFont="1" applyFill="1" applyAlignment="1">
      <alignment horizontal="right" wrapText="1"/>
    </xf>
    <xf numFmtId="0" fontId="3" fillId="4" borderId="1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0" xfId="0" applyFont="1"/>
    <xf numFmtId="3" fontId="6" fillId="0" borderId="3" xfId="0" applyNumberFormat="1" applyFont="1" applyBorder="1" applyAlignment="1">
      <alignment wrapText="1"/>
    </xf>
    <xf numFmtId="0" fontId="7" fillId="0" borderId="0" xfId="0" applyFont="1"/>
    <xf numFmtId="0" fontId="8" fillId="5" borderId="4" xfId="0" applyFont="1" applyFill="1" applyBorder="1" applyAlignment="1">
      <alignment horizontal="center" wrapText="1"/>
    </xf>
    <xf numFmtId="3" fontId="9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3" fontId="11" fillId="0" borderId="0" xfId="0" applyNumberFormat="1" applyFont="1" applyAlignment="1">
      <alignment wrapText="1"/>
    </xf>
    <xf numFmtId="3" fontId="12" fillId="6" borderId="0" xfId="0" applyNumberFormat="1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7" borderId="0" xfId="0" applyFont="1" applyFill="1" applyAlignment="1">
      <alignment wrapText="1"/>
    </xf>
    <xf numFmtId="3" fontId="16" fillId="0" borderId="5" xfId="0" applyNumberFormat="1" applyFont="1" applyBorder="1" applyAlignment="1">
      <alignment horizontal="right" wrapText="1"/>
    </xf>
    <xf numFmtId="3" fontId="17" fillId="0" borderId="6" xfId="0" applyNumberFormat="1" applyFont="1" applyBorder="1" applyAlignment="1">
      <alignment wrapText="1"/>
    </xf>
    <xf numFmtId="0" fontId="19" fillId="0" borderId="0" xfId="0" applyFont="1" applyAlignment="1">
      <alignment wrapText="1"/>
    </xf>
    <xf numFmtId="0" fontId="20" fillId="8" borderId="0" xfId="0" applyFont="1" applyFill="1" applyAlignment="1">
      <alignment horizontal="right" wrapText="1"/>
    </xf>
    <xf numFmtId="0" fontId="0" fillId="0" borderId="7" xfId="0" applyBorder="1" applyAlignment="1">
      <alignment wrapText="1"/>
    </xf>
    <xf numFmtId="4" fontId="21" fillId="9" borderId="0" xfId="0" applyNumberFormat="1" applyFont="1" applyFill="1" applyAlignment="1">
      <alignment wrapText="1"/>
    </xf>
    <xf numFmtId="0" fontId="22" fillId="0" borderId="0" xfId="0" applyFont="1" applyAlignment="1">
      <alignment horizontal="center" wrapText="1"/>
    </xf>
    <xf numFmtId="0" fontId="23" fillId="10" borderId="8" xfId="0" applyFont="1" applyFill="1" applyBorder="1" applyAlignment="1">
      <alignment wrapText="1"/>
    </xf>
    <xf numFmtId="3" fontId="24" fillId="0" borderId="9" xfId="0" applyNumberFormat="1" applyFont="1" applyBorder="1" applyAlignment="1">
      <alignment wrapText="1"/>
    </xf>
    <xf numFmtId="10" fontId="25" fillId="0" borderId="0" xfId="0" applyNumberFormat="1" applyFont="1" applyAlignment="1">
      <alignment horizontal="right" wrapText="1"/>
    </xf>
    <xf numFmtId="0" fontId="26" fillId="0" borderId="10" xfId="0" applyFont="1" applyBorder="1" applyAlignment="1">
      <alignment wrapText="1"/>
    </xf>
    <xf numFmtId="0" fontId="27" fillId="11" borderId="0" xfId="0" applyFont="1" applyFill="1" applyAlignment="1">
      <alignment horizontal="center" wrapText="1"/>
    </xf>
    <xf numFmtId="164" fontId="28" fillId="0" borderId="0" xfId="0" applyNumberFormat="1" applyFont="1" applyAlignment="1">
      <alignment wrapText="1"/>
    </xf>
    <xf numFmtId="0" fontId="29" fillId="0" borderId="11" xfId="0" applyFont="1" applyBorder="1" applyAlignment="1">
      <alignment wrapText="1"/>
    </xf>
    <xf numFmtId="4" fontId="30" fillId="0" borderId="0" xfId="0" applyNumberFormat="1" applyFont="1" applyAlignment="1">
      <alignment wrapText="1"/>
    </xf>
    <xf numFmtId="0" fontId="31" fillId="12" borderId="0" xfId="0" applyFont="1" applyFill="1" applyAlignment="1">
      <alignment wrapText="1"/>
    </xf>
    <xf numFmtId="0" fontId="32" fillId="13" borderId="12" xfId="0" applyFont="1" applyFill="1" applyBorder="1" applyAlignment="1">
      <alignment horizontal="right" wrapText="1"/>
    </xf>
    <xf numFmtId="3" fontId="33" fillId="0" borderId="13" xfId="0" applyNumberFormat="1" applyFont="1" applyBorder="1" applyAlignment="1">
      <alignment wrapText="1"/>
    </xf>
    <xf numFmtId="3" fontId="34" fillId="14" borderId="14" xfId="0" applyNumberFormat="1" applyFont="1" applyFill="1" applyBorder="1" applyAlignment="1">
      <alignment horizontal="right" wrapText="1"/>
    </xf>
    <xf numFmtId="10" fontId="35" fillId="15" borderId="0" xfId="0" applyNumberFormat="1" applyFont="1" applyFill="1" applyAlignment="1">
      <alignment wrapText="1"/>
    </xf>
    <xf numFmtId="3" fontId="36" fillId="0" borderId="15" xfId="0" applyNumberFormat="1" applyFont="1" applyBorder="1" applyAlignment="1">
      <alignment wrapText="1"/>
    </xf>
    <xf numFmtId="0" fontId="37" fillId="0" borderId="16" xfId="0" applyFont="1" applyBorder="1" applyAlignment="1">
      <alignment wrapText="1"/>
    </xf>
    <xf numFmtId="0" fontId="39" fillId="0" borderId="18" xfId="0" applyFont="1" applyBorder="1" applyAlignment="1">
      <alignment wrapText="1"/>
    </xf>
    <xf numFmtId="0" fontId="40" fillId="0" borderId="19" xfId="0" applyFont="1" applyBorder="1" applyAlignment="1">
      <alignment wrapText="1"/>
    </xf>
    <xf numFmtId="4" fontId="41" fillId="0" borderId="0" xfId="0" applyNumberFormat="1" applyFont="1" applyAlignment="1">
      <alignment wrapText="1"/>
    </xf>
    <xf numFmtId="10" fontId="42" fillId="0" borderId="20" xfId="0" applyNumberFormat="1" applyFont="1" applyBorder="1" applyAlignment="1">
      <alignment wrapText="1"/>
    </xf>
    <xf numFmtId="0" fontId="43" fillId="0" borderId="21" xfId="0" applyFont="1" applyBorder="1"/>
    <xf numFmtId="1" fontId="44" fillId="16" borderId="0" xfId="0" applyNumberFormat="1" applyFont="1" applyFill="1" applyAlignment="1">
      <alignment wrapText="1"/>
    </xf>
    <xf numFmtId="0" fontId="45" fillId="17" borderId="0" xfId="0" applyFont="1" applyFill="1" applyAlignment="1">
      <alignment wrapText="1"/>
    </xf>
    <xf numFmtId="0" fontId="46" fillId="18" borderId="0" xfId="0" applyFont="1" applyFill="1" applyAlignment="1">
      <alignment wrapText="1"/>
    </xf>
    <xf numFmtId="3" fontId="47" fillId="19" borderId="22" xfId="0" applyNumberFormat="1" applyFont="1" applyFill="1" applyBorder="1" applyAlignment="1">
      <alignment wrapText="1"/>
    </xf>
    <xf numFmtId="10" fontId="48" fillId="0" borderId="0" xfId="0" applyNumberFormat="1" applyFont="1" applyAlignment="1">
      <alignment horizontal="left"/>
    </xf>
    <xf numFmtId="9" fontId="49" fillId="0" borderId="0" xfId="0" applyNumberFormat="1" applyFont="1" applyAlignment="1">
      <alignment wrapText="1"/>
    </xf>
    <xf numFmtId="165" fontId="50" fillId="0" borderId="0" xfId="0" applyNumberFormat="1" applyFont="1" applyAlignment="1">
      <alignment wrapText="1"/>
    </xf>
    <xf numFmtId="10" fontId="51" fillId="0" borderId="0" xfId="0" applyNumberFormat="1" applyFont="1" applyAlignment="1">
      <alignment wrapText="1"/>
    </xf>
    <xf numFmtId="3" fontId="52" fillId="0" borderId="23" xfId="0" applyNumberFormat="1" applyFont="1" applyBorder="1" applyAlignment="1">
      <alignment wrapText="1"/>
    </xf>
    <xf numFmtId="3" fontId="53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54" fillId="20" borderId="0" xfId="0" applyFont="1" applyFill="1" applyAlignment="1">
      <alignment wrapText="1"/>
    </xf>
    <xf numFmtId="0" fontId="55" fillId="0" borderId="24" xfId="0" applyFont="1" applyBorder="1" applyAlignment="1">
      <alignment wrapText="1"/>
    </xf>
    <xf numFmtId="0" fontId="56" fillId="0" borderId="0" xfId="0" applyFont="1" applyAlignment="1">
      <alignment horizontal="center" wrapText="1"/>
    </xf>
    <xf numFmtId="3" fontId="57" fillId="21" borderId="25" xfId="0" applyNumberFormat="1" applyFont="1" applyFill="1" applyBorder="1" applyAlignment="1">
      <alignment wrapText="1"/>
    </xf>
    <xf numFmtId="10" fontId="58" fillId="0" borderId="0" xfId="0" applyNumberFormat="1" applyFont="1" applyAlignment="1">
      <alignment wrapText="1"/>
    </xf>
    <xf numFmtId="3" fontId="59" fillId="22" borderId="0" xfId="0" applyNumberFormat="1" applyFont="1" applyFill="1"/>
    <xf numFmtId="0" fontId="60" fillId="23" borderId="0" xfId="0" applyFont="1" applyFill="1" applyAlignment="1">
      <alignment horizontal="center" wrapText="1"/>
    </xf>
    <xf numFmtId="3" fontId="61" fillId="0" borderId="0" xfId="0" applyNumberFormat="1" applyFont="1"/>
    <xf numFmtId="10" fontId="14" fillId="0" borderId="0" xfId="0" applyNumberFormat="1" applyFont="1" applyAlignment="1">
      <alignment wrapText="1"/>
    </xf>
    <xf numFmtId="9" fontId="38" fillId="0" borderId="17" xfId="1" applyFont="1" applyBorder="1" applyAlignment="1">
      <alignment wrapText="1"/>
    </xf>
    <xf numFmtId="1" fontId="31" fillId="12" borderId="0" xfId="0" applyNumberFormat="1" applyFont="1" applyFill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C18" sqref="C18"/>
    </sheetView>
  </sheetViews>
  <sheetFormatPr defaultColWidth="11.42578125" defaultRowHeight="12.75" customHeight="1" x14ac:dyDescent="0.2"/>
  <cols>
    <col min="1" max="1" width="21.7109375" customWidth="1"/>
    <col min="2" max="2" width="21.7109375" bestFit="1" customWidth="1"/>
    <col min="3" max="3" width="7.42578125" bestFit="1" customWidth="1"/>
    <col min="4" max="4" width="14.85546875" bestFit="1" customWidth="1"/>
    <col min="5" max="5" width="12.7109375" bestFit="1" customWidth="1"/>
    <col min="6" max="6" width="10.42578125" bestFit="1" customWidth="1"/>
    <col min="7" max="12" width="7.42578125" bestFit="1" customWidth="1"/>
    <col min="13" max="13" width="6.28515625" bestFit="1" customWidth="1"/>
  </cols>
  <sheetData>
    <row r="1" spans="1:13" ht="15" customHeight="1" x14ac:dyDescent="0.2">
      <c r="A1" s="18" t="s">
        <v>0</v>
      </c>
      <c r="B1" s="18"/>
      <c r="C1" s="18"/>
      <c r="D1" s="18"/>
      <c r="E1" s="18"/>
      <c r="F1" s="7" t="s">
        <v>1</v>
      </c>
      <c r="G1" s="18" t="s">
        <v>2</v>
      </c>
      <c r="H1" s="48">
        <v>0.5</v>
      </c>
      <c r="I1" s="18" t="s">
        <v>3</v>
      </c>
      <c r="J1" s="18"/>
      <c r="K1" s="18"/>
      <c r="L1" s="18"/>
      <c r="M1" s="18"/>
    </row>
    <row r="2" spans="1:13" x14ac:dyDescent="0.2">
      <c r="A2" s="13" t="s">
        <v>4</v>
      </c>
      <c r="B2" s="18"/>
      <c r="C2" s="18"/>
      <c r="D2" s="18"/>
      <c r="E2" s="18"/>
      <c r="F2" s="18">
        <v>45</v>
      </c>
      <c r="G2" s="18"/>
      <c r="H2" s="18"/>
      <c r="I2" s="18"/>
      <c r="J2" s="18"/>
      <c r="K2" s="18"/>
      <c r="L2" s="18"/>
      <c r="M2" s="18"/>
    </row>
    <row r="3" spans="1:13" x14ac:dyDescent="0.2">
      <c r="A3" s="18"/>
      <c r="B3" s="18"/>
      <c r="C3" s="18"/>
      <c r="D3" s="18"/>
      <c r="E3" s="18"/>
      <c r="F3" s="18">
        <v>90</v>
      </c>
      <c r="G3" s="7"/>
      <c r="H3" s="18"/>
      <c r="I3" s="18"/>
      <c r="J3" s="18"/>
      <c r="K3" s="18"/>
      <c r="L3" s="18"/>
      <c r="M3" s="18"/>
    </row>
    <row r="4" spans="1:13" x14ac:dyDescent="0.2">
      <c r="A4" s="18" t="s">
        <v>5</v>
      </c>
      <c r="B4" s="11"/>
      <c r="C4" s="18"/>
      <c r="D4" s="18"/>
      <c r="E4" s="18"/>
      <c r="F4" s="18">
        <v>130</v>
      </c>
      <c r="G4" s="7"/>
      <c r="H4" s="18"/>
      <c r="I4" s="18"/>
      <c r="J4" s="18"/>
      <c r="K4" s="18"/>
      <c r="L4" s="18"/>
      <c r="M4" s="18"/>
    </row>
    <row r="5" spans="1:13" x14ac:dyDescent="0.2">
      <c r="A5" s="18" t="s">
        <v>6</v>
      </c>
      <c r="B5" s="7" t="s">
        <v>7</v>
      </c>
      <c r="C5" s="18"/>
      <c r="D5" s="18" t="s">
        <v>8</v>
      </c>
      <c r="E5" s="58">
        <v>0.55000000000000004</v>
      </c>
      <c r="F5" s="18"/>
      <c r="G5" s="18"/>
      <c r="H5" s="18"/>
      <c r="I5" s="18"/>
      <c r="J5" s="18"/>
      <c r="K5" s="18"/>
      <c r="L5" s="18"/>
      <c r="M5" s="18"/>
    </row>
    <row r="6" spans="1:13" x14ac:dyDescent="0.2">
      <c r="A6" s="7" t="s">
        <v>9</v>
      </c>
      <c r="B6" s="61" t="s">
        <v>10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5.5" customHeight="1" x14ac:dyDescent="0.2">
      <c r="A7" s="18" t="s">
        <v>11</v>
      </c>
      <c r="B7" s="18">
        <f>B8+B10</f>
        <v>291.20000000000005</v>
      </c>
      <c r="C7" s="18"/>
      <c r="D7" s="54" t="s">
        <v>12</v>
      </c>
      <c r="E7" s="49">
        <v>1500000</v>
      </c>
      <c r="F7" s="18"/>
      <c r="G7" s="18"/>
      <c r="H7" s="18"/>
      <c r="I7" s="18"/>
      <c r="J7" s="18"/>
      <c r="K7" s="18"/>
      <c r="L7" s="18"/>
      <c r="M7" s="18"/>
    </row>
    <row r="8" spans="1:13" ht="25.5" customHeight="1" x14ac:dyDescent="0.2">
      <c r="A8" s="18" t="s">
        <v>13</v>
      </c>
      <c r="B8" s="18">
        <f>B9*52</f>
        <v>156</v>
      </c>
      <c r="C8" s="18"/>
      <c r="D8" s="18" t="s">
        <v>14</v>
      </c>
      <c r="E8" s="28">
        <v>5050</v>
      </c>
      <c r="F8" s="18"/>
      <c r="G8" s="18"/>
      <c r="H8" s="18"/>
      <c r="I8" s="18"/>
      <c r="J8" s="18"/>
      <c r="K8" s="18"/>
      <c r="L8" s="18"/>
      <c r="M8" s="18"/>
    </row>
    <row r="9" spans="1:13" ht="1.5" customHeight="1" x14ac:dyDescent="0.2">
      <c r="A9" s="18" t="s">
        <v>15</v>
      </c>
      <c r="B9" s="18">
        <v>3</v>
      </c>
      <c r="C9" s="18"/>
      <c r="D9" s="18" t="s">
        <v>16</v>
      </c>
      <c r="E9" s="49">
        <f>E7/E8</f>
        <v>297.02970297029702</v>
      </c>
      <c r="F9" s="18"/>
      <c r="G9" s="18"/>
      <c r="H9" s="18"/>
      <c r="I9" s="18"/>
      <c r="J9" s="18"/>
      <c r="K9" s="18"/>
      <c r="L9" s="18"/>
      <c r="M9" s="18"/>
    </row>
    <row r="10" spans="1:13" ht="25.5" customHeight="1" x14ac:dyDescent="0.2">
      <c r="A10" s="18" t="s">
        <v>17</v>
      </c>
      <c r="B10" s="18">
        <f>B11*52</f>
        <v>135.20000000000002</v>
      </c>
      <c r="C10" s="18"/>
      <c r="D10" s="18" t="s">
        <v>18</v>
      </c>
      <c r="E10" s="18">
        <v>245</v>
      </c>
      <c r="F10" s="18">
        <f>E10*E8</f>
        <v>1237250</v>
      </c>
      <c r="G10" s="18"/>
      <c r="H10" s="18"/>
      <c r="I10" s="18"/>
      <c r="J10" s="18"/>
      <c r="K10" s="18"/>
      <c r="L10" s="18"/>
      <c r="M10" s="18"/>
    </row>
    <row r="11" spans="1:13" ht="25.5" customHeight="1" x14ac:dyDescent="0.2">
      <c r="A11" s="18" t="s">
        <v>19</v>
      </c>
      <c r="B11" s="18">
        <v>2.6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38.25" customHeight="1" x14ac:dyDescent="0.2">
      <c r="A12" s="18" t="s">
        <v>20</v>
      </c>
      <c r="B12" s="58">
        <v>0.62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38.25" customHeight="1" x14ac:dyDescent="0.2">
      <c r="A13" s="18" t="s">
        <v>21</v>
      </c>
      <c r="B13" s="58">
        <v>0.27</v>
      </c>
      <c r="C13" s="18"/>
      <c r="D13" s="18"/>
      <c r="E13" s="18" t="s">
        <v>22</v>
      </c>
      <c r="F13" s="18" t="s">
        <v>23</v>
      </c>
      <c r="G13" s="18"/>
      <c r="H13" s="18"/>
      <c r="I13" s="18"/>
      <c r="J13" s="18"/>
      <c r="K13" s="18"/>
      <c r="L13" s="18"/>
      <c r="M13" s="18"/>
    </row>
    <row r="14" spans="1:13" ht="38.25" customHeight="1" x14ac:dyDescent="0.2">
      <c r="A14" s="18" t="s">
        <v>24</v>
      </c>
      <c r="B14" s="58">
        <v>0.11</v>
      </c>
      <c r="C14" s="18"/>
      <c r="D14" s="18" t="s">
        <v>25</v>
      </c>
      <c r="E14" s="18">
        <v>5</v>
      </c>
      <c r="F14" s="18">
        <v>11</v>
      </c>
      <c r="G14" s="31"/>
      <c r="H14" s="18"/>
      <c r="I14" s="18"/>
      <c r="J14" s="18"/>
      <c r="K14" s="18"/>
      <c r="L14" s="18"/>
      <c r="M14" s="18"/>
    </row>
    <row r="15" spans="1:13" x14ac:dyDescent="0.2">
      <c r="A15" s="18"/>
      <c r="B15" s="18">
        <f>SUM(B12:B14)</f>
        <v>1</v>
      </c>
      <c r="C15" s="18"/>
      <c r="D15" s="18" t="s">
        <v>26</v>
      </c>
      <c r="E15" s="18">
        <v>1</v>
      </c>
      <c r="F15" s="18">
        <v>2</v>
      </c>
      <c r="G15" s="18"/>
      <c r="H15" s="18"/>
      <c r="I15" s="18"/>
      <c r="J15" s="18"/>
      <c r="K15" s="18"/>
      <c r="L15" s="18"/>
      <c r="M15" s="18"/>
    </row>
    <row r="16" spans="1:13" ht="25.5" customHeight="1" x14ac:dyDescent="0.2">
      <c r="A16" s="18" t="s">
        <v>27</v>
      </c>
      <c r="B16" s="18">
        <v>200</v>
      </c>
      <c r="C16" s="18"/>
      <c r="D16" s="65" t="s">
        <v>28</v>
      </c>
      <c r="E16" s="65"/>
      <c r="F16" s="18"/>
      <c r="G16" s="18"/>
      <c r="H16" s="18"/>
      <c r="I16" s="18"/>
      <c r="J16" s="18"/>
      <c r="K16" s="18"/>
      <c r="L16" s="18"/>
      <c r="M16" s="18"/>
    </row>
    <row r="17" spans="1:13" ht="25.5" customHeight="1" x14ac:dyDescent="0.2">
      <c r="A17" s="18" t="s">
        <v>29</v>
      </c>
      <c r="B17" s="11">
        <v>7</v>
      </c>
      <c r="C17" s="18"/>
      <c r="D17" s="18" t="s">
        <v>30</v>
      </c>
      <c r="E17" s="11">
        <v>20</v>
      </c>
      <c r="F17" s="18"/>
      <c r="G17" s="18"/>
      <c r="H17" s="18"/>
      <c r="I17" s="18"/>
      <c r="J17" s="18"/>
      <c r="K17" s="18"/>
      <c r="L17" s="18"/>
      <c r="M17" s="18"/>
    </row>
    <row r="18" spans="1:13" ht="38.25" customHeight="1" x14ac:dyDescent="0.2">
      <c r="A18" s="18" t="s">
        <v>31</v>
      </c>
      <c r="B18" s="18">
        <v>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x14ac:dyDescent="0.2">
      <c r="A19" s="18" t="s">
        <v>32</v>
      </c>
      <c r="B19" s="58">
        <v>0.25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x14ac:dyDescent="0.2">
      <c r="A20" s="18" t="s">
        <v>33</v>
      </c>
      <c r="B20" s="18">
        <f>((10*7)*9)*52</f>
        <v>32760</v>
      </c>
      <c r="C20" s="18"/>
      <c r="D20" s="18"/>
      <c r="E20" s="58"/>
      <c r="F20" s="18"/>
      <c r="G20" s="18"/>
      <c r="H20" s="18"/>
      <c r="I20" s="18"/>
      <c r="J20" s="18"/>
      <c r="K20" s="18"/>
      <c r="L20" s="18"/>
      <c r="M20" s="18"/>
    </row>
    <row r="21" spans="1:13" ht="25.5" customHeight="1" x14ac:dyDescent="0.2">
      <c r="A21" s="18" t="s">
        <v>34</v>
      </c>
      <c r="B21" s="18">
        <v>8000</v>
      </c>
      <c r="C21" s="18"/>
      <c r="D21" s="18"/>
      <c r="E21" s="58"/>
      <c r="F21" s="18"/>
      <c r="G21" s="18"/>
      <c r="H21" s="18"/>
      <c r="I21" s="18"/>
      <c r="J21" s="18"/>
      <c r="K21" s="18"/>
      <c r="L21" s="18"/>
      <c r="M21" s="18"/>
    </row>
    <row r="22" spans="1:13" ht="25.5" customHeight="1" x14ac:dyDescent="0.2">
      <c r="A22" s="18" t="s">
        <v>35</v>
      </c>
      <c r="B22" s="18">
        <v>30</v>
      </c>
      <c r="C22" s="18"/>
      <c r="D22" s="18"/>
      <c r="E22" s="58"/>
      <c r="F22" s="18"/>
      <c r="G22" s="18"/>
      <c r="H22" s="18"/>
      <c r="I22" s="18"/>
      <c r="J22" s="18"/>
      <c r="K22" s="18"/>
      <c r="L22" s="18"/>
      <c r="M22" s="18"/>
    </row>
    <row r="23" spans="1:13" x14ac:dyDescent="0.2">
      <c r="A23" s="18" t="s">
        <v>36</v>
      </c>
      <c r="B23" s="58">
        <v>0.03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x14ac:dyDescent="0.2">
      <c r="A24" s="18" t="s">
        <v>37</v>
      </c>
      <c r="B24" s="11">
        <v>20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ht="25.5" customHeight="1" x14ac:dyDescent="0.2">
      <c r="A25" s="18" t="s">
        <v>38</v>
      </c>
      <c r="B25" s="18">
        <v>30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x14ac:dyDescent="0.2">
      <c r="A27" s="44" t="s">
        <v>39</v>
      </c>
      <c r="B27" s="38">
        <v>2012</v>
      </c>
      <c r="C27" s="38">
        <v>2013</v>
      </c>
      <c r="D27" s="38">
        <v>2014</v>
      </c>
      <c r="E27" s="42">
        <v>2015</v>
      </c>
      <c r="F27" s="38">
        <v>2016</v>
      </c>
      <c r="G27" s="38">
        <v>2017</v>
      </c>
      <c r="H27" s="38">
        <v>2018</v>
      </c>
      <c r="I27" s="38">
        <v>2019</v>
      </c>
      <c r="J27" s="38">
        <v>2020</v>
      </c>
      <c r="K27" s="38">
        <v>2021</v>
      </c>
      <c r="L27" s="38">
        <v>2022</v>
      </c>
      <c r="M27" s="18"/>
    </row>
    <row r="28" spans="1:13" x14ac:dyDescent="0.2">
      <c r="A28" s="18" t="s">
        <v>40</v>
      </c>
      <c r="B28" s="51">
        <f t="shared" ref="B28:L28" si="0">($B$7*$B$12)*B32</f>
        <v>45136.000000000007</v>
      </c>
      <c r="C28" s="51">
        <f t="shared" si="0"/>
        <v>46490.080000000009</v>
      </c>
      <c r="D28" s="51">
        <f t="shared" si="0"/>
        <v>47884.782400000011</v>
      </c>
      <c r="E28" s="51">
        <f t="shared" si="0"/>
        <v>49321.325872000016</v>
      </c>
      <c r="F28" s="51">
        <f t="shared" si="0"/>
        <v>50800.96564816001</v>
      </c>
      <c r="G28" s="51">
        <f t="shared" si="0"/>
        <v>52324.994617604818</v>
      </c>
      <c r="H28" s="51">
        <f t="shared" si="0"/>
        <v>53894.744456132961</v>
      </c>
      <c r="I28" s="51">
        <f t="shared" si="0"/>
        <v>55511.586789816953</v>
      </c>
      <c r="J28" s="51">
        <f t="shared" si="0"/>
        <v>57176.934393511459</v>
      </c>
      <c r="K28" s="51">
        <f t="shared" si="0"/>
        <v>58892.242425316806</v>
      </c>
      <c r="L28" s="51">
        <f t="shared" si="0"/>
        <v>60659.009698076312</v>
      </c>
      <c r="M28" s="18"/>
    </row>
    <row r="29" spans="1:13" x14ac:dyDescent="0.2">
      <c r="A29" s="18" t="s">
        <v>41</v>
      </c>
      <c r="B29" s="11">
        <f t="shared" ref="B29:L29" si="1">($B$7*$B$13)*B33</f>
        <v>39312.000000000015</v>
      </c>
      <c r="C29" s="11">
        <f t="shared" si="1"/>
        <v>40491.360000000015</v>
      </c>
      <c r="D29" s="11">
        <f t="shared" si="1"/>
        <v>41706.100800000015</v>
      </c>
      <c r="E29" s="11">
        <f t="shared" si="1"/>
        <v>42957.283824000013</v>
      </c>
      <c r="F29" s="11">
        <f t="shared" si="1"/>
        <v>44246.002338720013</v>
      </c>
      <c r="G29" s="11">
        <f t="shared" si="1"/>
        <v>45573.382408881618</v>
      </c>
      <c r="H29" s="11">
        <f t="shared" si="1"/>
        <v>46940.583881148072</v>
      </c>
      <c r="I29" s="11">
        <f t="shared" si="1"/>
        <v>48348.801397582516</v>
      </c>
      <c r="J29" s="11">
        <f t="shared" si="1"/>
        <v>49799.265439509989</v>
      </c>
      <c r="K29" s="11">
        <f t="shared" si="1"/>
        <v>51293.243402695283</v>
      </c>
      <c r="L29" s="11">
        <f t="shared" si="1"/>
        <v>52832.040704776147</v>
      </c>
      <c r="M29" s="18"/>
    </row>
    <row r="30" spans="1:13" x14ac:dyDescent="0.2">
      <c r="A30" s="18" t="s">
        <v>42</v>
      </c>
      <c r="B30" s="11">
        <f t="shared" ref="B30:L30" si="2">($B$7*$B$14)*B34</f>
        <v>22422.400000000001</v>
      </c>
      <c r="C30" s="11">
        <f t="shared" si="2"/>
        <v>23095.072000000004</v>
      </c>
      <c r="D30" s="11">
        <f t="shared" si="2"/>
        <v>23787.924160000002</v>
      </c>
      <c r="E30" s="11">
        <f t="shared" si="2"/>
        <v>24501.561884800005</v>
      </c>
      <c r="F30" s="11">
        <f t="shared" si="2"/>
        <v>25236.608741344004</v>
      </c>
      <c r="G30" s="11">
        <f t="shared" si="2"/>
        <v>25993.707003584324</v>
      </c>
      <c r="H30" s="11">
        <f t="shared" si="2"/>
        <v>26773.518213691852</v>
      </c>
      <c r="I30" s="11">
        <f t="shared" si="2"/>
        <v>27576.72376010261</v>
      </c>
      <c r="J30" s="11">
        <f t="shared" si="2"/>
        <v>28404.025472905687</v>
      </c>
      <c r="K30" s="11">
        <f t="shared" si="2"/>
        <v>29256.146237092857</v>
      </c>
      <c r="L30" s="11">
        <f t="shared" si="2"/>
        <v>30133.830624205642</v>
      </c>
      <c r="M30" s="18"/>
    </row>
    <row r="31" spans="1:13" x14ac:dyDescent="0.2">
      <c r="A31" s="18"/>
      <c r="B31" s="1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x14ac:dyDescent="0.2">
      <c r="A32" s="18" t="s">
        <v>43</v>
      </c>
      <c r="B32" s="49">
        <v>250</v>
      </c>
      <c r="C32" s="49">
        <f t="shared" ref="C32:L32" si="3">B32*(1+$M32)</f>
        <v>257.5</v>
      </c>
      <c r="D32" s="49">
        <f t="shared" si="3"/>
        <v>265.22500000000002</v>
      </c>
      <c r="E32" s="49">
        <f t="shared" si="3"/>
        <v>273.18175000000002</v>
      </c>
      <c r="F32" s="49">
        <f t="shared" si="3"/>
        <v>281.37720250000001</v>
      </c>
      <c r="G32" s="49">
        <f t="shared" si="3"/>
        <v>289.81851857500004</v>
      </c>
      <c r="H32" s="49">
        <f t="shared" si="3"/>
        <v>298.51307413225004</v>
      </c>
      <c r="I32" s="49">
        <f t="shared" si="3"/>
        <v>307.46846635621756</v>
      </c>
      <c r="J32" s="49">
        <f t="shared" si="3"/>
        <v>316.69252034690408</v>
      </c>
      <c r="K32" s="49">
        <f t="shared" si="3"/>
        <v>326.19329595731119</v>
      </c>
      <c r="L32" s="49">
        <f t="shared" si="3"/>
        <v>335.97909483603053</v>
      </c>
      <c r="M32" s="58">
        <v>0.03</v>
      </c>
    </row>
    <row r="33" spans="1:13" x14ac:dyDescent="0.2">
      <c r="A33" s="18" t="s">
        <v>44</v>
      </c>
      <c r="B33" s="49">
        <v>500</v>
      </c>
      <c r="C33" s="49">
        <f t="shared" ref="C33:L33" si="4">B33*(1+$M33)</f>
        <v>515</v>
      </c>
      <c r="D33" s="49">
        <f t="shared" si="4"/>
        <v>530.45000000000005</v>
      </c>
      <c r="E33" s="49">
        <f t="shared" si="4"/>
        <v>546.36350000000004</v>
      </c>
      <c r="F33" s="49">
        <f t="shared" si="4"/>
        <v>562.75440500000002</v>
      </c>
      <c r="G33" s="49">
        <f t="shared" si="4"/>
        <v>579.63703715000008</v>
      </c>
      <c r="H33" s="49">
        <f t="shared" si="4"/>
        <v>597.02614826450008</v>
      </c>
      <c r="I33" s="49">
        <f t="shared" si="4"/>
        <v>614.93693271243512</v>
      </c>
      <c r="J33" s="49">
        <f t="shared" si="4"/>
        <v>633.38504069380815</v>
      </c>
      <c r="K33" s="49">
        <f t="shared" si="4"/>
        <v>652.38659191462239</v>
      </c>
      <c r="L33" s="49">
        <f t="shared" si="4"/>
        <v>671.95818967206105</v>
      </c>
      <c r="M33" s="58">
        <v>0.03</v>
      </c>
    </row>
    <row r="34" spans="1:13" x14ac:dyDescent="0.2">
      <c r="A34" s="18" t="s">
        <v>45</v>
      </c>
      <c r="B34" s="49">
        <v>700</v>
      </c>
      <c r="C34" s="49">
        <f t="shared" ref="C34:L34" si="5">B34*(1+$M34)</f>
        <v>721</v>
      </c>
      <c r="D34" s="49">
        <f t="shared" si="5"/>
        <v>742.63</v>
      </c>
      <c r="E34" s="49">
        <f t="shared" si="5"/>
        <v>764.90890000000002</v>
      </c>
      <c r="F34" s="49">
        <f t="shared" si="5"/>
        <v>787.85616700000003</v>
      </c>
      <c r="G34" s="49">
        <f t="shared" si="5"/>
        <v>811.49185201</v>
      </c>
      <c r="H34" s="49">
        <f t="shared" si="5"/>
        <v>835.83660757029998</v>
      </c>
      <c r="I34" s="49">
        <f t="shared" si="5"/>
        <v>860.91170579740901</v>
      </c>
      <c r="J34" s="49">
        <f t="shared" si="5"/>
        <v>886.73905697133125</v>
      </c>
      <c r="K34" s="49">
        <f t="shared" si="5"/>
        <v>913.3412286804712</v>
      </c>
      <c r="L34" s="49">
        <f t="shared" si="5"/>
        <v>940.74146554088532</v>
      </c>
      <c r="M34" s="58">
        <v>0.03</v>
      </c>
    </row>
    <row r="35" spans="1:13" ht="25.5" x14ac:dyDescent="0.2">
      <c r="A35" s="18" t="s">
        <v>46</v>
      </c>
      <c r="B35" s="48">
        <v>0.03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25.5" customHeight="1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</sheetData>
  <mergeCells count="1">
    <mergeCell ref="D16:E16"/>
  </mergeCells>
  <pageMargins left="0.7" right="0.7" top="0.75" bottom="0.75" header="0.3" footer="0.3"/>
  <pageSetup orientation="portrait" horizont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6"/>
  <sheetViews>
    <sheetView tabSelected="1" topLeftCell="A21" workbookViewId="0">
      <selection activeCell="B53" sqref="B53"/>
    </sheetView>
  </sheetViews>
  <sheetFormatPr defaultColWidth="17.140625" defaultRowHeight="12.75" customHeight="1" x14ac:dyDescent="0.2"/>
  <cols>
    <col min="1" max="1" width="50.42578125" bestFit="1" customWidth="1"/>
    <col min="2" max="2" width="20.7109375" bestFit="1" customWidth="1"/>
    <col min="3" max="3" width="10.42578125" bestFit="1" customWidth="1"/>
    <col min="4" max="4" width="17" bestFit="1" customWidth="1"/>
    <col min="5" max="5" width="18.42578125" bestFit="1" customWidth="1"/>
    <col min="6" max="12" width="10.42578125" bestFit="1" customWidth="1"/>
    <col min="13" max="13" width="14.140625" customWidth="1"/>
    <col min="14" max="14" width="10.42578125" bestFit="1" customWidth="1"/>
  </cols>
  <sheetData>
    <row r="1" spans="1:20" ht="25.5" customHeight="1" x14ac:dyDescent="0.2">
      <c r="A1" s="27" t="s">
        <v>47</v>
      </c>
      <c r="B1" s="23">
        <v>2012</v>
      </c>
      <c r="C1" s="23">
        <f t="shared" ref="C1:L1" si="0">B1+1</f>
        <v>2013</v>
      </c>
      <c r="D1" s="23">
        <f t="shared" si="0"/>
        <v>2014</v>
      </c>
      <c r="E1" s="32">
        <f t="shared" si="0"/>
        <v>2015</v>
      </c>
      <c r="F1" s="23">
        <f t="shared" si="0"/>
        <v>2016</v>
      </c>
      <c r="G1" s="32">
        <f t="shared" si="0"/>
        <v>2017</v>
      </c>
      <c r="H1" s="23">
        <f t="shared" si="0"/>
        <v>2018</v>
      </c>
      <c r="I1" s="32">
        <f t="shared" si="0"/>
        <v>2019</v>
      </c>
      <c r="J1" s="23">
        <f t="shared" si="0"/>
        <v>2020</v>
      </c>
      <c r="K1" s="32">
        <f t="shared" si="0"/>
        <v>2021</v>
      </c>
      <c r="L1" s="23">
        <f t="shared" si="0"/>
        <v>2022</v>
      </c>
      <c r="M1" s="66" t="s">
        <v>48</v>
      </c>
      <c r="N1" s="18"/>
      <c r="O1" s="18"/>
      <c r="P1" s="18"/>
      <c r="Q1" s="18"/>
      <c r="R1" s="18"/>
      <c r="S1" s="18"/>
      <c r="T1" s="18"/>
    </row>
    <row r="2" spans="1:20" x14ac:dyDescent="0.2">
      <c r="A2" s="18"/>
      <c r="B2" s="51"/>
      <c r="C2" s="51"/>
      <c r="D2" s="51"/>
      <c r="E2" s="16"/>
      <c r="F2" s="39"/>
      <c r="G2" s="39"/>
      <c r="H2" s="39"/>
      <c r="I2" s="39"/>
      <c r="J2" s="39"/>
      <c r="K2" s="39"/>
      <c r="L2" s="39"/>
      <c r="M2" s="66"/>
      <c r="N2" s="18"/>
      <c r="O2" s="18"/>
      <c r="P2" s="18"/>
      <c r="Q2" s="18"/>
      <c r="R2" s="18"/>
      <c r="S2" s="18"/>
      <c r="T2" s="18"/>
    </row>
    <row r="3" spans="1:20" x14ac:dyDescent="0.2">
      <c r="A3" s="13" t="s">
        <v>49</v>
      </c>
      <c r="B3" s="12"/>
      <c r="C3" s="12"/>
      <c r="D3" s="12"/>
      <c r="E3" s="2"/>
      <c r="F3" s="31"/>
      <c r="G3" s="31"/>
      <c r="H3" s="31"/>
      <c r="I3" s="31"/>
      <c r="J3" s="31"/>
      <c r="K3" s="31"/>
      <c r="L3" s="31"/>
      <c r="M3" s="18"/>
      <c r="N3" s="18"/>
      <c r="O3" s="18"/>
      <c r="P3" s="18"/>
      <c r="Q3" s="18"/>
      <c r="R3" s="18"/>
      <c r="S3" s="18"/>
      <c r="T3" s="18"/>
    </row>
    <row r="4" spans="1:20" x14ac:dyDescent="0.2">
      <c r="A4" s="18" t="s">
        <v>50</v>
      </c>
      <c r="B4" s="12">
        <f>(Assumptions!B16*Assumptions!B17)*52</f>
        <v>72800</v>
      </c>
      <c r="C4" s="12">
        <f t="shared" ref="C4:L4" si="1">B4*(1+$M4)</f>
        <v>74984</v>
      </c>
      <c r="D4" s="12">
        <f t="shared" si="1"/>
        <v>77233.52</v>
      </c>
      <c r="E4" s="12">
        <f t="shared" si="1"/>
        <v>79550.525600000008</v>
      </c>
      <c r="F4" s="12">
        <f t="shared" si="1"/>
        <v>81937.041368000006</v>
      </c>
      <c r="G4" s="12">
        <f t="shared" si="1"/>
        <v>84395.152609040015</v>
      </c>
      <c r="H4" s="12">
        <f t="shared" si="1"/>
        <v>86927.007187311217</v>
      </c>
      <c r="I4" s="12">
        <f t="shared" si="1"/>
        <v>89534.817402930552</v>
      </c>
      <c r="J4" s="12">
        <f t="shared" si="1"/>
        <v>92220.861925018471</v>
      </c>
      <c r="K4" s="12">
        <f t="shared" si="1"/>
        <v>94987.487782769022</v>
      </c>
      <c r="L4" s="12">
        <f t="shared" si="1"/>
        <v>97837.112416252101</v>
      </c>
      <c r="M4" s="25">
        <v>0.03</v>
      </c>
      <c r="N4" s="18"/>
      <c r="O4" s="18"/>
      <c r="P4" s="18"/>
      <c r="Q4" s="18"/>
      <c r="R4" s="18"/>
      <c r="S4" s="18"/>
      <c r="T4" s="18"/>
    </row>
    <row r="5" spans="1:20" x14ac:dyDescent="0.2">
      <c r="A5" s="18" t="s">
        <v>51</v>
      </c>
      <c r="B5" s="12">
        <f>SUM(Assumptions!B28:B30)</f>
        <v>106870.40000000002</v>
      </c>
      <c r="C5" s="12">
        <f>SUM(Assumptions!C28:C30)</f>
        <v>110076.51200000003</v>
      </c>
      <c r="D5" s="12">
        <f>SUM(Assumptions!D28:D30)</f>
        <v>113378.80736000004</v>
      </c>
      <c r="E5" s="12">
        <f>SUM(Assumptions!E28:E30)</f>
        <v>116780.17158080003</v>
      </c>
      <c r="F5" s="12">
        <f>SUM(Assumptions!F28:F30)</f>
        <v>120283.57672822403</v>
      </c>
      <c r="G5" s="12">
        <f>SUM(Assumptions!G28:G30)</f>
        <v>123892.08403007076</v>
      </c>
      <c r="H5" s="12">
        <f>SUM(Assumptions!H28:H30)</f>
        <v>127608.8465509729</v>
      </c>
      <c r="I5" s="12">
        <f>SUM(Assumptions!I28:I30)</f>
        <v>131437.11194750207</v>
      </c>
      <c r="J5" s="12">
        <f>SUM(Assumptions!J28:J30)</f>
        <v>135380.22530592713</v>
      </c>
      <c r="K5" s="12">
        <f>SUM(Assumptions!K28:K30)</f>
        <v>139441.63206510493</v>
      </c>
      <c r="L5" s="12">
        <f>SUM(Assumptions!L28:L30)</f>
        <v>143624.88102705812</v>
      </c>
      <c r="M5" s="25"/>
      <c r="N5" s="18"/>
      <c r="O5" s="18"/>
      <c r="P5" s="18"/>
      <c r="Q5" s="18"/>
      <c r="R5" s="18"/>
      <c r="S5" s="18"/>
      <c r="T5" s="18"/>
    </row>
    <row r="6" spans="1:20" x14ac:dyDescent="0.2">
      <c r="A6" s="18" t="s">
        <v>52</v>
      </c>
      <c r="B6" s="12">
        <f>((Assumptions!$B$16*Assumptions!$B$18)*52)*(1+$M$6)</f>
        <v>54080</v>
      </c>
      <c r="C6" s="12">
        <f t="shared" ref="C6:L6" si="2">B6+(B6*$M$6)</f>
        <v>56243.199999999997</v>
      </c>
      <c r="D6" s="12">
        <f t="shared" si="2"/>
        <v>58492.928</v>
      </c>
      <c r="E6" s="12">
        <f t="shared" si="2"/>
        <v>60832.645120000001</v>
      </c>
      <c r="F6" s="12">
        <f t="shared" si="2"/>
        <v>63265.950924800003</v>
      </c>
      <c r="G6" s="12">
        <f t="shared" si="2"/>
        <v>65796.588961792004</v>
      </c>
      <c r="H6" s="12">
        <f t="shared" si="2"/>
        <v>68428.452520263687</v>
      </c>
      <c r="I6" s="12">
        <f t="shared" si="2"/>
        <v>71165.59062107424</v>
      </c>
      <c r="J6" s="12">
        <f t="shared" si="2"/>
        <v>74012.214245917203</v>
      </c>
      <c r="K6" s="12">
        <f t="shared" si="2"/>
        <v>76972.702815753888</v>
      </c>
      <c r="L6" s="12">
        <f t="shared" si="2"/>
        <v>80051.610928384049</v>
      </c>
      <c r="M6" s="58">
        <v>0.04</v>
      </c>
      <c r="N6" s="18"/>
      <c r="O6" s="18"/>
      <c r="P6" s="18"/>
      <c r="Q6" s="18"/>
      <c r="R6" s="18"/>
      <c r="S6" s="18"/>
      <c r="T6" s="18"/>
    </row>
    <row r="7" spans="1:20" x14ac:dyDescent="0.2">
      <c r="A7" s="1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18"/>
      <c r="N7" s="18"/>
      <c r="O7" s="18"/>
      <c r="P7" s="18"/>
      <c r="Q7" s="18"/>
      <c r="R7" s="18"/>
      <c r="S7" s="18"/>
      <c r="T7" s="18"/>
    </row>
    <row r="8" spans="1:20" x14ac:dyDescent="0.2">
      <c r="A8" s="44" t="s">
        <v>53</v>
      </c>
      <c r="B8" s="46">
        <f t="shared" ref="B8:L8" si="3">SUM(B4:B7)</f>
        <v>233750.40000000002</v>
      </c>
      <c r="C8" s="46">
        <f t="shared" si="3"/>
        <v>241303.71200000006</v>
      </c>
      <c r="D8" s="46">
        <f t="shared" si="3"/>
        <v>249105.25536000007</v>
      </c>
      <c r="E8" s="46">
        <f t="shared" si="3"/>
        <v>257163.34230080002</v>
      </c>
      <c r="F8" s="46">
        <f t="shared" si="3"/>
        <v>265486.56902102404</v>
      </c>
      <c r="G8" s="46">
        <f t="shared" si="3"/>
        <v>274083.82560090278</v>
      </c>
      <c r="H8" s="46">
        <f t="shared" si="3"/>
        <v>282964.30625854782</v>
      </c>
      <c r="I8" s="46">
        <f t="shared" si="3"/>
        <v>292137.51997150684</v>
      </c>
      <c r="J8" s="46">
        <f t="shared" si="3"/>
        <v>301613.30147686281</v>
      </c>
      <c r="K8" s="46">
        <f t="shared" si="3"/>
        <v>311401.82266362786</v>
      </c>
      <c r="L8" s="46">
        <f t="shared" si="3"/>
        <v>321513.60437169427</v>
      </c>
      <c r="M8" s="18"/>
      <c r="N8" s="18"/>
      <c r="O8" s="18"/>
      <c r="P8" s="18"/>
      <c r="Q8" s="18"/>
      <c r="R8" s="18"/>
      <c r="S8" s="18"/>
      <c r="T8" s="18"/>
    </row>
    <row r="9" spans="1:20" x14ac:dyDescent="0.2">
      <c r="A9" s="18"/>
      <c r="B9" s="12"/>
      <c r="C9" s="12"/>
      <c r="D9" s="12"/>
      <c r="E9" s="2"/>
      <c r="F9" s="31"/>
      <c r="G9" s="31"/>
      <c r="H9" s="31"/>
      <c r="I9" s="31"/>
      <c r="J9" s="31"/>
      <c r="K9" s="31"/>
      <c r="L9" s="31"/>
      <c r="M9" s="18"/>
      <c r="N9" s="18"/>
      <c r="O9" s="18"/>
      <c r="P9" s="18"/>
      <c r="Q9" s="18"/>
      <c r="R9" s="18"/>
      <c r="S9" s="18"/>
      <c r="T9" s="18"/>
    </row>
    <row r="10" spans="1:20" x14ac:dyDescent="0.2">
      <c r="A10" s="13" t="s">
        <v>54</v>
      </c>
      <c r="B10" s="12"/>
      <c r="C10" s="12"/>
      <c r="D10" s="12"/>
      <c r="E10" s="2"/>
      <c r="F10" s="31"/>
      <c r="G10" s="31"/>
      <c r="H10" s="31"/>
      <c r="I10" s="31"/>
      <c r="J10" s="31"/>
      <c r="K10" s="31"/>
      <c r="L10" s="31"/>
      <c r="N10" s="18"/>
      <c r="O10" s="18"/>
      <c r="P10" s="18"/>
      <c r="Q10" s="18"/>
      <c r="R10" s="18"/>
      <c r="S10" s="18"/>
      <c r="T10" s="18"/>
    </row>
    <row r="11" spans="1:20" x14ac:dyDescent="0.2">
      <c r="A11" s="18" t="s">
        <v>55</v>
      </c>
      <c r="B11" s="12">
        <f t="shared" ref="B11:L11" si="4">B6*$M$11</f>
        <v>25810.909090909092</v>
      </c>
      <c r="C11" s="12">
        <f t="shared" si="4"/>
        <v>26843.345454545455</v>
      </c>
      <c r="D11" s="12">
        <f t="shared" si="4"/>
        <v>27917.079272727275</v>
      </c>
      <c r="E11" s="12">
        <f t="shared" si="4"/>
        <v>29033.762443636366</v>
      </c>
      <c r="F11" s="12">
        <f t="shared" si="4"/>
        <v>30195.11294138182</v>
      </c>
      <c r="G11" s="12">
        <f t="shared" si="4"/>
        <v>31402.917459037093</v>
      </c>
      <c r="H11" s="12">
        <f t="shared" si="4"/>
        <v>32659.034157398579</v>
      </c>
      <c r="I11" s="12">
        <f t="shared" si="4"/>
        <v>33965.395523694526</v>
      </c>
      <c r="J11" s="12">
        <f t="shared" si="4"/>
        <v>35324.011344642306</v>
      </c>
      <c r="K11" s="12">
        <f t="shared" si="4"/>
        <v>36736.971798427992</v>
      </c>
      <c r="L11" s="12">
        <f t="shared" si="4"/>
        <v>38206.450670365113</v>
      </c>
      <c r="M11" s="58">
        <f>((Assumptions!E14/Assumptions!F14)+(Assumptions!E15/Assumptions!F15))/2</f>
        <v>0.47727272727272729</v>
      </c>
      <c r="N11" s="18" t="s">
        <v>56</v>
      </c>
      <c r="O11" s="18"/>
      <c r="P11" s="18"/>
      <c r="Q11" s="18"/>
      <c r="R11" s="18"/>
      <c r="S11" s="18"/>
      <c r="T11" s="18"/>
    </row>
    <row r="12" spans="1:20" x14ac:dyDescent="0.2">
      <c r="A12" s="18" t="s">
        <v>57</v>
      </c>
      <c r="B12" s="12">
        <f>Amoritization!D6</f>
        <v>28595.935813313044</v>
      </c>
      <c r="C12" s="12">
        <f>Amoritization!D7</f>
        <v>27994.870422947723</v>
      </c>
      <c r="D12" s="12">
        <f>Amoritization!D8</f>
        <v>27375.773070871437</v>
      </c>
      <c r="E12" s="12">
        <f>Amoritization!D9</f>
        <v>26738.102798232863</v>
      </c>
      <c r="F12" s="12">
        <f>Amoritization!D10</f>
        <v>26081.302417415136</v>
      </c>
      <c r="G12" s="12">
        <f>Amoritization!D11</f>
        <v>25404.798025172877</v>
      </c>
      <c r="H12" s="12">
        <f>Amoritization!D12</f>
        <v>24707.998501163347</v>
      </c>
      <c r="I12" s="12">
        <f>Amoritization!D13</f>
        <v>23990.29499143353</v>
      </c>
      <c r="J12" s="12">
        <f>Amoritization!D14</f>
        <v>23251.06037641182</v>
      </c>
      <c r="K12" s="12">
        <f>Amoritization!D15</f>
        <v>22489.648722939459</v>
      </c>
      <c r="L12" s="12">
        <f>Amoritization!D16</f>
        <v>21705.394719862925</v>
      </c>
      <c r="M12" s="18"/>
      <c r="N12" s="18"/>
      <c r="O12" s="18"/>
      <c r="P12" s="18"/>
      <c r="Q12" s="18"/>
      <c r="R12" s="18"/>
      <c r="S12" s="18"/>
      <c r="T12" s="18"/>
    </row>
    <row r="13" spans="1:20" x14ac:dyDescent="0.2">
      <c r="A13" s="31" t="s">
        <v>58</v>
      </c>
      <c r="B13" s="12">
        <f t="shared" ref="B13:L13" si="5">(B4+B5)*$M$13</f>
        <v>-8983.5200000000023</v>
      </c>
      <c r="C13" s="12">
        <f t="shared" si="5"/>
        <v>-9253.0256000000027</v>
      </c>
      <c r="D13" s="12">
        <f t="shared" si="5"/>
        <v>-9530.6163680000027</v>
      </c>
      <c r="E13" s="12">
        <f t="shared" si="5"/>
        <v>-9816.5348590400008</v>
      </c>
      <c r="F13" s="12">
        <f t="shared" si="5"/>
        <v>-10111.030904811203</v>
      </c>
      <c r="G13" s="12">
        <f t="shared" si="5"/>
        <v>-10414.361831955539</v>
      </c>
      <c r="H13" s="12">
        <f t="shared" si="5"/>
        <v>-10726.792686914207</v>
      </c>
      <c r="I13" s="12">
        <f t="shared" si="5"/>
        <v>-11048.596467521631</v>
      </c>
      <c r="J13" s="12">
        <f t="shared" si="5"/>
        <v>-11380.05436154728</v>
      </c>
      <c r="K13" s="12">
        <f t="shared" si="5"/>
        <v>-11721.455992393698</v>
      </c>
      <c r="L13" s="12">
        <f t="shared" si="5"/>
        <v>-12073.09967216551</v>
      </c>
      <c r="M13" s="58">
        <v>-0.05</v>
      </c>
      <c r="N13" s="18"/>
      <c r="O13" s="18"/>
      <c r="P13" s="18"/>
      <c r="Q13" s="18"/>
      <c r="R13" s="18"/>
      <c r="S13" s="18"/>
      <c r="T13" s="18"/>
    </row>
    <row r="14" spans="1:20" x14ac:dyDescent="0.2">
      <c r="A14" s="18" t="s">
        <v>59</v>
      </c>
      <c r="B14" s="12">
        <f>B50*Assumptions!$B$23</f>
        <v>0</v>
      </c>
      <c r="C14" s="12">
        <f>C50*Assumptions!$B$23</f>
        <v>0</v>
      </c>
      <c r="D14" s="12">
        <f>D50*Assumptions!$B$23</f>
        <v>0</v>
      </c>
      <c r="E14" s="12">
        <f>E50*Assumptions!$B$23</f>
        <v>0</v>
      </c>
      <c r="F14" s="12">
        <f>F50*Assumptions!$B$23</f>
        <v>0</v>
      </c>
      <c r="G14" s="12">
        <f>G50*Assumptions!$B$23</f>
        <v>0</v>
      </c>
      <c r="H14" s="12">
        <f>H50*Assumptions!$B$23</f>
        <v>0</v>
      </c>
      <c r="I14" s="12">
        <f>I50*Assumptions!$B$23</f>
        <v>0</v>
      </c>
      <c r="J14" s="12">
        <f>J50*Assumptions!$B$23</f>
        <v>0</v>
      </c>
      <c r="K14" s="12">
        <f>K50*Assumptions!$B$23</f>
        <v>0</v>
      </c>
      <c r="L14" s="12">
        <f>L50*Assumptions!$B$23</f>
        <v>0</v>
      </c>
      <c r="M14" s="18"/>
      <c r="N14" s="18"/>
      <c r="O14" s="18"/>
      <c r="P14" s="18"/>
      <c r="Q14" s="18"/>
      <c r="R14" s="18"/>
      <c r="S14" s="18"/>
      <c r="T14" s="18"/>
    </row>
    <row r="15" spans="1:20" x14ac:dyDescent="0.2">
      <c r="A15" s="7" t="s">
        <v>60</v>
      </c>
      <c r="B15" s="59">
        <f>Assumptions!B21</f>
        <v>8000</v>
      </c>
      <c r="C15" s="59">
        <f t="shared" ref="C15:L15" si="6">B15*(1+$M$15)</f>
        <v>8119.9999999999991</v>
      </c>
      <c r="D15" s="59">
        <f t="shared" si="6"/>
        <v>8241.7999999999975</v>
      </c>
      <c r="E15" s="59">
        <f t="shared" si="6"/>
        <v>8365.426999999996</v>
      </c>
      <c r="F15" s="59">
        <f t="shared" si="6"/>
        <v>8490.9084049999947</v>
      </c>
      <c r="G15" s="59">
        <f t="shared" si="6"/>
        <v>8618.2720310749937</v>
      </c>
      <c r="H15" s="59">
        <f t="shared" si="6"/>
        <v>8747.5461115411181</v>
      </c>
      <c r="I15" s="59">
        <f t="shared" si="6"/>
        <v>8878.759303214234</v>
      </c>
      <c r="J15" s="59">
        <f t="shared" si="6"/>
        <v>9011.9406927624459</v>
      </c>
      <c r="K15" s="59">
        <f t="shared" si="6"/>
        <v>9147.1198031538825</v>
      </c>
      <c r="L15" s="59">
        <f t="shared" si="6"/>
        <v>9284.3266002011896</v>
      </c>
      <c r="M15" s="47">
        <v>1.4999999999999999E-2</v>
      </c>
      <c r="N15" s="7"/>
      <c r="O15" s="7"/>
      <c r="P15" s="7"/>
      <c r="Q15" s="7"/>
      <c r="R15" s="7"/>
      <c r="S15" s="7"/>
      <c r="T15" s="7"/>
    </row>
    <row r="16" spans="1:20" x14ac:dyDescent="0.2">
      <c r="A16" s="7" t="s">
        <v>61</v>
      </c>
      <c r="B16" s="59">
        <f>Assumptions!B20</f>
        <v>32760</v>
      </c>
      <c r="C16" s="59">
        <f t="shared" ref="C16:L16" si="7">B16*(1+$M$16)</f>
        <v>33087.599999999999</v>
      </c>
      <c r="D16" s="59">
        <f t="shared" si="7"/>
        <v>33418.476000000002</v>
      </c>
      <c r="E16" s="59">
        <f t="shared" si="7"/>
        <v>33752.660760000006</v>
      </c>
      <c r="F16" s="59">
        <f t="shared" si="7"/>
        <v>34090.187367600003</v>
      </c>
      <c r="G16" s="59">
        <f t="shared" si="7"/>
        <v>34431.089241276</v>
      </c>
      <c r="H16" s="59">
        <f t="shared" si="7"/>
        <v>34775.40013368876</v>
      </c>
      <c r="I16" s="59">
        <f t="shared" si="7"/>
        <v>35123.154135025645</v>
      </c>
      <c r="J16" s="59">
        <f t="shared" si="7"/>
        <v>35474.385676375903</v>
      </c>
      <c r="K16" s="59">
        <f t="shared" si="7"/>
        <v>35829.129533139661</v>
      </c>
      <c r="L16" s="59">
        <f t="shared" si="7"/>
        <v>36187.420828471055</v>
      </c>
      <c r="M16" s="47">
        <v>0.01</v>
      </c>
      <c r="N16" s="7"/>
      <c r="O16" s="7"/>
      <c r="P16" s="7"/>
      <c r="Q16" s="7"/>
      <c r="R16" s="7"/>
      <c r="S16" s="7"/>
      <c r="T16" s="7"/>
    </row>
    <row r="17" spans="1:20" x14ac:dyDescent="0.2">
      <c r="A17" s="18"/>
      <c r="B17" s="12"/>
      <c r="C17" s="12"/>
      <c r="D17" s="12"/>
      <c r="E17" s="1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x14ac:dyDescent="0.2">
      <c r="A18" s="11" t="s">
        <v>62</v>
      </c>
      <c r="B18" s="12">
        <f>B5*Assumptions!$E$5</f>
        <v>58778.720000000016</v>
      </c>
      <c r="C18" s="12">
        <f>C5*Assumptions!$E$5</f>
        <v>60542.08160000002</v>
      </c>
      <c r="D18" s="12">
        <f>D5*Assumptions!$E$5</f>
        <v>62358.344048000021</v>
      </c>
      <c r="E18" s="12">
        <f>E5*Assumptions!$E$5</f>
        <v>64229.094369440019</v>
      </c>
      <c r="F18" s="12">
        <f>F5*Assumptions!$E$5</f>
        <v>66155.967200523213</v>
      </c>
      <c r="G18" s="12">
        <f>G5*Assumptions!$E$5</f>
        <v>68140.646216538924</v>
      </c>
      <c r="H18" s="12">
        <f>H5*Assumptions!$E$5</f>
        <v>70184.865603035098</v>
      </c>
      <c r="I18" s="12">
        <f>I5*Assumptions!$E$5</f>
        <v>72290.41157112614</v>
      </c>
      <c r="J18" s="12">
        <f>J5*Assumptions!$E$5</f>
        <v>74459.123918259924</v>
      </c>
      <c r="K18" s="12">
        <f>K5*Assumptions!$E$5</f>
        <v>76692.89763580772</v>
      </c>
      <c r="L18" s="12">
        <f>L5*Assumptions!$E$5</f>
        <v>78993.684564881973</v>
      </c>
      <c r="M18" s="18"/>
      <c r="N18" s="18"/>
      <c r="O18" s="18"/>
      <c r="P18" s="18"/>
      <c r="Q18" s="18"/>
      <c r="R18" s="18"/>
      <c r="S18" s="18"/>
      <c r="T18" s="18"/>
    </row>
    <row r="19" spans="1:20" x14ac:dyDescent="0.2">
      <c r="A19" s="18" t="s">
        <v>63</v>
      </c>
      <c r="B19" s="12">
        <v>4000</v>
      </c>
      <c r="C19" s="12">
        <f t="shared" ref="C19:L19" si="8">B19</f>
        <v>4000</v>
      </c>
      <c r="D19" s="12">
        <f t="shared" si="8"/>
        <v>4000</v>
      </c>
      <c r="E19" s="12">
        <f t="shared" si="8"/>
        <v>4000</v>
      </c>
      <c r="F19" s="12">
        <f t="shared" si="8"/>
        <v>4000</v>
      </c>
      <c r="G19" s="12">
        <f t="shared" si="8"/>
        <v>4000</v>
      </c>
      <c r="H19" s="12">
        <f t="shared" si="8"/>
        <v>4000</v>
      </c>
      <c r="I19" s="12">
        <f t="shared" si="8"/>
        <v>4000</v>
      </c>
      <c r="J19" s="12">
        <f t="shared" si="8"/>
        <v>4000</v>
      </c>
      <c r="K19" s="12">
        <f t="shared" si="8"/>
        <v>4000</v>
      </c>
      <c r="L19" s="12">
        <f t="shared" si="8"/>
        <v>4000</v>
      </c>
      <c r="M19" s="18"/>
      <c r="N19" s="18"/>
      <c r="O19" s="18"/>
      <c r="P19" s="18"/>
      <c r="Q19" s="18"/>
      <c r="R19" s="18"/>
      <c r="S19" s="18"/>
      <c r="T19" s="18"/>
    </row>
    <row r="20" spans="1:20" x14ac:dyDescent="0.2">
      <c r="A20" s="18" t="s">
        <v>64</v>
      </c>
      <c r="B20" s="12">
        <f>200*12</f>
        <v>2400</v>
      </c>
      <c r="C20" s="12">
        <f t="shared" ref="C20:L20" si="9">B20</f>
        <v>2400</v>
      </c>
      <c r="D20" s="12">
        <f t="shared" si="9"/>
        <v>2400</v>
      </c>
      <c r="E20" s="12">
        <f t="shared" si="9"/>
        <v>2400</v>
      </c>
      <c r="F20" s="12">
        <f t="shared" si="9"/>
        <v>2400</v>
      </c>
      <c r="G20" s="12">
        <f t="shared" si="9"/>
        <v>2400</v>
      </c>
      <c r="H20" s="12">
        <f t="shared" si="9"/>
        <v>2400</v>
      </c>
      <c r="I20" s="12">
        <f t="shared" si="9"/>
        <v>2400</v>
      </c>
      <c r="J20" s="12">
        <f t="shared" si="9"/>
        <v>2400</v>
      </c>
      <c r="K20" s="12">
        <f t="shared" si="9"/>
        <v>2400</v>
      </c>
      <c r="L20" s="12">
        <f t="shared" si="9"/>
        <v>2400</v>
      </c>
      <c r="M20" s="18"/>
      <c r="N20" s="18"/>
      <c r="O20" s="18"/>
      <c r="P20" s="18"/>
      <c r="Q20" s="18"/>
      <c r="R20" s="18"/>
      <c r="S20" s="18"/>
      <c r="T20" s="18"/>
    </row>
    <row r="21" spans="1:20" x14ac:dyDescent="0.2">
      <c r="A21" s="18" t="s">
        <v>65</v>
      </c>
      <c r="B21" s="12">
        <f>B40/Assumptions!$B$22</f>
        <v>34575</v>
      </c>
      <c r="C21" s="12">
        <f>C40/Assumptions!$B$22</f>
        <v>34575</v>
      </c>
      <c r="D21" s="12">
        <f>D40/Assumptions!$B$22</f>
        <v>34575</v>
      </c>
      <c r="E21" s="12">
        <f>E40/Assumptions!$B$22</f>
        <v>34575</v>
      </c>
      <c r="F21" s="12">
        <f>F40/Assumptions!$B$22</f>
        <v>34575</v>
      </c>
      <c r="G21" s="12">
        <f>G40/Assumptions!$B$22</f>
        <v>34575</v>
      </c>
      <c r="H21" s="12">
        <f>H40/Assumptions!$B$22</f>
        <v>34575</v>
      </c>
      <c r="I21" s="12">
        <f>I40/Assumptions!$B$22</f>
        <v>34575</v>
      </c>
      <c r="J21" s="12">
        <f>J40/Assumptions!$B$22</f>
        <v>34575</v>
      </c>
      <c r="K21" s="12">
        <f>K40/Assumptions!$B$22</f>
        <v>34575</v>
      </c>
      <c r="L21" s="12">
        <f>L40/Assumptions!$B$22</f>
        <v>34575</v>
      </c>
      <c r="M21" s="18"/>
      <c r="N21" s="18"/>
      <c r="O21" s="18"/>
      <c r="P21" s="18"/>
      <c r="Q21" s="18"/>
      <c r="R21" s="18"/>
      <c r="S21" s="18"/>
      <c r="T21" s="18"/>
    </row>
    <row r="22" spans="1:20" x14ac:dyDescent="0.2">
      <c r="A22" s="18" t="s">
        <v>66</v>
      </c>
      <c r="B22" s="12">
        <f>ABS(Amoritization!F3)</f>
        <v>48631.44882549053</v>
      </c>
      <c r="C22" s="12">
        <f t="shared" ref="C22:L22" si="10">B22</f>
        <v>48631.44882549053</v>
      </c>
      <c r="D22" s="12">
        <f t="shared" si="10"/>
        <v>48631.44882549053</v>
      </c>
      <c r="E22" s="12">
        <f t="shared" si="10"/>
        <v>48631.44882549053</v>
      </c>
      <c r="F22" s="12">
        <f t="shared" si="10"/>
        <v>48631.44882549053</v>
      </c>
      <c r="G22" s="12">
        <f t="shared" si="10"/>
        <v>48631.44882549053</v>
      </c>
      <c r="H22" s="12">
        <f t="shared" si="10"/>
        <v>48631.44882549053</v>
      </c>
      <c r="I22" s="12">
        <f t="shared" si="10"/>
        <v>48631.44882549053</v>
      </c>
      <c r="J22" s="12">
        <f t="shared" si="10"/>
        <v>48631.44882549053</v>
      </c>
      <c r="K22" s="12">
        <f t="shared" si="10"/>
        <v>48631.44882549053</v>
      </c>
      <c r="L22" s="12">
        <f t="shared" si="10"/>
        <v>48631.44882549053</v>
      </c>
      <c r="M22" s="12"/>
      <c r="N22" s="12"/>
      <c r="O22" s="12"/>
      <c r="P22" s="12"/>
      <c r="Q22" s="18"/>
      <c r="R22" s="18"/>
      <c r="S22" s="18"/>
      <c r="T22" s="18"/>
    </row>
    <row r="23" spans="1:20" x14ac:dyDescent="0.2">
      <c r="A23" s="18"/>
      <c r="B23" s="57"/>
      <c r="C23" s="57"/>
      <c r="D23" s="57"/>
      <c r="E23" s="34"/>
      <c r="F23" s="34"/>
      <c r="G23" s="34"/>
      <c r="H23" s="34"/>
      <c r="I23" s="34"/>
      <c r="J23" s="34"/>
      <c r="K23" s="34"/>
      <c r="L23" s="34"/>
      <c r="M23" s="18"/>
      <c r="N23" s="18"/>
      <c r="O23" s="18"/>
      <c r="P23" s="18"/>
      <c r="Q23" s="18"/>
      <c r="R23" s="18"/>
      <c r="S23" s="18"/>
      <c r="T23" s="18"/>
    </row>
    <row r="24" spans="1:20" x14ac:dyDescent="0.2">
      <c r="A24" s="44" t="s">
        <v>67</v>
      </c>
      <c r="B24" s="46">
        <f t="shared" ref="B24:L24" si="11">SUM(B11:B23)</f>
        <v>234568.49372971267</v>
      </c>
      <c r="C24" s="46">
        <f t="shared" si="11"/>
        <v>236941.32070298371</v>
      </c>
      <c r="D24" s="46">
        <f t="shared" si="11"/>
        <v>239387.30484908924</v>
      </c>
      <c r="E24" s="46">
        <f t="shared" si="11"/>
        <v>241908.9613377598</v>
      </c>
      <c r="F24" s="46">
        <f t="shared" si="11"/>
        <v>244508.89625259949</v>
      </c>
      <c r="G24" s="46">
        <f t="shared" si="11"/>
        <v>247189.8099666349</v>
      </c>
      <c r="H24" s="46">
        <f t="shared" si="11"/>
        <v>249954.50064540323</v>
      </c>
      <c r="I24" s="46">
        <f t="shared" si="11"/>
        <v>252805.86788246298</v>
      </c>
      <c r="J24" s="46">
        <f t="shared" si="11"/>
        <v>255746.91647239565</v>
      </c>
      <c r="K24" s="46">
        <f t="shared" si="11"/>
        <v>258780.76032656553</v>
      </c>
      <c r="L24" s="46">
        <f t="shared" si="11"/>
        <v>261910.62653710728</v>
      </c>
      <c r="M24" s="18"/>
      <c r="N24" s="18"/>
      <c r="O24" s="18"/>
      <c r="P24" s="18"/>
      <c r="Q24" s="18"/>
      <c r="R24" s="18"/>
      <c r="S24" s="18"/>
      <c r="T24" s="18"/>
    </row>
    <row r="25" spans="1:20" x14ac:dyDescent="0.2">
      <c r="A25" s="18"/>
      <c r="B25" s="12"/>
      <c r="C25" s="12"/>
      <c r="D25" s="12"/>
      <c r="E25" s="2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x14ac:dyDescent="0.2">
      <c r="A26" s="18" t="s">
        <v>68</v>
      </c>
      <c r="B26" s="12">
        <f t="shared" ref="B26:L26" si="12">B8-B24</f>
        <v>-818.09372971265111</v>
      </c>
      <c r="C26" s="12">
        <f t="shared" si="12"/>
        <v>4362.391297016351</v>
      </c>
      <c r="D26" s="12">
        <f t="shared" si="12"/>
        <v>9717.9505109108286</v>
      </c>
      <c r="E26" s="12">
        <f t="shared" si="12"/>
        <v>15254.380963040225</v>
      </c>
      <c r="F26" s="12">
        <f t="shared" si="12"/>
        <v>20977.672768424556</v>
      </c>
      <c r="G26" s="12">
        <f t="shared" si="12"/>
        <v>26894.015634267882</v>
      </c>
      <c r="H26" s="12">
        <f t="shared" si="12"/>
        <v>33009.805613144592</v>
      </c>
      <c r="I26" s="12">
        <f t="shared" si="12"/>
        <v>39331.65208904387</v>
      </c>
      <c r="J26" s="12">
        <f t="shared" si="12"/>
        <v>45866.385004467156</v>
      </c>
      <c r="K26" s="12">
        <f t="shared" si="12"/>
        <v>52621.062337062322</v>
      </c>
      <c r="L26" s="12">
        <f t="shared" si="12"/>
        <v>59602.977834586985</v>
      </c>
      <c r="M26" s="18"/>
      <c r="N26" s="18"/>
      <c r="O26" s="18"/>
      <c r="P26" s="18"/>
      <c r="Q26" s="18"/>
      <c r="R26" s="18"/>
      <c r="S26" s="18"/>
      <c r="T26" s="18"/>
    </row>
    <row r="27" spans="1:20" x14ac:dyDescent="0.2">
      <c r="A27" s="18" t="s">
        <v>69</v>
      </c>
      <c r="B27" s="57">
        <f>IF((B26&lt;0),0,(B26*Assumptions!$B$19))</f>
        <v>0</v>
      </c>
      <c r="C27" s="57">
        <f>IF((C26&lt;0),0,(C26*Assumptions!$B$19))</f>
        <v>1090.5978242540878</v>
      </c>
      <c r="D27" s="57">
        <f>IF((D26&lt;0),0,(D26*Assumptions!$B$19))</f>
        <v>2429.4876277277071</v>
      </c>
      <c r="E27" s="57">
        <f>IF((E26&lt;0),0,(E26*Assumptions!$B$19))</f>
        <v>3813.5952407600562</v>
      </c>
      <c r="F27" s="57">
        <f>IF((F26&lt;0),0,(F26*Assumptions!$B$19))</f>
        <v>5244.418192106139</v>
      </c>
      <c r="G27" s="57">
        <f>IF((G26&lt;0),0,(G26*Assumptions!$B$19))</f>
        <v>6723.5039085669705</v>
      </c>
      <c r="H27" s="57">
        <f>IF((H26&lt;0),0,(H26*Assumptions!$B$19))</f>
        <v>8252.451403286148</v>
      </c>
      <c r="I27" s="57">
        <f>IF((I26&lt;0),0,(I26*Assumptions!$B$19))</f>
        <v>9832.9130222609674</v>
      </c>
      <c r="J27" s="57">
        <f>IF((J26&lt;0),0,(J26*Assumptions!$B$19))</f>
        <v>11466.596251116789</v>
      </c>
      <c r="K27" s="57">
        <f>IF((K26&lt;0),0,(K26*Assumptions!$B$19))</f>
        <v>13155.26558426558</v>
      </c>
      <c r="L27" s="57">
        <f>IF((L26&lt;0),0,(L26*Assumptions!$B$19))</f>
        <v>14900.744458646746</v>
      </c>
      <c r="M27" s="18"/>
      <c r="N27" s="18"/>
      <c r="O27" s="18"/>
      <c r="P27" s="18"/>
      <c r="Q27" s="18"/>
      <c r="R27" s="18"/>
      <c r="S27" s="18"/>
      <c r="T27" s="18"/>
    </row>
    <row r="28" spans="1:20" x14ac:dyDescent="0.2">
      <c r="A28" s="18" t="s">
        <v>70</v>
      </c>
      <c r="B28" s="46">
        <f t="shared" ref="B28:L28" si="13">B26-B27</f>
        <v>-818.09372971265111</v>
      </c>
      <c r="C28" s="46">
        <f t="shared" si="13"/>
        <v>3271.7934727622633</v>
      </c>
      <c r="D28" s="46">
        <f t="shared" si="13"/>
        <v>7288.4628831831214</v>
      </c>
      <c r="E28" s="46">
        <f t="shared" si="13"/>
        <v>11440.785722280169</v>
      </c>
      <c r="F28" s="46">
        <f t="shared" si="13"/>
        <v>15733.254576318417</v>
      </c>
      <c r="G28" s="46">
        <f t="shared" si="13"/>
        <v>20170.511725700911</v>
      </c>
      <c r="H28" s="46">
        <f t="shared" si="13"/>
        <v>24757.354209858444</v>
      </c>
      <c r="I28" s="46">
        <f t="shared" si="13"/>
        <v>29498.739066782902</v>
      </c>
      <c r="J28" s="46">
        <f t="shared" si="13"/>
        <v>34399.788753350367</v>
      </c>
      <c r="K28" s="46">
        <f t="shared" si="13"/>
        <v>39465.796752796741</v>
      </c>
      <c r="L28" s="46">
        <f t="shared" si="13"/>
        <v>44702.233375940239</v>
      </c>
      <c r="M28" s="18"/>
      <c r="N28" s="18"/>
      <c r="O28" s="18"/>
      <c r="P28" s="18"/>
      <c r="Q28" s="18"/>
      <c r="R28" s="18"/>
      <c r="S28" s="18"/>
      <c r="T28" s="18"/>
    </row>
    <row r="29" spans="1:20" s="18" customFormat="1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20" s="18" customForma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20" s="18" customFormat="1" x14ac:dyDescent="0.2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20" x14ac:dyDescent="0.2">
      <c r="A32" s="18"/>
      <c r="B32" s="31"/>
      <c r="C32" s="31"/>
      <c r="D32" s="31"/>
      <c r="E32" s="19"/>
      <c r="F32" s="31"/>
      <c r="G32" s="31"/>
      <c r="H32" s="31"/>
      <c r="I32" s="31"/>
      <c r="J32" s="31"/>
      <c r="K32" s="31"/>
      <c r="L32" s="31"/>
      <c r="M32" s="18"/>
      <c r="N32" s="18"/>
      <c r="O32" s="18"/>
      <c r="P32" s="18"/>
      <c r="Q32" s="18"/>
      <c r="R32" s="18"/>
      <c r="S32" s="18"/>
      <c r="T32" s="18"/>
    </row>
    <row r="33" spans="1:20" x14ac:dyDescent="0.2">
      <c r="A33" s="27" t="s">
        <v>71</v>
      </c>
      <c r="B33" s="31"/>
      <c r="C33" s="31"/>
      <c r="D33" s="31"/>
      <c r="E33" s="19"/>
      <c r="F33" s="31"/>
      <c r="G33" s="31"/>
      <c r="H33" s="31"/>
      <c r="I33" s="31"/>
      <c r="J33" s="31"/>
      <c r="K33" s="31"/>
      <c r="L33" s="31"/>
      <c r="M33" s="18"/>
      <c r="N33" s="18"/>
      <c r="O33" s="18"/>
      <c r="P33" s="18"/>
      <c r="Q33" s="18"/>
      <c r="R33" s="18"/>
      <c r="S33" s="18"/>
      <c r="T33" s="18"/>
    </row>
    <row r="34" spans="1:20" x14ac:dyDescent="0.2">
      <c r="A34" s="13" t="s">
        <v>72</v>
      </c>
      <c r="B34" s="31"/>
      <c r="C34" s="31"/>
      <c r="D34" s="31"/>
      <c r="E34" s="19"/>
      <c r="F34" s="31"/>
      <c r="G34" s="31"/>
      <c r="H34" s="31"/>
      <c r="I34" s="31"/>
      <c r="J34" s="31"/>
      <c r="K34" s="31"/>
      <c r="L34" s="31"/>
      <c r="M34" s="18"/>
      <c r="N34" s="18"/>
      <c r="O34" s="18"/>
      <c r="P34" s="18"/>
      <c r="Q34" s="18"/>
      <c r="R34" s="18"/>
      <c r="S34" s="18"/>
      <c r="T34" s="18"/>
    </row>
    <row r="35" spans="1:20" x14ac:dyDescent="0.2">
      <c r="A35" s="18" t="s">
        <v>73</v>
      </c>
      <c r="B35" s="12">
        <v>2000</v>
      </c>
      <c r="C35" s="12">
        <f t="shared" ref="C35:L35" si="14">B35</f>
        <v>2000</v>
      </c>
      <c r="D35" s="12">
        <f t="shared" si="14"/>
        <v>2000</v>
      </c>
      <c r="E35" s="12">
        <f t="shared" si="14"/>
        <v>2000</v>
      </c>
      <c r="F35" s="12">
        <f t="shared" si="14"/>
        <v>2000</v>
      </c>
      <c r="G35" s="12">
        <f t="shared" si="14"/>
        <v>2000</v>
      </c>
      <c r="H35" s="12">
        <f t="shared" si="14"/>
        <v>2000</v>
      </c>
      <c r="I35" s="12">
        <f t="shared" si="14"/>
        <v>2000</v>
      </c>
      <c r="J35" s="12">
        <f t="shared" si="14"/>
        <v>2000</v>
      </c>
      <c r="K35" s="12">
        <f t="shared" si="14"/>
        <v>2000</v>
      </c>
      <c r="L35" s="12">
        <f t="shared" si="14"/>
        <v>2000</v>
      </c>
      <c r="M35" s="18"/>
      <c r="N35" s="18"/>
      <c r="O35" s="18"/>
      <c r="P35" s="18"/>
      <c r="Q35" s="18"/>
      <c r="R35" s="18"/>
      <c r="S35" s="18"/>
      <c r="T35" s="18"/>
    </row>
    <row r="36" spans="1:20" x14ac:dyDescent="0.2">
      <c r="A36" s="18" t="s">
        <v>74</v>
      </c>
      <c r="B36" s="12">
        <v>100746.7877220548</v>
      </c>
      <c r="C36" s="12">
        <v>117401.05500258712</v>
      </c>
      <c r="D36" s="12">
        <v>139107.94951389657</v>
      </c>
      <c r="E36" s="2">
        <v>164366.9325813117</v>
      </c>
      <c r="F36" s="12">
        <v>193300.26065184316</v>
      </c>
      <c r="G36" s="12">
        <v>226034.29979673005</v>
      </c>
      <c r="H36" s="12">
        <v>262699.66464442923</v>
      </c>
      <c r="I36" s="12">
        <v>303431.36208446691</v>
      </c>
      <c r="J36" s="12">
        <v>348368.93990912254</v>
      </c>
      <c r="K36" s="12">
        <v>397656.64056579629</v>
      </c>
      <c r="L36" s="43">
        <v>451443.56019904348</v>
      </c>
      <c r="M36" s="18"/>
      <c r="N36" s="18"/>
      <c r="O36" s="18"/>
      <c r="P36" s="18"/>
      <c r="Q36" s="18"/>
      <c r="R36" s="18"/>
      <c r="S36" s="18"/>
      <c r="T36" s="18"/>
    </row>
    <row r="37" spans="1:20" x14ac:dyDescent="0.2">
      <c r="A37" s="18" t="s">
        <v>75</v>
      </c>
      <c r="B37" s="12">
        <f>(B5/365)*Assumptions!$E$17</f>
        <v>5855.9123287671246</v>
      </c>
      <c r="C37" s="12">
        <f>(C5/365)*Assumptions!$E$17</f>
        <v>6031.5896986301395</v>
      </c>
      <c r="D37" s="12">
        <f>(D5/365)*Assumptions!$E$17</f>
        <v>6212.5373895890425</v>
      </c>
      <c r="E37" s="12">
        <f>(E5/365)*Assumptions!$E$17</f>
        <v>6398.9135112767144</v>
      </c>
      <c r="F37" s="12">
        <f>(F5/365)*Assumptions!$E$17</f>
        <v>6590.8809166150149</v>
      </c>
      <c r="G37" s="12">
        <f>(G5/365)*Assumptions!$E$17</f>
        <v>6788.6073441134668</v>
      </c>
      <c r="H37" s="12">
        <f>(H5/365)*Assumptions!$E$17</f>
        <v>6992.2655644368715</v>
      </c>
      <c r="I37" s="12">
        <f>(I5/365)*Assumptions!$E$17</f>
        <v>7202.0335313699761</v>
      </c>
      <c r="J37" s="12">
        <f>(J5/365)*Assumptions!$E$17</f>
        <v>7418.0945373110762</v>
      </c>
      <c r="K37" s="12">
        <f>(K5/365)*Assumptions!$E$17</f>
        <v>7640.6373734304079</v>
      </c>
      <c r="L37" s="12">
        <f>(L5/365)*Assumptions!$E$17</f>
        <v>7869.8564946333217</v>
      </c>
      <c r="M37" s="18"/>
      <c r="N37" s="18"/>
      <c r="O37" s="18"/>
      <c r="P37" s="18"/>
      <c r="Q37" s="18"/>
      <c r="R37" s="18"/>
      <c r="S37" s="18"/>
      <c r="T37" s="18"/>
    </row>
    <row r="38" spans="1:20" x14ac:dyDescent="0.2">
      <c r="A38" s="18" t="s">
        <v>76</v>
      </c>
      <c r="B38" s="12"/>
      <c r="C38" s="12">
        <f>(C11/365)*Assumptions!$B$24</f>
        <v>1470.8682440846826</v>
      </c>
      <c r="D38" s="12">
        <f>(D11/365)*Assumptions!$B$24</f>
        <v>1529.7029738480701</v>
      </c>
      <c r="E38" s="12">
        <f>(E11/365)*Assumptions!$B$24</f>
        <v>1590.8910928019927</v>
      </c>
      <c r="F38" s="12">
        <f>(F11/365)*Assumptions!$B$24</f>
        <v>1654.5267365140721</v>
      </c>
      <c r="G38" s="12">
        <f>(G11/365)*Assumptions!$B$24</f>
        <v>1720.707805974635</v>
      </c>
      <c r="H38" s="12">
        <f>(H11/365)*Assumptions!$B$24</f>
        <v>1789.5361182136207</v>
      </c>
      <c r="I38" s="12">
        <f>(I11/365)*Assumptions!$B$24</f>
        <v>1861.1175629421657</v>
      </c>
      <c r="J38" s="12">
        <f>(J11/365)*Assumptions!$B$24</f>
        <v>1935.5622654598524</v>
      </c>
      <c r="K38" s="12">
        <f>(K11/365)*Assumptions!$B$24</f>
        <v>2012.9847560782464</v>
      </c>
      <c r="L38" s="12">
        <f>(L11/365)*Assumptions!$B$24</f>
        <v>2093.5041463213761</v>
      </c>
      <c r="M38" s="18"/>
      <c r="N38" s="18"/>
      <c r="O38" s="18"/>
      <c r="P38" s="18"/>
      <c r="Q38" s="18"/>
      <c r="R38" s="18"/>
      <c r="S38" s="18"/>
      <c r="T38" s="18"/>
    </row>
    <row r="39" spans="1:20" x14ac:dyDescent="0.2">
      <c r="A39" s="18" t="s">
        <v>77</v>
      </c>
      <c r="B39" s="31">
        <v>200000</v>
      </c>
      <c r="C39" s="31">
        <f t="shared" ref="C39:L39" si="15">B39</f>
        <v>200000</v>
      </c>
      <c r="D39" s="31">
        <f t="shared" si="15"/>
        <v>200000</v>
      </c>
      <c r="E39" s="31">
        <f t="shared" si="15"/>
        <v>200000</v>
      </c>
      <c r="F39" s="31">
        <f t="shared" si="15"/>
        <v>200000</v>
      </c>
      <c r="G39" s="31">
        <f t="shared" si="15"/>
        <v>200000</v>
      </c>
      <c r="H39" s="31">
        <f t="shared" si="15"/>
        <v>200000</v>
      </c>
      <c r="I39" s="31">
        <f t="shared" si="15"/>
        <v>200000</v>
      </c>
      <c r="J39" s="31">
        <f t="shared" si="15"/>
        <v>200000</v>
      </c>
      <c r="K39" s="31">
        <f t="shared" si="15"/>
        <v>200000</v>
      </c>
      <c r="L39" s="31">
        <f t="shared" si="15"/>
        <v>200000</v>
      </c>
      <c r="M39" s="18"/>
      <c r="N39" s="18"/>
      <c r="O39" s="18"/>
      <c r="P39" s="18"/>
      <c r="Q39" s="18"/>
      <c r="R39" s="18"/>
      <c r="S39" s="18"/>
      <c r="T39" s="18"/>
    </row>
    <row r="40" spans="1:20" x14ac:dyDescent="0.2">
      <c r="A40" s="18" t="s">
        <v>78</v>
      </c>
      <c r="B40" s="12">
        <f>(Assumptions!E10*Assumptions!E8)-B39</f>
        <v>1037250</v>
      </c>
      <c r="C40" s="12">
        <f t="shared" ref="C40:L40" si="16">B40</f>
        <v>1037250</v>
      </c>
      <c r="D40" s="12">
        <f t="shared" si="16"/>
        <v>1037250</v>
      </c>
      <c r="E40" s="12">
        <f t="shared" si="16"/>
        <v>1037250</v>
      </c>
      <c r="F40" s="12">
        <f t="shared" si="16"/>
        <v>1037250</v>
      </c>
      <c r="G40" s="12">
        <f t="shared" si="16"/>
        <v>1037250</v>
      </c>
      <c r="H40" s="12">
        <f t="shared" si="16"/>
        <v>1037250</v>
      </c>
      <c r="I40" s="12">
        <f t="shared" si="16"/>
        <v>1037250</v>
      </c>
      <c r="J40" s="12">
        <f t="shared" si="16"/>
        <v>1037250</v>
      </c>
      <c r="K40" s="12">
        <f t="shared" si="16"/>
        <v>1037250</v>
      </c>
      <c r="L40" s="12">
        <f t="shared" si="16"/>
        <v>1037250</v>
      </c>
      <c r="M40" s="18"/>
      <c r="N40" s="18"/>
      <c r="O40" s="18"/>
      <c r="P40" s="18"/>
      <c r="Q40" s="18"/>
      <c r="R40" s="18"/>
      <c r="S40" s="18"/>
      <c r="T40" s="18"/>
    </row>
    <row r="41" spans="1:20" x14ac:dyDescent="0.2">
      <c r="A41" s="18" t="s">
        <v>79</v>
      </c>
      <c r="B41" s="12">
        <f>B21</f>
        <v>34575</v>
      </c>
      <c r="C41" s="12">
        <f t="shared" ref="C41:L41" si="17">C21+B41</f>
        <v>69150</v>
      </c>
      <c r="D41" s="12">
        <f t="shared" si="17"/>
        <v>103725</v>
      </c>
      <c r="E41" s="12">
        <f t="shared" si="17"/>
        <v>138300</v>
      </c>
      <c r="F41" s="12">
        <f t="shared" si="17"/>
        <v>172875</v>
      </c>
      <c r="G41" s="12">
        <f t="shared" si="17"/>
        <v>207450</v>
      </c>
      <c r="H41" s="12">
        <f t="shared" si="17"/>
        <v>242025</v>
      </c>
      <c r="I41" s="12">
        <f t="shared" si="17"/>
        <v>276600</v>
      </c>
      <c r="J41" s="12">
        <f t="shared" si="17"/>
        <v>311175</v>
      </c>
      <c r="K41" s="12">
        <f t="shared" si="17"/>
        <v>345750</v>
      </c>
      <c r="L41" s="12">
        <f t="shared" si="17"/>
        <v>380325</v>
      </c>
      <c r="M41" s="18"/>
      <c r="N41" s="18"/>
      <c r="O41" s="18"/>
      <c r="P41" s="18"/>
      <c r="Q41" s="18"/>
      <c r="R41" s="18"/>
      <c r="S41" s="18"/>
      <c r="T41" s="18"/>
    </row>
    <row r="42" spans="1:20" x14ac:dyDescent="0.2">
      <c r="A42" s="1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18"/>
      <c r="N42" s="18"/>
      <c r="O42" s="18"/>
      <c r="P42" s="18"/>
      <c r="Q42" s="18"/>
      <c r="R42" s="18"/>
      <c r="S42" s="18"/>
      <c r="T42" s="18"/>
    </row>
    <row r="43" spans="1:20" x14ac:dyDescent="0.2">
      <c r="A43" s="44" t="s">
        <v>80</v>
      </c>
      <c r="B43" s="46">
        <f t="shared" ref="B43:L43" si="18">SUM(B35:B40)-B41</f>
        <v>1311277.700050822</v>
      </c>
      <c r="C43" s="46">
        <f t="shared" si="18"/>
        <v>1295003.5129453018</v>
      </c>
      <c r="D43" s="46">
        <f t="shared" si="18"/>
        <v>1282375.1898773336</v>
      </c>
      <c r="E43" s="46">
        <f t="shared" si="18"/>
        <v>1273306.7371853904</v>
      </c>
      <c r="F43" s="46">
        <f t="shared" si="18"/>
        <v>1267920.6683049724</v>
      </c>
      <c r="G43" s="46">
        <f t="shared" si="18"/>
        <v>1266343.6149468182</v>
      </c>
      <c r="H43" s="46">
        <f t="shared" si="18"/>
        <v>1268706.4663270796</v>
      </c>
      <c r="I43" s="46">
        <f t="shared" si="18"/>
        <v>1275144.513178779</v>
      </c>
      <c r="J43" s="46">
        <f t="shared" si="18"/>
        <v>1285797.5967118936</v>
      </c>
      <c r="K43" s="46">
        <f t="shared" si="18"/>
        <v>1300810.262695305</v>
      </c>
      <c r="L43" s="46">
        <f t="shared" si="18"/>
        <v>1320331.9208399982</v>
      </c>
      <c r="M43" s="18"/>
      <c r="N43" s="18"/>
      <c r="O43" s="18"/>
      <c r="P43" s="18"/>
      <c r="Q43" s="18"/>
      <c r="R43" s="18"/>
      <c r="S43" s="18"/>
      <c r="T43" s="18"/>
    </row>
    <row r="44" spans="1:20" x14ac:dyDescent="0.2">
      <c r="A44" s="18"/>
      <c r="B44" s="31"/>
      <c r="C44" s="31"/>
      <c r="D44" s="31"/>
      <c r="E44" s="19"/>
      <c r="F44" s="31"/>
      <c r="G44" s="31"/>
      <c r="H44" s="31"/>
      <c r="I44" s="31"/>
      <c r="J44" s="31"/>
      <c r="K44" s="31"/>
      <c r="L44" s="31"/>
      <c r="M44" s="18"/>
      <c r="N44" s="18"/>
      <c r="O44" s="18"/>
      <c r="P44" s="18"/>
      <c r="Q44" s="18"/>
      <c r="R44" s="18"/>
      <c r="S44" s="18"/>
      <c r="T44" s="18"/>
    </row>
    <row r="45" spans="1:20" x14ac:dyDescent="0.2">
      <c r="A45" s="13" t="s">
        <v>81</v>
      </c>
      <c r="B45" s="31"/>
      <c r="C45" s="31"/>
      <c r="D45" s="31"/>
      <c r="E45" s="19"/>
      <c r="F45" s="31"/>
      <c r="G45" s="31"/>
      <c r="H45" s="31"/>
      <c r="I45" s="31"/>
      <c r="J45" s="31"/>
      <c r="K45" s="31"/>
      <c r="L45" s="31"/>
      <c r="M45" s="18"/>
      <c r="N45" s="18"/>
      <c r="O45" s="18"/>
      <c r="P45" s="18"/>
      <c r="Q45" s="18"/>
      <c r="R45" s="18"/>
      <c r="S45" s="18"/>
      <c r="T45" s="18"/>
    </row>
    <row r="46" spans="1:20" x14ac:dyDescent="0.2">
      <c r="A46" s="18" t="s">
        <v>82</v>
      </c>
      <c r="B46" s="12">
        <f>(B20/365)*Assumptions!$B$25</f>
        <v>197.26027397260273</v>
      </c>
      <c r="C46" s="12">
        <f>(C20/365)*Assumptions!$B$25</f>
        <v>197.26027397260273</v>
      </c>
      <c r="D46" s="12">
        <f>(D20/365)*Assumptions!$B$25</f>
        <v>197.26027397260273</v>
      </c>
      <c r="E46" s="12">
        <f>(E20/365)*Assumptions!$B$25</f>
        <v>197.26027397260273</v>
      </c>
      <c r="F46" s="12">
        <f>(F20/365)*Assumptions!$B$25</f>
        <v>197.26027397260273</v>
      </c>
      <c r="G46" s="12">
        <f>(G20/365)*Assumptions!$B$25</f>
        <v>197.26027397260273</v>
      </c>
      <c r="H46" s="12">
        <f>(H20/365)*Assumptions!$B$25</f>
        <v>197.26027397260273</v>
      </c>
      <c r="I46" s="12">
        <f>(I20/365)*Assumptions!$B$25</f>
        <v>197.26027397260273</v>
      </c>
      <c r="J46" s="12">
        <f>(J20/365)*Assumptions!$B$25</f>
        <v>197.26027397260273</v>
      </c>
      <c r="K46" s="12">
        <f>(K20/365)*Assumptions!$B$25</f>
        <v>197.26027397260273</v>
      </c>
      <c r="L46" s="12">
        <f>(L20/365)*Assumptions!$B$25</f>
        <v>197.26027397260273</v>
      </c>
      <c r="M46" s="18"/>
      <c r="N46" s="18"/>
      <c r="O46" s="18"/>
      <c r="P46" s="18"/>
      <c r="Q46" s="18"/>
      <c r="R46" s="18"/>
      <c r="S46" s="18"/>
      <c r="T46" s="18"/>
    </row>
    <row r="47" spans="1:20" x14ac:dyDescent="0.2">
      <c r="A47" s="18" t="s">
        <v>83</v>
      </c>
      <c r="B47" s="12">
        <f t="shared" ref="B47:L47" si="19">B27</f>
        <v>0</v>
      </c>
      <c r="C47" s="12">
        <f t="shared" si="19"/>
        <v>1090.5978242540878</v>
      </c>
      <c r="D47" s="12">
        <f t="shared" si="19"/>
        <v>2429.4876277277071</v>
      </c>
      <c r="E47" s="12">
        <f t="shared" si="19"/>
        <v>3813.5952407600562</v>
      </c>
      <c r="F47" s="12">
        <f t="shared" si="19"/>
        <v>5244.418192106139</v>
      </c>
      <c r="G47" s="12">
        <f t="shared" si="19"/>
        <v>6723.5039085669705</v>
      </c>
      <c r="H47" s="12">
        <f t="shared" si="19"/>
        <v>8252.451403286148</v>
      </c>
      <c r="I47" s="12">
        <f t="shared" si="19"/>
        <v>9832.9130222609674</v>
      </c>
      <c r="J47" s="12">
        <f t="shared" si="19"/>
        <v>11466.596251116789</v>
      </c>
      <c r="K47" s="12">
        <f t="shared" si="19"/>
        <v>13155.26558426558</v>
      </c>
      <c r="L47" s="12">
        <f t="shared" si="19"/>
        <v>14900.744458646746</v>
      </c>
      <c r="M47" s="18"/>
      <c r="N47" s="18"/>
      <c r="O47" s="18"/>
      <c r="P47" s="18"/>
      <c r="Q47" s="18"/>
      <c r="R47" s="18"/>
      <c r="S47" s="18"/>
      <c r="T47" s="18"/>
    </row>
    <row r="48" spans="1:20" x14ac:dyDescent="0.2">
      <c r="A48" s="18"/>
      <c r="B48" s="31"/>
      <c r="C48" s="31"/>
      <c r="D48" s="31"/>
      <c r="E48" s="19"/>
      <c r="F48" s="31"/>
      <c r="G48" s="31"/>
      <c r="H48" s="31"/>
      <c r="I48" s="31"/>
      <c r="J48" s="31"/>
      <c r="K48" s="31"/>
      <c r="L48" s="31"/>
      <c r="M48" s="18"/>
      <c r="N48" s="18"/>
      <c r="O48" s="18"/>
      <c r="P48" s="18"/>
      <c r="Q48" s="18"/>
      <c r="R48" s="18"/>
      <c r="S48" s="18"/>
      <c r="T48" s="18"/>
    </row>
    <row r="49" spans="1:20" x14ac:dyDescent="0.2">
      <c r="A49" s="18" t="s">
        <v>84</v>
      </c>
      <c r="B49" s="12">
        <f>Amoritization!F6</f>
        <v>933162.34743159078</v>
      </c>
      <c r="C49" s="12">
        <f>Amoritization!F7</f>
        <v>912525.76902904792</v>
      </c>
      <c r="D49" s="12">
        <f>Amoritization!F8</f>
        <v>891270.09327442886</v>
      </c>
      <c r="E49" s="12">
        <f>Amoritization!F9</f>
        <v>869376.74724717124</v>
      </c>
      <c r="F49" s="12">
        <f>Amoritization!F10</f>
        <v>846826.60083909589</v>
      </c>
      <c r="G49" s="12">
        <f>Amoritization!F11</f>
        <v>823599.95003877825</v>
      </c>
      <c r="H49" s="12">
        <f>Amoritization!F12</f>
        <v>799676.49971445103</v>
      </c>
      <c r="I49" s="12">
        <f>Amoritization!F13</f>
        <v>775035.34588039399</v>
      </c>
      <c r="J49" s="12">
        <f>Amoritization!F14</f>
        <v>749654.95743131533</v>
      </c>
      <c r="K49" s="12">
        <f>Amoritization!F15</f>
        <v>723513.15732876421</v>
      </c>
      <c r="L49" s="12">
        <f>Amoritization!F16</f>
        <v>696587.10322313663</v>
      </c>
      <c r="M49" s="18"/>
      <c r="N49" s="18"/>
      <c r="O49" s="18"/>
      <c r="P49" s="18"/>
      <c r="Q49" s="18"/>
      <c r="R49" s="18"/>
      <c r="S49" s="18"/>
      <c r="T49" s="18"/>
    </row>
    <row r="50" spans="1:20" x14ac:dyDescent="0.2">
      <c r="A50" s="18" t="s">
        <v>85</v>
      </c>
      <c r="B50" s="12"/>
      <c r="C50" s="12"/>
      <c r="D50" s="12"/>
      <c r="E50" s="12"/>
      <c r="F50" s="31"/>
      <c r="G50" s="31"/>
      <c r="H50" s="31"/>
      <c r="I50" s="31"/>
      <c r="J50" s="31"/>
      <c r="K50" s="31"/>
      <c r="L50" s="31"/>
      <c r="M50" s="18"/>
      <c r="N50" s="18"/>
      <c r="O50" s="18"/>
      <c r="P50" s="18"/>
      <c r="Q50" s="18"/>
      <c r="R50" s="18"/>
      <c r="S50" s="18"/>
      <c r="T50" s="18"/>
    </row>
    <row r="51" spans="1:20" x14ac:dyDescent="0.2">
      <c r="A51" s="18"/>
      <c r="B51" s="31"/>
      <c r="C51" s="31"/>
      <c r="D51" s="31"/>
      <c r="E51" s="19"/>
      <c r="F51" s="31"/>
      <c r="G51" s="31"/>
      <c r="H51" s="31"/>
      <c r="I51" s="31"/>
      <c r="J51" s="31"/>
      <c r="K51" s="31"/>
      <c r="L51" s="31"/>
      <c r="M51" s="18"/>
      <c r="N51" s="18"/>
      <c r="O51" s="18"/>
      <c r="P51" s="18"/>
      <c r="Q51" s="18"/>
      <c r="R51" s="18"/>
      <c r="S51" s="18"/>
      <c r="T51" s="18"/>
    </row>
    <row r="52" spans="1:20" x14ac:dyDescent="0.2">
      <c r="A52" s="44" t="s">
        <v>86</v>
      </c>
      <c r="B52" s="31"/>
      <c r="C52" s="31"/>
      <c r="D52" s="31"/>
      <c r="E52" s="60"/>
      <c r="F52" s="31"/>
      <c r="G52" s="31"/>
      <c r="H52" s="31"/>
      <c r="I52" s="31"/>
      <c r="J52" s="31"/>
      <c r="K52" s="31"/>
      <c r="L52" s="31"/>
      <c r="M52" s="18"/>
      <c r="N52" s="18"/>
      <c r="O52" s="18"/>
      <c r="P52" s="18"/>
      <c r="Q52" s="18"/>
      <c r="R52" s="18"/>
      <c r="S52" s="18"/>
      <c r="T52" s="18"/>
    </row>
    <row r="53" spans="1:20" x14ac:dyDescent="0.2">
      <c r="A53" s="18" t="s">
        <v>87</v>
      </c>
      <c r="B53" s="64">
        <v>378736.1860749757</v>
      </c>
      <c r="C53" s="64">
        <f t="shared" ref="C53:L53" si="20">B53</f>
        <v>378736.1860749757</v>
      </c>
      <c r="D53" s="64">
        <f t="shared" si="20"/>
        <v>378736.1860749757</v>
      </c>
      <c r="E53" s="64">
        <f t="shared" si="20"/>
        <v>378736.1860749757</v>
      </c>
      <c r="F53" s="64">
        <f t="shared" si="20"/>
        <v>378736.1860749757</v>
      </c>
      <c r="G53" s="64">
        <f t="shared" si="20"/>
        <v>378736.1860749757</v>
      </c>
      <c r="H53" s="64">
        <f t="shared" si="20"/>
        <v>378736.1860749757</v>
      </c>
      <c r="I53" s="64">
        <f t="shared" si="20"/>
        <v>378736.1860749757</v>
      </c>
      <c r="J53" s="64">
        <f t="shared" si="20"/>
        <v>378736.1860749757</v>
      </c>
      <c r="K53" s="64">
        <f t="shared" si="20"/>
        <v>378736.1860749757</v>
      </c>
      <c r="L53" s="64">
        <f t="shared" si="20"/>
        <v>378736.1860749757</v>
      </c>
      <c r="M53" s="18"/>
      <c r="N53" s="18"/>
      <c r="O53" s="18"/>
      <c r="P53" s="18"/>
      <c r="Q53" s="18"/>
      <c r="R53" s="18"/>
      <c r="S53" s="18"/>
      <c r="T53" s="18"/>
    </row>
    <row r="54" spans="1:20" x14ac:dyDescent="0.2">
      <c r="A54" s="18" t="s">
        <v>88</v>
      </c>
      <c r="B54" s="12">
        <f>B28</f>
        <v>-818.09372971265111</v>
      </c>
      <c r="C54" s="12">
        <f t="shared" ref="C54:L54" si="21">B54+C28</f>
        <v>2453.6997430496122</v>
      </c>
      <c r="D54" s="12">
        <f t="shared" si="21"/>
        <v>9742.1626262327336</v>
      </c>
      <c r="E54" s="12">
        <f t="shared" si="21"/>
        <v>21182.948348512902</v>
      </c>
      <c r="F54" s="12">
        <f t="shared" si="21"/>
        <v>36916.202924831319</v>
      </c>
      <c r="G54" s="12">
        <f t="shared" si="21"/>
        <v>57086.714650532231</v>
      </c>
      <c r="H54" s="12">
        <f t="shared" si="21"/>
        <v>81844.068860390675</v>
      </c>
      <c r="I54" s="12">
        <f t="shared" si="21"/>
        <v>111342.80792717358</v>
      </c>
      <c r="J54" s="12">
        <f t="shared" si="21"/>
        <v>145742.59668052394</v>
      </c>
      <c r="K54" s="12">
        <f t="shared" si="21"/>
        <v>185208.39343332069</v>
      </c>
      <c r="L54" s="12">
        <f t="shared" si="21"/>
        <v>229910.62680926092</v>
      </c>
      <c r="M54" s="12"/>
      <c r="N54" s="18"/>
      <c r="O54" s="18"/>
      <c r="P54" s="18"/>
      <c r="Q54" s="18"/>
      <c r="R54" s="18"/>
      <c r="S54" s="18"/>
      <c r="T54" s="18"/>
    </row>
    <row r="55" spans="1:20" x14ac:dyDescent="0.2">
      <c r="A55" s="18"/>
      <c r="B55" s="31"/>
      <c r="C55" s="31"/>
      <c r="D55" s="31"/>
      <c r="E55" s="31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x14ac:dyDescent="0.2">
      <c r="A56" s="18"/>
      <c r="B56" s="3"/>
      <c r="C56" s="3"/>
      <c r="D56" s="3"/>
      <c r="E56" s="8"/>
      <c r="F56" s="8"/>
      <c r="G56" s="8"/>
      <c r="H56" s="8"/>
      <c r="I56" s="8"/>
      <c r="J56" s="8"/>
      <c r="K56" s="8"/>
      <c r="L56" s="8"/>
      <c r="M56" s="18"/>
      <c r="N56" s="18"/>
      <c r="O56" s="18"/>
      <c r="P56" s="18"/>
      <c r="Q56" s="18"/>
      <c r="R56" s="18"/>
      <c r="S56" s="18"/>
      <c r="T56" s="18"/>
    </row>
    <row r="57" spans="1:20" x14ac:dyDescent="0.2">
      <c r="A57" s="44" t="s">
        <v>89</v>
      </c>
      <c r="B57" s="46">
        <f t="shared" ref="B57:L57" si="22">SUM(B45:B55)</f>
        <v>1311277.7000508267</v>
      </c>
      <c r="C57" s="46">
        <f t="shared" si="22"/>
        <v>1295003.5129453</v>
      </c>
      <c r="D57" s="46">
        <f t="shared" si="22"/>
        <v>1282375.1898773375</v>
      </c>
      <c r="E57" s="46">
        <f t="shared" si="22"/>
        <v>1273306.7371853925</v>
      </c>
      <c r="F57" s="46">
        <f t="shared" si="22"/>
        <v>1267920.6683049817</v>
      </c>
      <c r="G57" s="46">
        <f t="shared" si="22"/>
        <v>1266343.6149468257</v>
      </c>
      <c r="H57" s="46">
        <f t="shared" si="22"/>
        <v>1268706.4663270761</v>
      </c>
      <c r="I57" s="46">
        <f t="shared" si="22"/>
        <v>1275144.5131787767</v>
      </c>
      <c r="J57" s="46">
        <f t="shared" si="22"/>
        <v>1285797.5967119043</v>
      </c>
      <c r="K57" s="46">
        <f t="shared" si="22"/>
        <v>1300810.262695299</v>
      </c>
      <c r="L57" s="46">
        <f t="shared" si="22"/>
        <v>1320331.9208399928</v>
      </c>
      <c r="M57" s="18"/>
      <c r="N57" s="18"/>
      <c r="O57" s="18"/>
      <c r="P57" s="18"/>
      <c r="Q57" s="18"/>
      <c r="R57" s="18"/>
      <c r="S57" s="18"/>
      <c r="T57" s="18"/>
    </row>
    <row r="58" spans="1:20" x14ac:dyDescent="0.2">
      <c r="A58" s="18"/>
      <c r="B58" s="31"/>
      <c r="C58" s="31"/>
      <c r="D58" s="31"/>
      <c r="E58" s="31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x14ac:dyDescent="0.2">
      <c r="A59" s="18" t="s">
        <v>90</v>
      </c>
      <c r="B59" s="21">
        <f t="shared" ref="B59:L59" si="23">B57-B43</f>
        <v>4.6566128730773926E-9</v>
      </c>
      <c r="C59" s="21">
        <f t="shared" si="23"/>
        <v>-1.862645149230957E-9</v>
      </c>
      <c r="D59" s="21">
        <f t="shared" si="23"/>
        <v>3.9581209421157837E-9</v>
      </c>
      <c r="E59" s="21">
        <f t="shared" si="23"/>
        <v>2.0954757928848267E-9</v>
      </c>
      <c r="F59" s="21">
        <f t="shared" si="23"/>
        <v>9.3132257461547852E-9</v>
      </c>
      <c r="G59" s="21">
        <f t="shared" si="23"/>
        <v>7.4505805969238281E-9</v>
      </c>
      <c r="H59" s="21">
        <f t="shared" si="23"/>
        <v>-3.4924596548080444E-9</v>
      </c>
      <c r="I59" s="21">
        <f t="shared" si="23"/>
        <v>-2.3283064365386963E-9</v>
      </c>
      <c r="J59" s="21">
        <f t="shared" si="23"/>
        <v>1.0710209608078003E-8</v>
      </c>
      <c r="K59" s="21">
        <f t="shared" si="23"/>
        <v>-6.0535967350006104E-9</v>
      </c>
      <c r="L59" s="21">
        <f t="shared" si="23"/>
        <v>-5.3551048040390015E-9</v>
      </c>
      <c r="M59" s="18"/>
      <c r="N59" s="18"/>
      <c r="O59" s="18"/>
      <c r="P59" s="18"/>
      <c r="Q59" s="18"/>
      <c r="R59" s="18"/>
      <c r="S59" s="18"/>
      <c r="T59" s="18"/>
    </row>
    <row r="60" spans="1:20" s="18" customFormat="1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20" s="18" customFormat="1" x14ac:dyDescent="0.2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20" x14ac:dyDescent="0.2">
      <c r="A62" s="18"/>
      <c r="B62" s="11"/>
      <c r="C62" s="11"/>
      <c r="D62" s="11"/>
      <c r="E62" s="11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15" customHeight="1" x14ac:dyDescent="0.25">
      <c r="A63" s="15" t="s">
        <v>91</v>
      </c>
      <c r="B63" s="62"/>
      <c r="C63" s="14"/>
      <c r="D63" s="14"/>
      <c r="E63" s="14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ht="15" customHeight="1" x14ac:dyDescent="0.25">
      <c r="A64" s="14"/>
      <c r="B64" s="14"/>
      <c r="C64" s="14"/>
      <c r="D64" s="14"/>
      <c r="E64" s="14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ht="15" customHeight="1" x14ac:dyDescent="0.25">
      <c r="A65" s="14" t="s">
        <v>92</v>
      </c>
      <c r="B65" s="14"/>
      <c r="C65" s="14"/>
      <c r="D65" s="14"/>
      <c r="E65" s="14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ht="39" customHeight="1" x14ac:dyDescent="0.25">
      <c r="A66" s="14"/>
      <c r="B66" s="14" t="s">
        <v>93</v>
      </c>
      <c r="C66" s="30">
        <v>0.9</v>
      </c>
      <c r="D66" s="67" t="s">
        <v>94</v>
      </c>
      <c r="E66" s="10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ht="15" customHeight="1" x14ac:dyDescent="0.25">
      <c r="A67" s="14"/>
      <c r="B67" s="14" t="s">
        <v>95</v>
      </c>
      <c r="C67" s="50">
        <v>0.01</v>
      </c>
      <c r="D67" s="67"/>
      <c r="E67" s="14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5" customHeight="1" x14ac:dyDescent="0.25">
      <c r="A68" s="14"/>
      <c r="B68" s="14" t="s">
        <v>96</v>
      </c>
      <c r="C68" s="50">
        <v>0.12</v>
      </c>
      <c r="D68" s="67"/>
      <c r="E68" s="14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ht="15" customHeight="1" x14ac:dyDescent="0.25">
      <c r="A69" s="14"/>
      <c r="B69" s="14"/>
      <c r="C69" s="14"/>
      <c r="D69" s="14"/>
      <c r="E69" s="14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1:20" ht="30" customHeight="1" x14ac:dyDescent="0.25">
      <c r="A70" s="14"/>
      <c r="B70" s="14" t="s">
        <v>97</v>
      </c>
      <c r="C70" s="14">
        <f>C67+(C66*(C68-C67))</f>
        <v>0.109</v>
      </c>
      <c r="D70" s="14"/>
      <c r="E70" s="14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15" customHeight="1" x14ac:dyDescent="0.25">
      <c r="A71" s="14"/>
      <c r="B71" s="14"/>
      <c r="C71" s="14"/>
      <c r="D71" s="14"/>
      <c r="E71" s="68" t="s">
        <v>98</v>
      </c>
      <c r="F71" s="69"/>
      <c r="G71" s="18" t="s">
        <v>99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15" customHeight="1" x14ac:dyDescent="0.25">
      <c r="A72" s="14" t="s">
        <v>100</v>
      </c>
      <c r="B72" s="14"/>
      <c r="C72" s="14"/>
      <c r="D72" s="18"/>
      <c r="E72" s="18" t="str">
        <f>A49</f>
        <v>Mortgage Loan</v>
      </c>
      <c r="F72" s="52">
        <f>AVERAGE(B49:L49)</f>
        <v>820111.68831256137</v>
      </c>
      <c r="G72" s="40">
        <f>F72/SUM(F$72:F$73)</f>
        <v>1</v>
      </c>
      <c r="H72" s="18">
        <f>Amoritization!D3</f>
        <v>0.03</v>
      </c>
      <c r="I72" s="18">
        <f>H72*G72</f>
        <v>0.03</v>
      </c>
      <c r="J72" s="58">
        <f>I72+I73</f>
        <v>0.03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0" ht="15" customHeight="1" x14ac:dyDescent="0.25">
      <c r="A73" s="14"/>
      <c r="B73" s="14" t="s">
        <v>101</v>
      </c>
      <c r="C73" s="50">
        <f>J72</f>
        <v>0.03</v>
      </c>
      <c r="D73" s="18"/>
      <c r="E73" s="18" t="str">
        <f>A50</f>
        <v>Extra Bank Loan</v>
      </c>
      <c r="F73" s="52">
        <f>IFERROR(AVERAGE(B50:L50),0)</f>
        <v>0</v>
      </c>
      <c r="G73" s="40">
        <f>F73/SUM(F$72:F$73)</f>
        <v>0</v>
      </c>
      <c r="H73" s="18">
        <f>Assumptions!B23</f>
        <v>0.03</v>
      </c>
      <c r="I73" s="18">
        <f>H73*G73</f>
        <v>0</v>
      </c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pans="1:20" ht="15" customHeight="1" x14ac:dyDescent="0.25">
      <c r="A74" s="14"/>
      <c r="B74" s="14"/>
      <c r="C74" s="52"/>
      <c r="D74" s="18"/>
      <c r="E74" s="18" t="str">
        <f>A53</f>
        <v>Common Stock</v>
      </c>
      <c r="F74" s="52">
        <f>AVERAGE(B53:L53)</f>
        <v>378736.18607497582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1:20" ht="26.25" customHeight="1" x14ac:dyDescent="0.25">
      <c r="A75" s="14" t="s">
        <v>102</v>
      </c>
      <c r="B75" s="14"/>
      <c r="C75" s="50">
        <f>Assumptions!B19</f>
        <v>0.25</v>
      </c>
      <c r="D75" s="52"/>
      <c r="E75" s="18" t="str">
        <f>A54</f>
        <v>Retained Earnings</v>
      </c>
      <c r="F75" s="52">
        <f>AVERAGE(B54:L54)</f>
        <v>80055.648024919632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pans="1:20" ht="15" customHeight="1" x14ac:dyDescent="0.25">
      <c r="A76" s="14"/>
      <c r="B76" s="14"/>
      <c r="C76" s="11"/>
      <c r="D76" s="52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ht="15" customHeight="1" x14ac:dyDescent="0.25">
      <c r="A77" s="14" t="s">
        <v>103</v>
      </c>
      <c r="B77" s="14"/>
      <c r="C77" s="52"/>
      <c r="D77" s="52"/>
      <c r="E77" s="52" t="s">
        <v>104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1:20" ht="15" customHeight="1" x14ac:dyDescent="0.25">
      <c r="A78" s="14" t="s">
        <v>105</v>
      </c>
      <c r="B78" s="14"/>
      <c r="C78" s="52">
        <f>F72+F73</f>
        <v>820111.68831256137</v>
      </c>
      <c r="D78" s="52"/>
      <c r="E78" s="50">
        <f>+C78/C84</f>
        <v>0.64126157598310896</v>
      </c>
      <c r="F78" s="18" t="s">
        <v>106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</row>
    <row r="79" spans="1:20" ht="15" customHeight="1" x14ac:dyDescent="0.25">
      <c r="A79" s="14"/>
      <c r="B79" s="14"/>
      <c r="C79" s="14"/>
      <c r="D79" s="14"/>
      <c r="E79" s="14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</row>
    <row r="80" spans="1:20" ht="15" customHeight="1" x14ac:dyDescent="0.25">
      <c r="A80" s="14" t="s">
        <v>107</v>
      </c>
      <c r="B80" s="14"/>
      <c r="C80" s="14"/>
      <c r="D80" s="14"/>
      <c r="E80" s="14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</row>
    <row r="81" spans="1:20" ht="15" customHeight="1" x14ac:dyDescent="0.25">
      <c r="A81" s="14" t="s">
        <v>108</v>
      </c>
      <c r="B81" s="14"/>
      <c r="C81" s="52">
        <f>F74</f>
        <v>378736.18607497582</v>
      </c>
      <c r="D81" s="52"/>
      <c r="E81" s="50">
        <f>(+C81+C82)/C84</f>
        <v>0.35873842401689104</v>
      </c>
      <c r="F81" s="18" t="s">
        <v>86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1:20" ht="15" customHeight="1" x14ac:dyDescent="0.25">
      <c r="A82" s="14" t="s">
        <v>88</v>
      </c>
      <c r="B82" s="14"/>
      <c r="C82" s="52">
        <f>F75</f>
        <v>80055.648024919632</v>
      </c>
      <c r="D82" s="52"/>
      <c r="E82" s="14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</row>
    <row r="83" spans="1:20" ht="15" customHeight="1" x14ac:dyDescent="0.25">
      <c r="A83" s="14"/>
      <c r="B83" s="14"/>
      <c r="C83" s="52"/>
      <c r="D83" s="52"/>
      <c r="E83" s="14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15" customHeight="1" x14ac:dyDescent="0.25">
      <c r="A84" s="14" t="s">
        <v>109</v>
      </c>
      <c r="B84" s="14"/>
      <c r="C84" s="52">
        <f>(+C78+C81)+C82</f>
        <v>1278903.5224124568</v>
      </c>
      <c r="D84" s="52"/>
      <c r="E84" s="14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</row>
    <row r="85" spans="1:20" ht="15" customHeight="1" x14ac:dyDescent="0.25">
      <c r="A85" s="14"/>
      <c r="B85" s="14"/>
      <c r="C85" s="52"/>
      <c r="D85" s="52"/>
      <c r="E85" s="14" t="s">
        <v>110</v>
      </c>
      <c r="F85" s="18" t="s">
        <v>111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pans="1:20" ht="15" customHeight="1" x14ac:dyDescent="0.25">
      <c r="A86" s="14" t="s">
        <v>112</v>
      </c>
      <c r="B86" s="14"/>
      <c r="C86" s="50">
        <f>((+E78*(1-C75))*C73)+(E81*C70)</f>
        <v>5.353087367746108E-2</v>
      </c>
      <c r="D86" s="52"/>
      <c r="E86" s="50">
        <f>C86-B118</f>
        <v>1.5990693491563235E-10</v>
      </c>
      <c r="F86" s="58">
        <f>B118</f>
        <v>5.3530873517554145E-2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pans="1:20" ht="15" customHeight="1" x14ac:dyDescent="0.25">
      <c r="A87" s="14"/>
      <c r="B87" s="14"/>
      <c r="C87" s="14"/>
      <c r="D87" s="14"/>
      <c r="E87" s="14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1:20" ht="15" customHeight="1" x14ac:dyDescent="0.25">
      <c r="A88" s="14"/>
      <c r="B88" s="14"/>
      <c r="C88" s="14"/>
      <c r="D88" s="14"/>
      <c r="E88" s="14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15" customHeight="1" x14ac:dyDescent="0.25">
      <c r="A89" s="15" t="s">
        <v>113</v>
      </c>
      <c r="B89" s="14"/>
      <c r="C89" s="14"/>
      <c r="D89" s="14"/>
      <c r="E89" s="14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15" customHeight="1" x14ac:dyDescent="0.25">
      <c r="A90" s="14"/>
      <c r="B90" s="14" t="s">
        <v>114</v>
      </c>
      <c r="C90" s="14">
        <v>2012</v>
      </c>
      <c r="D90" s="14">
        <f t="shared" ref="D90:M90" si="24">C90+1</f>
        <v>2013</v>
      </c>
      <c r="E90" s="14">
        <f t="shared" si="24"/>
        <v>2014</v>
      </c>
      <c r="F90" s="14">
        <f t="shared" si="24"/>
        <v>2015</v>
      </c>
      <c r="G90" s="14">
        <f t="shared" si="24"/>
        <v>2016</v>
      </c>
      <c r="H90" s="14">
        <f t="shared" si="24"/>
        <v>2017</v>
      </c>
      <c r="I90" s="14">
        <f t="shared" si="24"/>
        <v>2018</v>
      </c>
      <c r="J90" s="14">
        <f t="shared" si="24"/>
        <v>2019</v>
      </c>
      <c r="K90" s="14">
        <f t="shared" si="24"/>
        <v>2020</v>
      </c>
      <c r="L90" s="14">
        <f t="shared" si="24"/>
        <v>2021</v>
      </c>
      <c r="M90" s="14">
        <f t="shared" si="24"/>
        <v>2022</v>
      </c>
      <c r="N90" s="18"/>
      <c r="O90" s="18"/>
      <c r="P90" s="18"/>
      <c r="Q90" s="18"/>
      <c r="R90" s="18"/>
      <c r="S90" s="18"/>
      <c r="T90" s="18"/>
    </row>
    <row r="91" spans="1:20" ht="15" customHeight="1" x14ac:dyDescent="0.25">
      <c r="A91" s="14" t="s">
        <v>115</v>
      </c>
      <c r="B91" s="14"/>
      <c r="C91" s="14"/>
      <c r="D91" s="14"/>
      <c r="E91" s="14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pans="1:20" ht="15" customHeight="1" x14ac:dyDescent="0.25">
      <c r="A92" s="14" t="s">
        <v>116</v>
      </c>
      <c r="B92" s="52"/>
      <c r="C92" s="52">
        <f t="shared" ref="C92:M92" si="25">((B26+B12)+B21)+B14</f>
        <v>62352.842083600393</v>
      </c>
      <c r="D92" s="52">
        <f t="shared" si="25"/>
        <v>66932.261719964066</v>
      </c>
      <c r="E92" s="52">
        <f t="shared" si="25"/>
        <v>71668.723581782266</v>
      </c>
      <c r="F92" s="52">
        <f t="shared" si="25"/>
        <v>76567.483761273092</v>
      </c>
      <c r="G92" s="52">
        <f t="shared" si="25"/>
        <v>81633.975185839692</v>
      </c>
      <c r="H92" s="52">
        <f t="shared" si="25"/>
        <v>86873.813659440755</v>
      </c>
      <c r="I92" s="52">
        <f t="shared" si="25"/>
        <v>92292.804114307946</v>
      </c>
      <c r="J92" s="52">
        <f t="shared" si="25"/>
        <v>97896.947080477403</v>
      </c>
      <c r="K92" s="52">
        <f t="shared" si="25"/>
        <v>103692.44538087898</v>
      </c>
      <c r="L92" s="52">
        <f t="shared" si="25"/>
        <v>109685.71106000178</v>
      </c>
      <c r="M92" s="52">
        <f t="shared" si="25"/>
        <v>115883.37255444992</v>
      </c>
      <c r="N92" s="18"/>
      <c r="O92" s="18"/>
      <c r="P92" s="18"/>
      <c r="Q92" s="18"/>
      <c r="R92" s="18"/>
      <c r="S92" s="18"/>
      <c r="T92" s="18"/>
    </row>
    <row r="93" spans="1:20" ht="15" customHeight="1" x14ac:dyDescent="0.25">
      <c r="A93" s="14" t="s">
        <v>117</v>
      </c>
      <c r="B93" s="14"/>
      <c r="C93" s="52">
        <f t="shared" ref="C93:M93" si="26">B21</f>
        <v>34575</v>
      </c>
      <c r="D93" s="52">
        <f t="shared" si="26"/>
        <v>34575</v>
      </c>
      <c r="E93" s="52">
        <f t="shared" si="26"/>
        <v>34575</v>
      </c>
      <c r="F93" s="52">
        <f t="shared" si="26"/>
        <v>34575</v>
      </c>
      <c r="G93" s="52">
        <f t="shared" si="26"/>
        <v>34575</v>
      </c>
      <c r="H93" s="52">
        <f t="shared" si="26"/>
        <v>34575</v>
      </c>
      <c r="I93" s="52">
        <f t="shared" si="26"/>
        <v>34575</v>
      </c>
      <c r="J93" s="52">
        <f t="shared" si="26"/>
        <v>34575</v>
      </c>
      <c r="K93" s="52">
        <f t="shared" si="26"/>
        <v>34575</v>
      </c>
      <c r="L93" s="52">
        <f t="shared" si="26"/>
        <v>34575</v>
      </c>
      <c r="M93" s="52">
        <f t="shared" si="26"/>
        <v>34575</v>
      </c>
      <c r="N93" s="52"/>
      <c r="O93" s="18"/>
      <c r="P93" s="18"/>
      <c r="Q93" s="18"/>
      <c r="R93" s="18"/>
      <c r="S93" s="18"/>
      <c r="T93" s="18"/>
    </row>
    <row r="94" spans="1:20" ht="15" customHeight="1" x14ac:dyDescent="0.25">
      <c r="A94" s="14" t="s">
        <v>118</v>
      </c>
      <c r="B94" s="14"/>
      <c r="C94" s="52">
        <f t="shared" ref="C94:M94" si="27">C92-C93</f>
        <v>27777.842083600393</v>
      </c>
      <c r="D94" s="52">
        <f t="shared" si="27"/>
        <v>32357.261719964066</v>
      </c>
      <c r="E94" s="52">
        <f t="shared" si="27"/>
        <v>37093.723581782266</v>
      </c>
      <c r="F94" s="52">
        <f t="shared" si="27"/>
        <v>41992.483761273092</v>
      </c>
      <c r="G94" s="52">
        <f t="shared" si="27"/>
        <v>47058.975185839692</v>
      </c>
      <c r="H94" s="52">
        <f t="shared" si="27"/>
        <v>52298.813659440755</v>
      </c>
      <c r="I94" s="52">
        <f t="shared" si="27"/>
        <v>57717.804114307946</v>
      </c>
      <c r="J94" s="52">
        <f t="shared" si="27"/>
        <v>63321.947080477403</v>
      </c>
      <c r="K94" s="52">
        <f t="shared" si="27"/>
        <v>69117.445380878984</v>
      </c>
      <c r="L94" s="52">
        <f t="shared" si="27"/>
        <v>75110.711060001777</v>
      </c>
      <c r="M94" s="52">
        <f t="shared" si="27"/>
        <v>81308.372554449918</v>
      </c>
      <c r="N94" s="18"/>
      <c r="O94" s="18"/>
      <c r="P94" s="18"/>
      <c r="Q94" s="18"/>
      <c r="R94" s="18"/>
      <c r="S94" s="18"/>
      <c r="T94" s="18"/>
    </row>
    <row r="95" spans="1:20" ht="15" customHeight="1" x14ac:dyDescent="0.25">
      <c r="A95" s="18" t="s">
        <v>83</v>
      </c>
      <c r="B95" s="14"/>
      <c r="C95" s="52">
        <f t="shared" ref="C95:M95" si="28">MAX((C94*$C$75),0)</f>
        <v>6944.4605209000983</v>
      </c>
      <c r="D95" s="52">
        <f t="shared" si="28"/>
        <v>8089.3154299910166</v>
      </c>
      <c r="E95" s="52">
        <f t="shared" si="28"/>
        <v>9273.4308954455664</v>
      </c>
      <c r="F95" s="52">
        <f t="shared" si="28"/>
        <v>10498.120940318273</v>
      </c>
      <c r="G95" s="52">
        <f t="shared" si="28"/>
        <v>11764.743796459923</v>
      </c>
      <c r="H95" s="52">
        <f t="shared" si="28"/>
        <v>13074.703414860189</v>
      </c>
      <c r="I95" s="52">
        <f t="shared" si="28"/>
        <v>14429.451028576987</v>
      </c>
      <c r="J95" s="52">
        <f t="shared" si="28"/>
        <v>15830.486770119351</v>
      </c>
      <c r="K95" s="52">
        <f t="shared" si="28"/>
        <v>17279.361345219746</v>
      </c>
      <c r="L95" s="52">
        <f t="shared" si="28"/>
        <v>18777.677765000444</v>
      </c>
      <c r="M95" s="52">
        <f t="shared" si="28"/>
        <v>20327.093138612479</v>
      </c>
      <c r="N95" s="18"/>
      <c r="O95" s="18"/>
      <c r="P95" s="18"/>
      <c r="Q95" s="18"/>
      <c r="R95" s="18"/>
      <c r="S95" s="18"/>
      <c r="T95" s="18"/>
    </row>
    <row r="96" spans="1:20" ht="15" customHeight="1" x14ac:dyDescent="0.25">
      <c r="A96" s="14" t="s">
        <v>119</v>
      </c>
      <c r="B96" s="14"/>
      <c r="C96" s="52">
        <f t="shared" ref="C96:M96" si="29">C93</f>
        <v>34575</v>
      </c>
      <c r="D96" s="52">
        <f t="shared" si="29"/>
        <v>34575</v>
      </c>
      <c r="E96" s="52">
        <f t="shared" si="29"/>
        <v>34575</v>
      </c>
      <c r="F96" s="52">
        <f t="shared" si="29"/>
        <v>34575</v>
      </c>
      <c r="G96" s="52">
        <f t="shared" si="29"/>
        <v>34575</v>
      </c>
      <c r="H96" s="52">
        <f t="shared" si="29"/>
        <v>34575</v>
      </c>
      <c r="I96" s="52">
        <f t="shared" si="29"/>
        <v>34575</v>
      </c>
      <c r="J96" s="52">
        <f t="shared" si="29"/>
        <v>34575</v>
      </c>
      <c r="K96" s="52">
        <f t="shared" si="29"/>
        <v>34575</v>
      </c>
      <c r="L96" s="52">
        <f t="shared" si="29"/>
        <v>34575</v>
      </c>
      <c r="M96" s="52">
        <f t="shared" si="29"/>
        <v>34575</v>
      </c>
      <c r="N96" s="18"/>
      <c r="O96" s="18"/>
      <c r="P96" s="18"/>
      <c r="Q96" s="18"/>
      <c r="R96" s="18"/>
      <c r="S96" s="18"/>
      <c r="T96" s="18"/>
    </row>
    <row r="97" spans="1:20" ht="15" customHeight="1" x14ac:dyDescent="0.25">
      <c r="A97" s="14" t="s">
        <v>115</v>
      </c>
      <c r="B97" s="14"/>
      <c r="C97" s="52">
        <f t="shared" ref="C97:M97" si="30">(C94-C95)+C96</f>
        <v>55408.381562700291</v>
      </c>
      <c r="D97" s="52">
        <f t="shared" si="30"/>
        <v>58842.94628997305</v>
      </c>
      <c r="E97" s="52">
        <f t="shared" si="30"/>
        <v>62395.292686336703</v>
      </c>
      <c r="F97" s="52">
        <f t="shared" si="30"/>
        <v>66069.362820954819</v>
      </c>
      <c r="G97" s="52">
        <f t="shared" si="30"/>
        <v>69869.231389379769</v>
      </c>
      <c r="H97" s="52">
        <f t="shared" si="30"/>
        <v>73799.110244580574</v>
      </c>
      <c r="I97" s="52">
        <f t="shared" si="30"/>
        <v>77863.353085730952</v>
      </c>
      <c r="J97" s="52">
        <f t="shared" si="30"/>
        <v>82066.460310358059</v>
      </c>
      <c r="K97" s="52">
        <f t="shared" si="30"/>
        <v>86413.084035659238</v>
      </c>
      <c r="L97" s="52">
        <f t="shared" si="30"/>
        <v>90908.03329500134</v>
      </c>
      <c r="M97" s="52">
        <f t="shared" si="30"/>
        <v>95556.279415837431</v>
      </c>
      <c r="N97" s="18"/>
      <c r="O97" s="18"/>
      <c r="P97" s="18"/>
      <c r="Q97" s="18"/>
      <c r="R97" s="18"/>
      <c r="S97" s="18"/>
      <c r="T97" s="18"/>
    </row>
    <row r="98" spans="1:20" ht="15" customHeight="1" x14ac:dyDescent="0.25">
      <c r="A98" s="14"/>
      <c r="B98" s="14"/>
      <c r="C98" s="14"/>
      <c r="D98" s="14"/>
      <c r="E98" s="14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ht="15" customHeight="1" x14ac:dyDescent="0.25">
      <c r="A99" s="14"/>
      <c r="B99" s="14"/>
      <c r="C99" s="14"/>
      <c r="D99" s="14"/>
      <c r="E99" s="14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ht="15" customHeight="1" x14ac:dyDescent="0.25">
      <c r="A100" s="14" t="s">
        <v>120</v>
      </c>
      <c r="B100" s="14"/>
      <c r="C100" s="14"/>
      <c r="D100" s="14"/>
      <c r="E100" s="14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15" customHeight="1" x14ac:dyDescent="0.25">
      <c r="A101" s="18" t="s">
        <v>121</v>
      </c>
      <c r="B101" s="52">
        <f>-B39-B40</f>
        <v>-1237250</v>
      </c>
      <c r="C101" s="52"/>
      <c r="D101" s="52"/>
      <c r="E101" s="11"/>
      <c r="F101" s="11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ht="15" customHeight="1" x14ac:dyDescent="0.25">
      <c r="A102" s="14" t="s">
        <v>122</v>
      </c>
      <c r="B102" s="52"/>
      <c r="C102" s="52"/>
      <c r="D102" s="52"/>
      <c r="E102" s="11"/>
      <c r="F102" s="18"/>
      <c r="G102" s="18"/>
      <c r="H102" s="18"/>
      <c r="I102" s="18"/>
      <c r="J102" s="18"/>
      <c r="K102" s="18"/>
      <c r="L102" s="18"/>
      <c r="M102" s="11">
        <f>O102*O103</f>
        <v>1274040</v>
      </c>
      <c r="N102" s="18" t="s">
        <v>123</v>
      </c>
      <c r="O102" s="11">
        <f>1200000-E41</f>
        <v>1061700</v>
      </c>
      <c r="P102" s="18"/>
      <c r="Q102" s="18"/>
      <c r="R102" s="18"/>
      <c r="S102" s="18"/>
      <c r="T102" s="18"/>
    </row>
    <row r="103" spans="1:20" ht="15" customHeight="1" x14ac:dyDescent="0.25">
      <c r="A103" s="14" t="s">
        <v>124</v>
      </c>
      <c r="B103" s="52"/>
      <c r="C103" s="52"/>
      <c r="D103" s="52"/>
      <c r="E103" s="11"/>
      <c r="F103" s="18"/>
      <c r="G103" s="18"/>
      <c r="H103" s="18"/>
      <c r="I103" s="18"/>
      <c r="J103" s="18"/>
      <c r="K103" s="18"/>
      <c r="L103" s="18"/>
      <c r="M103" s="11">
        <f>-(M102-O102)*Assumptions!B19</f>
        <v>-53085</v>
      </c>
      <c r="N103" s="18" t="s">
        <v>125</v>
      </c>
      <c r="O103" s="18">
        <v>1.2</v>
      </c>
      <c r="P103" s="18"/>
      <c r="Q103" s="18"/>
      <c r="R103" s="18"/>
      <c r="S103" s="18"/>
      <c r="T103" s="18"/>
    </row>
    <row r="104" spans="1:20" ht="15" customHeight="1" x14ac:dyDescent="0.25">
      <c r="A104" s="14"/>
      <c r="B104" s="52"/>
      <c r="C104" s="52"/>
      <c r="D104" s="52"/>
      <c r="E104" s="11"/>
      <c r="F104" s="11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ht="15" customHeight="1" x14ac:dyDescent="0.25">
      <c r="A105" s="14" t="s">
        <v>126</v>
      </c>
      <c r="B105" s="52"/>
      <c r="C105" s="52"/>
      <c r="D105" s="52"/>
      <c r="E105" s="52"/>
      <c r="F105" s="11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ht="15" customHeight="1" x14ac:dyDescent="0.25">
      <c r="A106" s="14" t="s">
        <v>75</v>
      </c>
      <c r="B106" s="52"/>
      <c r="C106" s="11">
        <f t="shared" ref="C106:M106" si="31">-B37</f>
        <v>-5855.9123287671246</v>
      </c>
      <c r="D106" s="11">
        <f t="shared" si="31"/>
        <v>-6031.5896986301395</v>
      </c>
      <c r="E106" s="11">
        <f t="shared" si="31"/>
        <v>-6212.5373895890425</v>
      </c>
      <c r="F106" s="11">
        <f t="shared" si="31"/>
        <v>-6398.9135112767144</v>
      </c>
      <c r="G106" s="11">
        <f t="shared" si="31"/>
        <v>-6590.8809166150149</v>
      </c>
      <c r="H106" s="11">
        <f t="shared" si="31"/>
        <v>-6788.6073441134668</v>
      </c>
      <c r="I106" s="11">
        <f t="shared" si="31"/>
        <v>-6992.2655644368715</v>
      </c>
      <c r="J106" s="11">
        <f t="shared" si="31"/>
        <v>-7202.0335313699761</v>
      </c>
      <c r="K106" s="11">
        <f t="shared" si="31"/>
        <v>-7418.0945373110762</v>
      </c>
      <c r="L106" s="11">
        <f t="shared" si="31"/>
        <v>-7640.6373734304079</v>
      </c>
      <c r="M106" s="11">
        <f t="shared" si="31"/>
        <v>-7869.8564946333217</v>
      </c>
      <c r="N106" s="18"/>
      <c r="O106" s="18"/>
      <c r="P106" s="18"/>
      <c r="Q106" s="18"/>
      <c r="R106" s="18"/>
      <c r="S106" s="18"/>
      <c r="T106" s="18"/>
    </row>
    <row r="107" spans="1:20" ht="15" customHeight="1" x14ac:dyDescent="0.25">
      <c r="A107" s="14" t="s">
        <v>127</v>
      </c>
      <c r="B107" s="52"/>
      <c r="C107" s="52">
        <f t="shared" ref="C107:M107" si="32">C95-B95</f>
        <v>6944.4605209000983</v>
      </c>
      <c r="D107" s="52">
        <f t="shared" si="32"/>
        <v>1144.8549090909182</v>
      </c>
      <c r="E107" s="52">
        <f t="shared" si="32"/>
        <v>1184.1154654545498</v>
      </c>
      <c r="F107" s="52">
        <f t="shared" si="32"/>
        <v>1224.6900448727065</v>
      </c>
      <c r="G107" s="52">
        <f t="shared" si="32"/>
        <v>1266.6228561416501</v>
      </c>
      <c r="H107" s="52">
        <f t="shared" si="32"/>
        <v>1309.9596184002658</v>
      </c>
      <c r="I107" s="52">
        <f t="shared" si="32"/>
        <v>1354.7476137167978</v>
      </c>
      <c r="J107" s="52">
        <f t="shared" si="32"/>
        <v>1401.0357415423641</v>
      </c>
      <c r="K107" s="52">
        <f t="shared" si="32"/>
        <v>1448.8745751003953</v>
      </c>
      <c r="L107" s="52">
        <f t="shared" si="32"/>
        <v>1498.3164197806982</v>
      </c>
      <c r="M107" s="52">
        <f t="shared" si="32"/>
        <v>1549.4153736120352</v>
      </c>
      <c r="N107" s="18"/>
      <c r="O107" s="18"/>
      <c r="P107" s="18"/>
      <c r="Q107" s="18"/>
      <c r="R107" s="18"/>
      <c r="S107" s="18"/>
      <c r="T107" s="18"/>
    </row>
    <row r="108" spans="1:20" ht="15" customHeight="1" x14ac:dyDescent="0.25">
      <c r="A108" s="14" t="s">
        <v>82</v>
      </c>
      <c r="B108" s="52"/>
      <c r="C108" s="52">
        <f t="shared" ref="C108:M108" si="33">B46</f>
        <v>197.26027397260273</v>
      </c>
      <c r="D108" s="52">
        <f t="shared" si="33"/>
        <v>197.26027397260273</v>
      </c>
      <c r="E108" s="52">
        <f t="shared" si="33"/>
        <v>197.26027397260273</v>
      </c>
      <c r="F108" s="52">
        <f t="shared" si="33"/>
        <v>197.26027397260273</v>
      </c>
      <c r="G108" s="52">
        <f t="shared" si="33"/>
        <v>197.26027397260273</v>
      </c>
      <c r="H108" s="52">
        <f t="shared" si="33"/>
        <v>197.26027397260273</v>
      </c>
      <c r="I108" s="52">
        <f t="shared" si="33"/>
        <v>197.26027397260273</v>
      </c>
      <c r="J108" s="52">
        <f t="shared" si="33"/>
        <v>197.26027397260273</v>
      </c>
      <c r="K108" s="52">
        <f t="shared" si="33"/>
        <v>197.26027397260273</v>
      </c>
      <c r="L108" s="52">
        <f t="shared" si="33"/>
        <v>197.26027397260273</v>
      </c>
      <c r="M108" s="52">
        <f t="shared" si="33"/>
        <v>197.26027397260273</v>
      </c>
      <c r="N108" s="18"/>
      <c r="O108" s="18"/>
      <c r="P108" s="18"/>
      <c r="Q108" s="18"/>
      <c r="R108" s="18"/>
      <c r="S108" s="18"/>
      <c r="T108" s="18"/>
    </row>
    <row r="109" spans="1:20" ht="15" customHeight="1" x14ac:dyDescent="0.25">
      <c r="A109" s="14"/>
      <c r="B109" s="52"/>
      <c r="C109" s="52"/>
      <c r="D109" s="52"/>
      <c r="E109" s="52"/>
      <c r="F109" s="11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ht="15" customHeight="1" x14ac:dyDescent="0.25">
      <c r="A110" s="14" t="s">
        <v>128</v>
      </c>
      <c r="B110" s="52"/>
      <c r="C110" s="52"/>
      <c r="D110" s="52"/>
      <c r="E110" s="52"/>
      <c r="F110" s="11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ht="15" customHeight="1" x14ac:dyDescent="0.25">
      <c r="A111" s="14" t="s">
        <v>75</v>
      </c>
      <c r="B111" s="11"/>
      <c r="C111" s="11"/>
      <c r="D111" s="11"/>
      <c r="E111" s="11"/>
      <c r="F111" s="11"/>
      <c r="G111" s="18"/>
      <c r="H111" s="18"/>
      <c r="I111" s="18"/>
      <c r="J111" s="18"/>
      <c r="K111" s="18"/>
      <c r="L111" s="18"/>
      <c r="M111" s="11">
        <f>L37</f>
        <v>7869.8564946333217</v>
      </c>
      <c r="N111" s="18"/>
      <c r="O111" s="18"/>
      <c r="P111" s="18"/>
      <c r="Q111" s="18"/>
      <c r="R111" s="18"/>
      <c r="S111" s="18"/>
      <c r="T111" s="18"/>
    </row>
    <row r="112" spans="1:20" ht="15" customHeight="1" x14ac:dyDescent="0.25">
      <c r="A112" s="14" t="s">
        <v>127</v>
      </c>
      <c r="B112" s="52"/>
      <c r="C112" s="11"/>
      <c r="D112" s="11"/>
      <c r="E112" s="11"/>
      <c r="F112" s="11"/>
      <c r="G112" s="11"/>
      <c r="H112" s="11"/>
      <c r="I112" s="11"/>
      <c r="J112" s="11"/>
      <c r="K112" s="11"/>
      <c r="L112" s="18"/>
      <c r="M112" s="11">
        <f>-L47</f>
        <v>-14900.744458646746</v>
      </c>
      <c r="N112" s="18"/>
      <c r="O112" s="18"/>
      <c r="P112" s="18"/>
      <c r="Q112" s="18"/>
      <c r="R112" s="18"/>
      <c r="S112" s="18"/>
      <c r="T112" s="18"/>
    </row>
    <row r="113" spans="1:20" ht="15" customHeight="1" x14ac:dyDescent="0.25">
      <c r="A113" s="14" t="s">
        <v>82</v>
      </c>
      <c r="B113" s="52"/>
      <c r="C113" s="52"/>
      <c r="D113" s="52"/>
      <c r="E113" s="11"/>
      <c r="F113" s="11"/>
      <c r="G113" s="18"/>
      <c r="H113" s="18"/>
      <c r="I113" s="18"/>
      <c r="J113" s="18"/>
      <c r="K113" s="18"/>
      <c r="L113" s="18"/>
      <c r="M113" s="11">
        <f>-L46</f>
        <v>-197.26027397260273</v>
      </c>
      <c r="N113" s="18"/>
      <c r="O113" s="18"/>
      <c r="P113" s="18"/>
      <c r="Q113" s="18"/>
      <c r="R113" s="18"/>
      <c r="S113" s="18"/>
      <c r="T113" s="18"/>
    </row>
    <row r="114" spans="1:20" ht="15" customHeight="1" x14ac:dyDescent="0.25">
      <c r="A114" s="14"/>
      <c r="B114" s="52"/>
      <c r="C114" s="52"/>
      <c r="D114" s="52"/>
      <c r="E114" s="52"/>
      <c r="F114" s="11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0" ht="15" customHeight="1" x14ac:dyDescent="0.25">
      <c r="A115" s="45" t="s">
        <v>129</v>
      </c>
      <c r="B115" s="52">
        <f t="shared" ref="B115:M115" si="34">SUM(B97:B114)</f>
        <v>-1237250</v>
      </c>
      <c r="C115" s="52">
        <f t="shared" si="34"/>
        <v>56694.190028805875</v>
      </c>
      <c r="D115" s="52">
        <f t="shared" si="34"/>
        <v>54153.471774406433</v>
      </c>
      <c r="E115" s="52">
        <f t="shared" si="34"/>
        <v>57564.131036174811</v>
      </c>
      <c r="F115" s="52">
        <f t="shared" si="34"/>
        <v>61092.399628523424</v>
      </c>
      <c r="G115" s="52">
        <f t="shared" si="34"/>
        <v>64742.233602879009</v>
      </c>
      <c r="H115" s="52">
        <f t="shared" si="34"/>
        <v>68517.722792839966</v>
      </c>
      <c r="I115" s="52">
        <f t="shared" si="34"/>
        <v>72423.09540898347</v>
      </c>
      <c r="J115" s="52">
        <f t="shared" si="34"/>
        <v>76462.722794503046</v>
      </c>
      <c r="K115" s="52">
        <f t="shared" si="34"/>
        <v>80641.124347421151</v>
      </c>
      <c r="L115" s="52">
        <f t="shared" si="34"/>
        <v>84962.972615324237</v>
      </c>
      <c r="M115" s="52">
        <f t="shared" si="34"/>
        <v>1303159.9503308027</v>
      </c>
      <c r="N115" s="18"/>
      <c r="O115" s="18"/>
      <c r="P115" s="18"/>
      <c r="Q115" s="18"/>
      <c r="R115" s="18"/>
      <c r="S115" s="18"/>
      <c r="T115" s="18"/>
    </row>
    <row r="116" spans="1:20" ht="15" customHeight="1" x14ac:dyDescent="0.2">
      <c r="A116" t="s">
        <v>130</v>
      </c>
      <c r="B116" s="53">
        <f t="shared" ref="B116:M116" si="35">PV($C$86,B117,,-B115)</f>
        <v>-1237250</v>
      </c>
      <c r="C116" s="53">
        <f t="shared" si="35"/>
        <v>53813.506035099665</v>
      </c>
      <c r="D116" s="53">
        <f t="shared" si="35"/>
        <v>48790.106961955389</v>
      </c>
      <c r="E116" s="53">
        <f t="shared" si="35"/>
        <v>49227.768747316397</v>
      </c>
      <c r="F116" s="53">
        <f t="shared" si="35"/>
        <v>49590.457569602535</v>
      </c>
      <c r="G116" s="53">
        <f t="shared" si="35"/>
        <v>49882.859700970119</v>
      </c>
      <c r="H116" s="53">
        <f t="shared" si="35"/>
        <v>50109.413307604649</v>
      </c>
      <c r="I116" s="53">
        <f t="shared" si="35"/>
        <v>50274.32092421603</v>
      </c>
      <c r="J116" s="53">
        <f t="shared" si="35"/>
        <v>50381.561311618563</v>
      </c>
      <c r="K116" s="53">
        <f t="shared" si="35"/>
        <v>50434.900727803768</v>
      </c>
      <c r="L116" s="53">
        <f t="shared" si="35"/>
        <v>50437.903641408404</v>
      </c>
      <c r="M116" s="53">
        <f t="shared" si="35"/>
        <v>734307.19942735939</v>
      </c>
      <c r="N116" s="18"/>
      <c r="O116" s="18"/>
      <c r="P116" s="18"/>
      <c r="Q116" s="18"/>
      <c r="R116" s="18"/>
      <c r="S116" s="18"/>
      <c r="T116" s="18"/>
    </row>
    <row r="117" spans="1:20" ht="15" customHeight="1" x14ac:dyDescent="0.25">
      <c r="B117" s="53">
        <v>0</v>
      </c>
      <c r="C117" s="52">
        <f t="shared" ref="C117:M117" si="36">B117+1</f>
        <v>1</v>
      </c>
      <c r="D117" s="52">
        <f t="shared" si="36"/>
        <v>2</v>
      </c>
      <c r="E117" s="52">
        <f t="shared" si="36"/>
        <v>3</v>
      </c>
      <c r="F117" s="52">
        <f t="shared" si="36"/>
        <v>4</v>
      </c>
      <c r="G117" s="52">
        <f t="shared" si="36"/>
        <v>5</v>
      </c>
      <c r="H117" s="52">
        <f t="shared" si="36"/>
        <v>6</v>
      </c>
      <c r="I117" s="52">
        <f t="shared" si="36"/>
        <v>7</v>
      </c>
      <c r="J117" s="52">
        <f t="shared" si="36"/>
        <v>8</v>
      </c>
      <c r="K117" s="52">
        <f t="shared" si="36"/>
        <v>9</v>
      </c>
      <c r="L117" s="52">
        <f t="shared" si="36"/>
        <v>10</v>
      </c>
      <c r="M117" s="52">
        <f t="shared" si="36"/>
        <v>11</v>
      </c>
      <c r="N117" s="18"/>
      <c r="O117" s="18"/>
      <c r="P117" s="18"/>
      <c r="Q117" s="18"/>
      <c r="R117" s="18"/>
      <c r="S117" s="18"/>
      <c r="T117" s="18"/>
    </row>
    <row r="118" spans="1:20" ht="15" customHeight="1" x14ac:dyDescent="0.25">
      <c r="A118" s="18" t="s">
        <v>131</v>
      </c>
      <c r="B118" s="50">
        <f>IRR(B115:M115)</f>
        <v>5.3530873517554145E-2</v>
      </c>
      <c r="C118" s="14"/>
      <c r="D118" s="14"/>
      <c r="E118" s="14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1:20" ht="15" customHeight="1" x14ac:dyDescent="0.25">
      <c r="A119" s="18" t="s">
        <v>132</v>
      </c>
      <c r="B119" s="52">
        <f>SUM(B116:M116)</f>
        <v>-1.6450450057163835E-3</v>
      </c>
      <c r="C119" s="14"/>
      <c r="D119" s="14"/>
      <c r="E119" s="14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1:20" ht="15" customHeight="1" x14ac:dyDescent="0.25">
      <c r="A120" s="18" t="s">
        <v>133</v>
      </c>
      <c r="B120" s="52">
        <f>AVERAGE(B116:M116)</f>
        <v>-1.3708708380969861E-4</v>
      </c>
      <c r="C120" s="14"/>
      <c r="D120" s="14"/>
      <c r="E120" s="14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1:20" ht="15" customHeight="1" x14ac:dyDescent="0.25">
      <c r="A121" s="18"/>
      <c r="B121" s="52"/>
      <c r="C121" s="14"/>
      <c r="D121" s="14"/>
      <c r="E121" s="14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ht="15" customHeight="1" x14ac:dyDescent="0.25">
      <c r="A122" s="18"/>
      <c r="B122" s="52">
        <v>0</v>
      </c>
      <c r="C122" s="14">
        <v>1</v>
      </c>
      <c r="D122" s="14">
        <v>2</v>
      </c>
      <c r="E122" s="14">
        <v>3</v>
      </c>
      <c r="F122" s="18">
        <v>4</v>
      </c>
      <c r="G122" s="18">
        <v>5</v>
      </c>
      <c r="H122" s="18">
        <v>6</v>
      </c>
      <c r="I122" s="18">
        <v>7</v>
      </c>
      <c r="J122" s="18">
        <v>8</v>
      </c>
      <c r="K122" s="18">
        <v>9</v>
      </c>
      <c r="L122" s="18">
        <v>10</v>
      </c>
      <c r="M122" s="18">
        <v>11</v>
      </c>
      <c r="N122" s="65" t="s">
        <v>134</v>
      </c>
      <c r="O122" s="65"/>
      <c r="P122" s="65"/>
      <c r="Q122" s="18"/>
      <c r="R122" s="18"/>
      <c r="S122" s="18"/>
      <c r="T122" s="18"/>
    </row>
    <row r="123" spans="1:20" ht="15" customHeight="1" x14ac:dyDescent="0.25">
      <c r="A123" s="5" t="s">
        <v>135</v>
      </c>
      <c r="B123" s="52">
        <f>-(B39+B40)</f>
        <v>-1237250</v>
      </c>
      <c r="C123" s="52">
        <f t="shared" ref="C123:L123" si="37">C115*$N123</f>
        <v>79371.866040328227</v>
      </c>
      <c r="D123" s="52">
        <f t="shared" si="37"/>
        <v>75814.860484168996</v>
      </c>
      <c r="E123" s="52">
        <f t="shared" si="37"/>
        <v>80589.783450644725</v>
      </c>
      <c r="F123" s="52">
        <f t="shared" si="37"/>
        <v>85529.359479932784</v>
      </c>
      <c r="G123" s="52">
        <f t="shared" si="37"/>
        <v>90639.127044030611</v>
      </c>
      <c r="H123" s="52">
        <f t="shared" si="37"/>
        <v>95924.81190997595</v>
      </c>
      <c r="I123" s="52">
        <f t="shared" si="37"/>
        <v>101392.33357257686</v>
      </c>
      <c r="J123" s="52">
        <f t="shared" si="37"/>
        <v>107047.81191230426</v>
      </c>
      <c r="K123" s="52">
        <f t="shared" si="37"/>
        <v>112897.57408638961</v>
      </c>
      <c r="L123" s="52">
        <f t="shared" si="37"/>
        <v>118948.16166145392</v>
      </c>
      <c r="M123" s="52">
        <f>M115*$N123</f>
        <v>1824423.9304631236</v>
      </c>
      <c r="N123" s="18">
        <v>1.4</v>
      </c>
      <c r="O123" s="18"/>
      <c r="P123" s="18"/>
      <c r="Q123" s="18"/>
      <c r="R123" s="18"/>
      <c r="S123" s="18"/>
      <c r="T123" s="18"/>
    </row>
    <row r="124" spans="1:20" ht="15" customHeight="1" x14ac:dyDescent="0.25">
      <c r="A124" s="18" t="s">
        <v>136</v>
      </c>
      <c r="B124" s="52"/>
      <c r="C124" s="52"/>
      <c r="D124" s="52"/>
      <c r="E124" s="52"/>
      <c r="F124" s="11"/>
      <c r="G124" s="11">
        <v>-75000</v>
      </c>
      <c r="H124" s="11">
        <f>H123*$N125</f>
        <v>14388.721786496391</v>
      </c>
      <c r="I124" s="11">
        <f>I123*$N125</f>
        <v>15208.850035886528</v>
      </c>
      <c r="J124" s="11">
        <f>J123*$N125</f>
        <v>16057.171786845638</v>
      </c>
      <c r="K124" s="11">
        <f>K123*$N125</f>
        <v>16934.63611295844</v>
      </c>
      <c r="L124" s="11">
        <f>L123*$N125</f>
        <v>17842.224249218089</v>
      </c>
      <c r="M124" s="11"/>
      <c r="N124" s="65" t="s">
        <v>137</v>
      </c>
      <c r="O124" s="65"/>
      <c r="P124" s="65"/>
      <c r="Q124" s="18"/>
      <c r="R124" s="18"/>
      <c r="S124" s="18"/>
      <c r="T124" s="18"/>
    </row>
    <row r="125" spans="1:20" ht="15" customHeight="1" x14ac:dyDescent="0.25">
      <c r="A125" s="18" t="s">
        <v>138</v>
      </c>
      <c r="B125" s="52">
        <f t="shared" ref="B125:M125" si="38">SUM(B123:B124)</f>
        <v>-1237250</v>
      </c>
      <c r="C125" s="52">
        <f t="shared" si="38"/>
        <v>79371.866040328227</v>
      </c>
      <c r="D125" s="52">
        <f t="shared" si="38"/>
        <v>75814.860484168996</v>
      </c>
      <c r="E125" s="52">
        <f t="shared" si="38"/>
        <v>80589.783450644725</v>
      </c>
      <c r="F125" s="52">
        <f t="shared" si="38"/>
        <v>85529.359479932784</v>
      </c>
      <c r="G125" s="52">
        <f t="shared" si="38"/>
        <v>15639.127044030611</v>
      </c>
      <c r="H125" s="52">
        <f t="shared" si="38"/>
        <v>110313.53369647234</v>
      </c>
      <c r="I125" s="52">
        <f t="shared" si="38"/>
        <v>116601.18360846338</v>
      </c>
      <c r="J125" s="52">
        <f t="shared" si="38"/>
        <v>123104.98369914989</v>
      </c>
      <c r="K125" s="52">
        <f t="shared" si="38"/>
        <v>129832.21019934805</v>
      </c>
      <c r="L125" s="52">
        <f t="shared" si="38"/>
        <v>136790.38591067202</v>
      </c>
      <c r="M125" s="52">
        <f t="shared" si="38"/>
        <v>1824423.9304631236</v>
      </c>
      <c r="N125" s="18">
        <v>0.15</v>
      </c>
      <c r="O125" s="18"/>
      <c r="P125" s="18"/>
      <c r="Q125" s="18"/>
      <c r="R125" s="18"/>
      <c r="S125" s="18"/>
      <c r="T125" s="18"/>
    </row>
    <row r="126" spans="1:20" ht="15" customHeight="1" x14ac:dyDescent="0.25">
      <c r="A126" s="18" t="s">
        <v>139</v>
      </c>
      <c r="B126" s="50">
        <f>C86</f>
        <v>5.353087367746108E-2</v>
      </c>
      <c r="C126" s="52"/>
      <c r="D126" s="52"/>
      <c r="E126" s="52"/>
      <c r="F126" s="11"/>
      <c r="G126" s="11"/>
      <c r="H126" s="11"/>
      <c r="I126" s="18"/>
      <c r="J126" s="11"/>
      <c r="K126" s="18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ht="15" customHeight="1" x14ac:dyDescent="0.25">
      <c r="A127" s="37" t="s">
        <v>140</v>
      </c>
      <c r="B127" s="17">
        <f t="shared" ref="B127:M127" si="39">-PV($B$126,B122,,B125)</f>
        <v>-1237250</v>
      </c>
      <c r="C127" s="17">
        <f t="shared" si="39"/>
        <v>75338.908449139533</v>
      </c>
      <c r="D127" s="52">
        <f t="shared" si="39"/>
        <v>68306.14974673753</v>
      </c>
      <c r="E127" s="52">
        <f t="shared" si="39"/>
        <v>68918.876246242944</v>
      </c>
      <c r="F127" s="52">
        <f t="shared" si="39"/>
        <v>69426.640597443547</v>
      </c>
      <c r="G127" s="52">
        <f t="shared" si="39"/>
        <v>12049.698269111545</v>
      </c>
      <c r="H127" s="52">
        <f t="shared" si="39"/>
        <v>80676.155425243487</v>
      </c>
      <c r="I127" s="52">
        <f t="shared" si="39"/>
        <v>80941.656687987808</v>
      </c>
      <c r="J127" s="52">
        <f t="shared" si="39"/>
        <v>81114.31371170588</v>
      </c>
      <c r="K127" s="52">
        <f t="shared" si="39"/>
        <v>81200.190171764058</v>
      </c>
      <c r="L127" s="52">
        <f t="shared" si="39"/>
        <v>81205.024862667531</v>
      </c>
      <c r="M127" s="52">
        <f t="shared" si="39"/>
        <v>1028030.0791983029</v>
      </c>
      <c r="N127" s="18"/>
      <c r="O127" s="18"/>
      <c r="P127" s="18"/>
      <c r="Q127" s="18"/>
      <c r="R127" s="18"/>
      <c r="S127" s="18"/>
      <c r="T127" s="18"/>
    </row>
    <row r="128" spans="1:20" ht="15" customHeight="1" x14ac:dyDescent="0.25">
      <c r="A128" s="29" t="s">
        <v>141</v>
      </c>
      <c r="B128" s="33">
        <f>SUM(B127:M127)</f>
        <v>489957.69336634665</v>
      </c>
      <c r="C128" s="41">
        <v>0.5</v>
      </c>
      <c r="D128" s="6"/>
      <c r="E128" s="52"/>
      <c r="F128" s="11"/>
      <c r="G128" s="11"/>
      <c r="H128" s="11"/>
      <c r="I128" s="18"/>
      <c r="J128" s="11"/>
      <c r="K128" s="18"/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ht="15" customHeight="1" x14ac:dyDescent="0.25">
      <c r="A129" s="39"/>
      <c r="B129" s="24"/>
      <c r="C129" s="24"/>
      <c r="D129" s="52"/>
      <c r="E129" s="52"/>
      <c r="F129" s="11"/>
      <c r="G129" s="11"/>
      <c r="H129" s="11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1:20" ht="15" customHeight="1" x14ac:dyDescent="0.25">
      <c r="A130" s="18"/>
      <c r="B130" s="52">
        <v>0</v>
      </c>
      <c r="C130" s="52">
        <v>1</v>
      </c>
      <c r="D130" s="52">
        <v>2</v>
      </c>
      <c r="E130" s="52">
        <v>3</v>
      </c>
      <c r="F130" s="11">
        <v>4</v>
      </c>
      <c r="G130" s="11">
        <v>5</v>
      </c>
      <c r="H130" s="11">
        <v>6</v>
      </c>
      <c r="I130" s="18">
        <v>7</v>
      </c>
      <c r="J130" s="18">
        <v>8</v>
      </c>
      <c r="K130" s="18">
        <v>9</v>
      </c>
      <c r="L130" s="18">
        <v>10</v>
      </c>
      <c r="M130" s="18">
        <v>11</v>
      </c>
      <c r="N130" s="65" t="s">
        <v>142</v>
      </c>
      <c r="O130" s="65"/>
      <c r="P130" s="65"/>
      <c r="Q130" s="18"/>
      <c r="R130" s="18"/>
      <c r="S130" s="18"/>
      <c r="T130" s="18"/>
    </row>
    <row r="131" spans="1:20" ht="15" customHeight="1" x14ac:dyDescent="0.25">
      <c r="A131" s="13" t="s">
        <v>143</v>
      </c>
      <c r="B131" s="52">
        <f>B123</f>
        <v>-1237250</v>
      </c>
      <c r="C131" s="52">
        <f t="shared" ref="C131:M131" si="40">C115*$N131</f>
        <v>28347.095014402938</v>
      </c>
      <c r="D131" s="52">
        <f t="shared" si="40"/>
        <v>27076.735887203216</v>
      </c>
      <c r="E131" s="52">
        <f t="shared" si="40"/>
        <v>28782.065518087406</v>
      </c>
      <c r="F131" s="52">
        <f t="shared" si="40"/>
        <v>30546.199814261712</v>
      </c>
      <c r="G131" s="52">
        <f t="shared" si="40"/>
        <v>32371.116801439504</v>
      </c>
      <c r="H131" s="52">
        <f t="shared" si="40"/>
        <v>34258.861396419983</v>
      </c>
      <c r="I131" s="52">
        <f t="shared" si="40"/>
        <v>36211.547704491735</v>
      </c>
      <c r="J131" s="52">
        <f t="shared" si="40"/>
        <v>38231.361397251523</v>
      </c>
      <c r="K131" s="52">
        <f t="shared" si="40"/>
        <v>40320.562173710576</v>
      </c>
      <c r="L131" s="52">
        <f t="shared" si="40"/>
        <v>42481.486307662119</v>
      </c>
      <c r="M131" s="52">
        <f t="shared" si="40"/>
        <v>651579.97516540135</v>
      </c>
      <c r="N131" s="18">
        <v>0.5</v>
      </c>
      <c r="O131" s="18"/>
      <c r="P131" s="18"/>
      <c r="Q131" s="18"/>
      <c r="R131" s="18"/>
      <c r="S131" s="18"/>
      <c r="T131" s="18"/>
    </row>
    <row r="132" spans="1:20" ht="15" customHeight="1" x14ac:dyDescent="0.25">
      <c r="A132" s="18"/>
      <c r="B132" s="52"/>
      <c r="C132" s="52"/>
      <c r="D132" s="52"/>
      <c r="E132" s="52"/>
      <c r="F132" s="11"/>
      <c r="G132" s="11"/>
      <c r="H132" s="11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1:20" ht="15" customHeight="1" x14ac:dyDescent="0.25">
      <c r="A133" s="18" t="s">
        <v>138</v>
      </c>
      <c r="B133" s="52">
        <f>B125</f>
        <v>-1237250</v>
      </c>
      <c r="C133" s="53">
        <f t="shared" ref="C133:M133" si="41">SUM(C131:C132)</f>
        <v>28347.095014402938</v>
      </c>
      <c r="D133" s="53">
        <f t="shared" si="41"/>
        <v>27076.735887203216</v>
      </c>
      <c r="E133" s="53">
        <f t="shared" si="41"/>
        <v>28782.065518087406</v>
      </c>
      <c r="F133" s="53">
        <f t="shared" si="41"/>
        <v>30546.199814261712</v>
      </c>
      <c r="G133" s="53">
        <f t="shared" si="41"/>
        <v>32371.116801439504</v>
      </c>
      <c r="H133" s="53">
        <f t="shared" si="41"/>
        <v>34258.861396419983</v>
      </c>
      <c r="I133" s="53">
        <f t="shared" si="41"/>
        <v>36211.547704491735</v>
      </c>
      <c r="J133" s="53">
        <f t="shared" si="41"/>
        <v>38231.361397251523</v>
      </c>
      <c r="K133" s="53">
        <f t="shared" si="41"/>
        <v>40320.562173710576</v>
      </c>
      <c r="L133" s="53">
        <f t="shared" si="41"/>
        <v>42481.486307662119</v>
      </c>
      <c r="M133" s="53">
        <f t="shared" si="41"/>
        <v>651579.97516540135</v>
      </c>
      <c r="N133" s="18"/>
      <c r="O133" s="18"/>
      <c r="P133" s="18"/>
      <c r="Q133" s="18"/>
      <c r="R133" s="18"/>
      <c r="S133" s="18"/>
      <c r="T133" s="18"/>
    </row>
    <row r="134" spans="1:20" ht="15" customHeight="1" x14ac:dyDescent="0.25">
      <c r="A134" s="18" t="s">
        <v>139</v>
      </c>
      <c r="B134" s="50">
        <f>B126</f>
        <v>5.353087367746108E-2</v>
      </c>
      <c r="C134" s="52"/>
      <c r="D134" s="52"/>
      <c r="E134" s="52"/>
      <c r="F134" s="11"/>
      <c r="G134" s="11"/>
      <c r="H134" s="11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1:20" ht="15" customHeight="1" x14ac:dyDescent="0.25">
      <c r="A135" s="37" t="s">
        <v>140</v>
      </c>
      <c r="B135" s="17">
        <f t="shared" ref="B135:M135" si="42">-PV($B$134,B130,,B133)</f>
        <v>-1237250</v>
      </c>
      <c r="C135" s="17">
        <f t="shared" si="42"/>
        <v>26906.753017549832</v>
      </c>
      <c r="D135" s="52">
        <f t="shared" si="42"/>
        <v>24395.053480977695</v>
      </c>
      <c r="E135" s="52">
        <f t="shared" si="42"/>
        <v>24613.884373658198</v>
      </c>
      <c r="F135" s="52">
        <f t="shared" si="42"/>
        <v>24795.228784801267</v>
      </c>
      <c r="G135" s="52">
        <f t="shared" si="42"/>
        <v>24941.429850485059</v>
      </c>
      <c r="H135" s="52">
        <f t="shared" si="42"/>
        <v>25054.706653802325</v>
      </c>
      <c r="I135" s="52">
        <f t="shared" si="42"/>
        <v>25137.160462108015</v>
      </c>
      <c r="J135" s="52">
        <f t="shared" si="42"/>
        <v>25190.780655809282</v>
      </c>
      <c r="K135" s="52">
        <f t="shared" si="42"/>
        <v>25217.450363901884</v>
      </c>
      <c r="L135" s="52">
        <f t="shared" si="42"/>
        <v>25218.951820704202</v>
      </c>
      <c r="M135" s="52">
        <f t="shared" si="42"/>
        <v>367153.59971367969</v>
      </c>
      <c r="N135" s="18"/>
      <c r="O135" s="18"/>
      <c r="P135" s="18"/>
      <c r="Q135" s="18"/>
      <c r="R135" s="18"/>
      <c r="S135" s="18"/>
      <c r="T135" s="18"/>
    </row>
    <row r="136" spans="1:20" ht="15" customHeight="1" x14ac:dyDescent="0.25">
      <c r="A136" s="29" t="s">
        <v>141</v>
      </c>
      <c r="B136" s="33">
        <f>SUM(B135:M135)</f>
        <v>-618625.00082252244</v>
      </c>
      <c r="C136" s="63">
        <v>0.5</v>
      </c>
      <c r="D136" s="4"/>
      <c r="E136" s="14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ht="15" customHeight="1" x14ac:dyDescent="0.25">
      <c r="A137" s="20"/>
      <c r="B137" s="20"/>
      <c r="C137" s="55"/>
      <c r="D137" s="14"/>
      <c r="E137" s="14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1:20" ht="15" customHeight="1" x14ac:dyDescent="0.25">
      <c r="A138" s="26" t="s">
        <v>144</v>
      </c>
      <c r="B138" s="36">
        <f>(B128*C128)+(B136*C136)</f>
        <v>-64333.653728087898</v>
      </c>
      <c r="C138" s="4"/>
      <c r="D138" s="14"/>
      <c r="E138" s="14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20" ht="15" customHeight="1" x14ac:dyDescent="0.25">
      <c r="A139" s="39"/>
      <c r="B139" s="24"/>
      <c r="C139" s="14"/>
      <c r="D139" s="14"/>
      <c r="E139" s="14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5" customHeight="1" x14ac:dyDescent="0.25">
      <c r="A140" s="18"/>
      <c r="B140" s="52"/>
      <c r="C140" s="14"/>
      <c r="D140" s="14"/>
      <c r="E140" s="14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5" customHeight="1" x14ac:dyDescent="0.25">
      <c r="A141" s="18"/>
      <c r="B141" s="52"/>
      <c r="C141" s="14"/>
      <c r="D141" s="14"/>
      <c r="E141" s="14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ht="15" customHeight="1" x14ac:dyDescent="0.25">
      <c r="A142" s="18"/>
      <c r="B142" s="52"/>
      <c r="C142" s="14"/>
      <c r="D142" s="14"/>
      <c r="E142" s="14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1:20" ht="15" customHeight="1" x14ac:dyDescent="0.25">
      <c r="A143" s="18"/>
      <c r="B143" s="52"/>
      <c r="C143" s="14"/>
      <c r="D143" s="14"/>
      <c r="E143" s="14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ht="15" customHeight="1" x14ac:dyDescent="0.25">
      <c r="A144" s="18"/>
      <c r="B144" s="52"/>
      <c r="C144" s="14"/>
      <c r="D144" s="14"/>
      <c r="E144" s="14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1:20" ht="15" customHeight="1" x14ac:dyDescent="0.25">
      <c r="A145" s="18"/>
      <c r="B145" s="52"/>
      <c r="C145" s="14"/>
      <c r="D145" s="14"/>
      <c r="E145" s="14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1:20" ht="15" customHeight="1" x14ac:dyDescent="0.25">
      <c r="A146" s="18"/>
      <c r="B146" s="52"/>
      <c r="C146" s="14"/>
      <c r="D146" s="14"/>
      <c r="E146" s="14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ht="15" customHeight="1" x14ac:dyDescent="0.25">
      <c r="A147" s="18"/>
      <c r="B147" s="52"/>
      <c r="C147" s="14"/>
      <c r="D147" s="14"/>
      <c r="E147" s="14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ht="15" customHeight="1" x14ac:dyDescent="0.25">
      <c r="A148" s="18"/>
      <c r="B148" s="52"/>
      <c r="C148" s="14"/>
      <c r="D148" s="14"/>
      <c r="E148" s="14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ht="15" customHeight="1" x14ac:dyDescent="0.25">
      <c r="A149" s="18"/>
      <c r="B149" s="52"/>
      <c r="C149" s="14"/>
      <c r="D149" s="14"/>
      <c r="E149" s="14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ht="15" customHeight="1" x14ac:dyDescent="0.25">
      <c r="A150" s="18"/>
      <c r="B150" s="52"/>
      <c r="C150" s="14"/>
      <c r="D150" s="14"/>
      <c r="E150" s="14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15" customHeight="1" x14ac:dyDescent="0.25">
      <c r="A151" s="18"/>
      <c r="B151" s="52"/>
      <c r="C151" s="14"/>
      <c r="D151" s="14"/>
      <c r="E151" s="14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ht="15" customHeight="1" x14ac:dyDescent="0.25">
      <c r="A152" s="18"/>
      <c r="B152" s="52"/>
      <c r="C152" s="14"/>
      <c r="D152" s="14"/>
      <c r="E152" s="14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1:20" ht="15" customHeight="1" x14ac:dyDescent="0.25">
      <c r="A153" s="18"/>
      <c r="B153" s="52"/>
      <c r="C153" s="14"/>
      <c r="D153" s="14"/>
      <c r="E153" s="14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 ht="15" customHeight="1" x14ac:dyDescent="0.25">
      <c r="A154" s="18"/>
      <c r="B154" s="52"/>
      <c r="C154" s="14"/>
      <c r="D154" s="14"/>
      <c r="E154" s="14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 ht="15" customHeight="1" x14ac:dyDescent="0.25">
      <c r="A155" s="18"/>
      <c r="B155" s="52"/>
      <c r="C155" s="14"/>
      <c r="D155" s="14"/>
      <c r="E155" s="14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1:20" ht="15" customHeight="1" x14ac:dyDescent="0.25">
      <c r="A156" s="18"/>
      <c r="B156" s="52"/>
      <c r="C156" s="14"/>
      <c r="D156" s="14"/>
      <c r="E156" s="14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</sheetData>
  <mergeCells count="6">
    <mergeCell ref="N130:P130"/>
    <mergeCell ref="M1:M2"/>
    <mergeCell ref="D66:D68"/>
    <mergeCell ref="E71:F71"/>
    <mergeCell ref="N122:P122"/>
    <mergeCell ref="N124:P124"/>
  </mergeCells>
  <pageMargins left="0.7" right="0.7" top="0.75" bottom="0.75" header="0.3" footer="0.3"/>
  <pageSetup orientation="landscape" horizont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G19" sqref="G19"/>
    </sheetView>
  </sheetViews>
  <sheetFormatPr defaultColWidth="17.140625" defaultRowHeight="12.75" customHeight="1" x14ac:dyDescent="0.2"/>
  <cols>
    <col min="1" max="1" width="10.140625" customWidth="1"/>
  </cols>
  <sheetData>
    <row r="1" spans="1:6" ht="12.75" customHeight="1" x14ac:dyDescent="0.2">
      <c r="A1" s="18"/>
      <c r="B1" s="18"/>
      <c r="C1" s="58">
        <f>3/4</f>
        <v>0.75</v>
      </c>
      <c r="D1" s="65" t="s">
        <v>145</v>
      </c>
      <c r="E1" s="65"/>
      <c r="F1" s="65"/>
    </row>
    <row r="2" spans="1:6" ht="12.75" customHeight="1" x14ac:dyDescent="0.2">
      <c r="A2" s="18"/>
      <c r="B2" s="18"/>
      <c r="C2" s="22" t="s">
        <v>146</v>
      </c>
      <c r="D2" s="22" t="s">
        <v>147</v>
      </c>
      <c r="E2" s="22" t="s">
        <v>148</v>
      </c>
      <c r="F2" s="22" t="s">
        <v>149</v>
      </c>
    </row>
    <row r="3" spans="1:6" ht="12.75" customHeight="1" x14ac:dyDescent="0.2">
      <c r="A3" s="18"/>
      <c r="B3" s="18"/>
      <c r="C3" s="1">
        <f>('Inc. Statement &amp; Bal. Sheet'!B39+'Inc. Statement &amp; Bal. Sheet'!B40)-('Inc. Statement &amp; Bal. Sheet'!B53*(C1))</f>
        <v>953197.86044376821</v>
      </c>
      <c r="D3" s="35">
        <v>0.03</v>
      </c>
      <c r="E3" s="54">
        <v>30</v>
      </c>
      <c r="F3" s="12">
        <f>PMT(D3,E3,-C3,0)</f>
        <v>48631.44882549053</v>
      </c>
    </row>
    <row r="4" spans="1:6" ht="12.75" customHeight="1" x14ac:dyDescent="0.2">
      <c r="A4" s="70" t="s">
        <v>150</v>
      </c>
      <c r="B4" s="22" t="s">
        <v>151</v>
      </c>
      <c r="C4" s="22" t="s">
        <v>152</v>
      </c>
      <c r="D4" s="22" t="s">
        <v>153</v>
      </c>
      <c r="E4" s="22" t="s">
        <v>154</v>
      </c>
      <c r="F4" s="22" t="s">
        <v>123</v>
      </c>
    </row>
    <row r="5" spans="1:6" ht="12.75" customHeight="1" x14ac:dyDescent="0.2">
      <c r="A5" s="70"/>
      <c r="B5" s="13"/>
      <c r="C5" s="9"/>
      <c r="D5" s="13"/>
      <c r="E5" s="13"/>
      <c r="F5" s="12">
        <f>C3</f>
        <v>953197.86044376821</v>
      </c>
    </row>
    <row r="6" spans="1:6" ht="12.75" customHeight="1" x14ac:dyDescent="0.2">
      <c r="A6" s="13">
        <v>1</v>
      </c>
      <c r="B6" s="18">
        <v>2013</v>
      </c>
      <c r="C6" s="11">
        <f>F3</f>
        <v>48631.44882549053</v>
      </c>
      <c r="D6" s="11">
        <f t="shared" ref="D6:D35" si="0">F5*$D$3</f>
        <v>28595.935813313044</v>
      </c>
      <c r="E6" s="11">
        <f t="shared" ref="E6:E35" si="1">D6-C6</f>
        <v>-20035.513012177486</v>
      </c>
      <c r="F6" s="11">
        <f t="shared" ref="F6:F35" si="2">F5+E6</f>
        <v>933162.34743159078</v>
      </c>
    </row>
    <row r="7" spans="1:6" ht="12.75" customHeight="1" x14ac:dyDescent="0.2">
      <c r="A7" s="13">
        <f t="shared" ref="A7:A35" si="3">A6+1</f>
        <v>2</v>
      </c>
      <c r="B7" s="18">
        <f t="shared" ref="B7:B35" si="4">B6+1</f>
        <v>2014</v>
      </c>
      <c r="C7" s="11">
        <f t="shared" ref="C7:C35" si="5">C6</f>
        <v>48631.44882549053</v>
      </c>
      <c r="D7" s="11">
        <f t="shared" si="0"/>
        <v>27994.870422947723</v>
      </c>
      <c r="E7" s="11">
        <f t="shared" si="1"/>
        <v>-20636.578402542807</v>
      </c>
      <c r="F7" s="11">
        <f t="shared" si="2"/>
        <v>912525.76902904792</v>
      </c>
    </row>
    <row r="8" spans="1:6" ht="12.75" customHeight="1" x14ac:dyDescent="0.2">
      <c r="A8" s="13">
        <f t="shared" si="3"/>
        <v>3</v>
      </c>
      <c r="B8" s="18">
        <f t="shared" si="4"/>
        <v>2015</v>
      </c>
      <c r="C8" s="11">
        <f t="shared" si="5"/>
        <v>48631.44882549053</v>
      </c>
      <c r="D8" s="11">
        <f t="shared" si="0"/>
        <v>27375.773070871437</v>
      </c>
      <c r="E8" s="11">
        <f t="shared" si="1"/>
        <v>-21255.675754619093</v>
      </c>
      <c r="F8" s="11">
        <f t="shared" si="2"/>
        <v>891270.09327442886</v>
      </c>
    </row>
    <row r="9" spans="1:6" ht="12.75" customHeight="1" x14ac:dyDescent="0.2">
      <c r="A9" s="13">
        <f t="shared" si="3"/>
        <v>4</v>
      </c>
      <c r="B9" s="18">
        <f t="shared" si="4"/>
        <v>2016</v>
      </c>
      <c r="C9" s="11">
        <f t="shared" si="5"/>
        <v>48631.44882549053</v>
      </c>
      <c r="D9" s="11">
        <f t="shared" si="0"/>
        <v>26738.102798232863</v>
      </c>
      <c r="E9" s="11">
        <f t="shared" si="1"/>
        <v>-21893.346027257667</v>
      </c>
      <c r="F9" s="11">
        <f t="shared" si="2"/>
        <v>869376.74724717124</v>
      </c>
    </row>
    <row r="10" spans="1:6" ht="12.75" customHeight="1" x14ac:dyDescent="0.2">
      <c r="A10" s="13">
        <f t="shared" si="3"/>
        <v>5</v>
      </c>
      <c r="B10" s="18">
        <f t="shared" si="4"/>
        <v>2017</v>
      </c>
      <c r="C10" s="11">
        <f t="shared" si="5"/>
        <v>48631.44882549053</v>
      </c>
      <c r="D10" s="11">
        <f t="shared" si="0"/>
        <v>26081.302417415136</v>
      </c>
      <c r="E10" s="11">
        <f t="shared" si="1"/>
        <v>-22550.146408075394</v>
      </c>
      <c r="F10" s="11">
        <f t="shared" si="2"/>
        <v>846826.60083909589</v>
      </c>
    </row>
    <row r="11" spans="1:6" ht="12.75" customHeight="1" x14ac:dyDescent="0.2">
      <c r="A11" s="13">
        <f t="shared" si="3"/>
        <v>6</v>
      </c>
      <c r="B11" s="18">
        <f t="shared" si="4"/>
        <v>2018</v>
      </c>
      <c r="C11" s="11">
        <f t="shared" si="5"/>
        <v>48631.44882549053</v>
      </c>
      <c r="D11" s="11">
        <f t="shared" si="0"/>
        <v>25404.798025172877</v>
      </c>
      <c r="E11" s="11">
        <f t="shared" si="1"/>
        <v>-23226.650800317653</v>
      </c>
      <c r="F11" s="11">
        <f t="shared" si="2"/>
        <v>823599.95003877825</v>
      </c>
    </row>
    <row r="12" spans="1:6" ht="12.75" customHeight="1" x14ac:dyDescent="0.2">
      <c r="A12" s="13">
        <f t="shared" si="3"/>
        <v>7</v>
      </c>
      <c r="B12" s="18">
        <f t="shared" si="4"/>
        <v>2019</v>
      </c>
      <c r="C12" s="11">
        <f t="shared" si="5"/>
        <v>48631.44882549053</v>
      </c>
      <c r="D12" s="11">
        <f t="shared" si="0"/>
        <v>24707.998501163347</v>
      </c>
      <c r="E12" s="11">
        <f t="shared" si="1"/>
        <v>-23923.450324327183</v>
      </c>
      <c r="F12" s="11">
        <f t="shared" si="2"/>
        <v>799676.49971445103</v>
      </c>
    </row>
    <row r="13" spans="1:6" ht="12.75" customHeight="1" x14ac:dyDescent="0.2">
      <c r="A13" s="13">
        <f t="shared" si="3"/>
        <v>8</v>
      </c>
      <c r="B13" s="18">
        <f t="shared" si="4"/>
        <v>2020</v>
      </c>
      <c r="C13" s="11">
        <f t="shared" si="5"/>
        <v>48631.44882549053</v>
      </c>
      <c r="D13" s="11">
        <f t="shared" si="0"/>
        <v>23990.29499143353</v>
      </c>
      <c r="E13" s="11">
        <f t="shared" si="1"/>
        <v>-24641.153834057</v>
      </c>
      <c r="F13" s="11">
        <f t="shared" si="2"/>
        <v>775035.34588039399</v>
      </c>
    </row>
    <row r="14" spans="1:6" ht="12.75" customHeight="1" x14ac:dyDescent="0.2">
      <c r="A14" s="13">
        <f t="shared" si="3"/>
        <v>9</v>
      </c>
      <c r="B14" s="18">
        <f t="shared" si="4"/>
        <v>2021</v>
      </c>
      <c r="C14" s="11">
        <f t="shared" si="5"/>
        <v>48631.44882549053</v>
      </c>
      <c r="D14" s="11">
        <f t="shared" si="0"/>
        <v>23251.06037641182</v>
      </c>
      <c r="E14" s="11">
        <f t="shared" si="1"/>
        <v>-25380.38844907871</v>
      </c>
      <c r="F14" s="11">
        <f t="shared" si="2"/>
        <v>749654.95743131533</v>
      </c>
    </row>
    <row r="15" spans="1:6" ht="12.75" customHeight="1" x14ac:dyDescent="0.2">
      <c r="A15" s="13">
        <f t="shared" si="3"/>
        <v>10</v>
      </c>
      <c r="B15" s="18">
        <f t="shared" si="4"/>
        <v>2022</v>
      </c>
      <c r="C15" s="11">
        <f t="shared" si="5"/>
        <v>48631.44882549053</v>
      </c>
      <c r="D15" s="11">
        <f t="shared" si="0"/>
        <v>22489.648722939459</v>
      </c>
      <c r="E15" s="11">
        <f t="shared" si="1"/>
        <v>-26141.800102551071</v>
      </c>
      <c r="F15" s="11">
        <f t="shared" si="2"/>
        <v>723513.15732876421</v>
      </c>
    </row>
    <row r="16" spans="1:6" ht="12.75" customHeight="1" x14ac:dyDescent="0.2">
      <c r="A16" s="13">
        <f t="shared" si="3"/>
        <v>11</v>
      </c>
      <c r="B16" s="18">
        <f t="shared" si="4"/>
        <v>2023</v>
      </c>
      <c r="C16" s="11">
        <f t="shared" si="5"/>
        <v>48631.44882549053</v>
      </c>
      <c r="D16" s="11">
        <f t="shared" si="0"/>
        <v>21705.394719862925</v>
      </c>
      <c r="E16" s="11">
        <f t="shared" si="1"/>
        <v>-26926.054105627605</v>
      </c>
      <c r="F16" s="11">
        <f t="shared" si="2"/>
        <v>696587.10322313663</v>
      </c>
    </row>
    <row r="17" spans="1:6" ht="12.75" customHeight="1" x14ac:dyDescent="0.2">
      <c r="A17" s="13">
        <f t="shared" si="3"/>
        <v>12</v>
      </c>
      <c r="B17" s="18">
        <f t="shared" si="4"/>
        <v>2024</v>
      </c>
      <c r="C17" s="11">
        <f t="shared" si="5"/>
        <v>48631.44882549053</v>
      </c>
      <c r="D17" s="11">
        <f t="shared" si="0"/>
        <v>20897.613096694098</v>
      </c>
      <c r="E17" s="11">
        <f t="shared" si="1"/>
        <v>-27733.835728796432</v>
      </c>
      <c r="F17" s="11">
        <f t="shared" si="2"/>
        <v>668853.26749434019</v>
      </c>
    </row>
    <row r="18" spans="1:6" ht="12.75" customHeight="1" x14ac:dyDescent="0.2">
      <c r="A18" s="13">
        <f t="shared" si="3"/>
        <v>13</v>
      </c>
      <c r="B18" s="18">
        <f t="shared" si="4"/>
        <v>2025</v>
      </c>
      <c r="C18" s="11">
        <f t="shared" si="5"/>
        <v>48631.44882549053</v>
      </c>
      <c r="D18" s="11">
        <f t="shared" si="0"/>
        <v>20065.598024830204</v>
      </c>
      <c r="E18" s="11">
        <f t="shared" si="1"/>
        <v>-28565.850800660326</v>
      </c>
      <c r="F18" s="11">
        <f t="shared" si="2"/>
        <v>640287.41669367987</v>
      </c>
    </row>
    <row r="19" spans="1:6" ht="12.75" customHeight="1" x14ac:dyDescent="0.2">
      <c r="A19" s="13">
        <f t="shared" si="3"/>
        <v>14</v>
      </c>
      <c r="B19" s="18">
        <f t="shared" si="4"/>
        <v>2026</v>
      </c>
      <c r="C19" s="11">
        <f t="shared" si="5"/>
        <v>48631.44882549053</v>
      </c>
      <c r="D19" s="11">
        <f t="shared" si="0"/>
        <v>19208.622500810394</v>
      </c>
      <c r="E19" s="11">
        <f t="shared" si="1"/>
        <v>-29422.826324680136</v>
      </c>
      <c r="F19" s="11">
        <f t="shared" si="2"/>
        <v>610864.59036899975</v>
      </c>
    </row>
    <row r="20" spans="1:6" ht="12.75" customHeight="1" x14ac:dyDescent="0.2">
      <c r="A20" s="13">
        <f t="shared" si="3"/>
        <v>15</v>
      </c>
      <c r="B20" s="18">
        <f t="shared" si="4"/>
        <v>2027</v>
      </c>
      <c r="C20" s="11">
        <f t="shared" si="5"/>
        <v>48631.44882549053</v>
      </c>
      <c r="D20" s="11">
        <f t="shared" si="0"/>
        <v>18325.937711069993</v>
      </c>
      <c r="E20" s="11">
        <f t="shared" si="1"/>
        <v>-30305.511114420537</v>
      </c>
      <c r="F20" s="11">
        <f t="shared" si="2"/>
        <v>580559.07925457926</v>
      </c>
    </row>
    <row r="21" spans="1:6" ht="12.75" customHeight="1" x14ac:dyDescent="0.2">
      <c r="A21" s="13">
        <f t="shared" si="3"/>
        <v>16</v>
      </c>
      <c r="B21" s="18">
        <f t="shared" si="4"/>
        <v>2028</v>
      </c>
      <c r="C21" s="11">
        <f t="shared" si="5"/>
        <v>48631.44882549053</v>
      </c>
      <c r="D21" s="11">
        <f t="shared" si="0"/>
        <v>17416.772377637379</v>
      </c>
      <c r="E21" s="11">
        <f t="shared" si="1"/>
        <v>-31214.676447853151</v>
      </c>
      <c r="F21" s="11">
        <f t="shared" si="2"/>
        <v>549344.40280672617</v>
      </c>
    </row>
    <row r="22" spans="1:6" ht="12.75" customHeight="1" x14ac:dyDescent="0.2">
      <c r="A22" s="13">
        <f t="shared" si="3"/>
        <v>17</v>
      </c>
      <c r="B22" s="18">
        <f t="shared" si="4"/>
        <v>2029</v>
      </c>
      <c r="C22" s="11">
        <f t="shared" si="5"/>
        <v>48631.44882549053</v>
      </c>
      <c r="D22" s="11">
        <f t="shared" si="0"/>
        <v>16480.332084201786</v>
      </c>
      <c r="E22" s="11">
        <f t="shared" si="1"/>
        <v>-32151.116741288744</v>
      </c>
      <c r="F22" s="11">
        <f t="shared" si="2"/>
        <v>517193.28606543742</v>
      </c>
    </row>
    <row r="23" spans="1:6" ht="12.75" customHeight="1" x14ac:dyDescent="0.2">
      <c r="A23" s="13">
        <f t="shared" si="3"/>
        <v>18</v>
      </c>
      <c r="B23" s="18">
        <f t="shared" si="4"/>
        <v>2030</v>
      </c>
      <c r="C23" s="11">
        <f t="shared" si="5"/>
        <v>48631.44882549053</v>
      </c>
      <c r="D23" s="11">
        <f t="shared" si="0"/>
        <v>15515.798581963121</v>
      </c>
      <c r="E23" s="11">
        <f t="shared" si="1"/>
        <v>-33115.650243527409</v>
      </c>
      <c r="F23" s="11">
        <f t="shared" si="2"/>
        <v>484077.63582190999</v>
      </c>
    </row>
    <row r="24" spans="1:6" ht="12.75" customHeight="1" x14ac:dyDescent="0.2">
      <c r="A24" s="13">
        <f t="shared" si="3"/>
        <v>19</v>
      </c>
      <c r="B24" s="18">
        <f t="shared" si="4"/>
        <v>2031</v>
      </c>
      <c r="C24" s="11">
        <f t="shared" si="5"/>
        <v>48631.44882549053</v>
      </c>
      <c r="D24" s="11">
        <f t="shared" si="0"/>
        <v>14522.329074657298</v>
      </c>
      <c r="E24" s="11">
        <f t="shared" si="1"/>
        <v>-34109.119750833233</v>
      </c>
      <c r="F24" s="11">
        <f t="shared" si="2"/>
        <v>449968.51607107674</v>
      </c>
    </row>
    <row r="25" spans="1:6" ht="12.75" customHeight="1" x14ac:dyDescent="0.2">
      <c r="A25" s="13">
        <f t="shared" si="3"/>
        <v>20</v>
      </c>
      <c r="B25" s="18">
        <f t="shared" si="4"/>
        <v>2032</v>
      </c>
      <c r="C25" s="11">
        <f t="shared" si="5"/>
        <v>48631.44882549053</v>
      </c>
      <c r="D25" s="11">
        <f t="shared" si="0"/>
        <v>13499.055482132302</v>
      </c>
      <c r="E25" s="11">
        <f t="shared" si="1"/>
        <v>-35132.393343358228</v>
      </c>
      <c r="F25" s="11">
        <f t="shared" si="2"/>
        <v>414836.1227277185</v>
      </c>
    </row>
    <row r="26" spans="1:6" ht="12.75" customHeight="1" x14ac:dyDescent="0.2">
      <c r="A26" s="13">
        <f t="shared" si="3"/>
        <v>21</v>
      </c>
      <c r="B26" s="18">
        <f t="shared" si="4"/>
        <v>2033</v>
      </c>
      <c r="C26" s="11">
        <f t="shared" si="5"/>
        <v>48631.44882549053</v>
      </c>
      <c r="D26" s="11">
        <f t="shared" si="0"/>
        <v>12445.083681831555</v>
      </c>
      <c r="E26" s="11">
        <f t="shared" si="1"/>
        <v>-36186.365143658972</v>
      </c>
      <c r="F26" s="11">
        <f t="shared" si="2"/>
        <v>378649.75758405949</v>
      </c>
    </row>
    <row r="27" spans="1:6" ht="12.75" customHeight="1" x14ac:dyDescent="0.2">
      <c r="A27" s="13">
        <f t="shared" si="3"/>
        <v>22</v>
      </c>
      <c r="B27" s="18">
        <f t="shared" si="4"/>
        <v>2034</v>
      </c>
      <c r="C27" s="11">
        <f t="shared" si="5"/>
        <v>48631.44882549053</v>
      </c>
      <c r="D27" s="11">
        <f t="shared" si="0"/>
        <v>11359.492727521785</v>
      </c>
      <c r="E27" s="11">
        <f t="shared" si="1"/>
        <v>-37271.956097968745</v>
      </c>
      <c r="F27" s="11">
        <f t="shared" si="2"/>
        <v>341377.80148609076</v>
      </c>
    </row>
    <row r="28" spans="1:6" ht="12.75" customHeight="1" x14ac:dyDescent="0.2">
      <c r="A28" s="13">
        <f t="shared" si="3"/>
        <v>23</v>
      </c>
      <c r="B28" s="18">
        <f t="shared" si="4"/>
        <v>2035</v>
      </c>
      <c r="C28" s="11">
        <f t="shared" si="5"/>
        <v>48631.44882549053</v>
      </c>
      <c r="D28" s="11">
        <f t="shared" si="0"/>
        <v>10241.334044582722</v>
      </c>
      <c r="E28" s="11">
        <f t="shared" si="1"/>
        <v>-38390.11478090781</v>
      </c>
      <c r="F28" s="11">
        <f t="shared" si="2"/>
        <v>302987.68670518295</v>
      </c>
    </row>
    <row r="29" spans="1:6" ht="12.75" customHeight="1" x14ac:dyDescent="0.2">
      <c r="A29" s="13">
        <f t="shared" si="3"/>
        <v>24</v>
      </c>
      <c r="B29" s="18">
        <f t="shared" si="4"/>
        <v>2036</v>
      </c>
      <c r="C29" s="11">
        <f t="shared" si="5"/>
        <v>48631.44882549053</v>
      </c>
      <c r="D29" s="11">
        <f t="shared" si="0"/>
        <v>9089.630601155488</v>
      </c>
      <c r="E29" s="11">
        <f t="shared" si="1"/>
        <v>-39541.818224335046</v>
      </c>
      <c r="F29" s="11">
        <f t="shared" si="2"/>
        <v>263445.86848084792</v>
      </c>
    </row>
    <row r="30" spans="1:6" ht="12.75" customHeight="1" x14ac:dyDescent="0.2">
      <c r="A30" s="13">
        <f t="shared" si="3"/>
        <v>25</v>
      </c>
      <c r="B30" s="18">
        <f t="shared" si="4"/>
        <v>2037</v>
      </c>
      <c r="C30" s="11">
        <f t="shared" si="5"/>
        <v>48631.44882549053</v>
      </c>
      <c r="D30" s="11">
        <f t="shared" si="0"/>
        <v>7903.3760544254374</v>
      </c>
      <c r="E30" s="11">
        <f t="shared" si="1"/>
        <v>-40728.07277106509</v>
      </c>
      <c r="F30" s="11">
        <f t="shared" si="2"/>
        <v>222717.79570978283</v>
      </c>
    </row>
    <row r="31" spans="1:6" ht="12.75" customHeight="1" x14ac:dyDescent="0.2">
      <c r="A31" s="13">
        <f t="shared" si="3"/>
        <v>26</v>
      </c>
      <c r="B31" s="18">
        <f t="shared" si="4"/>
        <v>2038</v>
      </c>
      <c r="C31" s="11">
        <f t="shared" si="5"/>
        <v>48631.44882549053</v>
      </c>
      <c r="D31" s="11">
        <f t="shared" si="0"/>
        <v>6681.5338712934845</v>
      </c>
      <c r="E31" s="11">
        <f t="shared" si="1"/>
        <v>-41949.914954197047</v>
      </c>
      <c r="F31" s="11">
        <f t="shared" si="2"/>
        <v>180767.88075558579</v>
      </c>
    </row>
    <row r="32" spans="1:6" ht="12.75" customHeight="1" x14ac:dyDescent="0.2">
      <c r="A32" s="13">
        <f t="shared" si="3"/>
        <v>27</v>
      </c>
      <c r="B32" s="18">
        <f t="shared" si="4"/>
        <v>2039</v>
      </c>
      <c r="C32" s="11">
        <f t="shared" si="5"/>
        <v>48631.44882549053</v>
      </c>
      <c r="D32" s="11">
        <f t="shared" si="0"/>
        <v>5423.0364226675738</v>
      </c>
      <c r="E32" s="11">
        <f t="shared" si="1"/>
        <v>-43208.412402822956</v>
      </c>
      <c r="F32" s="11">
        <f t="shared" si="2"/>
        <v>137559.46835276284</v>
      </c>
    </row>
    <row r="33" spans="1:6" ht="12.75" customHeight="1" x14ac:dyDescent="0.2">
      <c r="A33" s="13">
        <f t="shared" si="3"/>
        <v>28</v>
      </c>
      <c r="B33" s="18">
        <f t="shared" si="4"/>
        <v>2040</v>
      </c>
      <c r="C33" s="11">
        <f t="shared" si="5"/>
        <v>48631.44882549053</v>
      </c>
      <c r="D33" s="11">
        <f t="shared" si="0"/>
        <v>4126.7840505828854</v>
      </c>
      <c r="E33" s="11">
        <f t="shared" si="1"/>
        <v>-44504.664774907644</v>
      </c>
      <c r="F33" s="11">
        <f t="shared" si="2"/>
        <v>93054.8035778552</v>
      </c>
    </row>
    <row r="34" spans="1:6" ht="12.75" customHeight="1" x14ac:dyDescent="0.2">
      <c r="A34" s="13">
        <f t="shared" si="3"/>
        <v>29</v>
      </c>
      <c r="B34" s="18">
        <f t="shared" si="4"/>
        <v>2041</v>
      </c>
      <c r="C34" s="11">
        <f t="shared" si="5"/>
        <v>48631.44882549053</v>
      </c>
      <c r="D34" s="11">
        <f t="shared" si="0"/>
        <v>2791.6441073356559</v>
      </c>
      <c r="E34" s="11">
        <f t="shared" si="1"/>
        <v>-45839.804718154875</v>
      </c>
      <c r="F34" s="11">
        <f t="shared" si="2"/>
        <v>47214.998859700325</v>
      </c>
    </row>
    <row r="35" spans="1:6" ht="12.75" customHeight="1" x14ac:dyDescent="0.2">
      <c r="A35" s="13">
        <f t="shared" si="3"/>
        <v>30</v>
      </c>
      <c r="B35" s="18">
        <f t="shared" si="4"/>
        <v>2042</v>
      </c>
      <c r="C35" s="11">
        <f t="shared" si="5"/>
        <v>48631.44882549053</v>
      </c>
      <c r="D35" s="11">
        <f t="shared" si="0"/>
        <v>1416.4499657910096</v>
      </c>
      <c r="E35" s="11">
        <f t="shared" si="1"/>
        <v>-47214.998859699517</v>
      </c>
      <c r="F35" s="11">
        <f t="shared" si="2"/>
        <v>8.0763129517436028E-10</v>
      </c>
    </row>
    <row r="36" spans="1:6" ht="12.75" customHeight="1" x14ac:dyDescent="0.2">
      <c r="A36" s="18"/>
      <c r="B36" s="18"/>
      <c r="C36" s="18"/>
      <c r="D36" s="18"/>
      <c r="E36" s="18"/>
      <c r="F36" s="18"/>
    </row>
    <row r="37" spans="1:6" s="18" customFormat="1" ht="12.75" customHeight="1" x14ac:dyDescent="0.2"/>
    <row r="38" spans="1:6" s="18" customFormat="1" ht="12.75" customHeight="1" x14ac:dyDescent="0.2">
      <c r="D38" s="58"/>
      <c r="F38" s="11"/>
    </row>
    <row r="39" spans="1:6" s="18" customFormat="1" ht="12.75" customHeight="1" x14ac:dyDescent="0.2">
      <c r="A39" s="65"/>
      <c r="B39" s="56"/>
      <c r="C39" s="56"/>
      <c r="D39" s="56"/>
      <c r="E39" s="56"/>
      <c r="F39" s="56"/>
    </row>
    <row r="40" spans="1:6" s="18" customFormat="1" ht="12.75" customHeight="1" x14ac:dyDescent="0.2">
      <c r="A40" s="65"/>
      <c r="C40" s="11"/>
      <c r="F40" s="11"/>
    </row>
    <row r="41" spans="1:6" s="18" customFormat="1" ht="12.75" customHeight="1" x14ac:dyDescent="0.2">
      <c r="C41" s="11"/>
      <c r="D41" s="11"/>
      <c r="E41" s="11"/>
      <c r="F41" s="11"/>
    </row>
    <row r="42" spans="1:6" s="18" customFormat="1" ht="12.75" customHeight="1" x14ac:dyDescent="0.2">
      <c r="C42" s="11"/>
      <c r="D42" s="11"/>
      <c r="E42" s="11"/>
      <c r="F42" s="11"/>
    </row>
    <row r="43" spans="1:6" s="18" customFormat="1" ht="12.75" customHeight="1" x14ac:dyDescent="0.2">
      <c r="C43" s="11"/>
      <c r="D43" s="11"/>
      <c r="E43" s="11"/>
      <c r="F43" s="11"/>
    </row>
    <row r="44" spans="1:6" s="18" customFormat="1" ht="12.75" customHeight="1" x14ac:dyDescent="0.2">
      <c r="C44" s="11"/>
      <c r="D44" s="11"/>
      <c r="E44" s="11"/>
      <c r="F44" s="11"/>
    </row>
    <row r="45" spans="1:6" s="18" customFormat="1" ht="12.75" customHeight="1" x14ac:dyDescent="0.2">
      <c r="C45" s="11"/>
      <c r="D45" s="11"/>
      <c r="E45" s="11"/>
      <c r="F45" s="11"/>
    </row>
    <row r="46" spans="1:6" s="18" customFormat="1" ht="12.75" customHeight="1" x14ac:dyDescent="0.2">
      <c r="C46" s="11"/>
      <c r="D46" s="11"/>
      <c r="E46" s="11"/>
      <c r="F46" s="11"/>
    </row>
    <row r="47" spans="1:6" s="18" customFormat="1" ht="12.75" customHeight="1" x14ac:dyDescent="0.2">
      <c r="C47" s="11"/>
      <c r="D47" s="11"/>
      <c r="E47" s="11"/>
      <c r="F47" s="11"/>
    </row>
    <row r="48" spans="1:6" s="18" customFormat="1" ht="12.75" customHeight="1" x14ac:dyDescent="0.2">
      <c r="C48" s="11"/>
      <c r="D48" s="11"/>
      <c r="E48" s="11"/>
      <c r="F48" s="11"/>
    </row>
    <row r="49" spans="3:6" s="18" customFormat="1" ht="12.75" customHeight="1" x14ac:dyDescent="0.2">
      <c r="C49" s="11"/>
      <c r="D49" s="11"/>
      <c r="E49" s="11"/>
      <c r="F49" s="11"/>
    </row>
    <row r="50" spans="3:6" s="18" customFormat="1" ht="12.75" customHeight="1" x14ac:dyDescent="0.2">
      <c r="C50" s="11"/>
      <c r="D50" s="11"/>
      <c r="E50" s="11"/>
      <c r="F50" s="11"/>
    </row>
    <row r="51" spans="3:6" s="18" customFormat="1" ht="12.75" customHeight="1" x14ac:dyDescent="0.2">
      <c r="C51" s="11"/>
      <c r="D51" s="11"/>
      <c r="E51" s="11"/>
      <c r="F51" s="11"/>
    </row>
    <row r="52" spans="3:6" s="18" customFormat="1" ht="12.75" customHeight="1" x14ac:dyDescent="0.2">
      <c r="C52" s="11"/>
      <c r="D52" s="11"/>
      <c r="E52" s="11"/>
      <c r="F52" s="11"/>
    </row>
    <row r="53" spans="3:6" s="18" customFormat="1" ht="12.75" customHeight="1" x14ac:dyDescent="0.2">
      <c r="C53" s="11"/>
      <c r="D53" s="11"/>
      <c r="E53" s="11"/>
      <c r="F53" s="11"/>
    </row>
    <row r="54" spans="3:6" s="18" customFormat="1" ht="12.75" customHeight="1" x14ac:dyDescent="0.2">
      <c r="C54" s="11"/>
      <c r="D54" s="11"/>
      <c r="E54" s="11"/>
      <c r="F54" s="11"/>
    </row>
    <row r="55" spans="3:6" s="18" customFormat="1" ht="12.75" customHeight="1" x14ac:dyDescent="0.2">
      <c r="C55" s="11"/>
      <c r="D55" s="11"/>
      <c r="E55" s="11"/>
      <c r="F55" s="11"/>
    </row>
    <row r="56" spans="3:6" s="18" customFormat="1" ht="12.75" customHeight="1" x14ac:dyDescent="0.2">
      <c r="C56" s="11"/>
      <c r="D56" s="11"/>
      <c r="E56" s="11"/>
      <c r="F56" s="11"/>
    </row>
    <row r="57" spans="3:6" s="18" customFormat="1" ht="12.75" customHeight="1" x14ac:dyDescent="0.2">
      <c r="C57" s="11"/>
      <c r="D57" s="11"/>
      <c r="E57" s="11"/>
      <c r="F57" s="11"/>
    </row>
    <row r="58" spans="3:6" s="18" customFormat="1" ht="12.75" customHeight="1" x14ac:dyDescent="0.2">
      <c r="C58" s="11"/>
      <c r="D58" s="11"/>
      <c r="E58" s="11"/>
      <c r="F58" s="11"/>
    </row>
    <row r="59" spans="3:6" s="18" customFormat="1" ht="12.75" customHeight="1" x14ac:dyDescent="0.2">
      <c r="C59" s="11"/>
      <c r="D59" s="11"/>
      <c r="E59" s="11"/>
      <c r="F59" s="11"/>
    </row>
    <row r="60" spans="3:6" s="18" customFormat="1" ht="12.75" customHeight="1" x14ac:dyDescent="0.2">
      <c r="C60" s="11"/>
      <c r="D60" s="11"/>
      <c r="E60" s="11"/>
      <c r="F60" s="11"/>
    </row>
    <row r="61" spans="3:6" s="18" customFormat="1" ht="12.75" customHeight="1" x14ac:dyDescent="0.2">
      <c r="C61" s="11"/>
      <c r="D61" s="11"/>
      <c r="E61" s="11"/>
      <c r="F61" s="11"/>
    </row>
    <row r="62" spans="3:6" s="18" customFormat="1" ht="12.75" customHeight="1" x14ac:dyDescent="0.2">
      <c r="C62" s="11"/>
      <c r="D62" s="11"/>
      <c r="E62" s="11"/>
      <c r="F62" s="11"/>
    </row>
    <row r="63" spans="3:6" s="18" customFormat="1" ht="12.75" customHeight="1" x14ac:dyDescent="0.2">
      <c r="C63" s="11"/>
      <c r="D63" s="11"/>
      <c r="E63" s="11"/>
      <c r="F63" s="11"/>
    </row>
    <row r="64" spans="3:6" s="18" customFormat="1" ht="12.75" customHeight="1" x14ac:dyDescent="0.2">
      <c r="C64" s="11"/>
      <c r="D64" s="11"/>
      <c r="E64" s="11"/>
      <c r="F64" s="11"/>
    </row>
    <row r="65" spans="3:6" s="18" customFormat="1" ht="12.75" customHeight="1" x14ac:dyDescent="0.2">
      <c r="C65" s="11"/>
      <c r="D65" s="11"/>
      <c r="E65" s="11"/>
      <c r="F65" s="11"/>
    </row>
    <row r="66" spans="3:6" s="18" customFormat="1" ht="12.75" customHeight="1" x14ac:dyDescent="0.2">
      <c r="C66" s="11"/>
      <c r="D66" s="11"/>
      <c r="E66" s="11"/>
      <c r="F66" s="11"/>
    </row>
    <row r="67" spans="3:6" s="18" customFormat="1" ht="12.75" customHeight="1" x14ac:dyDescent="0.2">
      <c r="C67" s="11"/>
      <c r="D67" s="11"/>
      <c r="E67" s="11"/>
      <c r="F67" s="11"/>
    </row>
    <row r="68" spans="3:6" s="18" customFormat="1" ht="12.75" customHeight="1" x14ac:dyDescent="0.2">
      <c r="C68" s="11"/>
      <c r="D68" s="11"/>
      <c r="E68" s="11"/>
      <c r="F68" s="11"/>
    </row>
    <row r="69" spans="3:6" s="18" customFormat="1" ht="12.75" customHeight="1" x14ac:dyDescent="0.2">
      <c r="C69" s="11"/>
      <c r="D69" s="11"/>
      <c r="E69" s="11"/>
      <c r="F69" s="11"/>
    </row>
    <row r="70" spans="3:6" s="18" customFormat="1" ht="12.75" customHeight="1" x14ac:dyDescent="0.2">
      <c r="C70" s="11"/>
      <c r="D70" s="11"/>
      <c r="E70" s="11"/>
      <c r="F70" s="11"/>
    </row>
    <row r="71" spans="3:6" s="18" customFormat="1" ht="12.75" customHeight="1" x14ac:dyDescent="0.2"/>
  </sheetData>
  <mergeCells count="3">
    <mergeCell ref="D1:F1"/>
    <mergeCell ref="A4:A5"/>
    <mergeCell ref="A39:A40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7.140625" defaultRowHeight="12.75" customHeight="1" x14ac:dyDescent="0.2"/>
  <cols>
    <col min="1" max="1" width="39" customWidth="1"/>
  </cols>
  <sheetData>
    <row r="1" spans="1:6" ht="12.75" customHeight="1" x14ac:dyDescent="0.2">
      <c r="A1" s="18" t="s">
        <v>155</v>
      </c>
      <c r="B1" s="18"/>
      <c r="C1" s="18"/>
      <c r="D1" s="18"/>
      <c r="E1" s="18"/>
      <c r="F1" s="18"/>
    </row>
    <row r="2" spans="1:6" ht="12.75" customHeight="1" x14ac:dyDescent="0.2">
      <c r="A2" s="18"/>
      <c r="B2" s="18"/>
      <c r="C2" s="18"/>
      <c r="D2" s="18"/>
      <c r="E2" s="18"/>
      <c r="F2" s="18"/>
    </row>
    <row r="3" spans="1:6" ht="12.75" customHeight="1" x14ac:dyDescent="0.2">
      <c r="A3" s="18" t="s">
        <v>156</v>
      </c>
      <c r="B3" s="18"/>
      <c r="C3" s="18"/>
      <c r="D3" s="18"/>
      <c r="E3" s="18"/>
      <c r="F3" s="18"/>
    </row>
    <row r="4" spans="1:6" ht="12.75" customHeight="1" x14ac:dyDescent="0.2">
      <c r="A4" s="18"/>
      <c r="B4" s="18"/>
      <c r="C4" s="18"/>
      <c r="D4" s="18"/>
      <c r="E4" s="18"/>
      <c r="F4" s="18"/>
    </row>
    <row r="5" spans="1:6" ht="12.75" customHeight="1" x14ac:dyDescent="0.2">
      <c r="A5" s="18"/>
      <c r="B5" s="18"/>
      <c r="C5" s="18"/>
      <c r="D5" s="18"/>
      <c r="E5" s="18"/>
      <c r="F5" s="18"/>
    </row>
    <row r="6" spans="1:6" ht="12.75" customHeight="1" x14ac:dyDescent="0.2">
      <c r="A6" s="18"/>
      <c r="B6" s="18"/>
      <c r="C6" s="18"/>
      <c r="D6" s="18"/>
      <c r="E6" s="18"/>
      <c r="F6" s="18"/>
    </row>
    <row r="7" spans="1:6" ht="12.75" customHeight="1" x14ac:dyDescent="0.2">
      <c r="A7" s="18"/>
      <c r="B7" s="18"/>
      <c r="C7" s="18"/>
      <c r="D7" s="18"/>
      <c r="E7" s="18"/>
      <c r="F7" s="18"/>
    </row>
    <row r="8" spans="1:6" ht="12.75" customHeight="1" x14ac:dyDescent="0.2">
      <c r="A8" s="18"/>
      <c r="B8" s="18"/>
      <c r="C8" s="18"/>
      <c r="D8" s="18"/>
      <c r="E8" s="18"/>
      <c r="F8" s="18"/>
    </row>
    <row r="9" spans="1:6" ht="12.75" customHeight="1" x14ac:dyDescent="0.2">
      <c r="A9" s="18"/>
      <c r="B9" s="18"/>
      <c r="C9" s="18"/>
      <c r="D9" s="18"/>
      <c r="E9" s="18"/>
      <c r="F9" s="18"/>
    </row>
    <row r="10" spans="1:6" ht="12.75" customHeight="1" x14ac:dyDescent="0.2">
      <c r="A10" s="18"/>
      <c r="B10" s="18"/>
      <c r="C10" s="18"/>
      <c r="D10" s="18"/>
      <c r="E10" s="18"/>
      <c r="F10" s="18"/>
    </row>
    <row r="11" spans="1:6" ht="12.75" customHeight="1" x14ac:dyDescent="0.2">
      <c r="A11" s="18"/>
      <c r="B11" s="18"/>
      <c r="C11" s="18"/>
      <c r="D11" s="18"/>
      <c r="E11" s="18"/>
      <c r="F11" s="18"/>
    </row>
    <row r="12" spans="1:6" ht="12.75" customHeight="1" x14ac:dyDescent="0.2">
      <c r="A12" s="18"/>
      <c r="B12" s="18"/>
      <c r="C12" s="18"/>
      <c r="D12" s="18"/>
      <c r="E12" s="18"/>
      <c r="F12" s="18"/>
    </row>
    <row r="13" spans="1:6" ht="12.75" customHeight="1" x14ac:dyDescent="0.2">
      <c r="A13" s="18"/>
      <c r="B13" s="18"/>
      <c r="C13" s="18"/>
      <c r="D13" s="18"/>
      <c r="E13" s="18"/>
      <c r="F13" s="18"/>
    </row>
    <row r="14" spans="1:6" ht="12.75" customHeight="1" x14ac:dyDescent="0.2">
      <c r="A14" s="18"/>
      <c r="B14" s="18"/>
      <c r="C14" s="18"/>
      <c r="D14" s="18"/>
      <c r="E14" s="18"/>
      <c r="F14" s="18"/>
    </row>
    <row r="15" spans="1:6" ht="12.75" customHeight="1" x14ac:dyDescent="0.2">
      <c r="A15" s="18"/>
      <c r="B15" s="18"/>
      <c r="C15" s="18"/>
      <c r="D15" s="18"/>
      <c r="E15" s="18"/>
      <c r="F15" s="18"/>
    </row>
    <row r="16" spans="1:6" ht="12.75" customHeight="1" x14ac:dyDescent="0.2">
      <c r="A16" s="18"/>
      <c r="B16" s="18"/>
      <c r="C16" s="18"/>
      <c r="D16" s="18"/>
      <c r="E16" s="18"/>
      <c r="F16" s="18"/>
    </row>
    <row r="17" spans="1:6" ht="12.75" customHeight="1" x14ac:dyDescent="0.2">
      <c r="A17" s="18"/>
      <c r="B17" s="18"/>
      <c r="C17" s="18"/>
      <c r="D17" s="18"/>
      <c r="E17" s="18"/>
      <c r="F17" s="18"/>
    </row>
    <row r="18" spans="1:6" ht="12.75" customHeight="1" x14ac:dyDescent="0.2">
      <c r="A18" s="18"/>
      <c r="B18" s="18"/>
      <c r="C18" s="18"/>
      <c r="D18" s="18"/>
      <c r="E18" s="18"/>
      <c r="F18" s="18"/>
    </row>
    <row r="19" spans="1:6" ht="12.75" customHeight="1" x14ac:dyDescent="0.2">
      <c r="A19" s="18"/>
      <c r="B19" s="18"/>
      <c r="C19" s="18"/>
      <c r="D19" s="18"/>
      <c r="E19" s="18"/>
      <c r="F19" s="18"/>
    </row>
    <row r="20" spans="1:6" ht="12.75" customHeight="1" x14ac:dyDescent="0.2">
      <c r="A20" s="18"/>
      <c r="B20" s="18"/>
      <c r="C20" s="18"/>
      <c r="D20" s="18"/>
      <c r="E20" s="18"/>
      <c r="F20" s="18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Assumptions</vt:lpstr>
      <vt:lpstr>Inc. Statement &amp; Bal. Sheet</vt:lpstr>
      <vt:lpstr>Amoritization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2019-07-25T21:57:08Z</dcterms:created>
  <dcterms:modified xsi:type="dcterms:W3CDTF">2019-08-14T21:57:27Z</dcterms:modified>
</cp:coreProperties>
</file>