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555" yWindow="1635" windowWidth="20730" windowHeight="11760" tabRatio="500"/>
  </bookViews>
  <sheets>
    <sheet name="Income Statement" sheetId="1" r:id="rId1"/>
    <sheet name="Balance Sheet" sheetId="2" r:id="rId2"/>
    <sheet name="Helicopter Secure Loan" sheetId="3" r:id="rId3"/>
  </sheet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2" l="1"/>
  <c r="F9" i="2"/>
  <c r="J1" i="3"/>
  <c r="J2" i="3"/>
  <c r="L7" i="3"/>
  <c r="I8" i="3"/>
  <c r="J8" i="3"/>
  <c r="K8" i="3"/>
  <c r="L8" i="3"/>
  <c r="I9" i="3"/>
  <c r="J9" i="3"/>
  <c r="K9" i="3"/>
  <c r="L9" i="3"/>
  <c r="I10" i="3"/>
  <c r="J10" i="3"/>
  <c r="K10" i="3"/>
  <c r="L10" i="3"/>
  <c r="I11" i="3"/>
  <c r="J11" i="3"/>
  <c r="K11" i="3"/>
  <c r="L11" i="3"/>
  <c r="I12" i="3"/>
  <c r="J12" i="3"/>
  <c r="K12" i="3"/>
  <c r="L12" i="3"/>
  <c r="I13" i="3"/>
  <c r="J13" i="3"/>
  <c r="K13" i="3"/>
  <c r="L13" i="3"/>
  <c r="I14" i="3"/>
  <c r="J14" i="3"/>
  <c r="K14" i="3"/>
  <c r="L14" i="3"/>
  <c r="I15" i="3"/>
  <c r="J15" i="3"/>
  <c r="K15" i="3"/>
  <c r="L15" i="3"/>
  <c r="I16" i="3"/>
  <c r="J16" i="3"/>
  <c r="K16" i="3"/>
  <c r="L16" i="3"/>
  <c r="I17" i="3"/>
  <c r="J17" i="3"/>
  <c r="K17" i="3"/>
  <c r="L17" i="3"/>
  <c r="I18" i="3"/>
  <c r="J18" i="3"/>
  <c r="K18" i="3"/>
  <c r="L18" i="3"/>
  <c r="I19" i="3"/>
  <c r="J19" i="3"/>
  <c r="K19" i="3"/>
  <c r="L19" i="3"/>
  <c r="I20" i="3"/>
  <c r="J20" i="3"/>
  <c r="K20" i="3"/>
  <c r="L20" i="3"/>
  <c r="I21" i="3"/>
  <c r="J21" i="3"/>
  <c r="K21" i="3"/>
  <c r="L21" i="3"/>
  <c r="I22" i="3"/>
  <c r="J22" i="3"/>
  <c r="K22" i="3"/>
  <c r="L22" i="3"/>
  <c r="I23" i="3"/>
  <c r="J23" i="3"/>
  <c r="K23" i="3"/>
  <c r="L23" i="3"/>
  <c r="I24" i="3"/>
  <c r="J24" i="3"/>
  <c r="K24" i="3"/>
  <c r="L24" i="3"/>
  <c r="I25" i="3"/>
  <c r="J25" i="3"/>
  <c r="K25" i="3"/>
  <c r="L25" i="3"/>
  <c r="I26" i="3"/>
  <c r="J26" i="3"/>
  <c r="K26" i="3"/>
  <c r="L26" i="3"/>
  <c r="I27" i="3"/>
  <c r="J27" i="3"/>
  <c r="K27" i="3"/>
  <c r="L27" i="3"/>
  <c r="I28" i="3"/>
  <c r="J28" i="3"/>
  <c r="K28" i="3"/>
  <c r="L28" i="3"/>
  <c r="I29" i="3"/>
  <c r="J29" i="3"/>
  <c r="K29" i="3"/>
  <c r="L29" i="3"/>
  <c r="I30" i="3"/>
  <c r="J30" i="3"/>
  <c r="K30" i="3"/>
  <c r="L30" i="3"/>
  <c r="I31" i="3"/>
  <c r="J31" i="3"/>
  <c r="K31" i="3"/>
  <c r="L31" i="3"/>
  <c r="I32" i="3"/>
  <c r="J32" i="3"/>
  <c r="K32" i="3"/>
  <c r="L32" i="3"/>
  <c r="I33" i="3"/>
  <c r="J33" i="3"/>
  <c r="K33" i="3"/>
  <c r="L33" i="3"/>
  <c r="I34" i="3"/>
  <c r="J34" i="3"/>
  <c r="K34" i="3"/>
  <c r="L34" i="3"/>
  <c r="I35" i="3"/>
  <c r="J35" i="3"/>
  <c r="K35" i="3"/>
  <c r="L35" i="3"/>
  <c r="I36" i="3"/>
  <c r="J36" i="3"/>
  <c r="K36" i="3"/>
  <c r="L36" i="3"/>
  <c r="I37" i="3"/>
  <c r="J37" i="3"/>
  <c r="K37" i="3"/>
  <c r="L37" i="3"/>
  <c r="I38" i="3"/>
  <c r="J38" i="3"/>
  <c r="K38" i="3"/>
  <c r="L38" i="3"/>
  <c r="I39" i="3"/>
  <c r="J39" i="3"/>
  <c r="K39" i="3"/>
  <c r="L39" i="3"/>
  <c r="I40" i="3"/>
  <c r="J40" i="3"/>
  <c r="K40" i="3"/>
  <c r="L40" i="3"/>
  <c r="I41" i="3"/>
  <c r="J41" i="3"/>
  <c r="K41" i="3"/>
  <c r="L41" i="3"/>
  <c r="I42" i="3"/>
  <c r="J42" i="3"/>
  <c r="K42" i="3"/>
  <c r="L42" i="3"/>
  <c r="I43" i="3"/>
  <c r="J43" i="3"/>
  <c r="K43" i="3"/>
  <c r="L43" i="3"/>
  <c r="I44" i="3"/>
  <c r="J44" i="3"/>
  <c r="K44" i="3"/>
  <c r="L44" i="3"/>
  <c r="I45" i="3"/>
  <c r="J45" i="3"/>
  <c r="K45" i="3"/>
  <c r="L45" i="3"/>
  <c r="I46" i="3"/>
  <c r="J46" i="3"/>
  <c r="K46" i="3"/>
  <c r="L46" i="3"/>
  <c r="I47" i="3"/>
  <c r="J47" i="3"/>
  <c r="K47" i="3"/>
  <c r="L47" i="3"/>
  <c r="I48" i="3"/>
  <c r="J48" i="3"/>
  <c r="K48" i="3"/>
  <c r="L48" i="3"/>
  <c r="I49" i="3"/>
  <c r="J49" i="3"/>
  <c r="K49" i="3"/>
  <c r="L49" i="3"/>
  <c r="I50" i="3"/>
  <c r="J50" i="3"/>
  <c r="K50" i="3"/>
  <c r="L50" i="3"/>
  <c r="I51" i="3"/>
  <c r="J51" i="3"/>
  <c r="K51" i="3"/>
  <c r="L51" i="3"/>
  <c r="I52" i="3"/>
  <c r="J52" i="3"/>
  <c r="K52" i="3"/>
  <c r="L52" i="3"/>
  <c r="I53" i="3"/>
  <c r="J53" i="3"/>
  <c r="K53" i="3"/>
  <c r="L53" i="3"/>
  <c r="I54" i="3"/>
  <c r="J54" i="3"/>
  <c r="K54" i="3"/>
  <c r="L54" i="3"/>
  <c r="I55" i="3"/>
  <c r="J55" i="3"/>
  <c r="K55" i="3"/>
  <c r="L55" i="3"/>
  <c r="I56" i="3"/>
  <c r="J56" i="3"/>
  <c r="K56" i="3"/>
  <c r="L56" i="3"/>
  <c r="I57" i="3"/>
  <c r="J57" i="3"/>
  <c r="K57" i="3"/>
  <c r="L57" i="3"/>
  <c r="I58" i="3"/>
  <c r="J58" i="3"/>
  <c r="K58" i="3"/>
  <c r="L58" i="3"/>
  <c r="I59" i="3"/>
  <c r="J59" i="3"/>
  <c r="K59" i="3"/>
  <c r="L59" i="3"/>
  <c r="I60" i="3"/>
  <c r="J60" i="3"/>
  <c r="K60" i="3"/>
  <c r="L60" i="3"/>
  <c r="I61" i="3"/>
  <c r="J61" i="3"/>
  <c r="K61" i="3"/>
  <c r="L61" i="3"/>
  <c r="I62" i="3"/>
  <c r="J62" i="3"/>
  <c r="K62" i="3"/>
  <c r="L62" i="3"/>
  <c r="I63" i="3"/>
  <c r="J63" i="3"/>
  <c r="K63" i="3"/>
  <c r="L63" i="3"/>
  <c r="I64" i="3"/>
  <c r="J64" i="3"/>
  <c r="K64" i="3"/>
  <c r="L64" i="3"/>
  <c r="I65" i="3"/>
  <c r="J65" i="3"/>
  <c r="K65" i="3"/>
  <c r="L65" i="3"/>
  <c r="I66" i="3"/>
  <c r="J66" i="3"/>
  <c r="K66" i="3"/>
  <c r="L66" i="3"/>
  <c r="I67" i="3"/>
  <c r="J67" i="3"/>
  <c r="K67" i="3"/>
  <c r="L67" i="3"/>
  <c r="C9" i="2"/>
  <c r="C1" i="3"/>
  <c r="C2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D4" i="2"/>
  <c r="E4" i="2"/>
  <c r="F4" i="2"/>
  <c r="G4" i="2"/>
  <c r="H4" i="2"/>
  <c r="I4" i="2"/>
  <c r="J4" i="2"/>
  <c r="K4" i="2"/>
  <c r="L4" i="2"/>
  <c r="M4" i="2"/>
  <c r="V8" i="1"/>
  <c r="W8" i="1"/>
  <c r="X8" i="1"/>
  <c r="Y8" i="1"/>
  <c r="Z8" i="1"/>
  <c r="AA8" i="1"/>
  <c r="AB8" i="1"/>
  <c r="AC8" i="1"/>
  <c r="AD8" i="1"/>
  <c r="AE8" i="1"/>
  <c r="O8" i="1"/>
  <c r="V15" i="1"/>
  <c r="W15" i="1"/>
  <c r="X15" i="1"/>
  <c r="Y15" i="1"/>
  <c r="Z15" i="1"/>
  <c r="AA15" i="1"/>
  <c r="AB15" i="1"/>
  <c r="AC15" i="1"/>
  <c r="AD15" i="1"/>
  <c r="AE15" i="1"/>
  <c r="M6" i="2"/>
  <c r="M9" i="2"/>
  <c r="E22" i="1"/>
  <c r="C10" i="2"/>
  <c r="F22" i="1"/>
  <c r="D10" i="2"/>
  <c r="G22" i="1"/>
  <c r="E10" i="2"/>
  <c r="H22" i="1"/>
  <c r="F10" i="2"/>
  <c r="I22" i="1"/>
  <c r="G10" i="2"/>
  <c r="J22" i="1"/>
  <c r="H10" i="2"/>
  <c r="K22" i="1"/>
  <c r="I10" i="2"/>
  <c r="L22" i="1"/>
  <c r="J10" i="2"/>
  <c r="M22" i="1"/>
  <c r="K10" i="2"/>
  <c r="N22" i="1"/>
  <c r="L10" i="2"/>
  <c r="O22" i="1"/>
  <c r="M10" i="2"/>
  <c r="M12" i="2"/>
  <c r="V23" i="1"/>
  <c r="W23" i="1"/>
  <c r="X23" i="1"/>
  <c r="Y23" i="1"/>
  <c r="Z23" i="1"/>
  <c r="AA23" i="1"/>
  <c r="AB23" i="1"/>
  <c r="AC23" i="1"/>
  <c r="AD23" i="1"/>
  <c r="AE23" i="1"/>
  <c r="O18" i="1"/>
  <c r="M15" i="2"/>
  <c r="U14" i="1"/>
  <c r="V14" i="1"/>
  <c r="W14" i="1"/>
  <c r="X14" i="1"/>
  <c r="Y14" i="1"/>
  <c r="Z14" i="1"/>
  <c r="AA14" i="1"/>
  <c r="AB14" i="1"/>
  <c r="AC14" i="1"/>
  <c r="AD14" i="1"/>
  <c r="AE14" i="1"/>
  <c r="V10" i="1"/>
  <c r="W10" i="1"/>
  <c r="X10" i="1"/>
  <c r="Y10" i="1"/>
  <c r="Z10" i="1"/>
  <c r="AA10" i="1"/>
  <c r="AB10" i="1"/>
  <c r="AC10" i="1"/>
  <c r="AD10" i="1"/>
  <c r="AE10" i="1"/>
  <c r="O6" i="1"/>
  <c r="V3" i="1"/>
  <c r="W3" i="1"/>
  <c r="X3" i="1"/>
  <c r="Y3" i="1"/>
  <c r="Z3" i="1"/>
  <c r="AA3" i="1"/>
  <c r="AB3" i="1"/>
  <c r="AC3" i="1"/>
  <c r="AD3" i="1"/>
  <c r="AE3" i="1"/>
  <c r="O7" i="1"/>
  <c r="E11" i="1"/>
  <c r="F11" i="1"/>
  <c r="G11" i="1"/>
  <c r="H11" i="1"/>
  <c r="I11" i="1"/>
  <c r="J11" i="1"/>
  <c r="K11" i="1"/>
  <c r="L11" i="1"/>
  <c r="M11" i="1"/>
  <c r="N11" i="1"/>
  <c r="O11" i="1"/>
  <c r="F12" i="1"/>
  <c r="G12" i="1"/>
  <c r="H12" i="1"/>
  <c r="I12" i="1"/>
  <c r="J12" i="1"/>
  <c r="K12" i="1"/>
  <c r="L12" i="1"/>
  <c r="M12" i="1"/>
  <c r="N12" i="1"/>
  <c r="O12" i="1"/>
  <c r="V11" i="1"/>
  <c r="W11" i="1"/>
  <c r="X11" i="1"/>
  <c r="Y11" i="1"/>
  <c r="Z11" i="1"/>
  <c r="AA11" i="1"/>
  <c r="AB11" i="1"/>
  <c r="AC11" i="1"/>
  <c r="AD11" i="1"/>
  <c r="AE11" i="1"/>
  <c r="AE13" i="1"/>
  <c r="O13" i="1"/>
  <c r="V21" i="1"/>
  <c r="W21" i="1"/>
  <c r="X21" i="1"/>
  <c r="Y21" i="1"/>
  <c r="Z21" i="1"/>
  <c r="AA21" i="1"/>
  <c r="AB21" i="1"/>
  <c r="AC21" i="1"/>
  <c r="AD21" i="1"/>
  <c r="AE21" i="1"/>
  <c r="O14" i="1"/>
  <c r="F15" i="1"/>
  <c r="G15" i="1"/>
  <c r="H15" i="1"/>
  <c r="I15" i="1"/>
  <c r="J15" i="1"/>
  <c r="K15" i="1"/>
  <c r="L15" i="1"/>
  <c r="M15" i="1"/>
  <c r="N15" i="1"/>
  <c r="O15" i="1"/>
  <c r="V17" i="1"/>
  <c r="W17" i="1"/>
  <c r="X17" i="1"/>
  <c r="Y17" i="1"/>
  <c r="Z17" i="1"/>
  <c r="AA17" i="1"/>
  <c r="AB17" i="1"/>
  <c r="AC17" i="1"/>
  <c r="AD17" i="1"/>
  <c r="AE17" i="1"/>
  <c r="O17" i="1"/>
  <c r="F19" i="1"/>
  <c r="G19" i="1"/>
  <c r="H19" i="1"/>
  <c r="I19" i="1"/>
  <c r="J19" i="1"/>
  <c r="K19" i="1"/>
  <c r="L19" i="1"/>
  <c r="M19" i="1"/>
  <c r="N19" i="1"/>
  <c r="O19" i="1"/>
  <c r="F20" i="1"/>
  <c r="G20" i="1"/>
  <c r="H20" i="1"/>
  <c r="I20" i="1"/>
  <c r="J20" i="1"/>
  <c r="K20" i="1"/>
  <c r="L20" i="1"/>
  <c r="M20" i="1"/>
  <c r="N20" i="1"/>
  <c r="O20" i="1"/>
  <c r="O23" i="1"/>
  <c r="O26" i="1"/>
  <c r="O27" i="1"/>
  <c r="M16" i="2"/>
  <c r="M18" i="2"/>
  <c r="E6" i="1"/>
  <c r="E7" i="1"/>
  <c r="E8" i="1"/>
  <c r="U13" i="1"/>
  <c r="E13" i="1"/>
  <c r="E14" i="1"/>
  <c r="E17" i="1"/>
  <c r="E23" i="1"/>
  <c r="E26" i="1"/>
  <c r="E27" i="1"/>
  <c r="E28" i="1"/>
  <c r="C23" i="2"/>
  <c r="F6" i="1"/>
  <c r="F7" i="1"/>
  <c r="F8" i="1"/>
  <c r="V13" i="1"/>
  <c r="F13" i="1"/>
  <c r="F14" i="1"/>
  <c r="F17" i="1"/>
  <c r="F18" i="1"/>
  <c r="F23" i="1"/>
  <c r="F26" i="1"/>
  <c r="F27" i="1"/>
  <c r="F28" i="1"/>
  <c r="D23" i="2"/>
  <c r="G6" i="1"/>
  <c r="G7" i="1"/>
  <c r="G8" i="1"/>
  <c r="W13" i="1"/>
  <c r="G13" i="1"/>
  <c r="G14" i="1"/>
  <c r="G17" i="1"/>
  <c r="G18" i="1"/>
  <c r="G23" i="1"/>
  <c r="G26" i="1"/>
  <c r="G27" i="1"/>
  <c r="G28" i="1"/>
  <c r="E23" i="2"/>
  <c r="H6" i="1"/>
  <c r="H7" i="1"/>
  <c r="H8" i="1"/>
  <c r="X13" i="1"/>
  <c r="H13" i="1"/>
  <c r="H14" i="1"/>
  <c r="H17" i="1"/>
  <c r="H18" i="1"/>
  <c r="H23" i="1"/>
  <c r="H26" i="1"/>
  <c r="H27" i="1"/>
  <c r="H28" i="1"/>
  <c r="F23" i="2"/>
  <c r="I6" i="1"/>
  <c r="I7" i="1"/>
  <c r="I8" i="1"/>
  <c r="I13" i="1"/>
  <c r="I14" i="1"/>
  <c r="I17" i="1"/>
  <c r="I18" i="1"/>
  <c r="I23" i="1"/>
  <c r="I26" i="1"/>
  <c r="I27" i="1"/>
  <c r="I28" i="1"/>
  <c r="G23" i="2"/>
  <c r="J6" i="1"/>
  <c r="J7" i="1"/>
  <c r="J8" i="1"/>
  <c r="Z13" i="1"/>
  <c r="J13" i="1"/>
  <c r="J14" i="1"/>
  <c r="J17" i="1"/>
  <c r="J18" i="1"/>
  <c r="J23" i="1"/>
  <c r="J26" i="1"/>
  <c r="J27" i="1"/>
  <c r="J28" i="1"/>
  <c r="H23" i="2"/>
  <c r="K6" i="1"/>
  <c r="K7" i="1"/>
  <c r="K8" i="1"/>
  <c r="AA13" i="1"/>
  <c r="K13" i="1"/>
  <c r="K14" i="1"/>
  <c r="K17" i="1"/>
  <c r="K18" i="1"/>
  <c r="K23" i="1"/>
  <c r="K26" i="1"/>
  <c r="K27" i="1"/>
  <c r="K28" i="1"/>
  <c r="I23" i="2"/>
  <c r="L6" i="1"/>
  <c r="L7" i="1"/>
  <c r="L8" i="1"/>
  <c r="AB13" i="1"/>
  <c r="L13" i="1"/>
  <c r="L14" i="1"/>
  <c r="L17" i="1"/>
  <c r="L18" i="1"/>
  <c r="L23" i="1"/>
  <c r="L26" i="1"/>
  <c r="L27" i="1"/>
  <c r="L28" i="1"/>
  <c r="J23" i="2"/>
  <c r="M6" i="1"/>
  <c r="M7" i="1"/>
  <c r="M8" i="1"/>
  <c r="AC13" i="1"/>
  <c r="M13" i="1"/>
  <c r="M14" i="1"/>
  <c r="M17" i="1"/>
  <c r="M18" i="1"/>
  <c r="M23" i="1"/>
  <c r="M26" i="1"/>
  <c r="M27" i="1"/>
  <c r="M28" i="1"/>
  <c r="K23" i="2"/>
  <c r="N6" i="1"/>
  <c r="N7" i="1"/>
  <c r="N8" i="1"/>
  <c r="AD13" i="1"/>
  <c r="N13" i="1"/>
  <c r="N14" i="1"/>
  <c r="N17" i="1"/>
  <c r="N18" i="1"/>
  <c r="N23" i="1"/>
  <c r="N26" i="1"/>
  <c r="N27" i="1"/>
  <c r="N28" i="1"/>
  <c r="L23" i="2"/>
  <c r="O28" i="1"/>
  <c r="M23" i="2"/>
  <c r="M25" i="2"/>
  <c r="M27" i="2"/>
  <c r="L6" i="2"/>
  <c r="L9" i="2"/>
  <c r="L12" i="2"/>
  <c r="L15" i="2"/>
  <c r="L16" i="2"/>
  <c r="L18" i="2"/>
  <c r="L25" i="2"/>
  <c r="L27" i="2"/>
  <c r="K6" i="2"/>
  <c r="K9" i="2"/>
  <c r="K12" i="2"/>
  <c r="K15" i="2"/>
  <c r="K16" i="2"/>
  <c r="K18" i="2"/>
  <c r="K25" i="2"/>
  <c r="K27" i="2"/>
  <c r="J6" i="2"/>
  <c r="J9" i="2"/>
  <c r="J12" i="2"/>
  <c r="J15" i="2"/>
  <c r="J16" i="2"/>
  <c r="J18" i="2"/>
  <c r="J25" i="2"/>
  <c r="J27" i="2"/>
  <c r="I6" i="2"/>
  <c r="I9" i="2"/>
  <c r="I12" i="2"/>
  <c r="I15" i="2"/>
  <c r="I16" i="2"/>
  <c r="I18" i="2"/>
  <c r="I25" i="2"/>
  <c r="I27" i="2"/>
  <c r="H6" i="2"/>
  <c r="H9" i="2"/>
  <c r="H12" i="2"/>
  <c r="H15" i="2"/>
  <c r="H16" i="2"/>
  <c r="H18" i="2"/>
  <c r="H25" i="2"/>
  <c r="H27" i="2"/>
  <c r="G6" i="2"/>
  <c r="G12" i="2"/>
  <c r="G15" i="2"/>
  <c r="G16" i="2"/>
  <c r="G18" i="2"/>
  <c r="G25" i="2"/>
  <c r="G27" i="2"/>
  <c r="F6" i="2"/>
  <c r="F12" i="2"/>
  <c r="F15" i="2"/>
  <c r="F16" i="2"/>
  <c r="F18" i="2"/>
  <c r="F25" i="2"/>
  <c r="F27" i="2"/>
  <c r="E6" i="2"/>
  <c r="E9" i="2"/>
  <c r="E12" i="2"/>
  <c r="E15" i="2"/>
  <c r="E16" i="2"/>
  <c r="E18" i="2"/>
  <c r="E25" i="2"/>
  <c r="E27" i="2"/>
  <c r="D6" i="2"/>
  <c r="D9" i="2"/>
  <c r="D12" i="2"/>
  <c r="D15" i="2"/>
  <c r="D16" i="2"/>
  <c r="D18" i="2"/>
  <c r="D25" i="2"/>
  <c r="D27" i="2"/>
  <c r="C6" i="2"/>
  <c r="C12" i="2"/>
  <c r="C15" i="2"/>
  <c r="C16" i="2"/>
  <c r="C18" i="2"/>
  <c r="C25" i="2"/>
  <c r="C27" i="2"/>
  <c r="I110" i="1"/>
  <c r="E34" i="1"/>
  <c r="E36" i="1"/>
  <c r="E37" i="1"/>
  <c r="E38" i="1"/>
  <c r="E40" i="1"/>
  <c r="E41" i="1"/>
  <c r="E39" i="1"/>
  <c r="E42" i="1"/>
  <c r="E33" i="1"/>
  <c r="E44" i="1"/>
  <c r="F36" i="1"/>
  <c r="F37" i="1"/>
  <c r="F38" i="1"/>
  <c r="F40" i="1"/>
  <c r="F41" i="1"/>
  <c r="F39" i="1"/>
  <c r="F42" i="1"/>
  <c r="F33" i="1"/>
  <c r="F44" i="1"/>
  <c r="G38" i="1"/>
  <c r="G40" i="1"/>
  <c r="G41" i="1"/>
  <c r="G37" i="1"/>
  <c r="G34" i="1"/>
  <c r="G39" i="1"/>
  <c r="G42" i="1"/>
  <c r="G33" i="1"/>
  <c r="G44" i="1"/>
  <c r="H38" i="1"/>
  <c r="H40" i="1"/>
  <c r="H41" i="1"/>
  <c r="H37" i="1"/>
  <c r="H34" i="1"/>
  <c r="H39" i="1"/>
  <c r="H42" i="1"/>
  <c r="H33" i="1"/>
  <c r="H44" i="1"/>
  <c r="I38" i="1"/>
  <c r="I40" i="1"/>
  <c r="I41" i="1"/>
  <c r="I37" i="1"/>
  <c r="I34" i="1"/>
  <c r="I39" i="1"/>
  <c r="I42" i="1"/>
  <c r="I33" i="1"/>
  <c r="I44" i="1"/>
  <c r="J38" i="1"/>
  <c r="J40" i="1"/>
  <c r="J41" i="1"/>
  <c r="J37" i="1"/>
  <c r="J34" i="1"/>
  <c r="J39" i="1"/>
  <c r="J42" i="1"/>
  <c r="J33" i="1"/>
  <c r="J44" i="1"/>
  <c r="K38" i="1"/>
  <c r="K40" i="1"/>
  <c r="K41" i="1"/>
  <c r="K37" i="1"/>
  <c r="K34" i="1"/>
  <c r="K39" i="1"/>
  <c r="K42" i="1"/>
  <c r="K33" i="1"/>
  <c r="K44" i="1"/>
  <c r="L38" i="1"/>
  <c r="L40" i="1"/>
  <c r="L41" i="1"/>
  <c r="L37" i="1"/>
  <c r="L34" i="1"/>
  <c r="L39" i="1"/>
  <c r="L42" i="1"/>
  <c r="L33" i="1"/>
  <c r="L44" i="1"/>
  <c r="M38" i="1"/>
  <c r="M40" i="1"/>
  <c r="M41" i="1"/>
  <c r="M37" i="1"/>
  <c r="M34" i="1"/>
  <c r="M39" i="1"/>
  <c r="M42" i="1"/>
  <c r="M33" i="1"/>
  <c r="M44" i="1"/>
  <c r="N38" i="1"/>
  <c r="N40" i="1"/>
  <c r="N41" i="1"/>
  <c r="N37" i="1"/>
  <c r="N34" i="1"/>
  <c r="N39" i="1"/>
  <c r="N42" i="1"/>
  <c r="N33" i="1"/>
  <c r="N44" i="1"/>
  <c r="O38" i="1"/>
  <c r="O40" i="1"/>
  <c r="O41" i="1"/>
  <c r="O37" i="1"/>
  <c r="O34" i="1"/>
  <c r="O39" i="1"/>
  <c r="O42" i="1"/>
  <c r="O33" i="1"/>
  <c r="O44" i="1"/>
  <c r="D85" i="1"/>
  <c r="D89" i="1"/>
  <c r="D78" i="1"/>
  <c r="D92" i="1"/>
  <c r="D94" i="1"/>
  <c r="D95" i="1"/>
  <c r="E57" i="1"/>
  <c r="E58" i="1"/>
  <c r="E59" i="1"/>
  <c r="E60" i="1"/>
  <c r="E61" i="1"/>
  <c r="E62" i="1"/>
  <c r="E69" i="1"/>
  <c r="E70" i="1"/>
  <c r="E71" i="1"/>
  <c r="E78" i="1"/>
  <c r="E89" i="1"/>
  <c r="E94" i="1"/>
  <c r="E95" i="1"/>
  <c r="F57" i="1"/>
  <c r="F58" i="1"/>
  <c r="F59" i="1"/>
  <c r="F60" i="1"/>
  <c r="F61" i="1"/>
  <c r="F62" i="1"/>
  <c r="F69" i="1"/>
  <c r="F70" i="1"/>
  <c r="F71" i="1"/>
  <c r="F78" i="1"/>
  <c r="F89" i="1"/>
  <c r="F94" i="1"/>
  <c r="F95" i="1"/>
  <c r="G57" i="1"/>
  <c r="G58" i="1"/>
  <c r="G59" i="1"/>
  <c r="G60" i="1"/>
  <c r="G61" i="1"/>
  <c r="G62" i="1"/>
  <c r="G69" i="1"/>
  <c r="G70" i="1"/>
  <c r="G71" i="1"/>
  <c r="G78" i="1"/>
  <c r="G89" i="1"/>
  <c r="G94" i="1"/>
  <c r="G95" i="1"/>
  <c r="H57" i="1"/>
  <c r="H58" i="1"/>
  <c r="H59" i="1"/>
  <c r="H60" i="1"/>
  <c r="H61" i="1"/>
  <c r="H62" i="1"/>
  <c r="H69" i="1"/>
  <c r="H70" i="1"/>
  <c r="H71" i="1"/>
  <c r="H78" i="1"/>
  <c r="H89" i="1"/>
  <c r="H94" i="1"/>
  <c r="H95" i="1"/>
  <c r="I57" i="1"/>
  <c r="I58" i="1"/>
  <c r="I59" i="1"/>
  <c r="I60" i="1"/>
  <c r="I61" i="1"/>
  <c r="I62" i="1"/>
  <c r="I65" i="1"/>
  <c r="I69" i="1"/>
  <c r="I70" i="1"/>
  <c r="I71" i="1"/>
  <c r="I78" i="1"/>
  <c r="I89" i="1"/>
  <c r="I94" i="1"/>
  <c r="I95" i="1"/>
  <c r="J57" i="1"/>
  <c r="J58" i="1"/>
  <c r="J59" i="1"/>
  <c r="J60" i="1"/>
  <c r="J61" i="1"/>
  <c r="J62" i="1"/>
  <c r="J69" i="1"/>
  <c r="J70" i="1"/>
  <c r="J71" i="1"/>
  <c r="J78" i="1"/>
  <c r="J89" i="1"/>
  <c r="J94" i="1"/>
  <c r="J95" i="1"/>
  <c r="K57" i="1"/>
  <c r="K58" i="1"/>
  <c r="K59" i="1"/>
  <c r="K60" i="1"/>
  <c r="K61" i="1"/>
  <c r="K62" i="1"/>
  <c r="K69" i="1"/>
  <c r="K70" i="1"/>
  <c r="K71" i="1"/>
  <c r="K78" i="1"/>
  <c r="K89" i="1"/>
  <c r="K94" i="1"/>
  <c r="K95" i="1"/>
  <c r="L57" i="1"/>
  <c r="L58" i="1"/>
  <c r="L59" i="1"/>
  <c r="L60" i="1"/>
  <c r="L61" i="1"/>
  <c r="L62" i="1"/>
  <c r="L65" i="1"/>
  <c r="L69" i="1"/>
  <c r="L70" i="1"/>
  <c r="L71" i="1"/>
  <c r="L78" i="1"/>
  <c r="L89" i="1"/>
  <c r="L94" i="1"/>
  <c r="L95" i="1"/>
  <c r="M57" i="1"/>
  <c r="M58" i="1"/>
  <c r="M59" i="1"/>
  <c r="M60" i="1"/>
  <c r="M61" i="1"/>
  <c r="M62" i="1"/>
  <c r="M69" i="1"/>
  <c r="M70" i="1"/>
  <c r="M71" i="1"/>
  <c r="M78" i="1"/>
  <c r="M89" i="1"/>
  <c r="M94" i="1"/>
  <c r="M95" i="1"/>
  <c r="N57" i="1"/>
  <c r="N58" i="1"/>
  <c r="N59" i="1"/>
  <c r="N60" i="1"/>
  <c r="N61" i="1"/>
  <c r="N62" i="1"/>
  <c r="N69" i="1"/>
  <c r="N70" i="1"/>
  <c r="N71" i="1"/>
  <c r="N78" i="1"/>
  <c r="N89" i="1"/>
  <c r="N94" i="1"/>
  <c r="N95" i="1"/>
  <c r="O57" i="1"/>
  <c r="O58" i="1"/>
  <c r="O59" i="1"/>
  <c r="O60" i="1"/>
  <c r="O61" i="1"/>
  <c r="O62" i="1"/>
  <c r="O66" i="1"/>
  <c r="O69" i="1"/>
  <c r="O70" i="1"/>
  <c r="O71" i="1"/>
  <c r="O74" i="1"/>
  <c r="O75" i="1"/>
  <c r="O76" i="1"/>
  <c r="O78" i="1"/>
  <c r="O89" i="1"/>
  <c r="O94" i="1"/>
  <c r="O95" i="1"/>
  <c r="D96" i="1"/>
  <c r="D101" i="1"/>
  <c r="D102" i="1"/>
  <c r="E100" i="1"/>
  <c r="E101" i="1"/>
  <c r="E102" i="1"/>
  <c r="F100" i="1"/>
  <c r="F101" i="1"/>
  <c r="F102" i="1"/>
  <c r="G100" i="1"/>
  <c r="G101" i="1"/>
  <c r="G102" i="1"/>
  <c r="H100" i="1"/>
  <c r="H101" i="1"/>
  <c r="H102" i="1"/>
  <c r="I100" i="1"/>
  <c r="I101" i="1"/>
  <c r="I102" i="1"/>
  <c r="D103" i="1"/>
  <c r="E105" i="1"/>
  <c r="T92" i="1"/>
  <c r="T94" i="1"/>
  <c r="O92" i="1"/>
  <c r="B85" i="1"/>
  <c r="D79" i="1"/>
  <c r="D84" i="1"/>
  <c r="B84" i="1"/>
  <c r="D80" i="1"/>
  <c r="E80" i="1"/>
  <c r="F80" i="1"/>
  <c r="G80" i="1"/>
  <c r="H80" i="1"/>
  <c r="I80" i="1"/>
  <c r="J80" i="1"/>
  <c r="K80" i="1"/>
  <c r="L80" i="1"/>
  <c r="M80" i="1"/>
  <c r="N80" i="1"/>
  <c r="O80" i="1"/>
  <c r="D81" i="1"/>
  <c r="S66" i="1"/>
  <c r="O47" i="1"/>
  <c r="O36" i="1"/>
  <c r="O48" i="1"/>
  <c r="O53" i="1"/>
  <c r="N47" i="1"/>
  <c r="N36" i="1"/>
  <c r="N48" i="1"/>
  <c r="N53" i="1"/>
  <c r="M47" i="1"/>
  <c r="M36" i="1"/>
  <c r="M48" i="1"/>
  <c r="M53" i="1"/>
  <c r="L47" i="1"/>
  <c r="L36" i="1"/>
  <c r="L48" i="1"/>
  <c r="L53" i="1"/>
  <c r="K47" i="1"/>
  <c r="K36" i="1"/>
  <c r="K48" i="1"/>
  <c r="K53" i="1"/>
  <c r="J47" i="1"/>
  <c r="J36" i="1"/>
  <c r="J48" i="1"/>
  <c r="J53" i="1"/>
  <c r="I47" i="1"/>
  <c r="I36" i="1"/>
  <c r="I48" i="1"/>
  <c r="I53" i="1"/>
  <c r="H47" i="1"/>
  <c r="H36" i="1"/>
  <c r="H48" i="1"/>
  <c r="H53" i="1"/>
  <c r="G47" i="1"/>
  <c r="G36" i="1"/>
  <c r="G48" i="1"/>
  <c r="G53" i="1"/>
  <c r="F47" i="1"/>
  <c r="F48" i="1"/>
  <c r="F53" i="1"/>
  <c r="E47" i="1"/>
  <c r="E48" i="1"/>
  <c r="E53" i="1"/>
  <c r="O49" i="1"/>
  <c r="O51" i="1"/>
  <c r="N49" i="1"/>
  <c r="N51" i="1"/>
  <c r="M49" i="1"/>
  <c r="M51" i="1"/>
  <c r="L49" i="1"/>
  <c r="L51" i="1"/>
  <c r="K49" i="1"/>
  <c r="K51" i="1"/>
  <c r="J49" i="1"/>
  <c r="J51" i="1"/>
  <c r="I49" i="1"/>
  <c r="I51" i="1"/>
  <c r="H49" i="1"/>
  <c r="H51" i="1"/>
  <c r="G49" i="1"/>
  <c r="G51" i="1"/>
  <c r="F49" i="1"/>
  <c r="F51" i="1"/>
  <c r="E49" i="1"/>
  <c r="E51" i="1"/>
  <c r="U46" i="1"/>
  <c r="O35" i="1"/>
  <c r="N35" i="1"/>
  <c r="M35" i="1"/>
  <c r="L35" i="1"/>
  <c r="K35" i="1"/>
  <c r="J35" i="1"/>
  <c r="I35" i="1"/>
  <c r="H35" i="1"/>
  <c r="G35" i="1"/>
  <c r="F35" i="1"/>
  <c r="E35" i="1"/>
  <c r="F34" i="1"/>
  <c r="Y13" i="1"/>
  <c r="V6" i="1"/>
  <c r="W6" i="1"/>
  <c r="X6" i="1"/>
  <c r="Y6" i="1"/>
  <c r="Z6" i="1"/>
  <c r="AA6" i="1"/>
  <c r="AB6" i="1"/>
  <c r="AC6" i="1"/>
  <c r="AD6" i="1"/>
  <c r="AE6" i="1"/>
</calcChain>
</file>

<file path=xl/sharedStrings.xml><?xml version="1.0" encoding="utf-8"?>
<sst xmlns="http://schemas.openxmlformats.org/spreadsheetml/2006/main" count="157" uniqueCount="142">
  <si>
    <t>Action Helicopters</t>
  </si>
  <si>
    <t>Change/Year</t>
  </si>
  <si>
    <t>Change/ Year</t>
  </si>
  <si>
    <t>Price/ Person (Tour ride)</t>
  </si>
  <si>
    <t>INCOME STATEMENT</t>
  </si>
  <si>
    <t>Max Occupancy/ Helicopter</t>
  </si>
  <si>
    <t># of Helicopters</t>
  </si>
  <si>
    <t>Rental Income</t>
  </si>
  <si>
    <t>Avg Occupancy/ Helicopter</t>
  </si>
  <si>
    <t>Tours</t>
  </si>
  <si>
    <t>Avg # of Tours/ day/ Helicopter</t>
  </si>
  <si>
    <t>Flying lessons</t>
  </si>
  <si>
    <t>Avg Flying lessons/day/Helicopter</t>
  </si>
  <si>
    <t>Price/ Lesson</t>
  </si>
  <si>
    <t>Operating expenses</t>
  </si>
  <si>
    <t>Price to Rent a Helicopter/ Hr</t>
  </si>
  <si>
    <t>Insurance</t>
  </si>
  <si>
    <t>Pilot's Salary</t>
  </si>
  <si>
    <t>Rent</t>
  </si>
  <si>
    <t>5 Year Contract for Rent</t>
  </si>
  <si>
    <t>Labor</t>
  </si>
  <si>
    <t># of PIlots</t>
  </si>
  <si>
    <t>Fuel</t>
  </si>
  <si>
    <t>Avg. times a Helicopter is rented/day</t>
  </si>
  <si>
    <t>Variable General Maint &amp; Admin Expense</t>
  </si>
  <si>
    <t>Days of Receivables</t>
  </si>
  <si>
    <t>Fixed General Maint &amp; Admin Expense</t>
  </si>
  <si>
    <t>No of helicopters</t>
  </si>
  <si>
    <t>Helicopter Parts Expense</t>
  </si>
  <si>
    <t>Average px of parts per heli</t>
  </si>
  <si>
    <t>Utilites</t>
  </si>
  <si>
    <t>Avg. distance travelled for a tour (miles)</t>
  </si>
  <si>
    <t>Miscellaneous</t>
  </si>
  <si>
    <t>Avg. distance travelled for a lesson (miles)</t>
  </si>
  <si>
    <t>Advertisements</t>
  </si>
  <si>
    <t>Avg. distance travelled for a rental (miles)</t>
  </si>
  <si>
    <t>Avg. Price for Helicopter fuel</t>
  </si>
  <si>
    <t>Depreciation Expense</t>
  </si>
  <si>
    <t>MPG</t>
  </si>
  <si>
    <t>Interest Expense</t>
  </si>
  <si>
    <t>Utilities Expense</t>
  </si>
  <si>
    <t>Extra Bank Loan Interest Expense</t>
  </si>
  <si>
    <t>Helicopters depreciated through a period of (yrs)</t>
  </si>
  <si>
    <t>Starting Salary</t>
  </si>
  <si>
    <t>Taxable Income</t>
  </si>
  <si>
    <t>Insurance cost per Helicopter per year</t>
  </si>
  <si>
    <t>Income Tax</t>
  </si>
  <si>
    <t>Net Income</t>
  </si>
  <si>
    <t>Beta</t>
  </si>
  <si>
    <t>S&amp;P 500</t>
  </si>
  <si>
    <t>T-Bill</t>
  </si>
  <si>
    <t>Cost of Equity using CAPM (%)</t>
  </si>
  <si>
    <t>Loan Rate</t>
  </si>
  <si>
    <t>Bank Loan</t>
  </si>
  <si>
    <t>Blended Cost of Debt (%)</t>
  </si>
  <si>
    <t>Tax Rate (%)</t>
  </si>
  <si>
    <t>Total debt</t>
  </si>
  <si>
    <t>Total Equity</t>
  </si>
  <si>
    <t>Total debt and Equity</t>
  </si>
  <si>
    <t>Percent Debt Currently (%)</t>
  </si>
  <si>
    <t>Percent Equity Currently (%)</t>
  </si>
  <si>
    <t>Price/ Helicopter</t>
  </si>
  <si>
    <t>Current WACC  (%)</t>
  </si>
  <si>
    <t>A/P (Utilities) in (days)</t>
  </si>
  <si>
    <t>Income Tax is Payable next</t>
  </si>
  <si>
    <t>April</t>
  </si>
  <si>
    <t>Unlevered Beta</t>
  </si>
  <si>
    <t>Company Appraisal</t>
  </si>
  <si>
    <t>Debt relevered at</t>
  </si>
  <si>
    <t>Equity relevered at</t>
  </si>
  <si>
    <t>Relevered Beta at 50% Debt/50% Equity</t>
  </si>
  <si>
    <t>OP: Website Development</t>
  </si>
  <si>
    <t>Cost of Equity with Relevered Beta using CAPM (%)</t>
  </si>
  <si>
    <t>WACC at % Debt % Equity</t>
  </si>
  <si>
    <t>OP: Furniture &amp; Equip</t>
  </si>
  <si>
    <t>Cash From Operations</t>
  </si>
  <si>
    <t>Operating Profit</t>
  </si>
  <si>
    <t>Less: Depr.</t>
  </si>
  <si>
    <t>Taxable Op. Profit</t>
  </si>
  <si>
    <t>Taxes Payable on Opr.</t>
  </si>
  <si>
    <t>Add back; Depr.</t>
  </si>
  <si>
    <t>Cash in/out from Cap Exp.</t>
  </si>
  <si>
    <t>Buy Action Helicopter</t>
  </si>
  <si>
    <t>Multiple</t>
  </si>
  <si>
    <t>Sell Action Helicopter</t>
  </si>
  <si>
    <t>Book Value</t>
  </si>
  <si>
    <t>Cash in/out from W.C. Changes</t>
  </si>
  <si>
    <t>- Accounts Receivable</t>
  </si>
  <si>
    <t>+ Accounts Payable</t>
  </si>
  <si>
    <t>+ Taxes Payable</t>
  </si>
  <si>
    <t>Cash in/out from Liquid. W.C.</t>
  </si>
  <si>
    <t>+ Accounts Recievable</t>
  </si>
  <si>
    <t>- Accounts Payable</t>
  </si>
  <si>
    <t>- Taxes Payable</t>
  </si>
  <si>
    <t>Total FCF</t>
  </si>
  <si>
    <t>IRR</t>
  </si>
  <si>
    <t>PV</t>
  </si>
  <si>
    <t>NPV</t>
  </si>
  <si>
    <t>WACC</t>
  </si>
  <si>
    <t>Strong Market</t>
  </si>
  <si>
    <t>Buy/Sell A (first two helicopters)</t>
  </si>
  <si>
    <t>Buy/Sell B (one additional helicopter in year 5 and one in year 8 (options built into model forecast))</t>
  </si>
  <si>
    <t>Selling For</t>
  </si>
  <si>
    <t>FCFs</t>
  </si>
  <si>
    <t>Gain</t>
  </si>
  <si>
    <t>Weak Market</t>
  </si>
  <si>
    <t>FCFs</t>
  </si>
  <si>
    <t>Expected NPV</t>
  </si>
  <si>
    <t>S</t>
  </si>
  <si>
    <t>X</t>
  </si>
  <si>
    <t>t</t>
  </si>
  <si>
    <t>STDEV(%)</t>
  </si>
  <si>
    <t>r</t>
  </si>
  <si>
    <t>Option Price</t>
  </si>
  <si>
    <t>Assets</t>
  </si>
  <si>
    <t>Minimum Cash</t>
  </si>
  <si>
    <t>Extra Cash</t>
  </si>
  <si>
    <t>Accounts Receivable</t>
  </si>
  <si>
    <t>Renovation</t>
  </si>
  <si>
    <t>Helicopters &amp; Equip.</t>
  </si>
  <si>
    <t>Accumulated Depreciation</t>
  </si>
  <si>
    <t>TOTAL ASSETS</t>
  </si>
  <si>
    <t>Liabilities</t>
  </si>
  <si>
    <t>Accounts Payable</t>
  </si>
  <si>
    <t>Need to pay pilots, maintenance workers, mechanic, etc.</t>
  </si>
  <si>
    <t>Income Tax Payable</t>
  </si>
  <si>
    <t>Helicopter Secure Loan</t>
  </si>
  <si>
    <t>Extra Bank Loan</t>
  </si>
  <si>
    <t>Equity</t>
  </si>
  <si>
    <t>Common Stock</t>
  </si>
  <si>
    <t>Retained Earnings</t>
  </si>
  <si>
    <t>TOTAL LIAB AND EQUITY</t>
  </si>
  <si>
    <t>Funds needed</t>
  </si>
  <si>
    <t>Helicopter Asset</t>
  </si>
  <si>
    <t>Loan based % of Helicopter:</t>
  </si>
  <si>
    <t>Loan Amt</t>
  </si>
  <si>
    <t>Int Rate</t>
  </si>
  <si>
    <t>Periods</t>
  </si>
  <si>
    <t>Payment</t>
  </si>
  <si>
    <t>Interest</t>
  </si>
  <si>
    <t>Principle</t>
  </si>
  <si>
    <t>Loan 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</si>
</sst>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###############"/>
  </numFmts>
  <fonts count="13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</fonts>
  <fills count="2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D5A6BD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A6BD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D5A6BD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6D9EEB"/>
        <bgColor indexed="64"/>
      </patternFill>
    </fill>
  </fills>
  <borders count="74">
    <border>
      <left/>
      <right/>
      <top/>
      <bottom/>
      <diagonal/>
    </border>
    <border>
      <left style="thin">
        <color rgb="FFFF9900"/>
      </left>
      <right/>
      <top/>
      <bottom style="thin">
        <color rgb="FFFF99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FF"/>
      </right>
      <top/>
      <bottom style="thin">
        <color auto="1"/>
      </bottom>
      <diagonal/>
    </border>
    <border>
      <left/>
      <right style="thin">
        <color rgb="FF9900FF"/>
      </right>
      <top/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9900FF"/>
      </bottom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rgb="FFFF9900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9900FF"/>
      </right>
      <top style="thin">
        <color rgb="FF9900FF"/>
      </top>
      <bottom/>
      <diagonal/>
    </border>
    <border>
      <left style="thin">
        <color rgb="FF274E13"/>
      </left>
      <right/>
      <top/>
      <bottom/>
      <diagonal/>
    </border>
    <border>
      <left/>
      <right/>
      <top style="thin">
        <color rgb="FF274E13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FF9900"/>
      </left>
      <right/>
      <top style="thin">
        <color rgb="FFFF9900"/>
      </top>
      <bottom/>
      <diagonal/>
    </border>
    <border>
      <left style="thin">
        <color rgb="FF274E13"/>
      </left>
      <right/>
      <top/>
      <bottom style="thin">
        <color rgb="FF274E13"/>
      </bottom>
      <diagonal/>
    </border>
    <border>
      <left style="thin">
        <color rgb="FFFF9900"/>
      </left>
      <right/>
      <top style="thin">
        <color rgb="FFFF9900"/>
      </top>
      <bottom/>
      <diagonal/>
    </border>
    <border>
      <left/>
      <right style="thin">
        <color rgb="FF274E13"/>
      </right>
      <top style="thin">
        <color rgb="FF274E13"/>
      </top>
      <bottom/>
      <diagonal/>
    </border>
    <border>
      <left/>
      <right/>
      <top style="thin">
        <color rgb="FF9900FF"/>
      </top>
      <bottom style="thin">
        <color rgb="FFFF9900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9900FF"/>
      </left>
      <right/>
      <top style="thin">
        <color rgb="FF9900FF"/>
      </top>
      <bottom/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FF9900"/>
      </right>
      <top/>
      <bottom style="thin">
        <color rgb="FFFF9900"/>
      </bottom>
      <diagonal/>
    </border>
    <border>
      <left/>
      <right style="thin">
        <color rgb="FF9900FF"/>
      </right>
      <top/>
      <bottom/>
      <diagonal/>
    </border>
    <border>
      <left style="thin">
        <color rgb="FF274E13"/>
      </left>
      <right/>
      <top style="thin">
        <color rgb="FF274E13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auto="1"/>
      </top>
      <bottom style="thin">
        <color rgb="FF0000FF"/>
      </bottom>
      <diagonal/>
    </border>
    <border>
      <left/>
      <right style="thin">
        <color rgb="FF0000FF"/>
      </right>
      <top/>
      <bottom/>
      <diagonal/>
    </border>
    <border>
      <left/>
      <right/>
      <top style="thin">
        <color rgb="FF274E13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274E13"/>
      </left>
      <right/>
      <top/>
      <bottom/>
      <diagonal/>
    </border>
    <border>
      <left style="thin">
        <color rgb="FF274E13"/>
      </left>
      <right/>
      <top/>
      <bottom/>
      <diagonal/>
    </border>
    <border>
      <left style="thin">
        <color rgb="FF9900FF"/>
      </left>
      <right/>
      <top/>
      <bottom style="thin">
        <color rgb="FF99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274E13"/>
      </right>
      <top/>
      <bottom/>
      <diagonal/>
    </border>
    <border>
      <left style="thin">
        <color rgb="FFFF9900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rgb="FFFF9900"/>
      </top>
      <bottom/>
      <diagonal/>
    </border>
    <border>
      <left/>
      <right/>
      <top/>
      <bottom style="thin">
        <color rgb="FF9900FF"/>
      </bottom>
      <diagonal/>
    </border>
    <border>
      <left/>
      <right/>
      <top style="thin">
        <color auto="1"/>
      </top>
      <bottom style="thin">
        <color rgb="FF0000FF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thin">
        <color rgb="FF274E13"/>
      </bottom>
      <diagonal/>
    </border>
    <border>
      <left/>
      <right style="thin">
        <color rgb="FFFF9900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FF9900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rgb="FFFF9900"/>
      </top>
      <bottom/>
      <diagonal/>
    </border>
    <border>
      <left/>
      <right/>
      <top style="thin">
        <color rgb="FF9900FF"/>
      </top>
      <bottom style="thin">
        <color rgb="FFFF9900"/>
      </bottom>
      <diagonal/>
    </border>
    <border>
      <left/>
      <right style="thin">
        <color rgb="FF9900FF"/>
      </right>
      <top/>
      <bottom style="thin">
        <color rgb="FF9900FF"/>
      </bottom>
      <diagonal/>
    </border>
    <border>
      <left/>
      <right/>
      <top/>
      <bottom style="thin">
        <color rgb="FF9900FF"/>
      </bottom>
      <diagonal/>
    </border>
    <border>
      <left style="thin">
        <color rgb="FF274E13"/>
      </left>
      <right/>
      <top style="thin">
        <color rgb="FF274E13"/>
      </top>
      <bottom/>
      <diagonal/>
    </border>
    <border>
      <left/>
      <right style="thin">
        <color rgb="FF9900FF"/>
      </right>
      <top/>
      <bottom/>
      <diagonal/>
    </border>
    <border>
      <left style="thin">
        <color rgb="FF9900FF"/>
      </left>
      <right/>
      <top style="thin">
        <color rgb="FF9900FF"/>
      </top>
      <bottom/>
      <diagonal/>
    </border>
    <border>
      <left style="thin">
        <color rgb="FFFF9900"/>
      </left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274E13"/>
      </right>
      <top/>
      <bottom/>
      <diagonal/>
    </border>
    <border>
      <left style="thin">
        <color rgb="FF9900FF"/>
      </left>
      <right/>
      <top/>
      <bottom/>
      <diagonal/>
    </border>
    <border>
      <left/>
      <right/>
      <top style="thin">
        <color rgb="FF9900FF"/>
      </top>
      <bottom/>
      <diagonal/>
    </border>
    <border>
      <left style="thin">
        <color rgb="FFFF9900"/>
      </left>
      <right/>
      <top/>
      <bottom/>
      <diagonal/>
    </border>
    <border>
      <left style="thin">
        <color rgb="FF0000FF"/>
      </left>
      <right/>
      <top/>
      <bottom/>
      <diagonal/>
    </border>
    <border>
      <left style="thin">
        <color rgb="FF9900FF"/>
      </left>
      <right/>
      <top/>
      <bottom/>
      <diagonal/>
    </border>
    <border>
      <left/>
      <right/>
      <top/>
      <bottom style="thin">
        <color rgb="FF274E13"/>
      </bottom>
      <diagonal/>
    </border>
    <border>
      <left/>
      <right/>
      <top style="thin">
        <color rgb="FF0000FF"/>
      </top>
      <bottom style="thin">
        <color rgb="FF9900FF"/>
      </bottom>
      <diagonal/>
    </border>
    <border>
      <left/>
      <right style="thin">
        <color rgb="FFFF9900"/>
      </right>
      <top style="thin">
        <color rgb="FFFF9900"/>
      </top>
      <bottom/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9900FF"/>
      </right>
      <top/>
      <bottom/>
      <diagonal/>
    </border>
    <border>
      <left/>
      <right style="thin">
        <color rgb="FF9900FF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274E13"/>
      </right>
      <top/>
      <bottom/>
      <diagonal/>
    </border>
    <border>
      <left/>
      <right style="thin">
        <color rgb="FFFF9900"/>
      </right>
      <top/>
      <bottom/>
      <diagonal/>
    </border>
    <border>
      <left/>
      <right style="thin">
        <color rgb="FF274E13"/>
      </right>
      <top/>
      <bottom style="thin">
        <color rgb="FF274E13"/>
      </bottom>
      <diagonal/>
    </border>
  </borders>
  <cellStyleXfs count="1">
    <xf numFmtId="0" fontId="0" fillId="0" borderId="0"/>
  </cellStyleXfs>
  <cellXfs count="83"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0" fontId="0" fillId="0" borderId="4" xfId="0" applyNumberFormat="1" applyBorder="1" applyAlignment="1">
      <alignment wrapText="1"/>
    </xf>
    <xf numFmtId="0" fontId="1" fillId="3" borderId="5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164" fontId="0" fillId="0" borderId="7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4" borderId="11" xfId="0" applyFill="1" applyBorder="1" applyAlignment="1">
      <alignment wrapText="1"/>
    </xf>
    <xf numFmtId="0" fontId="0" fillId="5" borderId="12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6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8" borderId="17" xfId="0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10" fontId="0" fillId="0" borderId="0" xfId="0" applyNumberFormat="1" applyAlignment="1">
      <alignment wrapText="1"/>
    </xf>
    <xf numFmtId="0" fontId="2" fillId="9" borderId="21" xfId="0" applyFont="1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165" fontId="0" fillId="0" borderId="24" xfId="0" applyNumberFormat="1" applyBorder="1" applyAlignment="1">
      <alignment wrapText="1"/>
    </xf>
    <xf numFmtId="0" fontId="0" fillId="10" borderId="25" xfId="0" applyFill="1" applyBorder="1" applyAlignment="1">
      <alignment wrapText="1"/>
    </xf>
    <xf numFmtId="0" fontId="0" fillId="0" borderId="26" xfId="0" applyBorder="1" applyAlignment="1">
      <alignment wrapText="1"/>
    </xf>
    <xf numFmtId="164" fontId="0" fillId="0" borderId="27" xfId="0" applyNumberFormat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4" fontId="0" fillId="0" borderId="0" xfId="0" applyNumberFormat="1" applyAlignment="1">
      <alignment wrapText="1"/>
    </xf>
    <xf numFmtId="0" fontId="0" fillId="11" borderId="30" xfId="0" applyFill="1" applyBorder="1" applyAlignment="1">
      <alignment wrapText="1"/>
    </xf>
    <xf numFmtId="0" fontId="0" fillId="0" borderId="31" xfId="0" applyBorder="1" applyAlignment="1">
      <alignment wrapText="1"/>
    </xf>
    <xf numFmtId="165" fontId="0" fillId="0" borderId="0" xfId="0" applyNumberFormat="1" applyAlignment="1">
      <alignment wrapText="1"/>
    </xf>
    <xf numFmtId="0" fontId="3" fillId="12" borderId="32" xfId="0" applyFont="1" applyFill="1" applyBorder="1" applyAlignment="1">
      <alignment wrapText="1"/>
    </xf>
    <xf numFmtId="0" fontId="0" fillId="0" borderId="33" xfId="0" applyBorder="1" applyAlignment="1">
      <alignment wrapText="1"/>
    </xf>
    <xf numFmtId="0" fontId="0" fillId="13" borderId="34" xfId="0" applyFill="1" applyBorder="1" applyAlignment="1">
      <alignment wrapText="1"/>
    </xf>
    <xf numFmtId="0" fontId="0" fillId="0" borderId="35" xfId="0" applyBorder="1" applyAlignment="1">
      <alignment wrapText="1"/>
    </xf>
    <xf numFmtId="4" fontId="0" fillId="0" borderId="36" xfId="0" applyNumberFormat="1" applyBorder="1" applyAlignment="1">
      <alignment wrapText="1"/>
    </xf>
    <xf numFmtId="0" fontId="4" fillId="14" borderId="37" xfId="0" applyFont="1" applyFill="1" applyBorder="1" applyAlignment="1">
      <alignment wrapText="1"/>
    </xf>
    <xf numFmtId="164" fontId="0" fillId="0" borderId="38" xfId="0" applyNumberFormat="1" applyBorder="1" applyAlignment="1">
      <alignment wrapText="1"/>
    </xf>
    <xf numFmtId="0" fontId="0" fillId="15" borderId="39" xfId="0" applyFill="1" applyBorder="1" applyAlignment="1">
      <alignment wrapText="1"/>
    </xf>
    <xf numFmtId="0" fontId="0" fillId="0" borderId="40" xfId="0" applyBorder="1" applyAlignment="1">
      <alignment wrapText="1"/>
    </xf>
    <xf numFmtId="164" fontId="0" fillId="0" borderId="41" xfId="0" applyNumberFormat="1" applyBorder="1" applyAlignment="1">
      <alignment wrapText="1"/>
    </xf>
    <xf numFmtId="10" fontId="0" fillId="0" borderId="42" xfId="0" applyNumberFormat="1" applyBorder="1" applyAlignment="1">
      <alignment wrapText="1"/>
    </xf>
    <xf numFmtId="4" fontId="0" fillId="0" borderId="43" xfId="0" applyNumberFormat="1" applyBorder="1" applyAlignment="1">
      <alignment wrapText="1"/>
    </xf>
    <xf numFmtId="0" fontId="0" fillId="0" borderId="44" xfId="0" applyBorder="1" applyAlignment="1">
      <alignment wrapText="1"/>
    </xf>
    <xf numFmtId="0" fontId="0" fillId="16" borderId="45" xfId="0" applyFill="1" applyBorder="1" applyAlignment="1">
      <alignment wrapText="1"/>
    </xf>
    <xf numFmtId="0" fontId="0" fillId="17" borderId="0" xfId="0" applyFill="1" applyAlignment="1">
      <alignment wrapText="1"/>
    </xf>
    <xf numFmtId="0" fontId="0" fillId="0" borderId="46" xfId="0" applyBorder="1" applyAlignment="1">
      <alignment wrapText="1"/>
    </xf>
    <xf numFmtId="4" fontId="5" fillId="0" borderId="0" xfId="0" applyNumberFormat="1" applyFont="1" applyAlignment="1">
      <alignment wrapText="1"/>
    </xf>
    <xf numFmtId="164" fontId="0" fillId="0" borderId="47" xfId="0" applyNumberFormat="1" applyBorder="1" applyAlignment="1">
      <alignment wrapText="1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6" fillId="0" borderId="50" xfId="0" applyFont="1" applyBorder="1" applyAlignment="1">
      <alignment wrapText="1"/>
    </xf>
    <xf numFmtId="10" fontId="0" fillId="0" borderId="51" xfId="0" applyNumberFormat="1" applyBorder="1" applyAlignment="1">
      <alignment wrapText="1"/>
    </xf>
    <xf numFmtId="10" fontId="0" fillId="0" borderId="52" xfId="0" applyNumberFormat="1" applyBorder="1" applyAlignment="1">
      <alignment wrapText="1"/>
    </xf>
    <xf numFmtId="0" fontId="7" fillId="0" borderId="0" xfId="0" applyFont="1" applyAlignment="1">
      <alignment wrapText="1"/>
    </xf>
    <xf numFmtId="0" fontId="0" fillId="0" borderId="53" xfId="0" applyBorder="1" applyAlignment="1">
      <alignment wrapText="1"/>
    </xf>
    <xf numFmtId="4" fontId="0" fillId="0" borderId="54" xfId="0" applyNumberFormat="1" applyBorder="1" applyAlignment="1">
      <alignment wrapText="1"/>
    </xf>
    <xf numFmtId="0" fontId="0" fillId="18" borderId="55" xfId="0" applyFill="1" applyBorder="1" applyAlignment="1">
      <alignment wrapText="1"/>
    </xf>
    <xf numFmtId="164" fontId="0" fillId="0" borderId="0" xfId="0" applyNumberFormat="1" applyAlignment="1">
      <alignment wrapText="1"/>
    </xf>
    <xf numFmtId="0" fontId="0" fillId="0" borderId="56" xfId="0" applyBorder="1" applyAlignment="1">
      <alignment wrapText="1"/>
    </xf>
    <xf numFmtId="0" fontId="8" fillId="19" borderId="57" xfId="0" applyFont="1" applyFill="1" applyBorder="1" applyAlignment="1">
      <alignment wrapText="1"/>
    </xf>
    <xf numFmtId="0" fontId="0" fillId="0" borderId="58" xfId="0" applyBorder="1" applyAlignment="1">
      <alignment wrapText="1"/>
    </xf>
    <xf numFmtId="0" fontId="9" fillId="0" borderId="0" xfId="0" applyFont="1" applyAlignment="1">
      <alignment horizontal="center" wrapText="1"/>
    </xf>
    <xf numFmtId="0" fontId="0" fillId="20" borderId="59" xfId="0" applyFill="1" applyBorder="1" applyAlignment="1">
      <alignment wrapText="1"/>
    </xf>
    <xf numFmtId="0" fontId="0" fillId="0" borderId="60" xfId="0" applyBorder="1" applyAlignment="1">
      <alignment wrapText="1"/>
    </xf>
    <xf numFmtId="0" fontId="0" fillId="21" borderId="61" xfId="0" applyFill="1" applyBorder="1" applyAlignment="1">
      <alignment wrapText="1"/>
    </xf>
    <xf numFmtId="0" fontId="10" fillId="22" borderId="62" xfId="0" applyFont="1" applyFill="1" applyBorder="1" applyAlignment="1">
      <alignment wrapText="1"/>
    </xf>
    <xf numFmtId="0" fontId="0" fillId="0" borderId="63" xfId="0" applyBorder="1" applyAlignment="1">
      <alignment wrapText="1"/>
    </xf>
    <xf numFmtId="0" fontId="0" fillId="0" borderId="64" xfId="0" applyBorder="1" applyAlignment="1">
      <alignment wrapText="1"/>
    </xf>
    <xf numFmtId="164" fontId="0" fillId="0" borderId="65" xfId="0" applyNumberFormat="1" applyBorder="1" applyAlignment="1">
      <alignment wrapText="1"/>
    </xf>
    <xf numFmtId="0" fontId="0" fillId="23" borderId="66" xfId="0" applyFill="1" applyBorder="1" applyAlignment="1">
      <alignment wrapText="1"/>
    </xf>
    <xf numFmtId="0" fontId="11" fillId="24" borderId="67" xfId="0" applyFont="1" applyFill="1" applyBorder="1" applyAlignment="1">
      <alignment horizontal="center" wrapText="1"/>
    </xf>
    <xf numFmtId="164" fontId="0" fillId="0" borderId="68" xfId="0" applyNumberFormat="1" applyBorder="1" applyAlignment="1">
      <alignment wrapText="1"/>
    </xf>
    <xf numFmtId="0" fontId="0" fillId="0" borderId="69" xfId="0" applyBorder="1" applyAlignment="1">
      <alignment wrapText="1"/>
    </xf>
    <xf numFmtId="0" fontId="0" fillId="0" borderId="70" xfId="0" applyBorder="1" applyAlignment="1">
      <alignment wrapText="1"/>
    </xf>
    <xf numFmtId="3" fontId="0" fillId="0" borderId="0" xfId="0" applyNumberFormat="1" applyAlignment="1">
      <alignment wrapText="1"/>
    </xf>
    <xf numFmtId="4" fontId="12" fillId="0" borderId="71" xfId="0" applyNumberFormat="1" applyFont="1" applyBorder="1" applyAlignment="1">
      <alignment wrapText="1"/>
    </xf>
    <xf numFmtId="4" fontId="0" fillId="0" borderId="72" xfId="0" applyNumberFormat="1" applyBorder="1" applyAlignment="1">
      <alignment wrapText="1"/>
    </xf>
    <xf numFmtId="0" fontId="0" fillId="0" borderId="7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0"/>
  <sheetViews>
    <sheetView tabSelected="1" workbookViewId="0"/>
  </sheetViews>
  <sheetFormatPr defaultColWidth="17.140625" defaultRowHeight="12.75" customHeight="1" x14ac:dyDescent="0.2"/>
  <cols>
    <col min="1" max="1" width="4.42578125" customWidth="1"/>
    <col min="2" max="2" width="20.7109375" customWidth="1"/>
    <col min="3" max="3" width="0.7109375" customWidth="1"/>
    <col min="4" max="4" width="12.85546875" customWidth="1"/>
    <col min="16" max="16" width="2.42578125" customWidth="1"/>
    <col min="17" max="17" width="13.42578125" customWidth="1"/>
    <col min="18" max="18" width="4.85546875" customWidth="1"/>
    <col min="19" max="19" width="27" customWidth="1"/>
    <col min="20" max="20" width="11.85546875" customWidth="1"/>
  </cols>
  <sheetData>
    <row r="1" spans="1:34" x14ac:dyDescent="0.2">
      <c r="B1" t="s">
        <v>0</v>
      </c>
    </row>
    <row r="2" spans="1:34" x14ac:dyDescent="0.2"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U2" s="66">
        <v>2014</v>
      </c>
      <c r="V2" s="66">
        <v>2015</v>
      </c>
      <c r="W2" s="66">
        <v>2016</v>
      </c>
      <c r="X2" s="66">
        <v>2017</v>
      </c>
      <c r="Y2" s="66">
        <v>2018</v>
      </c>
      <c r="Z2" s="66">
        <v>2019</v>
      </c>
      <c r="AA2" s="66">
        <v>2020</v>
      </c>
      <c r="AB2" s="66">
        <v>2021</v>
      </c>
      <c r="AC2" s="66">
        <v>2022</v>
      </c>
      <c r="AD2" s="66">
        <v>2023</v>
      </c>
      <c r="AE2" s="66">
        <v>2024</v>
      </c>
      <c r="AH2" t="s">
        <v>1</v>
      </c>
    </row>
    <row r="3" spans="1:34" x14ac:dyDescent="0.2">
      <c r="B3" s="9"/>
      <c r="C3" s="9"/>
      <c r="D3" s="33"/>
      <c r="E3" s="5">
        <v>2014</v>
      </c>
      <c r="F3" s="22">
        <v>2015</v>
      </c>
      <c r="G3" s="22">
        <v>2016</v>
      </c>
      <c r="H3" s="22">
        <v>2017</v>
      </c>
      <c r="I3" s="22">
        <v>2018</v>
      </c>
      <c r="J3" s="22">
        <v>2019</v>
      </c>
      <c r="K3" s="22">
        <v>2020</v>
      </c>
      <c r="L3" s="22">
        <v>2021</v>
      </c>
      <c r="M3" s="22">
        <v>2022</v>
      </c>
      <c r="N3" s="22">
        <v>2023</v>
      </c>
      <c r="O3" s="75">
        <v>2024</v>
      </c>
      <c r="P3" s="23"/>
      <c r="Q3" s="38" t="s">
        <v>2</v>
      </c>
      <c r="R3" s="38"/>
      <c r="S3" s="9" t="s">
        <v>3</v>
      </c>
      <c r="U3" s="79">
        <v>70</v>
      </c>
      <c r="V3" s="79">
        <f t="shared" ref="V3:AE3" si="0">U3*(1+$AH$3)</f>
        <v>72.100000000000009</v>
      </c>
      <c r="W3" s="79">
        <f t="shared" si="0"/>
        <v>74.263000000000005</v>
      </c>
      <c r="X3" s="79">
        <f t="shared" si="0"/>
        <v>76.490890000000007</v>
      </c>
      <c r="Y3" s="79">
        <f t="shared" si="0"/>
        <v>78.785616700000006</v>
      </c>
      <c r="Z3" s="79">
        <f t="shared" si="0"/>
        <v>81.149185201000009</v>
      </c>
      <c r="AA3" s="79">
        <f t="shared" si="0"/>
        <v>83.583660757030017</v>
      </c>
      <c r="AB3" s="79">
        <f t="shared" si="0"/>
        <v>86.091170579740918</v>
      </c>
      <c r="AC3" s="79">
        <f t="shared" si="0"/>
        <v>88.673905697133151</v>
      </c>
      <c r="AD3" s="79">
        <f t="shared" si="0"/>
        <v>91.334122868047146</v>
      </c>
      <c r="AE3" s="79">
        <f t="shared" si="0"/>
        <v>94.074146554088557</v>
      </c>
      <c r="AH3">
        <v>0.03</v>
      </c>
    </row>
    <row r="4" spans="1:34" x14ac:dyDescent="0.2">
      <c r="A4" s="29"/>
      <c r="B4" s="64" t="s">
        <v>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13"/>
      <c r="P4" s="19"/>
      <c r="Q4" s="27"/>
      <c r="R4" s="27"/>
      <c r="S4" s="27" t="s">
        <v>5</v>
      </c>
      <c r="U4">
        <v>3</v>
      </c>
    </row>
    <row r="5" spans="1:34" x14ac:dyDescent="0.2">
      <c r="A5" s="29"/>
      <c r="B5" s="32"/>
      <c r="O5" s="29"/>
      <c r="P5" s="50"/>
      <c r="S5" t="s">
        <v>6</v>
      </c>
      <c r="U5">
        <v>2</v>
      </c>
      <c r="V5">
        <v>2</v>
      </c>
      <c r="W5">
        <v>2</v>
      </c>
      <c r="X5">
        <v>2</v>
      </c>
      <c r="Y5">
        <v>3</v>
      </c>
      <c r="Z5">
        <v>3</v>
      </c>
      <c r="AA5">
        <v>3</v>
      </c>
      <c r="AB5">
        <v>3</v>
      </c>
      <c r="AC5">
        <v>4</v>
      </c>
      <c r="AD5">
        <v>4</v>
      </c>
      <c r="AE5">
        <v>4</v>
      </c>
    </row>
    <row r="6" spans="1:34" x14ac:dyDescent="0.2">
      <c r="A6" s="29"/>
      <c r="B6" s="32" t="s">
        <v>7</v>
      </c>
      <c r="E6" s="62">
        <f t="shared" ref="E6:O6" si="1">(((U$5*U$14)*U$10)*365)</f>
        <v>70392.85714285713</v>
      </c>
      <c r="F6" s="62">
        <f t="shared" si="1"/>
        <v>81303.75</v>
      </c>
      <c r="G6" s="62">
        <f t="shared" si="1"/>
        <v>93905.831250000003</v>
      </c>
      <c r="H6" s="62">
        <f t="shared" si="1"/>
        <v>108461.23509375</v>
      </c>
      <c r="I6" s="62">
        <f t="shared" si="1"/>
        <v>187909.0897999219</v>
      </c>
      <c r="J6" s="62">
        <f t="shared" si="1"/>
        <v>217034.99871890983</v>
      </c>
      <c r="K6" s="62">
        <f t="shared" si="1"/>
        <v>250675.42352034093</v>
      </c>
      <c r="L6" s="62">
        <f t="shared" si="1"/>
        <v>289530.11416599381</v>
      </c>
      <c r="M6" s="62">
        <f t="shared" si="1"/>
        <v>445876.37581563042</v>
      </c>
      <c r="N6" s="62">
        <f t="shared" si="1"/>
        <v>514987.21406705322</v>
      </c>
      <c r="O6" s="7">
        <f t="shared" si="1"/>
        <v>594810.23224744655</v>
      </c>
      <c r="P6" s="50"/>
      <c r="S6" t="s">
        <v>8</v>
      </c>
      <c r="U6" s="21">
        <v>0.6</v>
      </c>
      <c r="V6">
        <f t="shared" ref="V6:AE6" si="2">U6+$AH$6</f>
        <v>0.61249999999999993</v>
      </c>
      <c r="W6">
        <f t="shared" si="2"/>
        <v>0.62499999999999989</v>
      </c>
      <c r="X6">
        <f t="shared" si="2"/>
        <v>0.63749999999999984</v>
      </c>
      <c r="Y6">
        <f t="shared" si="2"/>
        <v>0.6499999999999998</v>
      </c>
      <c r="Z6">
        <f t="shared" si="2"/>
        <v>0.66249999999999976</v>
      </c>
      <c r="AA6">
        <f t="shared" si="2"/>
        <v>0.67499999999999971</v>
      </c>
      <c r="AB6">
        <f t="shared" si="2"/>
        <v>0.68749999999999967</v>
      </c>
      <c r="AC6">
        <f t="shared" si="2"/>
        <v>0.69999999999999962</v>
      </c>
      <c r="AD6">
        <f t="shared" si="2"/>
        <v>0.71249999999999958</v>
      </c>
      <c r="AE6">
        <f t="shared" si="2"/>
        <v>0.72499999999999953</v>
      </c>
      <c r="AH6">
        <v>1.2500000000000001E-2</v>
      </c>
    </row>
    <row r="7" spans="1:34" x14ac:dyDescent="0.2">
      <c r="A7" s="29"/>
      <c r="B7" s="32" t="s">
        <v>9</v>
      </c>
      <c r="E7" s="62">
        <f t="shared" ref="E7:O7" si="3">(((($U$7*U$5)*$U$4)*$U$6)*U$3)*365</f>
        <v>459900</v>
      </c>
      <c r="F7" s="62">
        <f t="shared" si="3"/>
        <v>473697.00000000006</v>
      </c>
      <c r="G7" s="62">
        <f t="shared" si="3"/>
        <v>487907.91000000003</v>
      </c>
      <c r="H7" s="62">
        <f t="shared" si="3"/>
        <v>502545.14730000007</v>
      </c>
      <c r="I7" s="62">
        <f t="shared" si="3"/>
        <v>776432.25257850008</v>
      </c>
      <c r="J7" s="62">
        <f t="shared" si="3"/>
        <v>799725.22015585506</v>
      </c>
      <c r="K7" s="62">
        <f t="shared" si="3"/>
        <v>823716.97676053084</v>
      </c>
      <c r="L7" s="62">
        <f t="shared" si="3"/>
        <v>848428.48606334673</v>
      </c>
      <c r="M7" s="62">
        <f t="shared" si="3"/>
        <v>1165175.1208603296</v>
      </c>
      <c r="N7" s="62">
        <f t="shared" si="3"/>
        <v>1200130.3744861395</v>
      </c>
      <c r="O7" s="7">
        <f t="shared" si="3"/>
        <v>1236134.2857207237</v>
      </c>
      <c r="P7" s="50"/>
      <c r="Q7">
        <v>0.02</v>
      </c>
      <c r="S7" t="s">
        <v>10</v>
      </c>
      <c r="U7">
        <v>5</v>
      </c>
    </row>
    <row r="8" spans="1:34" ht="25.5" x14ac:dyDescent="0.2">
      <c r="A8" s="29"/>
      <c r="B8" s="32" t="s">
        <v>11</v>
      </c>
      <c r="E8" s="62">
        <f t="shared" ref="E8:O8" si="4">(((U$5*U$8)*$U$9)*365)</f>
        <v>136875</v>
      </c>
      <c r="F8" s="62">
        <f t="shared" si="4"/>
        <v>171093.75</v>
      </c>
      <c r="G8" s="62">
        <f t="shared" si="4"/>
        <v>213867.1875</v>
      </c>
      <c r="H8" s="62">
        <f t="shared" si="4"/>
        <v>267333.984375</v>
      </c>
      <c r="I8" s="62">
        <f t="shared" si="4"/>
        <v>501251.220703125</v>
      </c>
      <c r="J8" s="62">
        <f t="shared" si="4"/>
        <v>626564.02587890625</v>
      </c>
      <c r="K8" s="62">
        <f t="shared" si="4"/>
        <v>783205.03234863281</v>
      </c>
      <c r="L8" s="62">
        <f t="shared" si="4"/>
        <v>979006.29043579102</v>
      </c>
      <c r="M8" s="62">
        <f t="shared" si="4"/>
        <v>1631677.1507263184</v>
      </c>
      <c r="N8" s="62">
        <f t="shared" si="4"/>
        <v>2039596.4384078979</v>
      </c>
      <c r="O8" s="7">
        <f t="shared" si="4"/>
        <v>2549495.5480098724</v>
      </c>
      <c r="P8" s="50"/>
      <c r="S8" t="s">
        <v>12</v>
      </c>
      <c r="U8" s="79">
        <v>1.5</v>
      </c>
      <c r="V8" s="79">
        <f t="shared" ref="V8:AE8" si="5">U8*(1+$AH$8)</f>
        <v>1.875</v>
      </c>
      <c r="W8" s="79">
        <f t="shared" si="5"/>
        <v>2.34375</v>
      </c>
      <c r="X8" s="79">
        <f t="shared" si="5"/>
        <v>2.9296875</v>
      </c>
      <c r="Y8" s="79">
        <f t="shared" si="5"/>
        <v>3.662109375</v>
      </c>
      <c r="Z8" s="79">
        <f t="shared" si="5"/>
        <v>4.57763671875</v>
      </c>
      <c r="AA8" s="79">
        <f t="shared" si="5"/>
        <v>5.7220458984375</v>
      </c>
      <c r="AB8" s="79">
        <f t="shared" si="5"/>
        <v>7.152557373046875</v>
      </c>
      <c r="AC8" s="79">
        <f t="shared" si="5"/>
        <v>8.9406967163085938</v>
      </c>
      <c r="AD8" s="79">
        <f t="shared" si="5"/>
        <v>11.175870895385742</v>
      </c>
      <c r="AE8" s="79">
        <f t="shared" si="5"/>
        <v>13.969838619232178</v>
      </c>
      <c r="AH8">
        <v>0.25</v>
      </c>
    </row>
    <row r="9" spans="1:34" x14ac:dyDescent="0.2">
      <c r="A9" s="29"/>
      <c r="B9" s="32"/>
      <c r="E9" s="62"/>
      <c r="F9" s="62"/>
      <c r="G9" s="62"/>
      <c r="H9" s="62"/>
      <c r="I9" s="62"/>
      <c r="J9" s="62"/>
      <c r="K9" s="62"/>
      <c r="L9" s="62"/>
      <c r="M9" s="62"/>
      <c r="N9" s="62"/>
      <c r="O9" s="7"/>
      <c r="P9" s="50"/>
      <c r="S9" t="s">
        <v>13</v>
      </c>
      <c r="U9" s="79">
        <v>125</v>
      </c>
      <c r="V9" s="79"/>
      <c r="W9" s="79"/>
      <c r="X9" s="79"/>
      <c r="Y9" s="79"/>
      <c r="Z9" s="79"/>
      <c r="AA9" s="79"/>
      <c r="AB9" s="79"/>
      <c r="AC9" s="79"/>
      <c r="AD9" s="79"/>
      <c r="AE9" s="79"/>
    </row>
    <row r="10" spans="1:34" x14ac:dyDescent="0.2">
      <c r="A10" s="29"/>
      <c r="B10" s="70" t="s">
        <v>14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7"/>
      <c r="P10" s="50"/>
      <c r="S10" t="s">
        <v>15</v>
      </c>
      <c r="U10" s="79">
        <v>225</v>
      </c>
      <c r="V10" s="79">
        <f t="shared" ref="V10:AE10" si="6">U10*(1+$AH10)</f>
        <v>236.25</v>
      </c>
      <c r="W10" s="79">
        <f t="shared" si="6"/>
        <v>248.0625</v>
      </c>
      <c r="X10" s="79">
        <f t="shared" si="6"/>
        <v>260.46562499999999</v>
      </c>
      <c r="Y10" s="79">
        <f t="shared" si="6"/>
        <v>273.48890625000001</v>
      </c>
      <c r="Z10" s="79">
        <f t="shared" si="6"/>
        <v>287.16335156250005</v>
      </c>
      <c r="AA10" s="79">
        <f t="shared" si="6"/>
        <v>301.52151914062506</v>
      </c>
      <c r="AB10" s="79">
        <f t="shared" si="6"/>
        <v>316.59759509765632</v>
      </c>
      <c r="AC10" s="79">
        <f t="shared" si="6"/>
        <v>332.42747485253915</v>
      </c>
      <c r="AD10" s="79">
        <f t="shared" si="6"/>
        <v>349.04884859516613</v>
      </c>
      <c r="AE10" s="79">
        <f t="shared" si="6"/>
        <v>366.50129102492446</v>
      </c>
      <c r="AH10">
        <v>0.05</v>
      </c>
    </row>
    <row r="11" spans="1:34" x14ac:dyDescent="0.2">
      <c r="A11" s="29"/>
      <c r="B11" s="32" t="s">
        <v>16</v>
      </c>
      <c r="E11" s="62">
        <f>U26*U5</f>
        <v>100000</v>
      </c>
      <c r="F11" s="62">
        <f t="shared" ref="F11:O11" si="7">(1+$Q$11)*E11</f>
        <v>104000</v>
      </c>
      <c r="G11" s="62">
        <f t="shared" si="7"/>
        <v>108160</v>
      </c>
      <c r="H11" s="62">
        <f t="shared" si="7"/>
        <v>112486.40000000001</v>
      </c>
      <c r="I11" s="62">
        <f t="shared" si="7"/>
        <v>116985.85600000001</v>
      </c>
      <c r="J11" s="62">
        <f t="shared" si="7"/>
        <v>121665.29024000002</v>
      </c>
      <c r="K11" s="62">
        <f t="shared" si="7"/>
        <v>126531.90184960002</v>
      </c>
      <c r="L11" s="62">
        <f t="shared" si="7"/>
        <v>131593.17792358404</v>
      </c>
      <c r="M11" s="62">
        <f t="shared" si="7"/>
        <v>136856.9050405274</v>
      </c>
      <c r="N11" s="62">
        <f t="shared" si="7"/>
        <v>142331.18124214851</v>
      </c>
      <c r="O11" s="7">
        <f t="shared" si="7"/>
        <v>148024.42849183446</v>
      </c>
      <c r="P11" s="50"/>
      <c r="Q11" s="21">
        <v>0.04</v>
      </c>
      <c r="S11" t="s">
        <v>17</v>
      </c>
      <c r="U11" s="79">
        <v>75000</v>
      </c>
      <c r="V11" s="79">
        <f t="shared" ref="V11:AE11" si="8">U11*(1+$AH$11)</f>
        <v>77250</v>
      </c>
      <c r="W11" s="79">
        <f t="shared" si="8"/>
        <v>79567.5</v>
      </c>
      <c r="X11" s="79">
        <f t="shared" si="8"/>
        <v>81954.525000000009</v>
      </c>
      <c r="Y11" s="79">
        <f t="shared" si="8"/>
        <v>84413.16075000001</v>
      </c>
      <c r="Z11" s="79">
        <f t="shared" si="8"/>
        <v>86945.555572500016</v>
      </c>
      <c r="AA11" s="79">
        <f t="shared" si="8"/>
        <v>89553.922239675012</v>
      </c>
      <c r="AB11" s="79">
        <f t="shared" si="8"/>
        <v>92240.539906865262</v>
      </c>
      <c r="AC11" s="79">
        <f t="shared" si="8"/>
        <v>95007.756104071217</v>
      </c>
      <c r="AD11" s="79">
        <f t="shared" si="8"/>
        <v>97857.988787193361</v>
      </c>
      <c r="AE11" s="79">
        <f t="shared" si="8"/>
        <v>100793.72845080917</v>
      </c>
      <c r="AH11">
        <v>0.03</v>
      </c>
    </row>
    <row r="12" spans="1:34" x14ac:dyDescent="0.2">
      <c r="A12" s="29"/>
      <c r="B12" s="32" t="s">
        <v>18</v>
      </c>
      <c r="E12" s="62">
        <v>120000</v>
      </c>
      <c r="F12" s="62">
        <f t="shared" ref="F12:O12" si="9">E12*(1+$Q$12)</f>
        <v>123600</v>
      </c>
      <c r="G12" s="62">
        <f t="shared" si="9"/>
        <v>127308</v>
      </c>
      <c r="H12" s="62">
        <f t="shared" si="9"/>
        <v>131127.24</v>
      </c>
      <c r="I12" s="62">
        <f t="shared" si="9"/>
        <v>135061.05719999998</v>
      </c>
      <c r="J12" s="62">
        <f t="shared" si="9"/>
        <v>139112.888916</v>
      </c>
      <c r="K12" s="62">
        <f t="shared" si="9"/>
        <v>143286.27558347999</v>
      </c>
      <c r="L12" s="62">
        <f t="shared" si="9"/>
        <v>147584.8638509844</v>
      </c>
      <c r="M12" s="62">
        <f t="shared" si="9"/>
        <v>152012.40976651394</v>
      </c>
      <c r="N12" s="62">
        <f t="shared" si="9"/>
        <v>156572.78205950937</v>
      </c>
      <c r="O12" s="7">
        <f t="shared" si="9"/>
        <v>161269.96552129465</v>
      </c>
      <c r="P12" s="50"/>
      <c r="Q12">
        <v>0.03</v>
      </c>
      <c r="S12" t="s">
        <v>19</v>
      </c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</row>
    <row r="13" spans="1:34" x14ac:dyDescent="0.2">
      <c r="A13" s="29"/>
      <c r="B13" s="32" t="s">
        <v>20</v>
      </c>
      <c r="E13" s="62">
        <f>U11*U13</f>
        <v>150000</v>
      </c>
      <c r="F13" s="62">
        <f>V11*V13</f>
        <v>154500</v>
      </c>
      <c r="G13" s="62">
        <f>W11*W13</f>
        <v>159135</v>
      </c>
      <c r="H13" s="62">
        <f>X11*X13</f>
        <v>163909.05000000002</v>
      </c>
      <c r="I13" s="62">
        <f>(H13*$Q$13)+H13</f>
        <v>168826.32150000002</v>
      </c>
      <c r="J13" s="62">
        <f t="shared" ref="J13:O13" si="10">Z11*Z13</f>
        <v>260836.66671750005</v>
      </c>
      <c r="K13" s="62">
        <f t="shared" si="10"/>
        <v>268661.76671902504</v>
      </c>
      <c r="L13" s="62">
        <f t="shared" si="10"/>
        <v>276721.61972059577</v>
      </c>
      <c r="M13" s="62">
        <f t="shared" si="10"/>
        <v>380031.02441628487</v>
      </c>
      <c r="N13" s="62">
        <f t="shared" si="10"/>
        <v>391431.95514877344</v>
      </c>
      <c r="O13" s="7">
        <f t="shared" si="10"/>
        <v>403174.91380323668</v>
      </c>
      <c r="P13" s="50"/>
      <c r="Q13" s="21">
        <v>0.03</v>
      </c>
      <c r="S13" t="s">
        <v>21</v>
      </c>
      <c r="U13" s="79">
        <f t="shared" ref="U13:AE13" si="11">U5</f>
        <v>2</v>
      </c>
      <c r="V13" s="79">
        <f t="shared" si="11"/>
        <v>2</v>
      </c>
      <c r="W13" s="79">
        <f t="shared" si="11"/>
        <v>2</v>
      </c>
      <c r="X13" s="79">
        <f t="shared" si="11"/>
        <v>2</v>
      </c>
      <c r="Y13" s="79">
        <f t="shared" si="11"/>
        <v>3</v>
      </c>
      <c r="Z13" s="79">
        <f t="shared" si="11"/>
        <v>3</v>
      </c>
      <c r="AA13" s="79">
        <f t="shared" si="11"/>
        <v>3</v>
      </c>
      <c r="AB13" s="79">
        <f t="shared" si="11"/>
        <v>3</v>
      </c>
      <c r="AC13" s="79">
        <f t="shared" si="11"/>
        <v>4</v>
      </c>
      <c r="AD13" s="79">
        <f t="shared" si="11"/>
        <v>4</v>
      </c>
      <c r="AE13" s="79">
        <f t="shared" si="11"/>
        <v>4</v>
      </c>
    </row>
    <row r="14" spans="1:34" ht="25.5" x14ac:dyDescent="0.2">
      <c r="A14" s="29"/>
      <c r="B14" s="32" t="s">
        <v>22</v>
      </c>
      <c r="E14" s="62">
        <f t="shared" ref="E14:O14" si="12">(((((($U$7*$U$18)+(U$8*$U$19))+($U$20*U$14))*$U$5)*365)/$U$22)*U$21</f>
        <v>384594.76428571419</v>
      </c>
      <c r="F14" s="62">
        <f t="shared" si="12"/>
        <v>417952.96734285721</v>
      </c>
      <c r="G14" s="62">
        <f t="shared" si="12"/>
        <v>457474.45986022864</v>
      </c>
      <c r="H14" s="62">
        <f t="shared" si="12"/>
        <v>504773.33763090149</v>
      </c>
      <c r="I14" s="62">
        <f t="shared" si="12"/>
        <v>561926.84766118333</v>
      </c>
      <c r="J14" s="62">
        <f t="shared" si="12"/>
        <v>631611.80824246316</v>
      </c>
      <c r="K14" s="62">
        <f t="shared" si="12"/>
        <v>717281.61179740378</v>
      </c>
      <c r="L14" s="62">
        <f t="shared" si="12"/>
        <v>823395.93672098126</v>
      </c>
      <c r="M14" s="62">
        <f t="shared" si="12"/>
        <v>955718.92533554928</v>
      </c>
      <c r="N14" s="62">
        <f t="shared" si="12"/>
        <v>1121706.3042453923</v>
      </c>
      <c r="O14" s="7">
        <f t="shared" si="12"/>
        <v>1331008.0571461332</v>
      </c>
      <c r="P14" s="50"/>
      <c r="S14" t="s">
        <v>23</v>
      </c>
      <c r="U14" s="79">
        <f>3/7</f>
        <v>0.42857142857142855</v>
      </c>
      <c r="V14" s="79">
        <f t="shared" ref="V14:AE14" si="13">U14*(1+$AH14)</f>
        <v>0.47142857142857142</v>
      </c>
      <c r="W14" s="79">
        <f t="shared" si="13"/>
        <v>0.51857142857142857</v>
      </c>
      <c r="X14" s="79">
        <f t="shared" si="13"/>
        <v>0.57042857142857151</v>
      </c>
      <c r="Y14" s="79">
        <f t="shared" si="13"/>
        <v>0.62747142857142868</v>
      </c>
      <c r="Z14" s="79">
        <f t="shared" si="13"/>
        <v>0.69021857142857157</v>
      </c>
      <c r="AA14" s="79">
        <f t="shared" si="13"/>
        <v>0.75924042857142882</v>
      </c>
      <c r="AB14" s="79">
        <f t="shared" si="13"/>
        <v>0.83516447142857175</v>
      </c>
      <c r="AC14" s="79">
        <f t="shared" si="13"/>
        <v>0.91868091857142897</v>
      </c>
      <c r="AD14" s="79">
        <f t="shared" si="13"/>
        <v>1.0105490104285719</v>
      </c>
      <c r="AE14" s="79">
        <f t="shared" si="13"/>
        <v>1.1116039114714291</v>
      </c>
      <c r="AH14">
        <v>0.1</v>
      </c>
    </row>
    <row r="15" spans="1:34" ht="25.5" x14ac:dyDescent="0.2">
      <c r="A15" s="29"/>
      <c r="B15" s="32" t="s">
        <v>24</v>
      </c>
      <c r="E15" s="62">
        <v>120000</v>
      </c>
      <c r="F15" s="62">
        <f>E15*(1+$Q15)</f>
        <v>126000</v>
      </c>
      <c r="G15" s="62">
        <f t="shared" ref="G15:O15" si="14">F15*(1+$Q$15)</f>
        <v>132300</v>
      </c>
      <c r="H15" s="62">
        <f t="shared" si="14"/>
        <v>138915</v>
      </c>
      <c r="I15" s="62">
        <f t="shared" si="14"/>
        <v>145860.75</v>
      </c>
      <c r="J15" s="62">
        <f t="shared" si="14"/>
        <v>153153.78750000001</v>
      </c>
      <c r="K15" s="62">
        <f t="shared" si="14"/>
        <v>160811.47687500002</v>
      </c>
      <c r="L15" s="62">
        <f t="shared" si="14"/>
        <v>168852.05071875002</v>
      </c>
      <c r="M15" s="62">
        <f t="shared" si="14"/>
        <v>177294.65325468752</v>
      </c>
      <c r="N15" s="62">
        <f t="shared" si="14"/>
        <v>186159.3859174219</v>
      </c>
      <c r="O15" s="7">
        <f t="shared" si="14"/>
        <v>195467.35521329299</v>
      </c>
      <c r="P15" s="50"/>
      <c r="Q15">
        <v>0.05</v>
      </c>
      <c r="S15" t="s">
        <v>25</v>
      </c>
      <c r="U15" s="79">
        <v>45</v>
      </c>
      <c r="V15" s="79">
        <f t="shared" ref="V15:AE15" si="15">(1+AH15)*U15</f>
        <v>46.35</v>
      </c>
      <c r="W15" s="79">
        <f t="shared" si="15"/>
        <v>46.35</v>
      </c>
      <c r="X15" s="79">
        <f t="shared" si="15"/>
        <v>46.35</v>
      </c>
      <c r="Y15" s="79">
        <f t="shared" si="15"/>
        <v>46.35</v>
      </c>
      <c r="Z15" s="79">
        <f t="shared" si="15"/>
        <v>46.35</v>
      </c>
      <c r="AA15" s="79">
        <f t="shared" si="15"/>
        <v>46.35</v>
      </c>
      <c r="AB15" s="79">
        <f t="shared" si="15"/>
        <v>46.35</v>
      </c>
      <c r="AC15" s="79">
        <f t="shared" si="15"/>
        <v>46.35</v>
      </c>
      <c r="AD15" s="79">
        <f t="shared" si="15"/>
        <v>46.35</v>
      </c>
      <c r="AE15" s="79">
        <f t="shared" si="15"/>
        <v>46.35</v>
      </c>
      <c r="AH15" s="21">
        <v>0.03</v>
      </c>
    </row>
    <row r="16" spans="1:34" ht="25.5" x14ac:dyDescent="0.2">
      <c r="A16" s="29"/>
      <c r="B16" s="32" t="s">
        <v>26</v>
      </c>
      <c r="E16" s="62">
        <v>50000</v>
      </c>
      <c r="F16" s="62">
        <v>50000</v>
      </c>
      <c r="G16" s="62">
        <v>50000</v>
      </c>
      <c r="H16" s="62">
        <v>50000</v>
      </c>
      <c r="I16" s="62">
        <v>50000</v>
      </c>
      <c r="J16" s="62">
        <v>50000</v>
      </c>
      <c r="K16" s="62">
        <v>50000</v>
      </c>
      <c r="L16" s="62">
        <v>50000</v>
      </c>
      <c r="M16" s="62">
        <v>50000</v>
      </c>
      <c r="N16" s="62">
        <v>50000</v>
      </c>
      <c r="O16" s="7">
        <v>50000</v>
      </c>
      <c r="P16" s="50"/>
      <c r="S16" t="s">
        <v>27</v>
      </c>
      <c r="U16" s="79">
        <v>2</v>
      </c>
      <c r="V16" s="79">
        <v>2</v>
      </c>
      <c r="W16" s="79">
        <v>2</v>
      </c>
      <c r="X16" s="79">
        <v>2</v>
      </c>
      <c r="Y16" s="79">
        <v>3</v>
      </c>
      <c r="Z16" s="79">
        <v>3</v>
      </c>
      <c r="AA16" s="79">
        <v>3</v>
      </c>
      <c r="AB16" s="79">
        <v>3</v>
      </c>
      <c r="AC16" s="79">
        <v>4</v>
      </c>
      <c r="AD16" s="79">
        <v>4</v>
      </c>
      <c r="AE16" s="79">
        <v>4</v>
      </c>
    </row>
    <row r="17" spans="1:34" ht="25.5" x14ac:dyDescent="0.2">
      <c r="A17" s="29"/>
      <c r="B17" s="32" t="s">
        <v>28</v>
      </c>
      <c r="E17" s="62">
        <f t="shared" ref="E17:O17" si="16">U16*U17</f>
        <v>8000</v>
      </c>
      <c r="F17" s="62">
        <f t="shared" si="16"/>
        <v>8320</v>
      </c>
      <c r="G17" s="62">
        <f t="shared" si="16"/>
        <v>8652.8000000000011</v>
      </c>
      <c r="H17" s="62">
        <f t="shared" si="16"/>
        <v>8998.9120000000021</v>
      </c>
      <c r="I17" s="62">
        <f t="shared" si="16"/>
        <v>14038.302720000003</v>
      </c>
      <c r="J17" s="62">
        <f t="shared" si="16"/>
        <v>14599.834828800005</v>
      </c>
      <c r="K17" s="62">
        <f t="shared" si="16"/>
        <v>15183.828221952004</v>
      </c>
      <c r="L17" s="62">
        <f t="shared" si="16"/>
        <v>15791.181350830084</v>
      </c>
      <c r="M17" s="62">
        <f t="shared" si="16"/>
        <v>21897.104806484385</v>
      </c>
      <c r="N17" s="62">
        <f t="shared" si="16"/>
        <v>22772.98899874376</v>
      </c>
      <c r="O17" s="7">
        <f t="shared" si="16"/>
        <v>23683.908558693511</v>
      </c>
      <c r="P17" s="50"/>
      <c r="Q17" s="21">
        <v>0.04</v>
      </c>
      <c r="S17" t="s">
        <v>29</v>
      </c>
      <c r="U17" s="62">
        <v>4000</v>
      </c>
      <c r="V17" s="62">
        <f t="shared" ref="V17:AE17" si="17">U17*(1+$Q17)</f>
        <v>4160</v>
      </c>
      <c r="W17" s="62">
        <f t="shared" si="17"/>
        <v>4326.4000000000005</v>
      </c>
      <c r="X17" s="62">
        <f t="shared" si="17"/>
        <v>4499.456000000001</v>
      </c>
      <c r="Y17" s="62">
        <f t="shared" si="17"/>
        <v>4679.4342400000014</v>
      </c>
      <c r="Z17" s="62">
        <f t="shared" si="17"/>
        <v>4866.6116096000014</v>
      </c>
      <c r="AA17" s="62">
        <f t="shared" si="17"/>
        <v>5061.2760739840014</v>
      </c>
      <c r="AB17" s="62">
        <f t="shared" si="17"/>
        <v>5263.7271169433616</v>
      </c>
      <c r="AC17" s="62">
        <f t="shared" si="17"/>
        <v>5474.2762016210963</v>
      </c>
      <c r="AD17" s="62">
        <f t="shared" si="17"/>
        <v>5693.24724968594</v>
      </c>
      <c r="AE17" s="62">
        <f t="shared" si="17"/>
        <v>5920.9771396733777</v>
      </c>
    </row>
    <row r="18" spans="1:34" ht="25.5" x14ac:dyDescent="0.2">
      <c r="A18" s="29"/>
      <c r="B18" s="32" t="s">
        <v>30</v>
      </c>
      <c r="E18" s="62">
        <v>2500</v>
      </c>
      <c r="F18" s="62">
        <f t="shared" ref="F18:O18" si="18">V23</f>
        <v>1515</v>
      </c>
      <c r="G18" s="62">
        <f t="shared" si="18"/>
        <v>1530.15</v>
      </c>
      <c r="H18" s="62">
        <f t="shared" si="18"/>
        <v>1545.4515000000001</v>
      </c>
      <c r="I18" s="62">
        <f t="shared" si="18"/>
        <v>1560.9060150000003</v>
      </c>
      <c r="J18" s="62">
        <f t="shared" si="18"/>
        <v>1576.5150751500003</v>
      </c>
      <c r="K18" s="62">
        <f t="shared" si="18"/>
        <v>1592.2802259015002</v>
      </c>
      <c r="L18" s="62">
        <f t="shared" si="18"/>
        <v>1608.2030281605153</v>
      </c>
      <c r="M18" s="62">
        <f t="shared" si="18"/>
        <v>1624.2850584421203</v>
      </c>
      <c r="N18" s="62">
        <f t="shared" si="18"/>
        <v>1640.5279090265415</v>
      </c>
      <c r="O18" s="7">
        <f t="shared" si="18"/>
        <v>1656.9331881168068</v>
      </c>
      <c r="P18" s="50"/>
      <c r="S18" t="s">
        <v>31</v>
      </c>
      <c r="U18">
        <v>40</v>
      </c>
    </row>
    <row r="19" spans="1:34" ht="25.5" x14ac:dyDescent="0.2">
      <c r="A19" s="29"/>
      <c r="B19" s="32" t="s">
        <v>32</v>
      </c>
      <c r="E19" s="62">
        <v>1000</v>
      </c>
      <c r="F19" s="62">
        <f t="shared" ref="F19:O19" si="19">E19*(1+$Q$19)</f>
        <v>1050</v>
      </c>
      <c r="G19" s="62">
        <f t="shared" si="19"/>
        <v>1102.5</v>
      </c>
      <c r="H19" s="62">
        <f t="shared" si="19"/>
        <v>1157.625</v>
      </c>
      <c r="I19" s="62">
        <f t="shared" si="19"/>
        <v>1215.5062500000001</v>
      </c>
      <c r="J19" s="62">
        <f t="shared" si="19"/>
        <v>1276.2815625000003</v>
      </c>
      <c r="K19" s="62">
        <f t="shared" si="19"/>
        <v>1340.0956406250004</v>
      </c>
      <c r="L19" s="62">
        <f t="shared" si="19"/>
        <v>1407.1004226562504</v>
      </c>
      <c r="M19" s="62">
        <f t="shared" si="19"/>
        <v>1477.4554437890631</v>
      </c>
      <c r="N19" s="62">
        <f t="shared" si="19"/>
        <v>1551.3282159785163</v>
      </c>
      <c r="O19" s="7">
        <f t="shared" si="19"/>
        <v>1628.8946267774422</v>
      </c>
      <c r="P19" s="50"/>
      <c r="Q19">
        <v>0.05</v>
      </c>
      <c r="S19" t="s">
        <v>33</v>
      </c>
      <c r="U19">
        <v>25</v>
      </c>
    </row>
    <row r="20" spans="1:34" ht="25.5" x14ac:dyDescent="0.2">
      <c r="A20" s="29"/>
      <c r="B20" s="32" t="s">
        <v>34</v>
      </c>
      <c r="E20" s="62">
        <v>4000</v>
      </c>
      <c r="F20" s="62">
        <f>E20*(1+$Q$20)</f>
        <v>3719.9999999999995</v>
      </c>
      <c r="G20" s="62">
        <f>F20*(1+$Q$20)</f>
        <v>3459.5999999999995</v>
      </c>
      <c r="H20" s="62">
        <f>G20*(1+$Q$20)</f>
        <v>3217.4279999999994</v>
      </c>
      <c r="I20" s="62">
        <f t="shared" ref="I20:O20" si="20">H20*(1+$R$20)</f>
        <v>3346.1251199999997</v>
      </c>
      <c r="J20" s="62">
        <f t="shared" si="20"/>
        <v>3479.9701247999997</v>
      </c>
      <c r="K20" s="62">
        <f t="shared" si="20"/>
        <v>3619.1689297919997</v>
      </c>
      <c r="L20" s="62">
        <f t="shared" si="20"/>
        <v>3763.9356869836797</v>
      </c>
      <c r="M20" s="62">
        <f t="shared" si="20"/>
        <v>3914.4931144630268</v>
      </c>
      <c r="N20" s="62">
        <f t="shared" si="20"/>
        <v>4071.0728390415479</v>
      </c>
      <c r="O20" s="7">
        <f t="shared" si="20"/>
        <v>4233.9157526032104</v>
      </c>
      <c r="P20" s="50"/>
      <c r="Q20">
        <v>-7.0000000000000007E-2</v>
      </c>
      <c r="R20">
        <v>0.04</v>
      </c>
      <c r="S20" t="s">
        <v>35</v>
      </c>
      <c r="U20">
        <v>55</v>
      </c>
    </row>
    <row r="21" spans="1:34" x14ac:dyDescent="0.2">
      <c r="A21" s="29"/>
      <c r="B21" s="3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7"/>
      <c r="P21" s="50"/>
      <c r="S21" t="s">
        <v>36</v>
      </c>
      <c r="U21" s="79">
        <v>10.09</v>
      </c>
      <c r="V21" s="79">
        <f t="shared" ref="V21:AE21" si="21">U21*(1+$AH$21)</f>
        <v>10.493600000000001</v>
      </c>
      <c r="W21" s="79">
        <f t="shared" si="21"/>
        <v>10.913344</v>
      </c>
      <c r="X21" s="79">
        <f t="shared" si="21"/>
        <v>11.34987776</v>
      </c>
      <c r="Y21" s="79">
        <f t="shared" si="21"/>
        <v>11.803872870400001</v>
      </c>
      <c r="Z21" s="79">
        <f t="shared" si="21"/>
        <v>12.276027785216002</v>
      </c>
      <c r="AA21" s="79">
        <f t="shared" si="21"/>
        <v>12.767068896624641</v>
      </c>
      <c r="AB21" s="79">
        <f t="shared" si="21"/>
        <v>13.277751652489627</v>
      </c>
      <c r="AC21" s="79">
        <f t="shared" si="21"/>
        <v>13.808861718589213</v>
      </c>
      <c r="AD21" s="79">
        <f t="shared" si="21"/>
        <v>14.361216187332783</v>
      </c>
      <c r="AE21" s="79">
        <f t="shared" si="21"/>
        <v>14.935664834826095</v>
      </c>
      <c r="AH21" s="21">
        <v>0.04</v>
      </c>
    </row>
    <row r="22" spans="1:34" x14ac:dyDescent="0.2">
      <c r="A22" s="29"/>
      <c r="B22" s="32" t="s">
        <v>37</v>
      </c>
      <c r="E22" s="62">
        <f t="shared" ref="E22:O22" si="22">($U$43*U5)/$U$24</f>
        <v>53333.333333333336</v>
      </c>
      <c r="F22" s="62">
        <f t="shared" si="22"/>
        <v>53333.333333333336</v>
      </c>
      <c r="G22" s="62">
        <f t="shared" si="22"/>
        <v>53333.333333333336</v>
      </c>
      <c r="H22" s="62">
        <f t="shared" si="22"/>
        <v>53333.333333333336</v>
      </c>
      <c r="I22" s="62">
        <f t="shared" si="22"/>
        <v>80000</v>
      </c>
      <c r="J22" s="62">
        <f t="shared" si="22"/>
        <v>80000</v>
      </c>
      <c r="K22" s="62">
        <f t="shared" si="22"/>
        <v>80000</v>
      </c>
      <c r="L22" s="62">
        <f t="shared" si="22"/>
        <v>80000</v>
      </c>
      <c r="M22" s="62">
        <f t="shared" si="22"/>
        <v>106666.66666666667</v>
      </c>
      <c r="N22" s="62">
        <f t="shared" si="22"/>
        <v>106666.66666666667</v>
      </c>
      <c r="O22" s="7">
        <f t="shared" si="22"/>
        <v>106666.66666666667</v>
      </c>
      <c r="P22" s="50"/>
      <c r="S22" t="s">
        <v>38</v>
      </c>
      <c r="U22" s="79">
        <v>5</v>
      </c>
      <c r="V22" s="79"/>
      <c r="W22" s="79"/>
      <c r="X22" s="79"/>
      <c r="Y22" s="79"/>
      <c r="Z22" s="79"/>
      <c r="AA22" s="79"/>
      <c r="AB22" s="79"/>
      <c r="AC22" s="79"/>
      <c r="AD22" s="79"/>
      <c r="AE22" s="79"/>
    </row>
    <row r="23" spans="1:34" x14ac:dyDescent="0.2">
      <c r="A23" s="29"/>
      <c r="B23" s="32" t="s">
        <v>39</v>
      </c>
      <c r="E23" s="62">
        <f>SUM('Helicopter Secure Loan'!C8:C19)</f>
        <v>49962.143869418149</v>
      </c>
      <c r="F23" s="62">
        <f>SUM('Helicopter Secure Loan'!C20:C31)</f>
        <v>40628.543874136747</v>
      </c>
      <c r="G23" s="62">
        <f>SUM('Helicopter Secure Loan'!C32:C43)</f>
        <v>30419.387819196076</v>
      </c>
      <c r="H23" s="62">
        <f>SUM('Helicopter Secure Loan'!C44:C55)</f>
        <v>19252.5425069025</v>
      </c>
      <c r="I23" s="62">
        <f>SUM('Helicopter Secure Loan'!C56:C67)+SUM('Helicopter Secure Loan'!J8:J19)</f>
        <v>32019.242013799976</v>
      </c>
      <c r="J23" s="62">
        <f>SUM('Helicopter Secure Loan'!J20:J31)</f>
        <v>20314.271937068374</v>
      </c>
      <c r="K23" s="62">
        <f>SUM('Helicopter Secure Loan'!J32:J43)</f>
        <v>15209.693909598038</v>
      </c>
      <c r="L23" s="62">
        <f>SUM('Helicopter Secure Loan'!J44:J55)</f>
        <v>9626.2712534512502</v>
      </c>
      <c r="M23" s="62">
        <f>SUM('Helicopter Secure Loan'!J56:J67)</f>
        <v>3519.0850395454509</v>
      </c>
      <c r="N23" s="62">
        <f>SUM('Helicopter Secure Loan'!C92:C103)</f>
        <v>0</v>
      </c>
      <c r="O23" s="7">
        <f>SUM('Helicopter Secure Loan'!C110:C121)</f>
        <v>0</v>
      </c>
      <c r="P23" s="50"/>
      <c r="S23" t="s">
        <v>40</v>
      </c>
      <c r="U23" s="79">
        <v>1500</v>
      </c>
      <c r="V23" s="79">
        <f t="shared" ref="V23:AE23" si="23">U23*(1+$AH$23)</f>
        <v>1515</v>
      </c>
      <c r="W23" s="79">
        <f t="shared" si="23"/>
        <v>1530.15</v>
      </c>
      <c r="X23" s="79">
        <f t="shared" si="23"/>
        <v>1545.4515000000001</v>
      </c>
      <c r="Y23" s="79">
        <f t="shared" si="23"/>
        <v>1560.9060150000003</v>
      </c>
      <c r="Z23" s="79">
        <f t="shared" si="23"/>
        <v>1576.5150751500003</v>
      </c>
      <c r="AA23" s="79">
        <f t="shared" si="23"/>
        <v>1592.2802259015002</v>
      </c>
      <c r="AB23" s="79">
        <f t="shared" si="23"/>
        <v>1608.2030281605153</v>
      </c>
      <c r="AC23" s="79">
        <f t="shared" si="23"/>
        <v>1624.2850584421203</v>
      </c>
      <c r="AD23" s="79">
        <f t="shared" si="23"/>
        <v>1640.5279090265415</v>
      </c>
      <c r="AE23" s="79">
        <f t="shared" si="23"/>
        <v>1656.9331881168068</v>
      </c>
      <c r="AH23" s="21">
        <v>0.01</v>
      </c>
    </row>
    <row r="24" spans="1:34" ht="25.5" x14ac:dyDescent="0.2">
      <c r="A24" s="29"/>
      <c r="B24" s="32" t="s">
        <v>41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7"/>
      <c r="P24" s="50"/>
      <c r="S24" t="s">
        <v>42</v>
      </c>
      <c r="U24">
        <v>15</v>
      </c>
    </row>
    <row r="25" spans="1:34" ht="21" customHeight="1" x14ac:dyDescent="0.2">
      <c r="A25" s="29"/>
      <c r="B25" s="3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7"/>
      <c r="P25" s="50"/>
      <c r="S25" t="s">
        <v>43</v>
      </c>
      <c r="U25">
        <v>75000</v>
      </c>
    </row>
    <row r="26" spans="1:34" ht="6.75" customHeight="1" x14ac:dyDescent="0.2">
      <c r="A26" s="29"/>
      <c r="B26" s="32" t="s">
        <v>44</v>
      </c>
      <c r="E26" s="62">
        <f t="shared" ref="E26:O26" si="24">SUM(E6:E8)-SUM(E11:E24)</f>
        <v>-376222.38434560853</v>
      </c>
      <c r="F26" s="62">
        <f t="shared" si="24"/>
        <v>-358525.3445503274</v>
      </c>
      <c r="G26" s="62">
        <f t="shared" si="24"/>
        <v>-337194.30226275802</v>
      </c>
      <c r="H26" s="62">
        <f t="shared" si="24"/>
        <v>-310375.95320238709</v>
      </c>
      <c r="I26" s="62">
        <f t="shared" si="24"/>
        <v>154751.64860156341</v>
      </c>
      <c r="J26" s="62">
        <f t="shared" si="24"/>
        <v>165696.92960938951</v>
      </c>
      <c r="K26" s="62">
        <f t="shared" si="24"/>
        <v>274079.33287712722</v>
      </c>
      <c r="L26" s="62">
        <f t="shared" si="24"/>
        <v>406620.54998815432</v>
      </c>
      <c r="M26" s="62">
        <f t="shared" si="24"/>
        <v>1251715.6394593243</v>
      </c>
      <c r="N26" s="62">
        <f t="shared" si="24"/>
        <v>1569809.8337183883</v>
      </c>
      <c r="O26" s="7">
        <f t="shared" si="24"/>
        <v>1953625.0270093931</v>
      </c>
      <c r="P26" s="50"/>
      <c r="Q26" s="21"/>
      <c r="S26" t="s">
        <v>45</v>
      </c>
      <c r="U26">
        <v>50000</v>
      </c>
    </row>
    <row r="27" spans="1:34" x14ac:dyDescent="0.2">
      <c r="A27" s="29"/>
      <c r="B27" s="32" t="s">
        <v>46</v>
      </c>
      <c r="E27" s="2">
        <f t="shared" ref="E27:O27" si="25">IF((E26&lt;0),0,(E26*$Q$27))</f>
        <v>0</v>
      </c>
      <c r="F27" s="2">
        <f t="shared" si="25"/>
        <v>0</v>
      </c>
      <c r="G27" s="2">
        <f t="shared" si="25"/>
        <v>0</v>
      </c>
      <c r="H27" s="2">
        <f t="shared" si="25"/>
        <v>0</v>
      </c>
      <c r="I27" s="2">
        <f t="shared" si="25"/>
        <v>54163.077010547189</v>
      </c>
      <c r="J27" s="2">
        <f t="shared" si="25"/>
        <v>57993.925363286326</v>
      </c>
      <c r="K27" s="2">
        <f t="shared" si="25"/>
        <v>95927.766506994521</v>
      </c>
      <c r="L27" s="2">
        <f t="shared" si="25"/>
        <v>142317.19249585399</v>
      </c>
      <c r="M27" s="2">
        <f t="shared" si="25"/>
        <v>438100.47381076351</v>
      </c>
      <c r="N27" s="2">
        <f t="shared" si="25"/>
        <v>549433.4418014359</v>
      </c>
      <c r="O27" s="3">
        <f t="shared" si="25"/>
        <v>683768.75945328758</v>
      </c>
      <c r="P27" s="50"/>
      <c r="Q27" s="21">
        <v>0.35</v>
      </c>
    </row>
    <row r="28" spans="1:34" x14ac:dyDescent="0.2">
      <c r="A28" s="29"/>
      <c r="B28" s="48" t="s">
        <v>47</v>
      </c>
      <c r="C28" s="9"/>
      <c r="D28" s="9"/>
      <c r="E28" s="44">
        <f t="shared" ref="E28:O28" si="26">E26-E27</f>
        <v>-376222.38434560853</v>
      </c>
      <c r="F28" s="44">
        <f t="shared" si="26"/>
        <v>-358525.3445503274</v>
      </c>
      <c r="G28" s="44">
        <f t="shared" si="26"/>
        <v>-337194.30226275802</v>
      </c>
      <c r="H28" s="44">
        <f t="shared" si="26"/>
        <v>-310375.95320238709</v>
      </c>
      <c r="I28" s="44">
        <f t="shared" si="26"/>
        <v>100588.57159101623</v>
      </c>
      <c r="J28" s="44">
        <f t="shared" si="26"/>
        <v>107703.00424610318</v>
      </c>
      <c r="K28" s="44">
        <f t="shared" si="26"/>
        <v>178151.5663701327</v>
      </c>
      <c r="L28" s="44">
        <f t="shared" si="26"/>
        <v>264303.35749230033</v>
      </c>
      <c r="M28" s="44">
        <f t="shared" si="26"/>
        <v>813615.16564856074</v>
      </c>
      <c r="N28" s="44">
        <f t="shared" si="26"/>
        <v>1020376.3919169524</v>
      </c>
      <c r="O28" s="28">
        <f t="shared" si="26"/>
        <v>1269856.2675561055</v>
      </c>
      <c r="P28" s="50"/>
    </row>
    <row r="29" spans="1:34" x14ac:dyDescent="0.2">
      <c r="B29" s="6"/>
      <c r="C29" s="6"/>
      <c r="D29" s="6"/>
      <c r="E29" s="6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43"/>
      <c r="Q29" s="43"/>
      <c r="R29" s="43"/>
      <c r="S29" s="43"/>
    </row>
    <row r="30" spans="1:34" x14ac:dyDescent="0.2">
      <c r="A30" s="77"/>
      <c r="B30" s="61" t="s">
        <v>48</v>
      </c>
      <c r="C30" s="68"/>
      <c r="D30" s="68"/>
      <c r="E30" s="68">
        <v>1.24</v>
      </c>
      <c r="F30" s="68">
        <v>1.24</v>
      </c>
      <c r="G30" s="68">
        <v>1.24</v>
      </c>
      <c r="H30" s="68">
        <v>1.24</v>
      </c>
      <c r="I30" s="68">
        <v>1.24</v>
      </c>
      <c r="J30" s="68">
        <v>1.24</v>
      </c>
      <c r="K30" s="68">
        <v>1.24</v>
      </c>
      <c r="L30" s="68">
        <v>1.24</v>
      </c>
      <c r="M30" s="68">
        <v>0.9</v>
      </c>
      <c r="N30" s="68">
        <v>0.9</v>
      </c>
      <c r="O30" s="10">
        <v>0.9</v>
      </c>
      <c r="P30" s="20"/>
      <c r="Q30" s="68"/>
      <c r="R30" s="68"/>
      <c r="S30" s="68"/>
    </row>
    <row r="31" spans="1:34" x14ac:dyDescent="0.2">
      <c r="A31" s="77"/>
      <c r="B31" s="67" t="s">
        <v>49</v>
      </c>
      <c r="E31" s="21">
        <v>0.09</v>
      </c>
      <c r="F31" s="21">
        <v>0.09</v>
      </c>
      <c r="G31" s="21">
        <v>0.09</v>
      </c>
      <c r="H31" s="21">
        <v>0.09</v>
      </c>
      <c r="I31" s="21">
        <v>0.09</v>
      </c>
      <c r="J31" s="21">
        <v>0.09</v>
      </c>
      <c r="K31" s="21">
        <v>0.09</v>
      </c>
      <c r="L31" s="21">
        <v>0.09</v>
      </c>
      <c r="M31" s="21">
        <v>0.09</v>
      </c>
      <c r="N31" s="21">
        <v>0.09</v>
      </c>
      <c r="O31" s="4">
        <v>0.09</v>
      </c>
      <c r="P31" s="71"/>
    </row>
    <row r="32" spans="1:34" x14ac:dyDescent="0.2">
      <c r="A32" s="77"/>
      <c r="B32" s="67" t="s">
        <v>50</v>
      </c>
      <c r="E32" s="21">
        <v>0.02</v>
      </c>
      <c r="F32" s="21">
        <v>0.02</v>
      </c>
      <c r="G32" s="21">
        <v>0.02</v>
      </c>
      <c r="H32" s="21">
        <v>0.02</v>
      </c>
      <c r="I32" s="21">
        <v>0.02</v>
      </c>
      <c r="J32" s="21">
        <v>0.02</v>
      </c>
      <c r="K32" s="21">
        <v>0.02</v>
      </c>
      <c r="L32" s="21">
        <v>0.02</v>
      </c>
      <c r="M32" s="21">
        <v>0.02</v>
      </c>
      <c r="N32" s="21">
        <v>0.02</v>
      </c>
      <c r="O32" s="4">
        <v>0.02</v>
      </c>
      <c r="P32" s="71"/>
    </row>
    <row r="33" spans="1:21" ht="25.5" x14ac:dyDescent="0.2">
      <c r="A33" s="77"/>
      <c r="B33" s="67" t="s">
        <v>51</v>
      </c>
      <c r="E33" s="21">
        <f t="shared" ref="E33:O33" si="27">E32+(E30*(E31-E32))</f>
        <v>0.10679999999999999</v>
      </c>
      <c r="F33" s="21">
        <f t="shared" si="27"/>
        <v>0.10679999999999999</v>
      </c>
      <c r="G33" s="21">
        <f t="shared" si="27"/>
        <v>0.10679999999999999</v>
      </c>
      <c r="H33" s="21">
        <f t="shared" si="27"/>
        <v>0.10679999999999999</v>
      </c>
      <c r="I33" s="21">
        <f t="shared" si="27"/>
        <v>0.10679999999999999</v>
      </c>
      <c r="J33" s="21">
        <f t="shared" si="27"/>
        <v>0.10679999999999999</v>
      </c>
      <c r="K33" s="21">
        <f t="shared" si="27"/>
        <v>0.10679999999999999</v>
      </c>
      <c r="L33" s="21">
        <f t="shared" si="27"/>
        <v>0.10679999999999999</v>
      </c>
      <c r="M33" s="21">
        <f t="shared" si="27"/>
        <v>8.3000000000000004E-2</v>
      </c>
      <c r="N33" s="21">
        <f t="shared" si="27"/>
        <v>8.3000000000000004E-2</v>
      </c>
      <c r="O33" s="4">
        <f t="shared" si="27"/>
        <v>8.3000000000000004E-2</v>
      </c>
      <c r="P33" s="71"/>
    </row>
    <row r="34" spans="1:21" x14ac:dyDescent="0.2">
      <c r="A34" s="77"/>
      <c r="B34" s="67" t="s">
        <v>52</v>
      </c>
      <c r="E34" s="21">
        <f>'Helicopter Secure Loan'!$C$3</f>
        <v>0.09</v>
      </c>
      <c r="F34" s="21">
        <f>'Helicopter Secure Loan'!$C$3</f>
        <v>0.09</v>
      </c>
      <c r="G34" s="21">
        <f>'Helicopter Secure Loan'!$C$3</f>
        <v>0.09</v>
      </c>
      <c r="H34" s="21">
        <f>'Helicopter Secure Loan'!$C$3</f>
        <v>0.09</v>
      </c>
      <c r="I34" s="21">
        <f>'Helicopter Secure Loan'!$C$3</f>
        <v>0.09</v>
      </c>
      <c r="J34" s="21">
        <f>'Helicopter Secure Loan'!$C$3</f>
        <v>0.09</v>
      </c>
      <c r="K34" s="21">
        <f>'Helicopter Secure Loan'!$C$3</f>
        <v>0.09</v>
      </c>
      <c r="L34" s="21">
        <f>'Helicopter Secure Loan'!$C$3</f>
        <v>0.09</v>
      </c>
      <c r="M34" s="21">
        <f>'Helicopter Secure Loan'!$C$3</f>
        <v>0.09</v>
      </c>
      <c r="N34" s="21">
        <f>'Helicopter Secure Loan'!$C$3</f>
        <v>0.09</v>
      </c>
      <c r="O34" s="4">
        <f>'Helicopter Secure Loan'!$C$3</f>
        <v>0.09</v>
      </c>
      <c r="P34" s="71"/>
    </row>
    <row r="35" spans="1:21" x14ac:dyDescent="0.2">
      <c r="A35" s="77"/>
      <c r="B35" s="67" t="s">
        <v>53</v>
      </c>
      <c r="E35" s="62">
        <f>'Balance Sheet'!C18</f>
        <v>500501.98623966932</v>
      </c>
      <c r="F35" s="62">
        <f>'Balance Sheet'!D18</f>
        <v>391670.37248405721</v>
      </c>
      <c r="G35" s="62">
        <f>'Balance Sheet'!E18</f>
        <v>272629.60267350433</v>
      </c>
      <c r="H35" s="62">
        <f>'Balance Sheet'!F18</f>
        <v>142421.98755065797</v>
      </c>
      <c r="I35" s="62">
        <f>'Balance Sheet'!G18</f>
        <v>250250.99311983466</v>
      </c>
      <c r="J35" s="62">
        <f>'Balance Sheet'!H18</f>
        <v>195835.18624202861</v>
      </c>
      <c r="K35" s="62">
        <f>'Balance Sheet'!I18</f>
        <v>136314.80133675216</v>
      </c>
      <c r="L35" s="62">
        <f>'Balance Sheet'!J18</f>
        <v>71210.993775328985</v>
      </c>
      <c r="M35" s="62">
        <f>'Balance Sheet'!K18</f>
        <v>250250.99311983466</v>
      </c>
      <c r="N35" s="62">
        <f>'Balance Sheet'!L18</f>
        <v>195835.18624202861</v>
      </c>
      <c r="O35" s="76">
        <f>'Balance Sheet'!M18</f>
        <v>136314.80133675216</v>
      </c>
      <c r="P35" s="71"/>
    </row>
    <row r="36" spans="1:21" ht="25.5" x14ac:dyDescent="0.2">
      <c r="A36" s="77"/>
      <c r="B36" s="67" t="s">
        <v>54</v>
      </c>
      <c r="E36" s="21">
        <f t="shared" ref="E36:O36" si="28">$E$34</f>
        <v>0.09</v>
      </c>
      <c r="F36" s="21">
        <f t="shared" si="28"/>
        <v>0.09</v>
      </c>
      <c r="G36" s="21">
        <f t="shared" si="28"/>
        <v>0.09</v>
      </c>
      <c r="H36" s="21">
        <f t="shared" si="28"/>
        <v>0.09</v>
      </c>
      <c r="I36" s="21">
        <f t="shared" si="28"/>
        <v>0.09</v>
      </c>
      <c r="J36" s="21">
        <f t="shared" si="28"/>
        <v>0.09</v>
      </c>
      <c r="K36" s="21">
        <f t="shared" si="28"/>
        <v>0.09</v>
      </c>
      <c r="L36" s="21">
        <f t="shared" si="28"/>
        <v>0.09</v>
      </c>
      <c r="M36" s="21">
        <f t="shared" si="28"/>
        <v>0.09</v>
      </c>
      <c r="N36" s="21">
        <f t="shared" si="28"/>
        <v>0.09</v>
      </c>
      <c r="O36" s="4">
        <f t="shared" si="28"/>
        <v>0.09</v>
      </c>
      <c r="P36" s="71"/>
    </row>
    <row r="37" spans="1:21" x14ac:dyDescent="0.2">
      <c r="A37" s="77"/>
      <c r="B37" s="67" t="s">
        <v>55</v>
      </c>
      <c r="E37" s="21">
        <f t="shared" ref="E37:O37" si="29">$Q$27</f>
        <v>0.35</v>
      </c>
      <c r="F37" s="21">
        <f t="shared" si="29"/>
        <v>0.35</v>
      </c>
      <c r="G37" s="21">
        <f t="shared" si="29"/>
        <v>0.35</v>
      </c>
      <c r="H37" s="21">
        <f t="shared" si="29"/>
        <v>0.35</v>
      </c>
      <c r="I37" s="21">
        <f t="shared" si="29"/>
        <v>0.35</v>
      </c>
      <c r="J37" s="21">
        <f t="shared" si="29"/>
        <v>0.35</v>
      </c>
      <c r="K37" s="21">
        <f t="shared" si="29"/>
        <v>0.35</v>
      </c>
      <c r="L37" s="21">
        <f t="shared" si="29"/>
        <v>0.35</v>
      </c>
      <c r="M37" s="21">
        <f t="shared" si="29"/>
        <v>0.35</v>
      </c>
      <c r="N37" s="21">
        <f t="shared" si="29"/>
        <v>0.35</v>
      </c>
      <c r="O37" s="4">
        <f t="shared" si="29"/>
        <v>0.35</v>
      </c>
      <c r="P37" s="71"/>
    </row>
    <row r="38" spans="1:21" x14ac:dyDescent="0.2">
      <c r="A38" s="77"/>
      <c r="B38" s="67" t="s">
        <v>56</v>
      </c>
      <c r="E38" s="31">
        <f>'Balance Sheet'!C18</f>
        <v>500501.98623966932</v>
      </c>
      <c r="F38" s="31">
        <f>'Balance Sheet'!D18</f>
        <v>391670.37248405721</v>
      </c>
      <c r="G38" s="31">
        <f>'Balance Sheet'!E18</f>
        <v>272629.60267350433</v>
      </c>
      <c r="H38" s="31">
        <f>'Balance Sheet'!F18</f>
        <v>142421.98755065797</v>
      </c>
      <c r="I38" s="31">
        <f>'Balance Sheet'!G18</f>
        <v>250250.99311983466</v>
      </c>
      <c r="J38" s="31">
        <f>'Balance Sheet'!H18</f>
        <v>195835.18624202861</v>
      </c>
      <c r="K38" s="31">
        <f>'Balance Sheet'!I18</f>
        <v>136314.80133675216</v>
      </c>
      <c r="L38" s="31">
        <f>'Balance Sheet'!J18</f>
        <v>71210.993775328985</v>
      </c>
      <c r="M38" s="31">
        <f>'Balance Sheet'!K18</f>
        <v>250250.99311983466</v>
      </c>
      <c r="N38" s="31">
        <f>'Balance Sheet'!L18</f>
        <v>195835.18624202861</v>
      </c>
      <c r="O38" s="60">
        <f>'Balance Sheet'!M18</f>
        <v>136314.80133675216</v>
      </c>
      <c r="P38" s="71"/>
    </row>
    <row r="39" spans="1:21" x14ac:dyDescent="0.2">
      <c r="A39" s="77"/>
      <c r="B39" s="67" t="s">
        <v>57</v>
      </c>
      <c r="E39" s="31">
        <f>'Balance Sheet'!C22+'Balance Sheet'!C23</f>
        <v>323777.61565439147</v>
      </c>
      <c r="F39" s="31">
        <f>'Balance Sheet'!D22+'Balance Sheet'!D23</f>
        <v>-34747.728895935928</v>
      </c>
      <c r="G39" s="31">
        <f>'Balance Sheet'!E22+'Balance Sheet'!E23</f>
        <v>-371942.03115869407</v>
      </c>
      <c r="H39" s="31">
        <f>'Balance Sheet'!F22+'Balance Sheet'!F23</f>
        <v>-682317.98436108115</v>
      </c>
      <c r="I39" s="31">
        <f>'Balance Sheet'!G22+'Balance Sheet'!G23</f>
        <v>-581729.41277006501</v>
      </c>
      <c r="J39" s="31">
        <f>'Balance Sheet'!H22+'Balance Sheet'!H23</f>
        <v>-474026.4085239619</v>
      </c>
      <c r="K39" s="31">
        <f>'Balance Sheet'!I22+'Balance Sheet'!I23</f>
        <v>-295874.84215382917</v>
      </c>
      <c r="L39" s="31">
        <f>'Balance Sheet'!J22+'Balance Sheet'!J23</f>
        <v>-31571.484661528841</v>
      </c>
      <c r="M39" s="31">
        <f>'Balance Sheet'!K22+'Balance Sheet'!K23</f>
        <v>782043.6809870319</v>
      </c>
      <c r="N39" s="31">
        <f>'Balance Sheet'!L22+'Balance Sheet'!L23</f>
        <v>1802420.0729039842</v>
      </c>
      <c r="O39" s="60">
        <f>'Balance Sheet'!M22+'Balance Sheet'!M23</f>
        <v>3072276.34046009</v>
      </c>
      <c r="P39" s="71"/>
    </row>
    <row r="40" spans="1:21" x14ac:dyDescent="0.2">
      <c r="A40" s="77"/>
      <c r="B40" s="67" t="s">
        <v>58</v>
      </c>
      <c r="E40" s="62">
        <f>('Balance Sheet'!C18+'Balance Sheet'!C22)+'Balance Sheet'!C23</f>
        <v>824279.60189406085</v>
      </c>
      <c r="F40" s="62">
        <f>('Balance Sheet'!D18+'Balance Sheet'!D22)+'Balance Sheet'!D23</f>
        <v>356922.64358812128</v>
      </c>
      <c r="G40" s="62">
        <f>('Balance Sheet'!E18+'Balance Sheet'!E22)+'Balance Sheet'!E23</f>
        <v>-99312.428485189797</v>
      </c>
      <c r="H40" s="62">
        <f>('Balance Sheet'!F18+'Balance Sheet'!F22)+'Balance Sheet'!F23</f>
        <v>-539895.99681042321</v>
      </c>
      <c r="I40" s="62">
        <f>('Balance Sheet'!G18+'Balance Sheet'!G22)+'Balance Sheet'!G23</f>
        <v>-331478.41965023032</v>
      </c>
      <c r="J40" s="62">
        <f>('Balance Sheet'!H18+'Balance Sheet'!H22)+'Balance Sheet'!H23</f>
        <v>-278191.2222819333</v>
      </c>
      <c r="K40" s="62">
        <f>('Balance Sheet'!I18+'Balance Sheet'!I22)+'Balance Sheet'!I23</f>
        <v>-159560.04081707704</v>
      </c>
      <c r="L40" s="62">
        <f>('Balance Sheet'!J18+'Balance Sheet'!J22)+'Balance Sheet'!J23</f>
        <v>39639.50911380013</v>
      </c>
      <c r="M40" s="62">
        <f>('Balance Sheet'!K18+'Balance Sheet'!K22)+'Balance Sheet'!K23</f>
        <v>1032294.6741068666</v>
      </c>
      <c r="N40" s="62">
        <f>('Balance Sheet'!L18+'Balance Sheet'!L22)+'Balance Sheet'!L23</f>
        <v>1998255.2591460128</v>
      </c>
      <c r="O40" s="76">
        <f>('Balance Sheet'!M18+'Balance Sheet'!M22)+'Balance Sheet'!M23</f>
        <v>3208591.1417968422</v>
      </c>
      <c r="P40" s="71"/>
    </row>
    <row r="41" spans="1:21" ht="25.5" x14ac:dyDescent="0.2">
      <c r="A41" s="77"/>
      <c r="B41" s="67" t="s">
        <v>59</v>
      </c>
      <c r="E41" s="21">
        <f t="shared" ref="E41:O41" si="30">E38/E40</f>
        <v>0.60719928661293687</v>
      </c>
      <c r="F41" s="21">
        <f t="shared" si="30"/>
        <v>1.097353668981657</v>
      </c>
      <c r="G41" s="21">
        <f t="shared" si="30"/>
        <v>-2.7451710408447103</v>
      </c>
      <c r="H41" s="21">
        <f t="shared" si="30"/>
        <v>-0.2637952279551119</v>
      </c>
      <c r="I41" s="21">
        <f t="shared" si="30"/>
        <v>-0.75495410344931269</v>
      </c>
      <c r="J41" s="21">
        <f t="shared" si="30"/>
        <v>-0.70395889789635113</v>
      </c>
      <c r="K41" s="21">
        <f t="shared" si="30"/>
        <v>-0.85431666123115557</v>
      </c>
      <c r="L41" s="21">
        <f t="shared" si="30"/>
        <v>1.7964650765702226</v>
      </c>
      <c r="M41" s="21">
        <f t="shared" si="30"/>
        <v>0.24242205195561034</v>
      </c>
      <c r="N41" s="21">
        <f t="shared" si="30"/>
        <v>9.8003088116841483E-2</v>
      </c>
      <c r="O41" s="4">
        <f t="shared" si="30"/>
        <v>4.2484316421946659E-2</v>
      </c>
      <c r="P41" s="71"/>
    </row>
    <row r="42" spans="1:21" ht="25.5" x14ac:dyDescent="0.2">
      <c r="A42" s="77"/>
      <c r="B42" s="67" t="s">
        <v>60</v>
      </c>
      <c r="E42" s="21">
        <f t="shared" ref="E42:O42" si="31">E39/E40</f>
        <v>0.39280071338706313</v>
      </c>
      <c r="F42" s="21">
        <f t="shared" si="31"/>
        <v>-9.7353668981657079E-2</v>
      </c>
      <c r="G42" s="21">
        <f t="shared" si="31"/>
        <v>3.7451710408447099</v>
      </c>
      <c r="H42" s="21">
        <f t="shared" si="31"/>
        <v>1.2637952279551119</v>
      </c>
      <c r="I42" s="21">
        <f t="shared" si="31"/>
        <v>1.7549541034493128</v>
      </c>
      <c r="J42" s="21">
        <f t="shared" si="31"/>
        <v>1.7039588978963511</v>
      </c>
      <c r="K42" s="21">
        <f t="shared" si="31"/>
        <v>1.8543166612311555</v>
      </c>
      <c r="L42" s="21">
        <f t="shared" si="31"/>
        <v>-0.79646507657022214</v>
      </c>
      <c r="M42" s="21">
        <f t="shared" si="31"/>
        <v>0.7575779480443896</v>
      </c>
      <c r="N42" s="21">
        <f t="shared" si="31"/>
        <v>0.90199691188315856</v>
      </c>
      <c r="O42" s="4">
        <f t="shared" si="31"/>
        <v>0.95751568357805328</v>
      </c>
      <c r="P42" s="71"/>
    </row>
    <row r="43" spans="1:21" x14ac:dyDescent="0.2">
      <c r="A43" s="77"/>
      <c r="B43" s="67"/>
      <c r="O43" s="77"/>
      <c r="P43" s="71"/>
      <c r="S43" t="s">
        <v>61</v>
      </c>
      <c r="U43">
        <v>400000</v>
      </c>
    </row>
    <row r="44" spans="1:21" x14ac:dyDescent="0.2">
      <c r="A44" s="77"/>
      <c r="B44" s="67" t="s">
        <v>62</v>
      </c>
      <c r="E44" s="21">
        <f>((E36*(1-E37))*E41)+(E42*E33)</f>
        <v>7.7472274456595144E-2</v>
      </c>
      <c r="F44" s="21">
        <f>((F36*(1-F37))*F41)+(F42*F33)</f>
        <v>5.3797817788185959E-2</v>
      </c>
      <c r="G44" s="21">
        <f t="shared" ref="G44:O44" si="32">((G41*(1-G37))*G34)+(G42*G33)</f>
        <v>0.23939176127279943</v>
      </c>
      <c r="H44" s="21">
        <f t="shared" si="32"/>
        <v>0.11954130951023188</v>
      </c>
      <c r="I44" s="21">
        <f t="shared" si="32"/>
        <v>0.14326428319660181</v>
      </c>
      <c r="J44" s="21">
        <f t="shared" si="32"/>
        <v>0.14080121476839375</v>
      </c>
      <c r="K44" s="21">
        <f t="shared" si="32"/>
        <v>0.1480634947374648</v>
      </c>
      <c r="L44" s="21">
        <f t="shared" si="32"/>
        <v>2.0030736801658303E-2</v>
      </c>
      <c r="M44" s="21">
        <f t="shared" si="32"/>
        <v>7.7060659727087547E-2</v>
      </c>
      <c r="N44" s="21">
        <f t="shared" si="32"/>
        <v>8.0598924341137398E-2</v>
      </c>
      <c r="O44" s="4">
        <f t="shared" si="32"/>
        <v>8.1959134247662296E-2</v>
      </c>
      <c r="P44" s="71"/>
      <c r="S44" t="s">
        <v>63</v>
      </c>
      <c r="U44" s="34">
        <v>30</v>
      </c>
    </row>
    <row r="45" spans="1:21" x14ac:dyDescent="0.2">
      <c r="A45" s="77"/>
      <c r="B45" s="67"/>
      <c r="O45" s="77"/>
      <c r="P45" s="71"/>
      <c r="S45" t="s">
        <v>64</v>
      </c>
      <c r="U45" t="s">
        <v>65</v>
      </c>
    </row>
    <row r="46" spans="1:21" x14ac:dyDescent="0.2">
      <c r="A46" s="77"/>
      <c r="B46" s="67" t="s">
        <v>66</v>
      </c>
      <c r="E46" s="31">
        <v>0.58099999999999996</v>
      </c>
      <c r="F46" s="31">
        <v>0.58099999999999996</v>
      </c>
      <c r="G46" s="31">
        <v>0.58099999999999996</v>
      </c>
      <c r="H46" s="31">
        <v>0.58099999999999996</v>
      </c>
      <c r="I46" s="31">
        <v>0.58099999999999996</v>
      </c>
      <c r="J46" s="31">
        <v>0.58099999999999996</v>
      </c>
      <c r="K46" s="31">
        <v>0.58099999999999996</v>
      </c>
      <c r="L46" s="31">
        <v>0.58099999999999996</v>
      </c>
      <c r="M46" s="31">
        <v>0.58099999999999996</v>
      </c>
      <c r="N46" s="31">
        <v>0.58099999999999996</v>
      </c>
      <c r="O46" s="60">
        <v>0.58099999999999996</v>
      </c>
      <c r="P46" s="71"/>
      <c r="S46" t="s">
        <v>67</v>
      </c>
      <c r="U46" s="62">
        <f>(U49+U53)+(U5*U43)</f>
        <v>900000</v>
      </c>
    </row>
    <row r="47" spans="1:21" x14ac:dyDescent="0.2">
      <c r="A47" s="77"/>
      <c r="B47" s="67" t="s">
        <v>68</v>
      </c>
      <c r="E47" s="21">
        <f t="shared" ref="E47:O47" si="33">E41</f>
        <v>0.60719928661293687</v>
      </c>
      <c r="F47" s="21">
        <f t="shared" si="33"/>
        <v>1.097353668981657</v>
      </c>
      <c r="G47" s="21">
        <f t="shared" si="33"/>
        <v>-2.7451710408447103</v>
      </c>
      <c r="H47" s="21">
        <f t="shared" si="33"/>
        <v>-0.2637952279551119</v>
      </c>
      <c r="I47" s="21">
        <f t="shared" si="33"/>
        <v>-0.75495410344931269</v>
      </c>
      <c r="J47" s="21">
        <f t="shared" si="33"/>
        <v>-0.70395889789635113</v>
      </c>
      <c r="K47" s="21">
        <f t="shared" si="33"/>
        <v>-0.85431666123115557</v>
      </c>
      <c r="L47" s="21">
        <f t="shared" si="33"/>
        <v>1.7964650765702226</v>
      </c>
      <c r="M47" s="21">
        <f t="shared" si="33"/>
        <v>0.24242205195561034</v>
      </c>
      <c r="N47" s="21">
        <f t="shared" si="33"/>
        <v>9.8003088116841483E-2</v>
      </c>
      <c r="O47" s="4">
        <f t="shared" si="33"/>
        <v>4.2484316421946659E-2</v>
      </c>
      <c r="P47" s="71"/>
    </row>
    <row r="48" spans="1:21" x14ac:dyDescent="0.2">
      <c r="A48" s="77"/>
      <c r="B48" s="67" t="s">
        <v>69</v>
      </c>
      <c r="E48" s="21">
        <f t="shared" ref="E48:O48" si="34">E42</f>
        <v>0.39280071338706313</v>
      </c>
      <c r="F48" s="21">
        <f t="shared" si="34"/>
        <v>-9.7353668981657079E-2</v>
      </c>
      <c r="G48" s="21">
        <f t="shared" si="34"/>
        <v>3.7451710408447099</v>
      </c>
      <c r="H48" s="21">
        <f t="shared" si="34"/>
        <v>1.2637952279551119</v>
      </c>
      <c r="I48" s="21">
        <f t="shared" si="34"/>
        <v>1.7549541034493128</v>
      </c>
      <c r="J48" s="21">
        <f t="shared" si="34"/>
        <v>1.7039588978963511</v>
      </c>
      <c r="K48" s="21">
        <f t="shared" si="34"/>
        <v>1.8543166612311555</v>
      </c>
      <c r="L48" s="21">
        <f t="shared" si="34"/>
        <v>-0.79646507657022214</v>
      </c>
      <c r="M48" s="21">
        <f t="shared" si="34"/>
        <v>0.7575779480443896</v>
      </c>
      <c r="N48" s="21">
        <f t="shared" si="34"/>
        <v>0.90199691188315856</v>
      </c>
      <c r="O48" s="4">
        <f t="shared" si="34"/>
        <v>0.95751568357805328</v>
      </c>
      <c r="P48" s="71"/>
    </row>
    <row r="49" spans="1:21" ht="25.5" x14ac:dyDescent="0.2">
      <c r="A49" s="77"/>
      <c r="B49" s="67" t="s">
        <v>70</v>
      </c>
      <c r="E49" s="31">
        <f t="shared" ref="E49:O49" si="35">(1+((1-E37)*(E47/E48)))*(E46)</f>
        <v>1.1647790074566802</v>
      </c>
      <c r="F49" s="31">
        <f t="shared" si="35"/>
        <v>-3.6758052896805049</v>
      </c>
      <c r="G49" s="31">
        <f t="shared" si="35"/>
        <v>0.30418651611137687</v>
      </c>
      <c r="H49" s="31">
        <f t="shared" si="35"/>
        <v>0.50217214432084678</v>
      </c>
      <c r="I49" s="31">
        <f t="shared" si="35"/>
        <v>0.41854081282965722</v>
      </c>
      <c r="J49" s="31">
        <f t="shared" si="35"/>
        <v>0.42498093280373933</v>
      </c>
      <c r="K49" s="31">
        <f t="shared" si="35"/>
        <v>0.40700992923196999</v>
      </c>
      <c r="L49" s="31">
        <f t="shared" si="35"/>
        <v>-0.27080763868298596</v>
      </c>
      <c r="M49" s="34">
        <f t="shared" si="35"/>
        <v>0.70184655863778111</v>
      </c>
      <c r="N49" s="34">
        <f t="shared" si="35"/>
        <v>0.62203214294831133</v>
      </c>
      <c r="O49" s="25">
        <f t="shared" si="35"/>
        <v>0.59775607237762829</v>
      </c>
      <c r="P49" s="71"/>
      <c r="S49" t="s">
        <v>71</v>
      </c>
      <c r="U49">
        <v>10000</v>
      </c>
    </row>
    <row r="50" spans="1:21" x14ac:dyDescent="0.2">
      <c r="A50" s="77"/>
      <c r="B50" s="67"/>
      <c r="O50" s="77"/>
      <c r="P50" s="71"/>
    </row>
    <row r="51" spans="1:21" ht="38.25" x14ac:dyDescent="0.2">
      <c r="A51" s="77"/>
      <c r="B51" s="67" t="s">
        <v>72</v>
      </c>
      <c r="E51" s="21">
        <f t="shared" ref="E51:O51" si="36">E32+(E49*(E31-E32))</f>
        <v>0.10153453052196761</v>
      </c>
      <c r="F51" s="21">
        <f t="shared" si="36"/>
        <v>-0.23730637027763532</v>
      </c>
      <c r="G51" s="21">
        <f t="shared" si="36"/>
        <v>4.1293056127796379E-2</v>
      </c>
      <c r="H51" s="21">
        <f t="shared" si="36"/>
        <v>5.5152050102459271E-2</v>
      </c>
      <c r="I51" s="21">
        <f t="shared" si="36"/>
        <v>4.9297856898076003E-2</v>
      </c>
      <c r="J51" s="21">
        <f t="shared" si="36"/>
        <v>4.9748665296261749E-2</v>
      </c>
      <c r="K51" s="21">
        <f t="shared" si="36"/>
        <v>4.8490695046237896E-2</v>
      </c>
      <c r="L51" s="21">
        <f t="shared" si="36"/>
        <v>1.0434652921909836E-3</v>
      </c>
      <c r="M51" s="21">
        <f t="shared" si="36"/>
        <v>6.912925910464468E-2</v>
      </c>
      <c r="N51" s="21">
        <f t="shared" si="36"/>
        <v>6.3542250006381792E-2</v>
      </c>
      <c r="O51" s="4">
        <f t="shared" si="36"/>
        <v>6.1842925066433976E-2</v>
      </c>
      <c r="P51" s="71"/>
    </row>
    <row r="52" spans="1:21" x14ac:dyDescent="0.2">
      <c r="A52" s="77"/>
      <c r="B52" s="67"/>
      <c r="O52" s="77"/>
      <c r="P52" s="71"/>
    </row>
    <row r="53" spans="1:21" ht="25.5" x14ac:dyDescent="0.2">
      <c r="A53" s="77"/>
      <c r="B53" s="37" t="s">
        <v>73</v>
      </c>
      <c r="C53" s="43"/>
      <c r="D53" s="43"/>
      <c r="E53" s="57">
        <f t="shared" ref="E53:O53" si="37">((E47*(1-E37))*E36)+(E48*E33)</f>
        <v>7.7472274456595144E-2</v>
      </c>
      <c r="F53" s="57">
        <f t="shared" si="37"/>
        <v>5.3797817788185959E-2</v>
      </c>
      <c r="G53" s="57">
        <f t="shared" si="37"/>
        <v>0.23939176127279943</v>
      </c>
      <c r="H53" s="57">
        <f t="shared" si="37"/>
        <v>0.11954130951023188</v>
      </c>
      <c r="I53" s="57">
        <f t="shared" si="37"/>
        <v>0.14326428319660181</v>
      </c>
      <c r="J53" s="57">
        <f t="shared" si="37"/>
        <v>0.14080121476839375</v>
      </c>
      <c r="K53" s="57">
        <f t="shared" si="37"/>
        <v>0.1480634947374648</v>
      </c>
      <c r="L53" s="57">
        <f t="shared" si="37"/>
        <v>2.0030736801658303E-2</v>
      </c>
      <c r="M53" s="57">
        <f t="shared" si="37"/>
        <v>7.7060659727087547E-2</v>
      </c>
      <c r="N53" s="57">
        <f t="shared" si="37"/>
        <v>8.0598924341137398E-2</v>
      </c>
      <c r="O53" s="56">
        <f t="shared" si="37"/>
        <v>8.1959134247662296E-2</v>
      </c>
      <c r="P53" s="71"/>
      <c r="S53" t="s">
        <v>74</v>
      </c>
      <c r="U53">
        <v>90000</v>
      </c>
    </row>
    <row r="54" spans="1:21" x14ac:dyDescent="0.2">
      <c r="B54" s="55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8"/>
      <c r="Q54" s="8"/>
      <c r="R54" s="8"/>
      <c r="S54" s="8"/>
    </row>
    <row r="55" spans="1:21" x14ac:dyDescent="0.2">
      <c r="A55" s="47"/>
      <c r="B55" s="14"/>
      <c r="C55" s="42"/>
      <c r="D55" s="42">
        <v>0</v>
      </c>
      <c r="E55" s="42">
        <v>1</v>
      </c>
      <c r="F55" s="42">
        <v>2</v>
      </c>
      <c r="G55" s="42">
        <v>3</v>
      </c>
      <c r="H55" s="42">
        <v>4</v>
      </c>
      <c r="I55" s="42">
        <v>5</v>
      </c>
      <c r="J55" s="42">
        <v>6</v>
      </c>
      <c r="K55" s="42">
        <v>7</v>
      </c>
      <c r="L55" s="42">
        <v>8</v>
      </c>
      <c r="M55" s="42">
        <v>9</v>
      </c>
      <c r="N55" s="42">
        <v>10</v>
      </c>
      <c r="O55" s="74">
        <v>11</v>
      </c>
      <c r="P55" s="16"/>
      <c r="Q55" s="54"/>
      <c r="R55" s="54"/>
      <c r="S55" s="54"/>
    </row>
    <row r="56" spans="1:21" x14ac:dyDescent="0.2">
      <c r="A56" s="47"/>
      <c r="B56" s="40" t="s">
        <v>75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81"/>
      <c r="P56" s="63"/>
    </row>
    <row r="57" spans="1:21" x14ac:dyDescent="0.2">
      <c r="A57" s="47"/>
      <c r="B57" s="69" t="s">
        <v>76</v>
      </c>
      <c r="E57" s="31">
        <f t="shared" ref="E57:O57" si="38">SUM(E6:E8)-SUM(E11:E20)</f>
        <v>-272926.90714285697</v>
      </c>
      <c r="F57" s="31">
        <f t="shared" si="38"/>
        <v>-264563.46734285727</v>
      </c>
      <c r="G57" s="31">
        <f t="shared" si="38"/>
        <v>-253441.58111022867</v>
      </c>
      <c r="H57" s="31">
        <f t="shared" si="38"/>
        <v>-237790.07736215135</v>
      </c>
      <c r="I57" s="31">
        <f t="shared" si="38"/>
        <v>266770.89061536337</v>
      </c>
      <c r="J57" s="31">
        <f t="shared" si="38"/>
        <v>266011.20154645783</v>
      </c>
      <c r="K57" s="31">
        <f t="shared" si="38"/>
        <v>369289.02678672527</v>
      </c>
      <c r="L57" s="31">
        <f t="shared" si="38"/>
        <v>496246.82124160556</v>
      </c>
      <c r="M57" s="31">
        <f t="shared" si="38"/>
        <v>1361901.3911655366</v>
      </c>
      <c r="N57" s="31">
        <f t="shared" si="38"/>
        <v>1676476.5003850551</v>
      </c>
      <c r="O57" s="81">
        <f t="shared" si="38"/>
        <v>2060291.6936760596</v>
      </c>
      <c r="P57" s="63"/>
    </row>
    <row r="58" spans="1:21" x14ac:dyDescent="0.2">
      <c r="A58" s="47"/>
      <c r="B58" s="69" t="s">
        <v>77</v>
      </c>
      <c r="E58" s="31">
        <f t="shared" ref="E58:O58" si="39">E22</f>
        <v>53333.333333333336</v>
      </c>
      <c r="F58" s="31">
        <f t="shared" si="39"/>
        <v>53333.333333333336</v>
      </c>
      <c r="G58" s="31">
        <f t="shared" si="39"/>
        <v>53333.333333333336</v>
      </c>
      <c r="H58" s="31">
        <f t="shared" si="39"/>
        <v>53333.333333333336</v>
      </c>
      <c r="I58" s="31">
        <f t="shared" si="39"/>
        <v>80000</v>
      </c>
      <c r="J58" s="31">
        <f t="shared" si="39"/>
        <v>80000</v>
      </c>
      <c r="K58" s="31">
        <f t="shared" si="39"/>
        <v>80000</v>
      </c>
      <c r="L58" s="31">
        <f t="shared" si="39"/>
        <v>80000</v>
      </c>
      <c r="M58" s="31">
        <f t="shared" si="39"/>
        <v>106666.66666666667</v>
      </c>
      <c r="N58" s="31">
        <f t="shared" si="39"/>
        <v>106666.66666666667</v>
      </c>
      <c r="O58" s="81">
        <f t="shared" si="39"/>
        <v>106666.66666666667</v>
      </c>
      <c r="P58" s="63"/>
    </row>
    <row r="59" spans="1:21" x14ac:dyDescent="0.2">
      <c r="A59" s="47"/>
      <c r="B59" s="69" t="s">
        <v>78</v>
      </c>
      <c r="E59" s="31">
        <f t="shared" ref="E59:O59" si="40">E57-E58</f>
        <v>-326260.24047619029</v>
      </c>
      <c r="F59" s="31">
        <f t="shared" si="40"/>
        <v>-317896.80067619059</v>
      </c>
      <c r="G59" s="31">
        <f t="shared" si="40"/>
        <v>-306774.91444356198</v>
      </c>
      <c r="H59" s="31">
        <f t="shared" si="40"/>
        <v>-291123.41069548466</v>
      </c>
      <c r="I59" s="31">
        <f t="shared" si="40"/>
        <v>186770.89061536337</v>
      </c>
      <c r="J59" s="31">
        <f t="shared" si="40"/>
        <v>186011.20154645783</v>
      </c>
      <c r="K59" s="31">
        <f t="shared" si="40"/>
        <v>289289.02678672527</v>
      </c>
      <c r="L59" s="31">
        <f t="shared" si="40"/>
        <v>416246.82124160556</v>
      </c>
      <c r="M59" s="31">
        <f t="shared" si="40"/>
        <v>1255234.7244988699</v>
      </c>
      <c r="N59" s="31">
        <f t="shared" si="40"/>
        <v>1569809.8337183883</v>
      </c>
      <c r="O59" s="81">
        <f t="shared" si="40"/>
        <v>1953625.0270093929</v>
      </c>
      <c r="P59" s="63"/>
    </row>
    <row r="60" spans="1:21" x14ac:dyDescent="0.2">
      <c r="A60" s="47"/>
      <c r="B60" s="69" t="s">
        <v>79</v>
      </c>
      <c r="E60" s="31">
        <f t="shared" ref="E60:O60" si="41">E59*E37</f>
        <v>-114191.08416666659</v>
      </c>
      <c r="F60" s="31">
        <f t="shared" si="41"/>
        <v>-111263.88023666669</v>
      </c>
      <c r="G60" s="31">
        <f t="shared" si="41"/>
        <v>-107371.22005524668</v>
      </c>
      <c r="H60" s="31">
        <f t="shared" si="41"/>
        <v>-101893.19374341963</v>
      </c>
      <c r="I60" s="31">
        <f t="shared" si="41"/>
        <v>65369.811715377175</v>
      </c>
      <c r="J60" s="31">
        <f t="shared" si="41"/>
        <v>65103.920541260239</v>
      </c>
      <c r="K60" s="31">
        <f t="shared" si="41"/>
        <v>101251.15937535383</v>
      </c>
      <c r="L60" s="31">
        <f t="shared" si="41"/>
        <v>145686.38743456194</v>
      </c>
      <c r="M60" s="31">
        <f t="shared" si="41"/>
        <v>439332.15357460442</v>
      </c>
      <c r="N60" s="31">
        <f t="shared" si="41"/>
        <v>549433.4418014359</v>
      </c>
      <c r="O60" s="81">
        <f t="shared" si="41"/>
        <v>683768.75945328746</v>
      </c>
      <c r="P60" s="63"/>
    </row>
    <row r="61" spans="1:21" x14ac:dyDescent="0.2">
      <c r="A61" s="47"/>
      <c r="B61" s="69" t="s">
        <v>80</v>
      </c>
      <c r="E61" s="31">
        <f t="shared" ref="E61:O61" si="42">E58</f>
        <v>53333.333333333336</v>
      </c>
      <c r="F61" s="31">
        <f t="shared" si="42"/>
        <v>53333.333333333336</v>
      </c>
      <c r="G61" s="31">
        <f t="shared" si="42"/>
        <v>53333.333333333336</v>
      </c>
      <c r="H61" s="31">
        <f t="shared" si="42"/>
        <v>53333.333333333336</v>
      </c>
      <c r="I61" s="31">
        <f t="shared" si="42"/>
        <v>80000</v>
      </c>
      <c r="J61" s="31">
        <f t="shared" si="42"/>
        <v>80000</v>
      </c>
      <c r="K61" s="31">
        <f t="shared" si="42"/>
        <v>80000</v>
      </c>
      <c r="L61" s="31">
        <f t="shared" si="42"/>
        <v>80000</v>
      </c>
      <c r="M61" s="31">
        <f t="shared" si="42"/>
        <v>106666.66666666667</v>
      </c>
      <c r="N61" s="31">
        <f t="shared" si="42"/>
        <v>106666.66666666667</v>
      </c>
      <c r="O61" s="81">
        <f t="shared" si="42"/>
        <v>106666.66666666667</v>
      </c>
      <c r="P61" s="63"/>
    </row>
    <row r="62" spans="1:21" x14ac:dyDescent="0.2">
      <c r="A62" s="47"/>
      <c r="B62" s="69" t="s">
        <v>75</v>
      </c>
      <c r="E62" s="31">
        <f t="shared" ref="E62:L62" si="43">(E59-E60)+E61</f>
        <v>-158735.82297619033</v>
      </c>
      <c r="F62" s="31">
        <f t="shared" si="43"/>
        <v>-153299.58710619053</v>
      </c>
      <c r="G62" s="31">
        <f t="shared" si="43"/>
        <v>-146070.36105498197</v>
      </c>
      <c r="H62" s="31">
        <f t="shared" si="43"/>
        <v>-135896.88361873169</v>
      </c>
      <c r="I62" s="31">
        <f t="shared" si="43"/>
        <v>201401.0788999862</v>
      </c>
      <c r="J62" s="31">
        <f t="shared" si="43"/>
        <v>200907.28100519758</v>
      </c>
      <c r="K62" s="31">
        <f t="shared" si="43"/>
        <v>268037.86741137144</v>
      </c>
      <c r="L62" s="31">
        <f t="shared" si="43"/>
        <v>350560.43380704359</v>
      </c>
      <c r="M62" s="31">
        <f>M60+M61</f>
        <v>545998.82024127105</v>
      </c>
      <c r="N62" s="31">
        <f>N60+N61</f>
        <v>656100.10846810252</v>
      </c>
      <c r="O62" s="81">
        <f>O60+O61</f>
        <v>790435.42611995409</v>
      </c>
      <c r="P62" s="63"/>
    </row>
    <row r="63" spans="1:21" x14ac:dyDescent="0.2">
      <c r="A63" s="47"/>
      <c r="B63" s="69"/>
      <c r="O63" s="47"/>
      <c r="P63" s="63"/>
    </row>
    <row r="64" spans="1:21" ht="25.5" x14ac:dyDescent="0.2">
      <c r="A64" s="47"/>
      <c r="B64" s="40" t="s">
        <v>81</v>
      </c>
      <c r="O64" s="47"/>
      <c r="P64" s="63"/>
    </row>
    <row r="65" spans="1:19" x14ac:dyDescent="0.2">
      <c r="A65" s="47"/>
      <c r="B65" s="69" t="s">
        <v>82</v>
      </c>
      <c r="D65">
        <v>-528500</v>
      </c>
      <c r="I65" s="62">
        <f>-U43</f>
        <v>-400000</v>
      </c>
      <c r="L65">
        <f>I65</f>
        <v>-400000</v>
      </c>
      <c r="O65" s="47"/>
      <c r="P65" s="63"/>
      <c r="Q65" t="s">
        <v>83</v>
      </c>
      <c r="S65">
        <v>0.4</v>
      </c>
    </row>
    <row r="66" spans="1:19" x14ac:dyDescent="0.2">
      <c r="A66" s="47"/>
      <c r="B66" s="69" t="s">
        <v>84</v>
      </c>
      <c r="O66" s="47">
        <f>'Balance Sheet'!M9*S65</f>
        <v>640000</v>
      </c>
      <c r="P66" s="63"/>
      <c r="Q66" t="s">
        <v>85</v>
      </c>
      <c r="S66" s="62">
        <f>'Balance Sheet'!M9-'Balance Sheet'!M10</f>
        <v>746666.66666666674</v>
      </c>
    </row>
    <row r="67" spans="1:19" x14ac:dyDescent="0.2">
      <c r="A67" s="47"/>
      <c r="B67" s="69"/>
      <c r="O67" s="47"/>
      <c r="P67" s="63"/>
    </row>
    <row r="68" spans="1:19" ht="25.5" x14ac:dyDescent="0.2">
      <c r="A68" s="47"/>
      <c r="B68" s="40" t="s">
        <v>86</v>
      </c>
      <c r="O68" s="47"/>
      <c r="P68" s="63"/>
    </row>
    <row r="69" spans="1:19" x14ac:dyDescent="0.2">
      <c r="A69" s="47"/>
      <c r="B69" s="69" t="s">
        <v>87</v>
      </c>
      <c r="E69" s="31">
        <f>-('Balance Sheet'!C6-'Balance Sheet'!B6)</f>
        <v>-16875</v>
      </c>
      <c r="F69" s="31">
        <f>-('Balance Sheet'!D6-'Balance Sheet'!C6)</f>
        <v>-4851.5625</v>
      </c>
      <c r="G69" s="31">
        <f>-('Balance Sheet'!E6-'Balance Sheet'!D6)</f>
        <v>-5431.640625</v>
      </c>
      <c r="H69" s="31">
        <f>-('Balance Sheet'!F6-'Balance Sheet'!E6)</f>
        <v>-6789.55078125</v>
      </c>
      <c r="I69" s="31">
        <f>-('Balance Sheet'!G6-'Balance Sheet'!F6)</f>
        <v>-29704.28466796875</v>
      </c>
      <c r="J69" s="31">
        <f>-('Balance Sheet'!H6-'Balance Sheet'!G6)</f>
        <v>-15913.009643554688</v>
      </c>
      <c r="K69" s="31">
        <f>-('Balance Sheet'!I6-'Balance Sheet'!H6)</f>
        <v>-19891.262054443359</v>
      </c>
      <c r="L69" s="31">
        <f>-('Balance Sheet'!J6-'Balance Sheet'!I6)</f>
        <v>-24864.077568054199</v>
      </c>
      <c r="M69" s="31">
        <f>-('Balance Sheet'!K6-'Balance Sheet'!J6)</f>
        <v>-82880.258560180664</v>
      </c>
      <c r="N69" s="31">
        <f>-('Balance Sheet'!L6-'Balance Sheet'!K6)</f>
        <v>-51800.161600112915</v>
      </c>
      <c r="O69" s="81">
        <f>-('Balance Sheet'!M6-'Balance Sheet'!L6)</f>
        <v>-64750.202000141144</v>
      </c>
      <c r="P69" s="63"/>
    </row>
    <row r="70" spans="1:19" x14ac:dyDescent="0.2">
      <c r="A70" s="47"/>
      <c r="B70" s="69" t="s">
        <v>88</v>
      </c>
      <c r="E70" s="31">
        <f>'Balance Sheet'!C15-'Balance Sheet'!B15</f>
        <v>205.47945205479451</v>
      </c>
      <c r="F70" s="31">
        <f>'Balance Sheet'!D15-'Balance Sheet'!C15</f>
        <v>-80.958904109589028</v>
      </c>
      <c r="G70" s="31">
        <f>'Balance Sheet'!E15-'Balance Sheet'!D15</f>
        <v>1.2452054794520819</v>
      </c>
      <c r="H70" s="31">
        <f>'Balance Sheet'!F15-'Balance Sheet'!E15</f>
        <v>1.2576575342465617</v>
      </c>
      <c r="I70" s="31">
        <f>'Balance Sheet'!G15-'Balance Sheet'!F15</f>
        <v>1.2702341095890688</v>
      </c>
      <c r="J70" s="31">
        <f>'Balance Sheet'!H15-'Balance Sheet'!G15</f>
        <v>1.2829364506849004</v>
      </c>
      <c r="K70" s="31">
        <f>'Balance Sheet'!I15-'Balance Sheet'!H15</f>
        <v>1.2957658151917997</v>
      </c>
      <c r="L70" s="31">
        <f>'Balance Sheet'!J15-'Balance Sheet'!I15</f>
        <v>1.3087234733436901</v>
      </c>
      <c r="M70" s="31">
        <f>'Balance Sheet'!K15-'Balance Sheet'!J15</f>
        <v>1.3218107080771233</v>
      </c>
      <c r="N70" s="31">
        <f>'Balance Sheet'!L15-'Balance Sheet'!K15</f>
        <v>1.3350288151579264</v>
      </c>
      <c r="O70" s="81">
        <f>'Balance Sheet'!M15-'Balance Sheet'!L15</f>
        <v>1.348379103309469</v>
      </c>
      <c r="P70" s="63"/>
    </row>
    <row r="71" spans="1:19" x14ac:dyDescent="0.2">
      <c r="A71" s="47"/>
      <c r="B71" s="69" t="s">
        <v>89</v>
      </c>
      <c r="E71" s="31">
        <f t="shared" ref="E71:O71" si="44">E60-D60</f>
        <v>-114191.08416666659</v>
      </c>
      <c r="F71" s="31">
        <f t="shared" si="44"/>
        <v>2927.2039299999014</v>
      </c>
      <c r="G71" s="31">
        <f t="shared" si="44"/>
        <v>3892.6601814200112</v>
      </c>
      <c r="H71" s="31">
        <f t="shared" si="44"/>
        <v>5478.0263118270523</v>
      </c>
      <c r="I71" s="31">
        <f t="shared" si="44"/>
        <v>167263.0054587968</v>
      </c>
      <c r="J71" s="31">
        <f t="shared" si="44"/>
        <v>-265.89117411693587</v>
      </c>
      <c r="K71" s="31">
        <f t="shared" si="44"/>
        <v>36147.238834093594</v>
      </c>
      <c r="L71" s="31">
        <f t="shared" si="44"/>
        <v>44435.228059208108</v>
      </c>
      <c r="M71" s="31">
        <f t="shared" si="44"/>
        <v>293645.76614004245</v>
      </c>
      <c r="N71" s="31">
        <f t="shared" si="44"/>
        <v>110101.28822683147</v>
      </c>
      <c r="O71" s="81">
        <f t="shared" si="44"/>
        <v>134335.31765185157</v>
      </c>
      <c r="P71" s="63"/>
    </row>
    <row r="72" spans="1:19" x14ac:dyDescent="0.2">
      <c r="A72" s="47"/>
      <c r="B72" s="69"/>
      <c r="O72" s="47"/>
      <c r="P72" s="63"/>
    </row>
    <row r="73" spans="1:19" ht="25.5" x14ac:dyDescent="0.2">
      <c r="A73" s="47"/>
      <c r="B73" s="40" t="s">
        <v>90</v>
      </c>
      <c r="O73" s="47"/>
      <c r="P73" s="63"/>
    </row>
    <row r="74" spans="1:19" x14ac:dyDescent="0.2">
      <c r="A74" s="47"/>
      <c r="B74" s="69" t="s">
        <v>91</v>
      </c>
      <c r="O74" s="52">
        <f>'Balance Sheet'!M6</f>
        <v>323751.01000070572</v>
      </c>
      <c r="P74" s="63"/>
    </row>
    <row r="75" spans="1:19" x14ac:dyDescent="0.2">
      <c r="A75" s="47"/>
      <c r="B75" s="69" t="s">
        <v>92</v>
      </c>
      <c r="O75" s="52">
        <f>-'Balance Sheet'!M15</f>
        <v>-136.1862894342581</v>
      </c>
      <c r="P75" s="63"/>
    </row>
    <row r="76" spans="1:19" x14ac:dyDescent="0.2">
      <c r="A76" s="47"/>
      <c r="B76" s="69" t="s">
        <v>93</v>
      </c>
      <c r="O76" s="52">
        <f>-O60</f>
        <v>-683768.75945328746</v>
      </c>
      <c r="P76" s="63"/>
    </row>
    <row r="77" spans="1:19" x14ac:dyDescent="0.2">
      <c r="A77" s="47"/>
      <c r="B77" s="69"/>
      <c r="O77" s="47"/>
      <c r="P77" s="63"/>
    </row>
    <row r="78" spans="1:19" x14ac:dyDescent="0.2">
      <c r="A78" s="47"/>
      <c r="B78" s="40" t="s">
        <v>94</v>
      </c>
      <c r="D78" s="62">
        <f t="shared" ref="D78:O78" si="45">SUM(D62:D76)</f>
        <v>-528500</v>
      </c>
      <c r="E78" s="62">
        <f t="shared" si="45"/>
        <v>-289596.42769080214</v>
      </c>
      <c r="F78" s="62">
        <f t="shared" si="45"/>
        <v>-155304.90458030021</v>
      </c>
      <c r="G78" s="62">
        <f t="shared" si="45"/>
        <v>-147608.09629308252</v>
      </c>
      <c r="H78" s="62">
        <f t="shared" si="45"/>
        <v>-137207.15043062042</v>
      </c>
      <c r="I78" s="62">
        <f t="shared" si="45"/>
        <v>-61038.930075076147</v>
      </c>
      <c r="J78" s="62">
        <f t="shared" si="45"/>
        <v>184729.66312397664</v>
      </c>
      <c r="K78" s="62">
        <f t="shared" si="45"/>
        <v>284295.13995683688</v>
      </c>
      <c r="L78" s="62">
        <f t="shared" si="45"/>
        <v>-29867.10697832916</v>
      </c>
      <c r="M78" s="62">
        <f t="shared" si="45"/>
        <v>756765.64963184088</v>
      </c>
      <c r="N78" s="62">
        <f t="shared" si="45"/>
        <v>714402.57012363628</v>
      </c>
      <c r="O78" s="52">
        <f t="shared" si="45"/>
        <v>1139867.9544087518</v>
      </c>
      <c r="P78" s="63"/>
    </row>
    <row r="79" spans="1:19" x14ac:dyDescent="0.2">
      <c r="A79" s="47"/>
      <c r="B79" s="40" t="s">
        <v>95</v>
      </c>
      <c r="D79" s="21">
        <f>IRR(D78:O78)</f>
        <v>0.107841355898737</v>
      </c>
      <c r="O79" s="47"/>
      <c r="P79" s="63"/>
    </row>
    <row r="80" spans="1:19" x14ac:dyDescent="0.2">
      <c r="A80" s="47"/>
      <c r="B80" s="40" t="s">
        <v>96</v>
      </c>
      <c r="D80" s="62">
        <f>-D78</f>
        <v>528500</v>
      </c>
      <c r="E80" s="62">
        <f t="shared" ref="E80:O80" si="46">-PV($D$85,E55,,E78)</f>
        <v>-261497.7436644744</v>
      </c>
      <c r="F80" s="62">
        <f t="shared" si="46"/>
        <v>-126629.43299793825</v>
      </c>
      <c r="G80" s="62">
        <f t="shared" si="46"/>
        <v>-108676.19287563887</v>
      </c>
      <c r="H80" s="62">
        <f t="shared" si="46"/>
        <v>-91216.987889734999</v>
      </c>
      <c r="I80" s="62">
        <f t="shared" si="46"/>
        <v>-36642.124022181881</v>
      </c>
      <c r="J80" s="62">
        <f t="shared" si="46"/>
        <v>100134.817746281</v>
      </c>
      <c r="K80" s="62">
        <f t="shared" si="46"/>
        <v>139153.02587865366</v>
      </c>
      <c r="L80" s="62">
        <f t="shared" si="46"/>
        <v>-13200.522513193573</v>
      </c>
      <c r="M80" s="62">
        <f t="shared" si="46"/>
        <v>302018.8996450617</v>
      </c>
      <c r="N80" s="62">
        <f t="shared" si="46"/>
        <v>257448.55824817327</v>
      </c>
      <c r="O80" s="52">
        <f t="shared" si="46"/>
        <v>370917.00609468075</v>
      </c>
      <c r="P80" s="63"/>
    </row>
    <row r="81" spans="1:20" x14ac:dyDescent="0.2">
      <c r="A81" s="47"/>
      <c r="B81" s="40" t="s">
        <v>97</v>
      </c>
      <c r="D81" s="62">
        <f>SUM(D80:O80)</f>
        <v>1060309.3036496886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52"/>
      <c r="P81" s="63"/>
    </row>
    <row r="82" spans="1:20" x14ac:dyDescent="0.2">
      <c r="A82" s="47"/>
      <c r="B82" s="69"/>
      <c r="O82" s="47"/>
      <c r="P82" s="63"/>
    </row>
    <row r="83" spans="1:20" x14ac:dyDescent="0.2">
      <c r="A83" s="47"/>
      <c r="B83" s="69"/>
      <c r="O83" s="47"/>
      <c r="P83" s="63"/>
    </row>
    <row r="84" spans="1:20" x14ac:dyDescent="0.2">
      <c r="A84" s="47"/>
      <c r="B84" s="69" t="str">
        <f>B79</f>
        <v>IRR</v>
      </c>
      <c r="D84" s="21">
        <f>D79</f>
        <v>0.107841355898737</v>
      </c>
      <c r="O84" s="47"/>
      <c r="P84" s="63"/>
    </row>
    <row r="85" spans="1:20" ht="25.5" x14ac:dyDescent="0.2">
      <c r="A85" s="47"/>
      <c r="B85" s="1" t="str">
        <f>B53</f>
        <v>WACC at % Debt % Equity</v>
      </c>
      <c r="C85" s="8"/>
      <c r="D85" s="45">
        <f>AVERAGE(E44:O44)</f>
        <v>0.10745287371343802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24"/>
      <c r="P85" s="63"/>
    </row>
    <row r="86" spans="1:20" x14ac:dyDescent="0.2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</row>
    <row r="87" spans="1:20" x14ac:dyDescent="0.2"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</row>
    <row r="88" spans="1:20" x14ac:dyDescent="0.2">
      <c r="A88" s="65"/>
      <c r="B88" s="26"/>
      <c r="C88" s="12"/>
      <c r="D88" s="12">
        <v>0</v>
      </c>
      <c r="E88" s="12">
        <v>1</v>
      </c>
      <c r="F88" s="12">
        <v>2</v>
      </c>
      <c r="G88" s="12">
        <v>3</v>
      </c>
      <c r="H88" s="12">
        <v>4</v>
      </c>
      <c r="I88" s="12">
        <v>5</v>
      </c>
      <c r="J88" s="12">
        <v>6</v>
      </c>
      <c r="K88" s="12">
        <v>7</v>
      </c>
      <c r="L88" s="12">
        <v>8</v>
      </c>
      <c r="M88" s="12">
        <v>9</v>
      </c>
      <c r="N88" s="12">
        <v>10</v>
      </c>
      <c r="O88" s="17">
        <v>11</v>
      </c>
      <c r="P88" s="59"/>
      <c r="Q88" s="30"/>
      <c r="R88" s="30"/>
      <c r="S88" s="30"/>
    </row>
    <row r="89" spans="1:20" x14ac:dyDescent="0.2">
      <c r="A89" s="65"/>
      <c r="B89" s="11" t="s">
        <v>98</v>
      </c>
      <c r="D89" s="21">
        <f>D85</f>
        <v>0.10745287371343802</v>
      </c>
      <c r="E89" s="51">
        <f t="shared" ref="E89:O89" si="47">E78*$D$91</f>
        <v>-28959.642769080216</v>
      </c>
      <c r="F89" s="51">
        <f t="shared" si="47"/>
        <v>-15530.490458030021</v>
      </c>
      <c r="G89" s="51">
        <f t="shared" si="47"/>
        <v>-14760.809629308253</v>
      </c>
      <c r="H89" s="51">
        <f t="shared" si="47"/>
        <v>-13720.715043062042</v>
      </c>
      <c r="I89" s="51">
        <f t="shared" si="47"/>
        <v>-6103.893007507615</v>
      </c>
      <c r="J89" s="51">
        <f t="shared" si="47"/>
        <v>18472.966312397664</v>
      </c>
      <c r="K89" s="51">
        <f t="shared" si="47"/>
        <v>28429.51399568369</v>
      </c>
      <c r="L89" s="51">
        <f t="shared" si="47"/>
        <v>-2986.7106978329161</v>
      </c>
      <c r="M89" s="51">
        <f t="shared" si="47"/>
        <v>75676.564963184093</v>
      </c>
      <c r="N89" s="51">
        <f t="shared" si="47"/>
        <v>71440.257012363625</v>
      </c>
      <c r="O89" s="80">
        <f t="shared" si="47"/>
        <v>113986.79544087518</v>
      </c>
      <c r="P89" s="36"/>
    </row>
    <row r="90" spans="1:20" x14ac:dyDescent="0.2">
      <c r="A90" s="65"/>
      <c r="B90" s="11"/>
      <c r="O90" s="65"/>
      <c r="P90" s="36"/>
    </row>
    <row r="91" spans="1:20" x14ac:dyDescent="0.2">
      <c r="A91" s="65"/>
      <c r="B91" s="35" t="s">
        <v>99</v>
      </c>
      <c r="D91" s="21">
        <v>0.1</v>
      </c>
      <c r="O91" s="65"/>
      <c r="P91" s="36"/>
    </row>
    <row r="92" spans="1:20" ht="25.5" x14ac:dyDescent="0.2">
      <c r="A92" s="65"/>
      <c r="B92" s="11" t="s">
        <v>100</v>
      </c>
      <c r="D92">
        <f>D78</f>
        <v>-528500</v>
      </c>
      <c r="I92">
        <v>0</v>
      </c>
      <c r="O92" s="39">
        <f>T94</f>
        <v>1045333.3333333334</v>
      </c>
      <c r="P92" s="36"/>
      <c r="S92" t="s">
        <v>85</v>
      </c>
      <c r="T92" s="31">
        <f>'Balance Sheet'!M9-'Balance Sheet'!M10</f>
        <v>746666.66666666674</v>
      </c>
    </row>
    <row r="93" spans="1:20" ht="63.75" x14ac:dyDescent="0.2">
      <c r="A93" s="65"/>
      <c r="B93" s="11" t="s">
        <v>101</v>
      </c>
      <c r="E93">
        <v>0</v>
      </c>
      <c r="J93">
        <v>0</v>
      </c>
      <c r="O93" s="39"/>
      <c r="P93" s="36"/>
      <c r="S93" t="s">
        <v>102</v>
      </c>
      <c r="T93">
        <v>1.4</v>
      </c>
    </row>
    <row r="94" spans="1:20" x14ac:dyDescent="0.2">
      <c r="A94" s="65"/>
      <c r="B94" s="11" t="s">
        <v>103</v>
      </c>
      <c r="D94">
        <f>SUM(D92:D93)</f>
        <v>-528500</v>
      </c>
      <c r="E94" s="31">
        <f t="shared" ref="E94:O94" si="48">E78-E89</f>
        <v>-260636.78492172193</v>
      </c>
      <c r="F94" s="31">
        <f t="shared" si="48"/>
        <v>-139774.41412227019</v>
      </c>
      <c r="G94" s="31">
        <f t="shared" si="48"/>
        <v>-132847.28666377426</v>
      </c>
      <c r="H94" s="31">
        <f t="shared" si="48"/>
        <v>-123486.43538755838</v>
      </c>
      <c r="I94" s="31">
        <f t="shared" si="48"/>
        <v>-54935.037067568534</v>
      </c>
      <c r="J94" s="31">
        <f t="shared" si="48"/>
        <v>166256.69681157899</v>
      </c>
      <c r="K94" s="31">
        <f t="shared" si="48"/>
        <v>255865.62596115319</v>
      </c>
      <c r="L94" s="31">
        <f t="shared" si="48"/>
        <v>-26880.396280496243</v>
      </c>
      <c r="M94" s="31">
        <f t="shared" si="48"/>
        <v>681089.08466865681</v>
      </c>
      <c r="N94" s="31">
        <f t="shared" si="48"/>
        <v>642962.31311127264</v>
      </c>
      <c r="O94" s="39">
        <f t="shared" si="48"/>
        <v>1025881.1589678766</v>
      </c>
      <c r="P94" s="36"/>
      <c r="S94" t="s">
        <v>104</v>
      </c>
      <c r="T94" s="31">
        <f>T92*T93</f>
        <v>1045333.3333333334</v>
      </c>
    </row>
    <row r="95" spans="1:20" x14ac:dyDescent="0.2">
      <c r="A95" s="65"/>
      <c r="B95" s="11" t="s">
        <v>96</v>
      </c>
      <c r="D95">
        <f>-PV($D$89,D$88,,D94)</f>
        <v>-528500</v>
      </c>
      <c r="E95" s="31">
        <f t="shared" ref="E95:O95" si="49">-PV($D$89,E88,,E94)</f>
        <v>-235347.96929802696</v>
      </c>
      <c r="F95" s="31">
        <f t="shared" si="49"/>
        <v>-113966.48969814442</v>
      </c>
      <c r="G95" s="31">
        <f t="shared" si="49"/>
        <v>-97808.573588074971</v>
      </c>
      <c r="H95" s="31">
        <f t="shared" si="49"/>
        <v>-82095.289100761511</v>
      </c>
      <c r="I95" s="31">
        <f t="shared" si="49"/>
        <v>-32977.911619963692</v>
      </c>
      <c r="J95" s="31">
        <f t="shared" si="49"/>
        <v>90121.335971652908</v>
      </c>
      <c r="K95" s="31">
        <f t="shared" si="49"/>
        <v>125237.7232907883</v>
      </c>
      <c r="L95" s="31">
        <f t="shared" si="49"/>
        <v>-11880.470261874214</v>
      </c>
      <c r="M95" s="31">
        <f t="shared" si="49"/>
        <v>271817.00968055555</v>
      </c>
      <c r="N95" s="31">
        <f t="shared" si="49"/>
        <v>231703.70242335595</v>
      </c>
      <c r="O95" s="39">
        <f t="shared" si="49"/>
        <v>333825.30548521265</v>
      </c>
      <c r="P95" s="36"/>
    </row>
    <row r="96" spans="1:20" x14ac:dyDescent="0.2">
      <c r="A96" s="65"/>
      <c r="B96" s="11" t="s">
        <v>97</v>
      </c>
      <c r="D96" s="31">
        <f>SUM(D95:O95)</f>
        <v>-49871.626715280232</v>
      </c>
      <c r="E96">
        <v>0.68</v>
      </c>
      <c r="O96" s="65"/>
      <c r="P96" s="36"/>
    </row>
    <row r="97" spans="1:16" x14ac:dyDescent="0.2">
      <c r="A97" s="65"/>
      <c r="B97" s="11"/>
      <c r="D97" s="31"/>
      <c r="O97" s="65"/>
      <c r="P97" s="36"/>
    </row>
    <row r="98" spans="1:16" x14ac:dyDescent="0.2">
      <c r="A98" s="65"/>
      <c r="B98" s="11"/>
      <c r="O98" s="65"/>
      <c r="P98" s="36"/>
    </row>
    <row r="99" spans="1:16" x14ac:dyDescent="0.2">
      <c r="A99" s="65"/>
      <c r="B99" s="11"/>
      <c r="O99" s="65"/>
      <c r="P99" s="36"/>
    </row>
    <row r="100" spans="1:16" x14ac:dyDescent="0.2">
      <c r="A100" s="65"/>
      <c r="B100" s="35" t="s">
        <v>105</v>
      </c>
      <c r="E100" s="51">
        <f>E78*$D$91</f>
        <v>-28959.642769080216</v>
      </c>
      <c r="F100" s="51">
        <f>F78*$D$91</f>
        <v>-15530.490458030021</v>
      </c>
      <c r="G100" s="51">
        <f>G78*$D$91</f>
        <v>-14760.809629308253</v>
      </c>
      <c r="H100" s="51">
        <f>H78*$D$91</f>
        <v>-13720.715043062042</v>
      </c>
      <c r="I100" s="51">
        <f>I78*$D$91</f>
        <v>-6103.893007507615</v>
      </c>
      <c r="O100" s="65"/>
      <c r="P100" s="36"/>
    </row>
    <row r="101" spans="1:16" x14ac:dyDescent="0.2">
      <c r="A101" s="65"/>
      <c r="B101" s="11" t="s">
        <v>106</v>
      </c>
      <c r="D101">
        <f>D92</f>
        <v>-528500</v>
      </c>
      <c r="E101" s="31">
        <f>E78+E100</f>
        <v>-318556.07045988238</v>
      </c>
      <c r="F101" s="31">
        <f>F78+F100</f>
        <v>-170835.39503833023</v>
      </c>
      <c r="G101" s="31">
        <f>G78+G100</f>
        <v>-162368.90592239078</v>
      </c>
      <c r="H101" s="31">
        <f>H78+H100</f>
        <v>-150927.86547368247</v>
      </c>
      <c r="I101" s="31">
        <f>I78+I100</f>
        <v>-67142.823082583767</v>
      </c>
      <c r="O101" s="65"/>
      <c r="P101" s="36"/>
    </row>
    <row r="102" spans="1:16" x14ac:dyDescent="0.2">
      <c r="A102" s="65"/>
      <c r="B102" s="11" t="s">
        <v>96</v>
      </c>
      <c r="D102" s="31">
        <f t="shared" ref="D102:I102" si="50">-PV($D$89,D88,,D101)</f>
        <v>-528500</v>
      </c>
      <c r="E102" s="31">
        <f t="shared" si="50"/>
        <v>-287647.51803092187</v>
      </c>
      <c r="F102" s="31">
        <f t="shared" si="50"/>
        <v>-139292.37629773206</v>
      </c>
      <c r="G102" s="31">
        <f t="shared" si="50"/>
        <v>-119543.81216320276</v>
      </c>
      <c r="H102" s="31">
        <f t="shared" si="50"/>
        <v>-100338.68667870852</v>
      </c>
      <c r="I102" s="31">
        <f t="shared" si="50"/>
        <v>-40306.33642440007</v>
      </c>
      <c r="O102" s="65"/>
      <c r="P102" s="36"/>
    </row>
    <row r="103" spans="1:16" x14ac:dyDescent="0.2">
      <c r="A103" s="65"/>
      <c r="B103" s="11" t="s">
        <v>97</v>
      </c>
      <c r="D103" s="31">
        <f>SUM(D102:I102)</f>
        <v>-1215628.7295949655</v>
      </c>
      <c r="E103">
        <v>0.32</v>
      </c>
      <c r="O103" s="65"/>
      <c r="P103" s="36"/>
    </row>
    <row r="104" spans="1:16" x14ac:dyDescent="0.2">
      <c r="A104" s="65"/>
      <c r="B104" s="11"/>
      <c r="O104" s="65"/>
      <c r="P104" s="36"/>
    </row>
    <row r="105" spans="1:16" x14ac:dyDescent="0.2">
      <c r="A105" s="65"/>
      <c r="B105" s="15" t="s">
        <v>107</v>
      </c>
      <c r="C105" s="72"/>
      <c r="D105" s="72"/>
      <c r="E105" s="46">
        <f>(D96*E96)+(D103*E103)</f>
        <v>-422913.8996367795</v>
      </c>
      <c r="F105" s="72"/>
      <c r="G105" s="72"/>
      <c r="H105" s="72"/>
      <c r="I105" s="72"/>
      <c r="J105" s="72"/>
      <c r="K105" s="72"/>
      <c r="L105" s="72"/>
      <c r="M105" s="72"/>
      <c r="N105" s="72"/>
      <c r="O105" s="82"/>
      <c r="P105" s="36"/>
    </row>
    <row r="106" spans="1:16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</row>
    <row r="109" spans="1:16" x14ac:dyDescent="0.2">
      <c r="D109" t="s">
        <v>108</v>
      </c>
      <c r="E109" t="s">
        <v>109</v>
      </c>
      <c r="F109" t="s">
        <v>110</v>
      </c>
      <c r="G109" t="s">
        <v>111</v>
      </c>
      <c r="H109" t="s">
        <v>112</v>
      </c>
      <c r="I109" t="s">
        <v>113</v>
      </c>
    </row>
    <row r="110" spans="1:16" x14ac:dyDescent="0.2">
      <c r="D110">
        <v>303797</v>
      </c>
      <c r="E110">
        <v>400000</v>
      </c>
      <c r="F110">
        <v>5</v>
      </c>
      <c r="G110">
        <v>0.1</v>
      </c>
      <c r="H110">
        <v>0.02</v>
      </c>
      <c r="I110" s="62">
        <f>(D110*(NORMSDIST(((LN((D110/PV(H110,F110,,-E110)))+(H110+(((G110^2)/2)*F110)))/(G110*SQRT(F110))))))-((NORMSDIST((((LN((D110/PV(H110,F110,,-E110)))+(H110+(((G110^2)/2)*F110)))/(G110*SQRT(F110)))-(G110*SQRT(F110)))))*PV(H110,F110,,-E110))</f>
        <v>8991.7883604963135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7"/>
  <sheetViews>
    <sheetView workbookViewId="0"/>
  </sheetViews>
  <sheetFormatPr defaultColWidth="17.140625" defaultRowHeight="12.75" customHeight="1" x14ac:dyDescent="0.2"/>
  <cols>
    <col min="1" max="1" width="24.42578125" customWidth="1"/>
    <col min="2" max="2" width="5.7109375" customWidth="1"/>
  </cols>
  <sheetData>
    <row r="2" spans="1:18" ht="12.75" customHeight="1" x14ac:dyDescent="0.2">
      <c r="C2" s="66">
        <v>2014</v>
      </c>
      <c r="D2" s="66">
        <v>2015</v>
      </c>
      <c r="E2" s="66">
        <v>2016</v>
      </c>
      <c r="F2" s="66">
        <v>2017</v>
      </c>
      <c r="G2" s="66">
        <v>2018</v>
      </c>
      <c r="H2" s="66">
        <v>2019</v>
      </c>
      <c r="I2" s="66">
        <v>2020</v>
      </c>
      <c r="J2" s="66">
        <v>2021</v>
      </c>
      <c r="K2" s="66">
        <v>2022</v>
      </c>
      <c r="L2" s="66">
        <v>2023</v>
      </c>
      <c r="M2" s="66">
        <v>2024</v>
      </c>
    </row>
    <row r="3" spans="1:18" ht="12.75" customHeight="1" x14ac:dyDescent="0.2">
      <c r="A3" s="58" t="s">
        <v>114</v>
      </c>
    </row>
    <row r="4" spans="1:18" ht="12.75" customHeight="1" x14ac:dyDescent="0.2">
      <c r="A4" t="s">
        <v>115</v>
      </c>
      <c r="C4" s="62">
        <v>50000</v>
      </c>
      <c r="D4" s="62">
        <f t="shared" ref="D4:M4" si="0">C4*(1+$Q$4)</f>
        <v>60000</v>
      </c>
      <c r="E4" s="62">
        <f t="shared" si="0"/>
        <v>72000</v>
      </c>
      <c r="F4" s="62">
        <f t="shared" si="0"/>
        <v>86400</v>
      </c>
      <c r="G4" s="62">
        <f t="shared" si="0"/>
        <v>103680</v>
      </c>
      <c r="H4" s="62">
        <f t="shared" si="0"/>
        <v>124416</v>
      </c>
      <c r="I4" s="62">
        <f t="shared" si="0"/>
        <v>149299.19999999998</v>
      </c>
      <c r="J4" s="62">
        <f t="shared" si="0"/>
        <v>179159.03999999998</v>
      </c>
      <c r="K4" s="62">
        <f t="shared" si="0"/>
        <v>214990.84799999997</v>
      </c>
      <c r="L4" s="62">
        <f t="shared" si="0"/>
        <v>257989.01759999996</v>
      </c>
      <c r="M4" s="62">
        <f t="shared" si="0"/>
        <v>309586.82111999992</v>
      </c>
      <c r="Q4">
        <v>0.2</v>
      </c>
    </row>
    <row r="5" spans="1:18" ht="12.75" customHeight="1" x14ac:dyDescent="0.2">
      <c r="A5" t="s">
        <v>116</v>
      </c>
      <c r="C5" s="62"/>
      <c r="D5" s="62"/>
      <c r="E5" s="62"/>
      <c r="F5" s="62"/>
      <c r="G5" s="62"/>
      <c r="H5" s="62"/>
      <c r="I5" s="62"/>
      <c r="J5" s="62">
        <v>5319.35</v>
      </c>
      <c r="K5" s="62"/>
      <c r="L5" s="62">
        <v>2272204.61</v>
      </c>
      <c r="M5" s="62">
        <v>1551574.28</v>
      </c>
    </row>
    <row r="6" spans="1:18" ht="12.75" customHeight="1" x14ac:dyDescent="0.2">
      <c r="A6" t="s">
        <v>117</v>
      </c>
      <c r="C6" s="62">
        <f>('Income Statement'!E8/365)*'Income Statement'!U15</f>
        <v>16875</v>
      </c>
      <c r="D6" s="62">
        <f>('Income Statement'!F8/365)*'Income Statement'!V15</f>
        <v>21726.5625</v>
      </c>
      <c r="E6" s="62">
        <f>('Income Statement'!G8/365)*'Income Statement'!W15</f>
        <v>27158.203125</v>
      </c>
      <c r="F6" s="62">
        <f>('Income Statement'!H8/365)*'Income Statement'!X15</f>
        <v>33947.75390625</v>
      </c>
      <c r="G6" s="62">
        <f>('Income Statement'!I8/365)*'Income Statement'!Y15</f>
        <v>63652.03857421875</v>
      </c>
      <c r="H6" s="62">
        <f>('Income Statement'!J8/365)*'Income Statement'!Z15</f>
        <v>79565.048217773438</v>
      </c>
      <c r="I6" s="62">
        <f>('Income Statement'!K8/365)*'Income Statement'!AA15</f>
        <v>99456.310272216797</v>
      </c>
      <c r="J6" s="62">
        <f>('Income Statement'!L8/365)*'Income Statement'!AB15</f>
        <v>124320.387840271</v>
      </c>
      <c r="K6" s="62">
        <f>('Income Statement'!M8/365)*'Income Statement'!AC15</f>
        <v>207200.64640045166</v>
      </c>
      <c r="L6" s="62">
        <f>('Income Statement'!N8/365)*'Income Statement'!AD15</f>
        <v>259000.80800056458</v>
      </c>
      <c r="M6" s="62">
        <f>('Income Statement'!O8/365)*'Income Statement'!AE15</f>
        <v>323751.01000070572</v>
      </c>
    </row>
    <row r="7" spans="1:18" ht="12.75" customHeight="1" x14ac:dyDescent="0.2">
      <c r="A7" t="s">
        <v>118</v>
      </c>
      <c r="C7" s="62">
        <v>500000</v>
      </c>
      <c r="D7" s="62"/>
      <c r="E7" s="62">
        <v>500000</v>
      </c>
      <c r="F7" s="62"/>
      <c r="G7" s="62">
        <v>500000</v>
      </c>
      <c r="H7" s="62"/>
      <c r="I7" s="62">
        <v>500000</v>
      </c>
      <c r="J7" s="62"/>
      <c r="K7" s="62">
        <v>1500000</v>
      </c>
      <c r="L7" s="62"/>
      <c r="M7" s="62">
        <v>2250000</v>
      </c>
    </row>
    <row r="8" spans="1:18" ht="12.75" customHeight="1" x14ac:dyDescent="0.2"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8" ht="12.75" customHeight="1" x14ac:dyDescent="0.2">
      <c r="A9" t="s">
        <v>119</v>
      </c>
      <c r="C9" s="62">
        <f>'Income Statement'!$U$43*'Income Statement'!U5</f>
        <v>800000</v>
      </c>
      <c r="D9" s="62">
        <f>'Income Statement'!$U$43*'Income Statement'!V5</f>
        <v>800000</v>
      </c>
      <c r="E9" s="62">
        <f>'Income Statement'!$U$43*'Income Statement'!W5</f>
        <v>800000</v>
      </c>
      <c r="F9" s="62">
        <f>'Income Statement'!$U$43*'Income Statement'!X5</f>
        <v>800000</v>
      </c>
      <c r="G9" s="62">
        <f>'Income Statement'!$U$43*'Income Statement'!Y5</f>
        <v>1200000</v>
      </c>
      <c r="H9" s="62">
        <f>'Income Statement'!$U$43*'Income Statement'!Z5</f>
        <v>1200000</v>
      </c>
      <c r="I9" s="62">
        <f>'Income Statement'!$U$43*'Income Statement'!AA5</f>
        <v>1200000</v>
      </c>
      <c r="J9" s="62">
        <f>'Income Statement'!$U$43*'Income Statement'!AB5</f>
        <v>1200000</v>
      </c>
      <c r="K9" s="62">
        <f>'Income Statement'!$U$43*'Income Statement'!AC5</f>
        <v>1600000</v>
      </c>
      <c r="L9" s="62">
        <f>'Income Statement'!$U$43*'Income Statement'!AD5</f>
        <v>1600000</v>
      </c>
      <c r="M9" s="62">
        <f>'Income Statement'!$U$43*'Income Statement'!AE5</f>
        <v>1600000</v>
      </c>
    </row>
    <row r="10" spans="1:18" ht="12.75" customHeight="1" x14ac:dyDescent="0.2">
      <c r="A10" t="s">
        <v>120</v>
      </c>
      <c r="C10" s="62">
        <f>'Income Statement'!E22</f>
        <v>53333.333333333336</v>
      </c>
      <c r="D10" s="62">
        <f>C10+'Income Statement'!F22</f>
        <v>106666.66666666667</v>
      </c>
      <c r="E10" s="62">
        <f>D10+'Income Statement'!G22</f>
        <v>160000</v>
      </c>
      <c r="F10" s="62">
        <f>E10+'Income Statement'!H22</f>
        <v>213333.33333333334</v>
      </c>
      <c r="G10" s="62">
        <f>F10+'Income Statement'!I22</f>
        <v>293333.33333333337</v>
      </c>
      <c r="H10" s="62">
        <f>G10+'Income Statement'!J22</f>
        <v>373333.33333333337</v>
      </c>
      <c r="I10" s="62">
        <f>H10+'Income Statement'!K22</f>
        <v>453333.33333333337</v>
      </c>
      <c r="J10" s="62">
        <f>I10+'Income Statement'!L22</f>
        <v>533333.33333333337</v>
      </c>
      <c r="K10" s="62">
        <f>J10+'Income Statement'!M22</f>
        <v>640000</v>
      </c>
      <c r="L10" s="62">
        <f>K10+'Income Statement'!N22</f>
        <v>746666.66666666663</v>
      </c>
      <c r="M10" s="62">
        <f>L10+'Income Statement'!O22</f>
        <v>853333.33333333326</v>
      </c>
    </row>
    <row r="11" spans="1:18" ht="12.7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8"/>
      <c r="O11" s="78"/>
      <c r="P11" s="78"/>
    </row>
    <row r="12" spans="1:18" ht="12.75" customHeight="1" x14ac:dyDescent="0.2">
      <c r="A12" t="s">
        <v>121</v>
      </c>
      <c r="C12" s="41">
        <f t="shared" ref="C12:M12" si="1">SUM(C4:C9)-C10</f>
        <v>1313541.6666666667</v>
      </c>
      <c r="D12" s="41">
        <f t="shared" si="1"/>
        <v>775059.89583333337</v>
      </c>
      <c r="E12" s="41">
        <f t="shared" si="1"/>
        <v>1239158.203125</v>
      </c>
      <c r="F12" s="41">
        <f t="shared" si="1"/>
        <v>707014.42057291663</v>
      </c>
      <c r="G12" s="41">
        <f t="shared" si="1"/>
        <v>1573998.7052408853</v>
      </c>
      <c r="H12" s="41">
        <f t="shared" si="1"/>
        <v>1030647.7148844401</v>
      </c>
      <c r="I12" s="41">
        <f t="shared" si="1"/>
        <v>1495422.1769388835</v>
      </c>
      <c r="J12" s="41">
        <f t="shared" si="1"/>
        <v>975465.44450693775</v>
      </c>
      <c r="K12" s="41">
        <f t="shared" si="1"/>
        <v>2882191.4944004519</v>
      </c>
      <c r="L12" s="41">
        <f t="shared" si="1"/>
        <v>3642527.7689338974</v>
      </c>
      <c r="M12" s="41">
        <f t="shared" si="1"/>
        <v>5181578.7777873725</v>
      </c>
      <c r="N12" s="53"/>
      <c r="O12" s="53"/>
      <c r="P12" s="53"/>
    </row>
    <row r="13" spans="1:18" ht="12.75" customHeight="1" x14ac:dyDescent="0.2"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8" ht="12.75" customHeight="1" x14ac:dyDescent="0.2">
      <c r="A14" s="58" t="s">
        <v>122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18" ht="12.75" customHeight="1" x14ac:dyDescent="0.2">
      <c r="A15" t="s">
        <v>123</v>
      </c>
      <c r="C15" s="62">
        <f>('Income Statement'!E18/365)*'Income Statement'!$U$44</f>
        <v>205.47945205479451</v>
      </c>
      <c r="D15" s="62">
        <f>('Income Statement'!F18/365)*'Income Statement'!$U$44</f>
        <v>124.52054794520548</v>
      </c>
      <c r="E15" s="62">
        <f>('Income Statement'!G18/365)*'Income Statement'!$U$44</f>
        <v>125.76575342465756</v>
      </c>
      <c r="F15" s="62">
        <f>('Income Statement'!H18/365)*'Income Statement'!$U$44</f>
        <v>127.02341095890412</v>
      </c>
      <c r="G15" s="62">
        <f>('Income Statement'!I18/365)*'Income Statement'!$U$44</f>
        <v>128.29364506849319</v>
      </c>
      <c r="H15" s="62">
        <f>('Income Statement'!J18/365)*'Income Statement'!$U$44</f>
        <v>129.57658151917809</v>
      </c>
      <c r="I15" s="62">
        <f>('Income Statement'!K18/365)*'Income Statement'!$U$44</f>
        <v>130.87234733436989</v>
      </c>
      <c r="J15" s="62">
        <f>('Income Statement'!L18/365)*'Income Statement'!$U$44</f>
        <v>132.18107080771358</v>
      </c>
      <c r="K15" s="62">
        <f>('Income Statement'!M18/365)*'Income Statement'!$U$44</f>
        <v>133.5028815157907</v>
      </c>
      <c r="L15" s="62">
        <f>('Income Statement'!N18/365)*'Income Statement'!$U$44</f>
        <v>134.83791033094863</v>
      </c>
      <c r="M15" s="62">
        <f>('Income Statement'!O18/365)*'Income Statement'!$U$44</f>
        <v>136.1862894342581</v>
      </c>
      <c r="R15" s="49" t="s">
        <v>124</v>
      </c>
    </row>
    <row r="16" spans="1:18" ht="12.75" customHeight="1" x14ac:dyDescent="0.2">
      <c r="A16" t="s">
        <v>125</v>
      </c>
      <c r="C16" s="62">
        <f>'Income Statement'!E27</f>
        <v>0</v>
      </c>
      <c r="D16" s="62">
        <f>'Income Statement'!F27</f>
        <v>0</v>
      </c>
      <c r="E16" s="62">
        <f>'Income Statement'!G27</f>
        <v>0</v>
      </c>
      <c r="F16" s="62">
        <f>'Income Statement'!H27</f>
        <v>0</v>
      </c>
      <c r="G16" s="62">
        <f>'Income Statement'!I27</f>
        <v>54163.077010547189</v>
      </c>
      <c r="H16" s="62">
        <f>'Income Statement'!J27</f>
        <v>57993.925363286326</v>
      </c>
      <c r="I16" s="62">
        <f>'Income Statement'!K27</f>
        <v>95927.766506994521</v>
      </c>
      <c r="J16" s="62">
        <f>'Income Statement'!L27</f>
        <v>142317.19249585399</v>
      </c>
      <c r="K16" s="62">
        <f>'Income Statement'!M27</f>
        <v>438100.47381076351</v>
      </c>
      <c r="L16" s="62">
        <f>'Income Statement'!N27</f>
        <v>549433.4418014359</v>
      </c>
      <c r="M16" s="62">
        <f>'Income Statement'!O27</f>
        <v>683768.75945328758</v>
      </c>
    </row>
    <row r="17" spans="1:16" ht="12.75" customHeight="1" x14ac:dyDescent="0.2"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6" ht="12.75" customHeight="1" x14ac:dyDescent="0.2">
      <c r="A18" t="s">
        <v>126</v>
      </c>
      <c r="C18" s="62">
        <f>'Helicopter Secure Loan'!E19</f>
        <v>500501.98623966932</v>
      </c>
      <c r="D18" s="62">
        <f>'Helicopter Secure Loan'!E31</f>
        <v>391670.37248405721</v>
      </c>
      <c r="E18" s="62">
        <f>'Helicopter Secure Loan'!E43</f>
        <v>272629.60267350433</v>
      </c>
      <c r="F18" s="62">
        <f>'Helicopter Secure Loan'!E55</f>
        <v>142421.98755065797</v>
      </c>
      <c r="G18" s="62">
        <f>'Helicopter Secure Loan'!E67+'Helicopter Secure Loan'!L19</f>
        <v>250250.99311983466</v>
      </c>
      <c r="H18" s="62">
        <f>'Helicopter Secure Loan'!L31</f>
        <v>195835.18624202861</v>
      </c>
      <c r="I18" s="62">
        <f>'Helicopter Secure Loan'!L43</f>
        <v>136314.80133675216</v>
      </c>
      <c r="J18" s="62">
        <f>'Helicopter Secure Loan'!L55</f>
        <v>71210.993775328985</v>
      </c>
      <c r="K18" s="62">
        <f>'Helicopter Secure Loan'!L19</f>
        <v>250250.99311983466</v>
      </c>
      <c r="L18" s="62">
        <f>'Helicopter Secure Loan'!L31</f>
        <v>195835.18624202861</v>
      </c>
      <c r="M18" s="62">
        <f>'Helicopter Secure Loan'!L43</f>
        <v>136314.80133675216</v>
      </c>
    </row>
    <row r="19" spans="1:16" ht="12.75" customHeight="1" x14ac:dyDescent="0.2">
      <c r="A19" t="s">
        <v>127</v>
      </c>
      <c r="C19" s="62">
        <v>489056.59</v>
      </c>
      <c r="D19" s="62">
        <v>418012.73</v>
      </c>
      <c r="E19" s="62">
        <v>1338344.8700000001</v>
      </c>
      <c r="F19" s="62">
        <v>1246783.3899999999</v>
      </c>
      <c r="G19" s="62">
        <v>1851185.75</v>
      </c>
      <c r="H19" s="62">
        <v>1250715.44</v>
      </c>
      <c r="I19" s="62">
        <v>1558923.58</v>
      </c>
      <c r="J19" s="62">
        <v>793376.56</v>
      </c>
      <c r="K19" s="62">
        <v>1411662.84</v>
      </c>
      <c r="L19" s="62">
        <v>1094704.23</v>
      </c>
      <c r="M19" s="62">
        <v>1289082.69</v>
      </c>
    </row>
    <row r="20" spans="1:16" ht="12.75" customHeight="1" x14ac:dyDescent="0.2"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6" ht="12.75" customHeight="1" x14ac:dyDescent="0.2">
      <c r="A21" t="s">
        <v>128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6" ht="12.75" customHeight="1" x14ac:dyDescent="0.2">
      <c r="A22" t="s">
        <v>129</v>
      </c>
      <c r="C22" s="62">
        <v>700000</v>
      </c>
      <c r="D22" s="62">
        <v>700000</v>
      </c>
      <c r="E22" s="62">
        <v>700000</v>
      </c>
      <c r="F22" s="62">
        <v>700000</v>
      </c>
      <c r="G22" s="62">
        <v>700000</v>
      </c>
      <c r="H22" s="62">
        <v>700000</v>
      </c>
      <c r="I22" s="62">
        <v>700000</v>
      </c>
      <c r="J22" s="62">
        <v>700000</v>
      </c>
      <c r="K22" s="62">
        <v>700000</v>
      </c>
      <c r="L22" s="62">
        <v>700000</v>
      </c>
      <c r="M22" s="62">
        <v>700000</v>
      </c>
    </row>
    <row r="23" spans="1:16" ht="12.75" customHeight="1" x14ac:dyDescent="0.2">
      <c r="A23" t="s">
        <v>130</v>
      </c>
      <c r="C23" s="62">
        <f>'Income Statement'!E28</f>
        <v>-376222.38434560853</v>
      </c>
      <c r="D23" s="62">
        <f>C23+'Income Statement'!F28</f>
        <v>-734747.72889593593</v>
      </c>
      <c r="E23" s="62">
        <f>D23+'Income Statement'!G28</f>
        <v>-1071942.0311586941</v>
      </c>
      <c r="F23" s="62">
        <f>E23+'Income Statement'!H28</f>
        <v>-1382317.9843610812</v>
      </c>
      <c r="G23" s="62">
        <f>F23+'Income Statement'!I28</f>
        <v>-1281729.412770065</v>
      </c>
      <c r="H23" s="62">
        <f>G23+'Income Statement'!J28</f>
        <v>-1174026.4085239619</v>
      </c>
      <c r="I23" s="62">
        <f>H23+'Income Statement'!K28</f>
        <v>-995874.84215382917</v>
      </c>
      <c r="J23" s="62">
        <f>I23+'Income Statement'!L28</f>
        <v>-731571.48466152884</v>
      </c>
      <c r="K23" s="62">
        <f>J23+'Income Statement'!M28</f>
        <v>82043.680987031898</v>
      </c>
      <c r="L23" s="62">
        <f>K23+'Income Statement'!N28</f>
        <v>1102420.0729039842</v>
      </c>
      <c r="M23" s="62">
        <f>L23+'Income Statement'!O28</f>
        <v>2372276.34046009</v>
      </c>
    </row>
    <row r="24" spans="1:16" ht="12.75" customHeight="1" x14ac:dyDescent="0.2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78"/>
      <c r="O24" s="78"/>
      <c r="P24" s="78"/>
    </row>
    <row r="25" spans="1:16" ht="12.75" customHeight="1" x14ac:dyDescent="0.2">
      <c r="A25" t="s">
        <v>131</v>
      </c>
      <c r="C25" s="41">
        <f t="shared" ref="C25:M25" si="2">SUM(C15:C23)</f>
        <v>1313541.6713461156</v>
      </c>
      <c r="D25" s="41">
        <f t="shared" si="2"/>
        <v>775059.89413606655</v>
      </c>
      <c r="E25" s="41">
        <f t="shared" si="2"/>
        <v>1239158.2072682353</v>
      </c>
      <c r="F25" s="41">
        <f t="shared" si="2"/>
        <v>707014.41660053562</v>
      </c>
      <c r="G25" s="41">
        <f t="shared" si="2"/>
        <v>1573998.7010053853</v>
      </c>
      <c r="H25" s="41">
        <f t="shared" si="2"/>
        <v>1030647.7196628721</v>
      </c>
      <c r="I25" s="41">
        <f t="shared" si="2"/>
        <v>1495422.1780372518</v>
      </c>
      <c r="J25" s="41">
        <f t="shared" si="2"/>
        <v>975465.4426804618</v>
      </c>
      <c r="K25" s="41">
        <f t="shared" si="2"/>
        <v>2882191.4907991458</v>
      </c>
      <c r="L25" s="41">
        <f t="shared" si="2"/>
        <v>3642527.7688577799</v>
      </c>
      <c r="M25" s="41">
        <f t="shared" si="2"/>
        <v>5181578.7775395643</v>
      </c>
      <c r="N25" s="53"/>
      <c r="O25" s="53"/>
      <c r="P25" s="53"/>
    </row>
    <row r="27" spans="1:16" ht="12.75" customHeight="1" x14ac:dyDescent="0.2">
      <c r="A27" t="s">
        <v>132</v>
      </c>
      <c r="C27" s="31">
        <f t="shared" ref="C27:M27" si="3">C12-C25</f>
        <v>-4.6794489026069641E-3</v>
      </c>
      <c r="D27" s="31">
        <f t="shared" si="3"/>
        <v>1.6972668236121535E-3</v>
      </c>
      <c r="E27" s="31">
        <f t="shared" si="3"/>
        <v>-4.1432352736592293E-3</v>
      </c>
      <c r="F27" s="31">
        <f t="shared" si="3"/>
        <v>3.9723810041323304E-3</v>
      </c>
      <c r="G27" s="31">
        <f t="shared" si="3"/>
        <v>4.2355000041425228E-3</v>
      </c>
      <c r="H27" s="31">
        <f t="shared" si="3"/>
        <v>-4.7784320777282119E-3</v>
      </c>
      <c r="I27" s="31">
        <f t="shared" si="3"/>
        <v>-1.0983683168888092E-3</v>
      </c>
      <c r="J27" s="31">
        <f t="shared" si="3"/>
        <v>1.8264759564772248E-3</v>
      </c>
      <c r="K27" s="31">
        <f t="shared" si="3"/>
        <v>3.6013061180710793E-3</v>
      </c>
      <c r="L27" s="31">
        <f t="shared" si="3"/>
        <v>7.6117459684610367E-5</v>
      </c>
      <c r="M27" s="31">
        <f t="shared" si="3"/>
        <v>2.4780817329883575E-4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7"/>
  <sheetViews>
    <sheetView workbookViewId="0"/>
  </sheetViews>
  <sheetFormatPr defaultColWidth="17.140625" defaultRowHeight="12.75" customHeight="1" x14ac:dyDescent="0.2"/>
  <sheetData>
    <row r="1" spans="1:13" ht="12.75" customHeight="1" x14ac:dyDescent="0.2">
      <c r="B1" t="s">
        <v>133</v>
      </c>
      <c r="C1">
        <f>'Balance Sheet'!C9</f>
        <v>800000</v>
      </c>
      <c r="E1" t="s">
        <v>134</v>
      </c>
      <c r="F1">
        <v>0.75</v>
      </c>
      <c r="I1" t="s">
        <v>133</v>
      </c>
      <c r="J1">
        <f>'Balance Sheet'!G9-'Balance Sheet'!F9</f>
        <v>400000</v>
      </c>
      <c r="L1" t="s">
        <v>134</v>
      </c>
      <c r="M1">
        <v>0.75</v>
      </c>
    </row>
    <row r="2" spans="1:13" ht="12.75" customHeight="1" x14ac:dyDescent="0.2">
      <c r="B2" t="s">
        <v>135</v>
      </c>
      <c r="C2" s="62">
        <f>C1*F1</f>
        <v>600000</v>
      </c>
      <c r="I2" t="s">
        <v>135</v>
      </c>
      <c r="J2" s="62">
        <f>J1*M1</f>
        <v>300000</v>
      </c>
    </row>
    <row r="3" spans="1:13" ht="12.75" customHeight="1" x14ac:dyDescent="0.2">
      <c r="B3" t="s">
        <v>136</v>
      </c>
      <c r="C3">
        <v>0.09</v>
      </c>
      <c r="I3" t="s">
        <v>136</v>
      </c>
      <c r="J3">
        <v>0.09</v>
      </c>
    </row>
    <row r="4" spans="1:13" ht="12.75" customHeight="1" x14ac:dyDescent="0.2">
      <c r="B4" t="s">
        <v>137</v>
      </c>
      <c r="C4">
        <v>60</v>
      </c>
      <c r="I4" t="s">
        <v>137</v>
      </c>
      <c r="J4">
        <v>60</v>
      </c>
    </row>
    <row r="6" spans="1:13" ht="12.75" customHeight="1" x14ac:dyDescent="0.2">
      <c r="B6" t="s">
        <v>138</v>
      </c>
      <c r="C6" t="s">
        <v>139</v>
      </c>
      <c r="D6" t="s">
        <v>140</v>
      </c>
      <c r="E6" t="s">
        <v>141</v>
      </c>
      <c r="I6" t="s">
        <v>138</v>
      </c>
      <c r="J6" t="s">
        <v>139</v>
      </c>
      <c r="K6" t="s">
        <v>140</v>
      </c>
      <c r="L6" t="s">
        <v>141</v>
      </c>
    </row>
    <row r="7" spans="1:13" ht="12.75" customHeight="1" x14ac:dyDescent="0.2">
      <c r="B7" s="62"/>
      <c r="C7" s="62"/>
      <c r="D7" s="62"/>
      <c r="E7" s="62">
        <f>C2</f>
        <v>600000</v>
      </c>
      <c r="I7" s="62"/>
      <c r="J7" s="62"/>
      <c r="K7" s="62"/>
      <c r="L7" s="62">
        <f>J2</f>
        <v>300000</v>
      </c>
    </row>
    <row r="8" spans="1:13" ht="12.75" customHeight="1" x14ac:dyDescent="0.2">
      <c r="A8">
        <v>1</v>
      </c>
      <c r="B8" s="62">
        <f t="shared" ref="B8:B39" si="0">PMT(($C$3/12),$C$4,-$C$2)</f>
        <v>12455.013135812405</v>
      </c>
      <c r="C8" s="62">
        <f t="shared" ref="C8:C39" si="1">E7*($C$3/12)</f>
        <v>4500</v>
      </c>
      <c r="D8" s="62">
        <f t="shared" ref="D8:D39" si="2">B8-C8</f>
        <v>7955.0131358124054</v>
      </c>
      <c r="E8" s="62">
        <f t="shared" ref="E8:E39" si="3">E7-D8</f>
        <v>592044.98686418764</v>
      </c>
      <c r="H8">
        <v>1</v>
      </c>
      <c r="I8" s="62">
        <f t="shared" ref="I8:I39" si="4">PMT(($J$3/12),$J$4,-$J$2)</f>
        <v>6227.5065679062027</v>
      </c>
      <c r="J8" s="62">
        <f t="shared" ref="J8:J39" si="5">L7*($C$3/12)</f>
        <v>2250</v>
      </c>
      <c r="K8" s="62">
        <f t="shared" ref="K8:K39" si="6">I8-J8</f>
        <v>3977.5065679062027</v>
      </c>
      <c r="L8" s="62">
        <f t="shared" ref="L8:L39" si="7">L7-K8</f>
        <v>296022.49343209382</v>
      </c>
    </row>
    <row r="9" spans="1:13" ht="12.75" customHeight="1" x14ac:dyDescent="0.2">
      <c r="A9">
        <v>2</v>
      </c>
      <c r="B9" s="62">
        <f t="shared" si="0"/>
        <v>12455.013135812405</v>
      </c>
      <c r="C9" s="62">
        <f t="shared" si="1"/>
        <v>4440.3374014814071</v>
      </c>
      <c r="D9" s="62">
        <f t="shared" si="2"/>
        <v>8014.6757343309982</v>
      </c>
      <c r="E9" s="62">
        <f t="shared" si="3"/>
        <v>584030.31112985662</v>
      </c>
      <c r="H9">
        <v>2</v>
      </c>
      <c r="I9" s="62">
        <f t="shared" si="4"/>
        <v>6227.5065679062027</v>
      </c>
      <c r="J9" s="62">
        <f t="shared" si="5"/>
        <v>2220.1687007407036</v>
      </c>
      <c r="K9" s="62">
        <f t="shared" si="6"/>
        <v>4007.3378671654991</v>
      </c>
      <c r="L9" s="62">
        <f t="shared" si="7"/>
        <v>292015.15556492831</v>
      </c>
    </row>
    <row r="10" spans="1:13" ht="12.75" customHeight="1" x14ac:dyDescent="0.2">
      <c r="A10">
        <v>3</v>
      </c>
      <c r="B10" s="62">
        <f t="shared" si="0"/>
        <v>12455.013135812405</v>
      </c>
      <c r="C10" s="62">
        <f t="shared" si="1"/>
        <v>4380.2273334739248</v>
      </c>
      <c r="D10" s="62">
        <f t="shared" si="2"/>
        <v>8074.7858023384806</v>
      </c>
      <c r="E10" s="62">
        <f t="shared" si="3"/>
        <v>575955.52532751812</v>
      </c>
      <c r="H10">
        <v>3</v>
      </c>
      <c r="I10" s="62">
        <f t="shared" si="4"/>
        <v>6227.5065679062027</v>
      </c>
      <c r="J10" s="62">
        <f t="shared" si="5"/>
        <v>2190.1136667369624</v>
      </c>
      <c r="K10" s="62">
        <f t="shared" si="6"/>
        <v>4037.3929011692403</v>
      </c>
      <c r="L10" s="62">
        <f t="shared" si="7"/>
        <v>287977.76266375906</v>
      </c>
    </row>
    <row r="11" spans="1:13" ht="12.75" customHeight="1" x14ac:dyDescent="0.2">
      <c r="A11">
        <v>4</v>
      </c>
      <c r="B11" s="62">
        <f t="shared" si="0"/>
        <v>12455.013135812405</v>
      </c>
      <c r="C11" s="62">
        <f t="shared" si="1"/>
        <v>4319.6664399563861</v>
      </c>
      <c r="D11" s="62">
        <f t="shared" si="2"/>
        <v>8135.3466958560193</v>
      </c>
      <c r="E11" s="62">
        <f t="shared" si="3"/>
        <v>567820.17863166204</v>
      </c>
      <c r="H11">
        <v>4</v>
      </c>
      <c r="I11" s="62">
        <f t="shared" si="4"/>
        <v>6227.5065679062027</v>
      </c>
      <c r="J11" s="62">
        <f t="shared" si="5"/>
        <v>2159.833219978193</v>
      </c>
      <c r="K11" s="62">
        <f t="shared" si="6"/>
        <v>4067.6733479280097</v>
      </c>
      <c r="L11" s="62">
        <f t="shared" si="7"/>
        <v>283910.08931583102</v>
      </c>
    </row>
    <row r="12" spans="1:13" ht="12.75" customHeight="1" x14ac:dyDescent="0.2">
      <c r="A12">
        <v>5</v>
      </c>
      <c r="B12" s="62">
        <f t="shared" si="0"/>
        <v>12455.013135812405</v>
      </c>
      <c r="C12" s="62">
        <f t="shared" si="1"/>
        <v>4258.6513397374656</v>
      </c>
      <c r="D12" s="62">
        <f t="shared" si="2"/>
        <v>8196.3617960749398</v>
      </c>
      <c r="E12" s="62">
        <f t="shared" si="3"/>
        <v>559623.81683558715</v>
      </c>
      <c r="H12">
        <v>5</v>
      </c>
      <c r="I12" s="62">
        <f t="shared" si="4"/>
        <v>6227.5065679062027</v>
      </c>
      <c r="J12" s="62">
        <f t="shared" si="5"/>
        <v>2129.3256698687328</v>
      </c>
      <c r="K12" s="62">
        <f t="shared" si="6"/>
        <v>4098.1808980374699</v>
      </c>
      <c r="L12" s="62">
        <f t="shared" si="7"/>
        <v>279811.90841779357</v>
      </c>
    </row>
    <row r="13" spans="1:13" ht="12.75" customHeight="1" x14ac:dyDescent="0.2">
      <c r="A13">
        <v>6</v>
      </c>
      <c r="B13" s="62">
        <f t="shared" si="0"/>
        <v>12455.013135812405</v>
      </c>
      <c r="C13" s="62">
        <f t="shared" si="1"/>
        <v>4197.1786262669038</v>
      </c>
      <c r="D13" s="62">
        <f t="shared" si="2"/>
        <v>8257.8345095455006</v>
      </c>
      <c r="E13" s="62">
        <f t="shared" si="3"/>
        <v>551365.98232604167</v>
      </c>
      <c r="H13">
        <v>6</v>
      </c>
      <c r="I13" s="62">
        <f t="shared" si="4"/>
        <v>6227.5065679062027</v>
      </c>
      <c r="J13" s="62">
        <f t="shared" si="5"/>
        <v>2098.5893131334519</v>
      </c>
      <c r="K13" s="62">
        <f t="shared" si="6"/>
        <v>4128.9172547727503</v>
      </c>
      <c r="L13" s="62">
        <f t="shared" si="7"/>
        <v>275682.99116302084</v>
      </c>
    </row>
    <row r="14" spans="1:13" ht="12.75" customHeight="1" x14ac:dyDescent="0.2">
      <c r="A14">
        <v>7</v>
      </c>
      <c r="B14" s="62">
        <f t="shared" si="0"/>
        <v>12455.013135812405</v>
      </c>
      <c r="C14" s="62">
        <f t="shared" si="1"/>
        <v>4135.2448674453126</v>
      </c>
      <c r="D14" s="62">
        <f t="shared" si="2"/>
        <v>8319.7682683670937</v>
      </c>
      <c r="E14" s="62">
        <f t="shared" si="3"/>
        <v>543046.21405767463</v>
      </c>
      <c r="H14">
        <v>7</v>
      </c>
      <c r="I14" s="62">
        <f t="shared" si="4"/>
        <v>6227.5065679062027</v>
      </c>
      <c r="J14" s="62">
        <f t="shared" si="5"/>
        <v>2067.6224337226563</v>
      </c>
      <c r="K14" s="62">
        <f t="shared" si="6"/>
        <v>4159.8841341835468</v>
      </c>
      <c r="L14" s="62">
        <f t="shared" si="7"/>
        <v>271523.10702883732</v>
      </c>
    </row>
    <row r="15" spans="1:13" ht="12.75" customHeight="1" x14ac:dyDescent="0.2">
      <c r="A15">
        <v>8</v>
      </c>
      <c r="B15" s="62">
        <f t="shared" si="0"/>
        <v>12455.013135812405</v>
      </c>
      <c r="C15" s="62">
        <f t="shared" si="1"/>
        <v>4072.8466054325595</v>
      </c>
      <c r="D15" s="62">
        <f t="shared" si="2"/>
        <v>8382.1665303798454</v>
      </c>
      <c r="E15" s="62">
        <f t="shared" si="3"/>
        <v>534664.04752729484</v>
      </c>
      <c r="H15">
        <v>8</v>
      </c>
      <c r="I15" s="62">
        <f t="shared" si="4"/>
        <v>6227.5065679062027</v>
      </c>
      <c r="J15" s="62">
        <f t="shared" si="5"/>
        <v>2036.4233027162797</v>
      </c>
      <c r="K15" s="62">
        <f t="shared" si="6"/>
        <v>4191.0832651899227</v>
      </c>
      <c r="L15" s="62">
        <f t="shared" si="7"/>
        <v>267332.02376364742</v>
      </c>
    </row>
    <row r="16" spans="1:13" ht="12.75" customHeight="1" x14ac:dyDescent="0.2">
      <c r="A16">
        <v>9</v>
      </c>
      <c r="B16" s="62">
        <f t="shared" si="0"/>
        <v>12455.013135812405</v>
      </c>
      <c r="C16" s="62">
        <f t="shared" si="1"/>
        <v>4009.980356454711</v>
      </c>
      <c r="D16" s="62">
        <f t="shared" si="2"/>
        <v>8445.0327793576944</v>
      </c>
      <c r="E16" s="62">
        <f t="shared" si="3"/>
        <v>526219.01474793709</v>
      </c>
      <c r="H16">
        <v>9</v>
      </c>
      <c r="I16" s="62">
        <f t="shared" si="4"/>
        <v>6227.5065679062027</v>
      </c>
      <c r="J16" s="62">
        <f t="shared" si="5"/>
        <v>2004.9901782273555</v>
      </c>
      <c r="K16" s="62">
        <f t="shared" si="6"/>
        <v>4222.5163896788472</v>
      </c>
      <c r="L16" s="62">
        <f t="shared" si="7"/>
        <v>263109.50737396855</v>
      </c>
    </row>
    <row r="17" spans="1:12" ht="12.75" customHeight="1" x14ac:dyDescent="0.2">
      <c r="A17">
        <v>10</v>
      </c>
      <c r="B17" s="62">
        <f t="shared" si="0"/>
        <v>12455.013135812405</v>
      </c>
      <c r="C17" s="62">
        <f t="shared" si="1"/>
        <v>3946.6426106095282</v>
      </c>
      <c r="D17" s="62">
        <f t="shared" si="2"/>
        <v>8508.3705252028776</v>
      </c>
      <c r="E17" s="62">
        <f t="shared" si="3"/>
        <v>517710.6442227342</v>
      </c>
      <c r="H17">
        <v>10</v>
      </c>
      <c r="I17" s="62">
        <f t="shared" si="4"/>
        <v>6227.5065679062027</v>
      </c>
      <c r="J17" s="62">
        <f t="shared" si="5"/>
        <v>1973.3213053047641</v>
      </c>
      <c r="K17" s="62">
        <f t="shared" si="6"/>
        <v>4254.1852626014388</v>
      </c>
      <c r="L17" s="62">
        <f t="shared" si="7"/>
        <v>258855.3221113671</v>
      </c>
    </row>
    <row r="18" spans="1:12" ht="12.75" customHeight="1" x14ac:dyDescent="0.2">
      <c r="A18">
        <v>11</v>
      </c>
      <c r="B18" s="62">
        <f t="shared" si="0"/>
        <v>12455.013135812405</v>
      </c>
      <c r="C18" s="62">
        <f t="shared" si="1"/>
        <v>3882.8298316705063</v>
      </c>
      <c r="D18" s="62">
        <f t="shared" si="2"/>
        <v>8572.1833041418995</v>
      </c>
      <c r="E18" s="62">
        <f t="shared" si="3"/>
        <v>509138.46091859229</v>
      </c>
      <c r="H18">
        <v>11</v>
      </c>
      <c r="I18" s="62">
        <f t="shared" si="4"/>
        <v>6227.5065679062027</v>
      </c>
      <c r="J18" s="62">
        <f t="shared" si="5"/>
        <v>1941.4149158352532</v>
      </c>
      <c r="K18" s="62">
        <f t="shared" si="6"/>
        <v>4286.0916520709497</v>
      </c>
      <c r="L18" s="62">
        <f t="shared" si="7"/>
        <v>254569.23045929614</v>
      </c>
    </row>
    <row r="19" spans="1:12" ht="12.75" customHeight="1" x14ac:dyDescent="0.2">
      <c r="A19">
        <v>12</v>
      </c>
      <c r="B19" s="62">
        <f t="shared" si="0"/>
        <v>12455.013135812405</v>
      </c>
      <c r="C19" s="62">
        <f t="shared" si="1"/>
        <v>3818.5384568894419</v>
      </c>
      <c r="D19" s="62">
        <f t="shared" si="2"/>
        <v>8636.474678922963</v>
      </c>
      <c r="E19" s="62">
        <f t="shared" si="3"/>
        <v>500501.98623966932</v>
      </c>
      <c r="H19">
        <v>12</v>
      </c>
      <c r="I19" s="62">
        <f t="shared" si="4"/>
        <v>6227.5065679062027</v>
      </c>
      <c r="J19" s="62">
        <f t="shared" si="5"/>
        <v>1909.269228444721</v>
      </c>
      <c r="K19" s="62">
        <f t="shared" si="6"/>
        <v>4318.2373394614815</v>
      </c>
      <c r="L19" s="62">
        <f t="shared" si="7"/>
        <v>250250.99311983466</v>
      </c>
    </row>
    <row r="20" spans="1:12" ht="12.75" customHeight="1" x14ac:dyDescent="0.2">
      <c r="A20">
        <v>13</v>
      </c>
      <c r="B20" s="62">
        <f t="shared" si="0"/>
        <v>12455.013135812405</v>
      </c>
      <c r="C20" s="62">
        <f t="shared" si="1"/>
        <v>3753.7648967975197</v>
      </c>
      <c r="D20" s="62">
        <f t="shared" si="2"/>
        <v>8701.2482390148853</v>
      </c>
      <c r="E20" s="62">
        <f t="shared" si="3"/>
        <v>491800.73800065444</v>
      </c>
      <c r="H20">
        <v>13</v>
      </c>
      <c r="I20" s="62">
        <f t="shared" si="4"/>
        <v>6227.5065679062027</v>
      </c>
      <c r="J20" s="62">
        <f t="shared" si="5"/>
        <v>1876.8824483987598</v>
      </c>
      <c r="K20" s="62">
        <f t="shared" si="6"/>
        <v>4350.6241195074426</v>
      </c>
      <c r="L20" s="62">
        <f t="shared" si="7"/>
        <v>245900.36900032722</v>
      </c>
    </row>
    <row r="21" spans="1:12" ht="12.75" customHeight="1" x14ac:dyDescent="0.2">
      <c r="A21">
        <v>14</v>
      </c>
      <c r="B21" s="62">
        <f t="shared" si="0"/>
        <v>12455.013135812405</v>
      </c>
      <c r="C21" s="62">
        <f t="shared" si="1"/>
        <v>3688.5055350049083</v>
      </c>
      <c r="D21" s="62">
        <f t="shared" si="2"/>
        <v>8766.5076008074975</v>
      </c>
      <c r="E21" s="62">
        <f t="shared" si="3"/>
        <v>483034.23039984691</v>
      </c>
      <c r="H21">
        <v>14</v>
      </c>
      <c r="I21" s="62">
        <f t="shared" si="4"/>
        <v>6227.5065679062027</v>
      </c>
      <c r="J21" s="62">
        <f t="shared" si="5"/>
        <v>1844.2527675024542</v>
      </c>
      <c r="K21" s="62">
        <f t="shared" si="6"/>
        <v>4383.2538004037488</v>
      </c>
      <c r="L21" s="62">
        <f t="shared" si="7"/>
        <v>241517.11519992346</v>
      </c>
    </row>
    <row r="22" spans="1:12" ht="12.75" customHeight="1" x14ac:dyDescent="0.2">
      <c r="A22">
        <v>15</v>
      </c>
      <c r="B22" s="62">
        <f t="shared" si="0"/>
        <v>12455.013135812405</v>
      </c>
      <c r="C22" s="62">
        <f t="shared" si="1"/>
        <v>3622.7567279988516</v>
      </c>
      <c r="D22" s="62">
        <f t="shared" si="2"/>
        <v>8832.2564078135547</v>
      </c>
      <c r="E22" s="62">
        <f t="shared" si="3"/>
        <v>474201.97399203334</v>
      </c>
      <c r="H22">
        <v>15</v>
      </c>
      <c r="I22" s="62">
        <f t="shared" si="4"/>
        <v>6227.5065679062027</v>
      </c>
      <c r="J22" s="62">
        <f t="shared" si="5"/>
        <v>1811.3783639994258</v>
      </c>
      <c r="K22" s="62">
        <f t="shared" si="6"/>
        <v>4416.1282039067773</v>
      </c>
      <c r="L22" s="62">
        <f t="shared" si="7"/>
        <v>237100.98699601667</v>
      </c>
    </row>
    <row r="23" spans="1:12" ht="12.75" customHeight="1" x14ac:dyDescent="0.2">
      <c r="A23">
        <v>16</v>
      </c>
      <c r="B23" s="62">
        <f t="shared" si="0"/>
        <v>12455.013135812405</v>
      </c>
      <c r="C23" s="62">
        <f t="shared" si="1"/>
        <v>3556.5148049402501</v>
      </c>
      <c r="D23" s="62">
        <f t="shared" si="2"/>
        <v>8898.4983308721548</v>
      </c>
      <c r="E23" s="62">
        <f t="shared" si="3"/>
        <v>465303.47566116118</v>
      </c>
      <c r="H23">
        <v>16</v>
      </c>
      <c r="I23" s="62">
        <f t="shared" si="4"/>
        <v>6227.5065679062027</v>
      </c>
      <c r="J23" s="62">
        <f t="shared" si="5"/>
        <v>1778.257402470125</v>
      </c>
      <c r="K23" s="62">
        <f t="shared" si="6"/>
        <v>4449.2491654360774</v>
      </c>
      <c r="L23" s="62">
        <f t="shared" si="7"/>
        <v>232651.73783058059</v>
      </c>
    </row>
    <row r="24" spans="1:12" ht="12.75" customHeight="1" x14ac:dyDescent="0.2">
      <c r="A24">
        <v>17</v>
      </c>
      <c r="B24" s="62">
        <f t="shared" si="0"/>
        <v>12455.013135812405</v>
      </c>
      <c r="C24" s="62">
        <f t="shared" si="1"/>
        <v>3489.7760674587089</v>
      </c>
      <c r="D24" s="62">
        <f t="shared" si="2"/>
        <v>8965.2370683536974</v>
      </c>
      <c r="E24" s="62">
        <f t="shared" si="3"/>
        <v>456338.23859280749</v>
      </c>
      <c r="H24">
        <v>17</v>
      </c>
      <c r="I24" s="62">
        <f t="shared" si="4"/>
        <v>6227.5065679062027</v>
      </c>
      <c r="J24" s="62">
        <f t="shared" si="5"/>
        <v>1744.8880337293544</v>
      </c>
      <c r="K24" s="62">
        <f t="shared" si="6"/>
        <v>4482.6185341768487</v>
      </c>
      <c r="L24" s="62">
        <f t="shared" si="7"/>
        <v>228169.11929640375</v>
      </c>
    </row>
    <row r="25" spans="1:12" ht="12.75" customHeight="1" x14ac:dyDescent="0.2">
      <c r="A25">
        <v>18</v>
      </c>
      <c r="B25" s="62">
        <f t="shared" si="0"/>
        <v>12455.013135812405</v>
      </c>
      <c r="C25" s="62">
        <f t="shared" si="1"/>
        <v>3422.536789446056</v>
      </c>
      <c r="D25" s="62">
        <f t="shared" si="2"/>
        <v>9032.4763463663494</v>
      </c>
      <c r="E25" s="62">
        <f t="shared" si="3"/>
        <v>447305.76224644115</v>
      </c>
      <c r="H25">
        <v>18</v>
      </c>
      <c r="I25" s="62">
        <f t="shared" si="4"/>
        <v>6227.5065679062027</v>
      </c>
      <c r="J25" s="62">
        <f t="shared" si="5"/>
        <v>1711.268394723028</v>
      </c>
      <c r="K25" s="62">
        <f t="shared" si="6"/>
        <v>4516.2381731831747</v>
      </c>
      <c r="L25" s="62">
        <f t="shared" si="7"/>
        <v>223652.88112322058</v>
      </c>
    </row>
    <row r="26" spans="1:12" ht="12.75" customHeight="1" x14ac:dyDescent="0.2">
      <c r="A26">
        <v>19</v>
      </c>
      <c r="B26" s="62">
        <f t="shared" si="0"/>
        <v>12455.013135812405</v>
      </c>
      <c r="C26" s="62">
        <f t="shared" si="1"/>
        <v>3354.7932168483085</v>
      </c>
      <c r="D26" s="62">
        <f t="shared" si="2"/>
        <v>9100.219918964096</v>
      </c>
      <c r="E26" s="62">
        <f t="shared" si="3"/>
        <v>438205.54232747707</v>
      </c>
      <c r="H26">
        <v>19</v>
      </c>
      <c r="I26" s="62">
        <f t="shared" si="4"/>
        <v>6227.5065679062027</v>
      </c>
      <c r="J26" s="62">
        <f t="shared" si="5"/>
        <v>1677.3966084241542</v>
      </c>
      <c r="K26" s="62">
        <f t="shared" si="6"/>
        <v>4550.109959482048</v>
      </c>
      <c r="L26" s="62">
        <f t="shared" si="7"/>
        <v>219102.77116373854</v>
      </c>
    </row>
    <row r="27" spans="1:12" ht="12.75" customHeight="1" x14ac:dyDescent="0.2">
      <c r="A27">
        <v>20</v>
      </c>
      <c r="B27" s="62">
        <f t="shared" si="0"/>
        <v>12455.013135812405</v>
      </c>
      <c r="C27" s="62">
        <f t="shared" si="1"/>
        <v>3286.5415674560777</v>
      </c>
      <c r="D27" s="62">
        <f t="shared" si="2"/>
        <v>9168.4715683563281</v>
      </c>
      <c r="E27" s="62">
        <f t="shared" si="3"/>
        <v>429037.07075912075</v>
      </c>
      <c r="H27">
        <v>20</v>
      </c>
      <c r="I27" s="62">
        <f t="shared" si="4"/>
        <v>6227.5065679062027</v>
      </c>
      <c r="J27" s="62">
        <f t="shared" si="5"/>
        <v>1643.2707837280389</v>
      </c>
      <c r="K27" s="62">
        <f t="shared" si="6"/>
        <v>4584.2357841781641</v>
      </c>
      <c r="L27" s="62">
        <f t="shared" si="7"/>
        <v>214518.53537956037</v>
      </c>
    </row>
    <row r="28" spans="1:12" ht="12.75" customHeight="1" x14ac:dyDescent="0.2">
      <c r="A28">
        <v>21</v>
      </c>
      <c r="B28" s="62">
        <f t="shared" si="0"/>
        <v>12455.013135812405</v>
      </c>
      <c r="C28" s="62">
        <f t="shared" si="1"/>
        <v>3217.7780306934055</v>
      </c>
      <c r="D28" s="62">
        <f t="shared" si="2"/>
        <v>9237.2351051189999</v>
      </c>
      <c r="E28" s="62">
        <f t="shared" si="3"/>
        <v>419799.83565400174</v>
      </c>
      <c r="H28">
        <v>21</v>
      </c>
      <c r="I28" s="62">
        <f t="shared" si="4"/>
        <v>6227.5065679062027</v>
      </c>
      <c r="J28" s="62">
        <f t="shared" si="5"/>
        <v>1608.8890153467028</v>
      </c>
      <c r="K28" s="62">
        <f t="shared" si="6"/>
        <v>4618.6175525594999</v>
      </c>
      <c r="L28" s="62">
        <f t="shared" si="7"/>
        <v>209899.91782700087</v>
      </c>
    </row>
    <row r="29" spans="1:12" ht="12.75" customHeight="1" x14ac:dyDescent="0.2">
      <c r="A29">
        <v>22</v>
      </c>
      <c r="B29" s="62">
        <f t="shared" si="0"/>
        <v>12455.013135812405</v>
      </c>
      <c r="C29" s="62">
        <f t="shared" si="1"/>
        <v>3148.498767405013</v>
      </c>
      <c r="D29" s="62">
        <f t="shared" si="2"/>
        <v>9306.5143684073919</v>
      </c>
      <c r="E29" s="62">
        <f t="shared" si="3"/>
        <v>410493.32128559437</v>
      </c>
      <c r="H29">
        <v>22</v>
      </c>
      <c r="I29" s="62">
        <f t="shared" si="4"/>
        <v>6227.5065679062027</v>
      </c>
      <c r="J29" s="62">
        <f t="shared" si="5"/>
        <v>1574.2493837025065</v>
      </c>
      <c r="K29" s="62">
        <f t="shared" si="6"/>
        <v>4653.2571842036959</v>
      </c>
      <c r="L29" s="62">
        <f t="shared" si="7"/>
        <v>205246.66064279719</v>
      </c>
    </row>
    <row r="30" spans="1:12" ht="12.75" customHeight="1" x14ac:dyDescent="0.2">
      <c r="A30">
        <v>23</v>
      </c>
      <c r="B30" s="62">
        <f t="shared" si="0"/>
        <v>12455.013135812405</v>
      </c>
      <c r="C30" s="62">
        <f t="shared" si="1"/>
        <v>3078.6999096419577</v>
      </c>
      <c r="D30" s="62">
        <f t="shared" si="2"/>
        <v>9376.3132261704486</v>
      </c>
      <c r="E30" s="62">
        <f t="shared" si="3"/>
        <v>401117.00805942394</v>
      </c>
      <c r="H30">
        <v>23</v>
      </c>
      <c r="I30" s="62">
        <f t="shared" si="4"/>
        <v>6227.5065679062027</v>
      </c>
      <c r="J30" s="62">
        <f t="shared" si="5"/>
        <v>1539.3499548209788</v>
      </c>
      <c r="K30" s="62">
        <f t="shared" si="6"/>
        <v>4688.1566130852243</v>
      </c>
      <c r="L30" s="62">
        <f t="shared" si="7"/>
        <v>200558.50402971197</v>
      </c>
    </row>
    <row r="31" spans="1:12" ht="12.75" customHeight="1" x14ac:dyDescent="0.2">
      <c r="A31">
        <v>24</v>
      </c>
      <c r="B31" s="62">
        <f t="shared" si="0"/>
        <v>12455.013135812405</v>
      </c>
      <c r="C31" s="62">
        <f t="shared" si="1"/>
        <v>3008.3775604456796</v>
      </c>
      <c r="D31" s="62">
        <f t="shared" si="2"/>
        <v>9446.6355753667267</v>
      </c>
      <c r="E31" s="62">
        <f t="shared" si="3"/>
        <v>391670.37248405721</v>
      </c>
      <c r="H31">
        <v>24</v>
      </c>
      <c r="I31" s="62">
        <f t="shared" si="4"/>
        <v>6227.5065679062027</v>
      </c>
      <c r="J31" s="62">
        <f t="shared" si="5"/>
        <v>1504.1887802228398</v>
      </c>
      <c r="K31" s="62">
        <f t="shared" si="6"/>
        <v>4723.3177876833633</v>
      </c>
      <c r="L31" s="62">
        <f t="shared" si="7"/>
        <v>195835.18624202861</v>
      </c>
    </row>
    <row r="32" spans="1:12" ht="12.75" customHeight="1" x14ac:dyDescent="0.2">
      <c r="A32">
        <v>25</v>
      </c>
      <c r="B32" s="62">
        <f t="shared" si="0"/>
        <v>12455.013135812405</v>
      </c>
      <c r="C32" s="62">
        <f t="shared" si="1"/>
        <v>2937.5277936304292</v>
      </c>
      <c r="D32" s="62">
        <f t="shared" si="2"/>
        <v>9517.4853421819753</v>
      </c>
      <c r="E32" s="62">
        <f t="shared" si="3"/>
        <v>382152.88714187522</v>
      </c>
      <c r="H32">
        <v>25</v>
      </c>
      <c r="I32" s="62">
        <f t="shared" si="4"/>
        <v>6227.5065679062027</v>
      </c>
      <c r="J32" s="62">
        <f t="shared" si="5"/>
        <v>1468.7638968152146</v>
      </c>
      <c r="K32" s="62">
        <f t="shared" si="6"/>
        <v>4758.7426710909876</v>
      </c>
      <c r="L32" s="62">
        <f t="shared" si="7"/>
        <v>191076.44357093761</v>
      </c>
    </row>
    <row r="33" spans="1:12" ht="12.75" customHeight="1" x14ac:dyDescent="0.2">
      <c r="A33">
        <v>26</v>
      </c>
      <c r="B33" s="62">
        <f t="shared" si="0"/>
        <v>12455.013135812405</v>
      </c>
      <c r="C33" s="62">
        <f t="shared" si="1"/>
        <v>2866.1466535640639</v>
      </c>
      <c r="D33" s="62">
        <f t="shared" si="2"/>
        <v>9588.8664822483406</v>
      </c>
      <c r="E33" s="62">
        <f t="shared" si="3"/>
        <v>372564.02065962687</v>
      </c>
      <c r="H33">
        <v>26</v>
      </c>
      <c r="I33" s="62">
        <f t="shared" si="4"/>
        <v>6227.5065679062027</v>
      </c>
      <c r="J33" s="62">
        <f t="shared" si="5"/>
        <v>1433.0733267820319</v>
      </c>
      <c r="K33" s="62">
        <f t="shared" si="6"/>
        <v>4794.4332411241703</v>
      </c>
      <c r="L33" s="62">
        <f t="shared" si="7"/>
        <v>186282.01032981343</v>
      </c>
    </row>
    <row r="34" spans="1:12" ht="12.75" customHeight="1" x14ac:dyDescent="0.2">
      <c r="A34">
        <v>27</v>
      </c>
      <c r="B34" s="62">
        <f t="shared" si="0"/>
        <v>12455.013135812405</v>
      </c>
      <c r="C34" s="62">
        <f t="shared" si="1"/>
        <v>2794.2301549472013</v>
      </c>
      <c r="D34" s="62">
        <f t="shared" si="2"/>
        <v>9660.7829808652041</v>
      </c>
      <c r="E34" s="62">
        <f t="shared" si="3"/>
        <v>362903.23767876165</v>
      </c>
      <c r="H34">
        <v>27</v>
      </c>
      <c r="I34" s="62">
        <f t="shared" si="4"/>
        <v>6227.5065679062027</v>
      </c>
      <c r="J34" s="62">
        <f t="shared" si="5"/>
        <v>1397.1150774736006</v>
      </c>
      <c r="K34" s="62">
        <f t="shared" si="6"/>
        <v>4830.391490432602</v>
      </c>
      <c r="L34" s="62">
        <f t="shared" si="7"/>
        <v>181451.61883938083</v>
      </c>
    </row>
    <row r="35" spans="1:12" ht="12.75" customHeight="1" x14ac:dyDescent="0.2">
      <c r="A35">
        <v>28</v>
      </c>
      <c r="B35" s="62">
        <f t="shared" si="0"/>
        <v>12455.013135812405</v>
      </c>
      <c r="C35" s="62">
        <f t="shared" si="1"/>
        <v>2721.7742825907121</v>
      </c>
      <c r="D35" s="62">
        <f t="shared" si="2"/>
        <v>9733.2388532216937</v>
      </c>
      <c r="E35" s="62">
        <f t="shared" si="3"/>
        <v>353169.99882553995</v>
      </c>
      <c r="H35">
        <v>28</v>
      </c>
      <c r="I35" s="62">
        <f t="shared" si="4"/>
        <v>6227.5065679062027</v>
      </c>
      <c r="J35" s="62">
        <f t="shared" si="5"/>
        <v>1360.8871412953561</v>
      </c>
      <c r="K35" s="62">
        <f t="shared" si="6"/>
        <v>4866.6194266108469</v>
      </c>
      <c r="L35" s="62">
        <f t="shared" si="7"/>
        <v>176584.99941276998</v>
      </c>
    </row>
    <row r="36" spans="1:12" ht="12.75" customHeight="1" x14ac:dyDescent="0.2">
      <c r="A36">
        <v>29</v>
      </c>
      <c r="B36" s="62">
        <f t="shared" si="0"/>
        <v>12455.013135812405</v>
      </c>
      <c r="C36" s="62">
        <f t="shared" si="1"/>
        <v>2648.7749911915494</v>
      </c>
      <c r="D36" s="62">
        <f t="shared" si="2"/>
        <v>9806.2381446208565</v>
      </c>
      <c r="E36" s="62">
        <f t="shared" si="3"/>
        <v>343363.76068091911</v>
      </c>
      <c r="H36">
        <v>29</v>
      </c>
      <c r="I36" s="62">
        <f t="shared" si="4"/>
        <v>6227.5065679062027</v>
      </c>
      <c r="J36" s="62">
        <f t="shared" si="5"/>
        <v>1324.3874955957747</v>
      </c>
      <c r="K36" s="62">
        <f t="shared" si="6"/>
        <v>4903.1190723104282</v>
      </c>
      <c r="L36" s="62">
        <f t="shared" si="7"/>
        <v>171681.88034045955</v>
      </c>
    </row>
    <row r="37" spans="1:12" ht="12.75" customHeight="1" x14ac:dyDescent="0.2">
      <c r="A37">
        <v>30</v>
      </c>
      <c r="B37" s="62">
        <f t="shared" si="0"/>
        <v>12455.013135812405</v>
      </c>
      <c r="C37" s="62">
        <f t="shared" si="1"/>
        <v>2575.2282051068933</v>
      </c>
      <c r="D37" s="62">
        <f t="shared" si="2"/>
        <v>9879.7849307055112</v>
      </c>
      <c r="E37" s="62">
        <f t="shared" si="3"/>
        <v>333483.97575021361</v>
      </c>
      <c r="H37">
        <v>30</v>
      </c>
      <c r="I37" s="62">
        <f t="shared" si="4"/>
        <v>6227.5065679062027</v>
      </c>
      <c r="J37" s="62">
        <f t="shared" si="5"/>
        <v>1287.6141025534466</v>
      </c>
      <c r="K37" s="62">
        <f t="shared" si="6"/>
        <v>4939.8924653527556</v>
      </c>
      <c r="L37" s="62">
        <f t="shared" si="7"/>
        <v>166741.9878751068</v>
      </c>
    </row>
    <row r="38" spans="1:12" ht="12.75" customHeight="1" x14ac:dyDescent="0.2">
      <c r="A38">
        <v>31</v>
      </c>
      <c r="B38" s="62">
        <f t="shared" si="0"/>
        <v>12455.013135812405</v>
      </c>
      <c r="C38" s="62">
        <f t="shared" si="1"/>
        <v>2501.129818126602</v>
      </c>
      <c r="D38" s="62">
        <f t="shared" si="2"/>
        <v>9953.8833176858025</v>
      </c>
      <c r="E38" s="62">
        <f t="shared" si="3"/>
        <v>323530.0924325278</v>
      </c>
      <c r="H38">
        <v>31</v>
      </c>
      <c r="I38" s="62">
        <f t="shared" si="4"/>
        <v>6227.5065679062027</v>
      </c>
      <c r="J38" s="62">
        <f t="shared" si="5"/>
        <v>1250.564909063301</v>
      </c>
      <c r="K38" s="62">
        <f t="shared" si="6"/>
        <v>4976.9416588429012</v>
      </c>
      <c r="L38" s="62">
        <f t="shared" si="7"/>
        <v>161765.0462162639</v>
      </c>
    </row>
    <row r="39" spans="1:12" ht="12.75" customHeight="1" x14ac:dyDescent="0.2">
      <c r="A39">
        <v>32</v>
      </c>
      <c r="B39" s="62">
        <f t="shared" si="0"/>
        <v>12455.013135812405</v>
      </c>
      <c r="C39" s="62">
        <f t="shared" si="1"/>
        <v>2426.4756932439586</v>
      </c>
      <c r="D39" s="62">
        <f t="shared" si="2"/>
        <v>10028.537442568446</v>
      </c>
      <c r="E39" s="62">
        <f t="shared" si="3"/>
        <v>313501.55498995935</v>
      </c>
      <c r="H39">
        <v>32</v>
      </c>
      <c r="I39" s="62">
        <f t="shared" si="4"/>
        <v>6227.5065679062027</v>
      </c>
      <c r="J39" s="62">
        <f t="shared" si="5"/>
        <v>1213.2378466219793</v>
      </c>
      <c r="K39" s="62">
        <f t="shared" si="6"/>
        <v>5014.2687212842229</v>
      </c>
      <c r="L39" s="62">
        <f t="shared" si="7"/>
        <v>156750.77749497967</v>
      </c>
    </row>
    <row r="40" spans="1:12" ht="12.75" customHeight="1" x14ac:dyDescent="0.2">
      <c r="A40">
        <v>33</v>
      </c>
      <c r="B40" s="62">
        <f t="shared" ref="B40:B67" si="8">PMT(($C$3/12),$C$4,-$C$2)</f>
        <v>12455.013135812405</v>
      </c>
      <c r="C40" s="62">
        <f t="shared" ref="C40:C67" si="9">E39*($C$3/12)</f>
        <v>2351.2616624246948</v>
      </c>
      <c r="D40" s="62">
        <f t="shared" ref="D40:D67" si="10">B40-C40</f>
        <v>10103.751473387711</v>
      </c>
      <c r="E40" s="62">
        <f t="shared" ref="E40:E67" si="11">E39-D40</f>
        <v>303397.80351657164</v>
      </c>
      <c r="H40">
        <v>33</v>
      </c>
      <c r="I40" s="62">
        <f t="shared" ref="I40:I67" si="12">PMT(($J$3/12),$J$4,-$J$2)</f>
        <v>6227.5065679062027</v>
      </c>
      <c r="J40" s="62">
        <f t="shared" ref="J40:J67" si="13">L39*($C$3/12)</f>
        <v>1175.6308312123474</v>
      </c>
      <c r="K40" s="62">
        <f t="shared" ref="K40:K67" si="14">I40-J40</f>
        <v>5051.8757366938553</v>
      </c>
      <c r="L40" s="62">
        <f t="shared" ref="L40:L67" si="15">L39-K40</f>
        <v>151698.90175828582</v>
      </c>
    </row>
    <row r="41" spans="1:12" ht="12.75" customHeight="1" x14ac:dyDescent="0.2">
      <c r="A41">
        <v>34</v>
      </c>
      <c r="B41" s="62">
        <f t="shared" si="8"/>
        <v>12455.013135812405</v>
      </c>
      <c r="C41" s="62">
        <f t="shared" si="9"/>
        <v>2275.4835263742871</v>
      </c>
      <c r="D41" s="62">
        <f t="shared" si="10"/>
        <v>10179.529609438119</v>
      </c>
      <c r="E41" s="62">
        <f t="shared" si="11"/>
        <v>293218.27390713349</v>
      </c>
      <c r="H41">
        <v>34</v>
      </c>
      <c r="I41" s="62">
        <f t="shared" si="12"/>
        <v>6227.5065679062027</v>
      </c>
      <c r="J41" s="62">
        <f t="shared" si="13"/>
        <v>1137.7417631871435</v>
      </c>
      <c r="K41" s="62">
        <f t="shared" si="14"/>
        <v>5089.7648047190596</v>
      </c>
      <c r="L41" s="62">
        <f t="shared" si="15"/>
        <v>146609.13695356675</v>
      </c>
    </row>
    <row r="42" spans="1:12" ht="12.75" customHeight="1" x14ac:dyDescent="0.2">
      <c r="A42">
        <v>35</v>
      </c>
      <c r="B42" s="62">
        <f t="shared" si="8"/>
        <v>12455.013135812405</v>
      </c>
      <c r="C42" s="62">
        <f t="shared" si="9"/>
        <v>2199.1370543035009</v>
      </c>
      <c r="D42" s="62">
        <f t="shared" si="10"/>
        <v>10255.876081508904</v>
      </c>
      <c r="E42" s="62">
        <f t="shared" si="11"/>
        <v>282962.39782562456</v>
      </c>
      <c r="H42">
        <v>35</v>
      </c>
      <c r="I42" s="62">
        <f t="shared" si="12"/>
        <v>6227.5065679062027</v>
      </c>
      <c r="J42" s="62">
        <f t="shared" si="13"/>
        <v>1099.5685271517505</v>
      </c>
      <c r="K42" s="62">
        <f t="shared" si="14"/>
        <v>5127.9380407544522</v>
      </c>
      <c r="L42" s="62">
        <f t="shared" si="15"/>
        <v>141481.19891281228</v>
      </c>
    </row>
    <row r="43" spans="1:12" ht="12.75" customHeight="1" x14ac:dyDescent="0.2">
      <c r="A43">
        <v>36</v>
      </c>
      <c r="B43" s="62">
        <f t="shared" si="8"/>
        <v>12455.013135812405</v>
      </c>
      <c r="C43" s="62">
        <f t="shared" si="9"/>
        <v>2122.2179836921841</v>
      </c>
      <c r="D43" s="62">
        <f t="shared" si="10"/>
        <v>10332.795152120221</v>
      </c>
      <c r="E43" s="62">
        <f t="shared" si="11"/>
        <v>272629.60267350433</v>
      </c>
      <c r="H43">
        <v>36</v>
      </c>
      <c r="I43" s="62">
        <f t="shared" si="12"/>
        <v>6227.5065679062027</v>
      </c>
      <c r="J43" s="62">
        <f t="shared" si="13"/>
        <v>1061.1089918460921</v>
      </c>
      <c r="K43" s="62">
        <f t="shared" si="14"/>
        <v>5166.3975760601106</v>
      </c>
      <c r="L43" s="62">
        <f t="shared" si="15"/>
        <v>136314.80133675216</v>
      </c>
    </row>
    <row r="44" spans="1:12" ht="12.75" customHeight="1" x14ac:dyDescent="0.2">
      <c r="A44">
        <v>37</v>
      </c>
      <c r="B44" s="62">
        <f t="shared" si="8"/>
        <v>12455.013135812405</v>
      </c>
      <c r="C44" s="62">
        <f t="shared" si="9"/>
        <v>2044.7220200512825</v>
      </c>
      <c r="D44" s="62">
        <f t="shared" si="10"/>
        <v>10410.291115761123</v>
      </c>
      <c r="E44" s="62">
        <f t="shared" si="11"/>
        <v>262219.31155774323</v>
      </c>
      <c r="H44">
        <v>37</v>
      </c>
      <c r="I44" s="62">
        <f t="shared" si="12"/>
        <v>6227.5065679062027</v>
      </c>
      <c r="J44" s="62">
        <f t="shared" si="13"/>
        <v>1022.3610100256412</v>
      </c>
      <c r="K44" s="62">
        <f t="shared" si="14"/>
        <v>5205.1455578805617</v>
      </c>
      <c r="L44" s="62">
        <f t="shared" si="15"/>
        <v>131109.65577887162</v>
      </c>
    </row>
    <row r="45" spans="1:12" ht="12.75" customHeight="1" x14ac:dyDescent="0.2">
      <c r="A45">
        <v>38</v>
      </c>
      <c r="B45" s="62">
        <f t="shared" si="8"/>
        <v>12455.013135812405</v>
      </c>
      <c r="C45" s="62">
        <f t="shared" si="9"/>
        <v>1966.6448366830741</v>
      </c>
      <c r="D45" s="62">
        <f t="shared" si="10"/>
        <v>10488.368299129332</v>
      </c>
      <c r="E45" s="62">
        <f t="shared" si="11"/>
        <v>251730.9432586139</v>
      </c>
      <c r="H45">
        <v>38</v>
      </c>
      <c r="I45" s="62">
        <f t="shared" si="12"/>
        <v>6227.5065679062027</v>
      </c>
      <c r="J45" s="62">
        <f t="shared" si="13"/>
        <v>983.32241834153706</v>
      </c>
      <c r="K45" s="62">
        <f t="shared" si="14"/>
        <v>5244.1841495646659</v>
      </c>
      <c r="L45" s="62">
        <f t="shared" si="15"/>
        <v>125865.47162930695</v>
      </c>
    </row>
    <row r="46" spans="1:12" ht="12.75" customHeight="1" x14ac:dyDescent="0.2">
      <c r="A46">
        <v>39</v>
      </c>
      <c r="B46" s="62">
        <f t="shared" si="8"/>
        <v>12455.013135812405</v>
      </c>
      <c r="C46" s="62">
        <f t="shared" si="9"/>
        <v>1887.9820744396043</v>
      </c>
      <c r="D46" s="62">
        <f t="shared" si="10"/>
        <v>10567.031061372802</v>
      </c>
      <c r="E46" s="62">
        <f t="shared" si="11"/>
        <v>241163.91219724109</v>
      </c>
      <c r="H46">
        <v>39</v>
      </c>
      <c r="I46" s="62">
        <f t="shared" si="12"/>
        <v>6227.5065679062027</v>
      </c>
      <c r="J46" s="62">
        <f t="shared" si="13"/>
        <v>943.99103721980214</v>
      </c>
      <c r="K46" s="62">
        <f t="shared" si="14"/>
        <v>5283.5155306864008</v>
      </c>
      <c r="L46" s="62">
        <f t="shared" si="15"/>
        <v>120581.95609862055</v>
      </c>
    </row>
    <row r="47" spans="1:12" ht="12.75" customHeight="1" x14ac:dyDescent="0.2">
      <c r="A47">
        <v>40</v>
      </c>
      <c r="B47" s="62">
        <f t="shared" si="8"/>
        <v>12455.013135812405</v>
      </c>
      <c r="C47" s="62">
        <f t="shared" si="9"/>
        <v>1808.7293414793082</v>
      </c>
      <c r="D47" s="62">
        <f t="shared" si="10"/>
        <v>10646.283794333098</v>
      </c>
      <c r="E47" s="62">
        <f t="shared" si="11"/>
        <v>230517.62840290798</v>
      </c>
      <c r="H47">
        <v>40</v>
      </c>
      <c r="I47" s="62">
        <f t="shared" si="12"/>
        <v>6227.5065679062027</v>
      </c>
      <c r="J47" s="62">
        <f t="shared" si="13"/>
        <v>904.36467073965412</v>
      </c>
      <c r="K47" s="62">
        <f t="shared" si="14"/>
        <v>5323.1418971665489</v>
      </c>
      <c r="L47" s="62">
        <f t="shared" si="15"/>
        <v>115258.81420145399</v>
      </c>
    </row>
    <row r="48" spans="1:12" ht="12.75" customHeight="1" x14ac:dyDescent="0.2">
      <c r="A48">
        <v>41</v>
      </c>
      <c r="B48" s="62">
        <f t="shared" si="8"/>
        <v>12455.013135812405</v>
      </c>
      <c r="C48" s="62">
        <f t="shared" si="9"/>
        <v>1728.8822130218098</v>
      </c>
      <c r="D48" s="62">
        <f t="shared" si="10"/>
        <v>10726.130922790595</v>
      </c>
      <c r="E48" s="62">
        <f t="shared" si="11"/>
        <v>219791.4974801174</v>
      </c>
      <c r="H48">
        <v>41</v>
      </c>
      <c r="I48" s="62">
        <f t="shared" si="12"/>
        <v>6227.5065679062027</v>
      </c>
      <c r="J48" s="62">
        <f t="shared" si="13"/>
        <v>864.44110651090489</v>
      </c>
      <c r="K48" s="62">
        <f t="shared" si="14"/>
        <v>5363.0654613952975</v>
      </c>
      <c r="L48" s="62">
        <f t="shared" si="15"/>
        <v>109895.7487400587</v>
      </c>
    </row>
    <row r="49" spans="1:12" ht="12.75" customHeight="1" x14ac:dyDescent="0.2">
      <c r="A49">
        <v>42</v>
      </c>
      <c r="B49" s="62">
        <f t="shared" si="8"/>
        <v>12455.013135812405</v>
      </c>
      <c r="C49" s="62">
        <f t="shared" si="9"/>
        <v>1648.4362311008804</v>
      </c>
      <c r="D49" s="62">
        <f t="shared" si="10"/>
        <v>10806.576904711525</v>
      </c>
      <c r="E49" s="62">
        <f t="shared" si="11"/>
        <v>208984.92057540588</v>
      </c>
      <c r="H49">
        <v>42</v>
      </c>
      <c r="I49" s="62">
        <f t="shared" si="12"/>
        <v>6227.5065679062027</v>
      </c>
      <c r="J49" s="62">
        <f t="shared" si="13"/>
        <v>824.21811555044019</v>
      </c>
      <c r="K49" s="62">
        <f t="shared" si="14"/>
        <v>5403.2884523557623</v>
      </c>
      <c r="L49" s="62">
        <f t="shared" si="15"/>
        <v>104492.46028770294</v>
      </c>
    </row>
    <row r="50" spans="1:12" ht="12.75" customHeight="1" x14ac:dyDescent="0.2">
      <c r="A50">
        <v>43</v>
      </c>
      <c r="B50" s="62">
        <f t="shared" si="8"/>
        <v>12455.013135812405</v>
      </c>
      <c r="C50" s="62">
        <f t="shared" si="9"/>
        <v>1567.3869043155441</v>
      </c>
      <c r="D50" s="62">
        <f t="shared" si="10"/>
        <v>10887.626231496861</v>
      </c>
      <c r="E50" s="62">
        <f t="shared" si="11"/>
        <v>198097.29434390902</v>
      </c>
      <c r="H50">
        <v>43</v>
      </c>
      <c r="I50" s="62">
        <f t="shared" si="12"/>
        <v>6227.5065679062027</v>
      </c>
      <c r="J50" s="62">
        <f t="shared" si="13"/>
        <v>783.69345215777207</v>
      </c>
      <c r="K50" s="62">
        <f t="shared" si="14"/>
        <v>5443.8131157484304</v>
      </c>
      <c r="L50" s="62">
        <f t="shared" si="15"/>
        <v>99048.647171954508</v>
      </c>
    </row>
    <row r="51" spans="1:12" ht="12.75" customHeight="1" x14ac:dyDescent="0.2">
      <c r="A51">
        <v>44</v>
      </c>
      <c r="B51" s="62">
        <f t="shared" si="8"/>
        <v>12455.013135812405</v>
      </c>
      <c r="C51" s="62">
        <f t="shared" si="9"/>
        <v>1485.7297075793176</v>
      </c>
      <c r="D51" s="62">
        <f t="shared" si="10"/>
        <v>10969.283428233088</v>
      </c>
      <c r="E51" s="62">
        <f t="shared" si="11"/>
        <v>187128.01091567593</v>
      </c>
      <c r="H51">
        <v>44</v>
      </c>
      <c r="I51" s="62">
        <f t="shared" si="12"/>
        <v>6227.5065679062027</v>
      </c>
      <c r="J51" s="62">
        <f t="shared" si="13"/>
        <v>742.86485378965881</v>
      </c>
      <c r="K51" s="62">
        <f t="shared" si="14"/>
        <v>5484.6417141165439</v>
      </c>
      <c r="L51" s="62">
        <f t="shared" si="15"/>
        <v>93564.005457837964</v>
      </c>
    </row>
    <row r="52" spans="1:12" ht="12.75" customHeight="1" x14ac:dyDescent="0.2">
      <c r="A52">
        <v>45</v>
      </c>
      <c r="B52" s="62">
        <f t="shared" si="8"/>
        <v>12455.013135812405</v>
      </c>
      <c r="C52" s="62">
        <f t="shared" si="9"/>
        <v>1403.4600818675694</v>
      </c>
      <c r="D52" s="62">
        <f t="shared" si="10"/>
        <v>11051.553053944835</v>
      </c>
      <c r="E52" s="62">
        <f t="shared" si="11"/>
        <v>176076.45786173109</v>
      </c>
      <c r="H52">
        <v>45</v>
      </c>
      <c r="I52" s="62">
        <f t="shared" si="12"/>
        <v>6227.5065679062027</v>
      </c>
      <c r="J52" s="62">
        <f t="shared" si="13"/>
        <v>701.73004093378472</v>
      </c>
      <c r="K52" s="62">
        <f t="shared" si="14"/>
        <v>5525.7765269724177</v>
      </c>
      <c r="L52" s="62">
        <f t="shared" si="15"/>
        <v>88038.228930865545</v>
      </c>
    </row>
    <row r="53" spans="1:12" ht="12.75" customHeight="1" x14ac:dyDescent="0.2">
      <c r="A53">
        <v>46</v>
      </c>
      <c r="B53" s="62">
        <f t="shared" si="8"/>
        <v>12455.013135812405</v>
      </c>
      <c r="C53" s="62">
        <f t="shared" si="9"/>
        <v>1320.5734339629832</v>
      </c>
      <c r="D53" s="62">
        <f t="shared" si="10"/>
        <v>11134.439701849422</v>
      </c>
      <c r="E53" s="62">
        <f t="shared" si="11"/>
        <v>164942.01815988167</v>
      </c>
      <c r="H53">
        <v>46</v>
      </c>
      <c r="I53" s="62">
        <f t="shared" si="12"/>
        <v>6227.5065679062027</v>
      </c>
      <c r="J53" s="62">
        <f t="shared" si="13"/>
        <v>660.28671698149162</v>
      </c>
      <c r="K53" s="62">
        <f t="shared" si="14"/>
        <v>5567.219850924711</v>
      </c>
      <c r="L53" s="62">
        <f t="shared" si="15"/>
        <v>82471.009079940835</v>
      </c>
    </row>
    <row r="54" spans="1:12" ht="12.75" customHeight="1" x14ac:dyDescent="0.2">
      <c r="A54">
        <v>47</v>
      </c>
      <c r="B54" s="62">
        <f t="shared" si="8"/>
        <v>12455.013135812405</v>
      </c>
      <c r="C54" s="62">
        <f t="shared" si="9"/>
        <v>1237.0651361991124</v>
      </c>
      <c r="D54" s="62">
        <f t="shared" si="10"/>
        <v>11217.947999613292</v>
      </c>
      <c r="E54" s="62">
        <f t="shared" si="11"/>
        <v>153724.07016026837</v>
      </c>
      <c r="H54">
        <v>47</v>
      </c>
      <c r="I54" s="62">
        <f t="shared" si="12"/>
        <v>6227.5065679062027</v>
      </c>
      <c r="J54" s="62">
        <f t="shared" si="13"/>
        <v>618.53256809955622</v>
      </c>
      <c r="K54" s="62">
        <f t="shared" si="14"/>
        <v>5608.9739998066461</v>
      </c>
      <c r="L54" s="62">
        <f t="shared" si="15"/>
        <v>76862.035080134185</v>
      </c>
    </row>
    <row r="55" spans="1:12" ht="12.75" customHeight="1" x14ac:dyDescent="0.2">
      <c r="A55">
        <v>48</v>
      </c>
      <c r="B55" s="62">
        <f t="shared" si="8"/>
        <v>12455.013135812405</v>
      </c>
      <c r="C55" s="62">
        <f t="shared" si="9"/>
        <v>1152.9305262020127</v>
      </c>
      <c r="D55" s="62">
        <f t="shared" si="10"/>
        <v>11302.082609610392</v>
      </c>
      <c r="E55" s="62">
        <f t="shared" si="11"/>
        <v>142421.98755065797</v>
      </c>
      <c r="H55">
        <v>48</v>
      </c>
      <c r="I55" s="62">
        <f t="shared" si="12"/>
        <v>6227.5065679062027</v>
      </c>
      <c r="J55" s="62">
        <f t="shared" si="13"/>
        <v>576.46526310100637</v>
      </c>
      <c r="K55" s="62">
        <f t="shared" si="14"/>
        <v>5651.041304805196</v>
      </c>
      <c r="L55" s="62">
        <f t="shared" si="15"/>
        <v>71210.993775328985</v>
      </c>
    </row>
    <row r="56" spans="1:12" ht="12.75" customHeight="1" x14ac:dyDescent="0.2">
      <c r="A56">
        <v>49</v>
      </c>
      <c r="B56" s="62">
        <f t="shared" si="8"/>
        <v>12455.013135812405</v>
      </c>
      <c r="C56" s="62">
        <f t="shared" si="9"/>
        <v>1068.1649066299346</v>
      </c>
      <c r="D56" s="62">
        <f t="shared" si="10"/>
        <v>11386.848229182471</v>
      </c>
      <c r="E56" s="62">
        <f t="shared" si="11"/>
        <v>131035.13932147549</v>
      </c>
      <c r="H56">
        <v>49</v>
      </c>
      <c r="I56" s="62">
        <f t="shared" si="12"/>
        <v>6227.5065679062027</v>
      </c>
      <c r="J56" s="62">
        <f t="shared" si="13"/>
        <v>534.08245331496732</v>
      </c>
      <c r="K56" s="62">
        <f t="shared" si="14"/>
        <v>5693.4241145912356</v>
      </c>
      <c r="L56" s="62">
        <f t="shared" si="15"/>
        <v>65517.569660737747</v>
      </c>
    </row>
    <row r="57" spans="1:12" ht="12.75" customHeight="1" x14ac:dyDescent="0.2">
      <c r="A57">
        <v>50</v>
      </c>
      <c r="B57" s="62">
        <f t="shared" si="8"/>
        <v>12455.013135812405</v>
      </c>
      <c r="C57" s="62">
        <f t="shared" si="9"/>
        <v>982.76354491106622</v>
      </c>
      <c r="D57" s="62">
        <f t="shared" si="10"/>
        <v>11472.24959090134</v>
      </c>
      <c r="E57" s="62">
        <f t="shared" si="11"/>
        <v>119562.88973057416</v>
      </c>
      <c r="H57">
        <v>50</v>
      </c>
      <c r="I57" s="62">
        <f t="shared" si="12"/>
        <v>6227.5065679062027</v>
      </c>
      <c r="J57" s="62">
        <f t="shared" si="13"/>
        <v>491.38177245553311</v>
      </c>
      <c r="K57" s="62">
        <f t="shared" si="14"/>
        <v>5736.1247954506698</v>
      </c>
      <c r="L57" s="62">
        <f t="shared" si="15"/>
        <v>59781.444865287078</v>
      </c>
    </row>
    <row r="58" spans="1:12" ht="12.75" customHeight="1" x14ac:dyDescent="0.2">
      <c r="A58">
        <v>51</v>
      </c>
      <c r="B58" s="62">
        <f t="shared" si="8"/>
        <v>12455.013135812405</v>
      </c>
      <c r="C58" s="62">
        <f t="shared" si="9"/>
        <v>896.72167297930616</v>
      </c>
      <c r="D58" s="62">
        <f t="shared" si="10"/>
        <v>11558.2914628331</v>
      </c>
      <c r="E58" s="62">
        <f t="shared" si="11"/>
        <v>108004.59826774105</v>
      </c>
      <c r="H58">
        <v>51</v>
      </c>
      <c r="I58" s="62">
        <f t="shared" si="12"/>
        <v>6227.5065679062027</v>
      </c>
      <c r="J58" s="62">
        <f t="shared" si="13"/>
        <v>448.36083648965308</v>
      </c>
      <c r="K58" s="62">
        <f t="shared" si="14"/>
        <v>5779.14573141655</v>
      </c>
      <c r="L58" s="62">
        <f t="shared" si="15"/>
        <v>54002.299133870525</v>
      </c>
    </row>
    <row r="59" spans="1:12" ht="12.75" customHeight="1" x14ac:dyDescent="0.2">
      <c r="A59">
        <v>52</v>
      </c>
      <c r="B59" s="62">
        <f t="shared" si="8"/>
        <v>12455.013135812405</v>
      </c>
      <c r="C59" s="62">
        <f t="shared" si="9"/>
        <v>810.03448700805779</v>
      </c>
      <c r="D59" s="62">
        <f t="shared" si="10"/>
        <v>11644.978648804348</v>
      </c>
      <c r="E59" s="62">
        <f t="shared" si="11"/>
        <v>96359.619618936704</v>
      </c>
      <c r="H59">
        <v>52</v>
      </c>
      <c r="I59" s="62">
        <f t="shared" si="12"/>
        <v>6227.5065679062027</v>
      </c>
      <c r="J59" s="62">
        <f t="shared" si="13"/>
        <v>405.0172435040289</v>
      </c>
      <c r="K59" s="62">
        <f t="shared" si="14"/>
        <v>5822.4893244021741</v>
      </c>
      <c r="L59" s="62">
        <f t="shared" si="15"/>
        <v>48179.809809468352</v>
      </c>
    </row>
    <row r="60" spans="1:12" ht="12.75" customHeight="1" x14ac:dyDescent="0.2">
      <c r="A60">
        <v>53</v>
      </c>
      <c r="B60" s="62">
        <f t="shared" si="8"/>
        <v>12455.013135812405</v>
      </c>
      <c r="C60" s="62">
        <f t="shared" si="9"/>
        <v>722.6971471420253</v>
      </c>
      <c r="D60" s="62">
        <f t="shared" si="10"/>
        <v>11732.31598867038</v>
      </c>
      <c r="E60" s="62">
        <f t="shared" si="11"/>
        <v>84627.303630266324</v>
      </c>
      <c r="H60">
        <v>53</v>
      </c>
      <c r="I60" s="62">
        <f t="shared" si="12"/>
        <v>6227.5065679062027</v>
      </c>
      <c r="J60" s="62">
        <f t="shared" si="13"/>
        <v>361.34857357101265</v>
      </c>
      <c r="K60" s="62">
        <f t="shared" si="14"/>
        <v>5866.1579943351899</v>
      </c>
      <c r="L60" s="62">
        <f t="shared" si="15"/>
        <v>42313.651815133162</v>
      </c>
    </row>
    <row r="61" spans="1:12" ht="12.75" customHeight="1" x14ac:dyDescent="0.2">
      <c r="A61">
        <v>54</v>
      </c>
      <c r="B61" s="62">
        <f t="shared" si="8"/>
        <v>12455.013135812405</v>
      </c>
      <c r="C61" s="62">
        <f t="shared" si="9"/>
        <v>634.70477722699741</v>
      </c>
      <c r="D61" s="62">
        <f t="shared" si="10"/>
        <v>11820.308358585407</v>
      </c>
      <c r="E61" s="62">
        <f t="shared" si="11"/>
        <v>72806.99527168092</v>
      </c>
      <c r="H61">
        <v>54</v>
      </c>
      <c r="I61" s="62">
        <f t="shared" si="12"/>
        <v>6227.5065679062027</v>
      </c>
      <c r="J61" s="62">
        <f t="shared" si="13"/>
        <v>317.3523886134987</v>
      </c>
      <c r="K61" s="62">
        <f t="shared" si="14"/>
        <v>5910.1541792927037</v>
      </c>
      <c r="L61" s="62">
        <f t="shared" si="15"/>
        <v>36403.49763584046</v>
      </c>
    </row>
    <row r="62" spans="1:12" ht="12.75" customHeight="1" x14ac:dyDescent="0.2">
      <c r="A62">
        <v>55</v>
      </c>
      <c r="B62" s="62">
        <f t="shared" si="8"/>
        <v>12455.013135812405</v>
      </c>
      <c r="C62" s="62">
        <f t="shared" si="9"/>
        <v>546.05246453760685</v>
      </c>
      <c r="D62" s="62">
        <f t="shared" si="10"/>
        <v>11908.960671274799</v>
      </c>
      <c r="E62" s="62">
        <f t="shared" si="11"/>
        <v>60898.034600406121</v>
      </c>
      <c r="H62">
        <v>55</v>
      </c>
      <c r="I62" s="62">
        <f t="shared" si="12"/>
        <v>6227.5065679062027</v>
      </c>
      <c r="J62" s="62">
        <f t="shared" si="13"/>
        <v>273.02623226880343</v>
      </c>
      <c r="K62" s="62">
        <f t="shared" si="14"/>
        <v>5954.4803356373995</v>
      </c>
      <c r="L62" s="62">
        <f t="shared" si="15"/>
        <v>30449.017300203061</v>
      </c>
    </row>
    <row r="63" spans="1:12" ht="12.75" customHeight="1" x14ac:dyDescent="0.2">
      <c r="A63">
        <v>56</v>
      </c>
      <c r="B63" s="62">
        <f t="shared" si="8"/>
        <v>12455.013135812405</v>
      </c>
      <c r="C63" s="62">
        <f t="shared" si="9"/>
        <v>456.73525950304588</v>
      </c>
      <c r="D63" s="62">
        <f t="shared" si="10"/>
        <v>11998.277876309359</v>
      </c>
      <c r="E63" s="62">
        <f t="shared" si="11"/>
        <v>48899.756724096762</v>
      </c>
      <c r="H63">
        <v>56</v>
      </c>
      <c r="I63" s="62">
        <f t="shared" si="12"/>
        <v>6227.5065679062027</v>
      </c>
      <c r="J63" s="62">
        <f t="shared" si="13"/>
        <v>228.36762975152294</v>
      </c>
      <c r="K63" s="62">
        <f t="shared" si="14"/>
        <v>5999.1389381546796</v>
      </c>
      <c r="L63" s="62">
        <f t="shared" si="15"/>
        <v>24449.878362048381</v>
      </c>
    </row>
    <row r="64" spans="1:12" ht="12.75" customHeight="1" x14ac:dyDescent="0.2">
      <c r="A64">
        <v>57</v>
      </c>
      <c r="B64" s="62">
        <f t="shared" si="8"/>
        <v>12455.013135812405</v>
      </c>
      <c r="C64" s="62">
        <f t="shared" si="9"/>
        <v>366.74817543072572</v>
      </c>
      <c r="D64" s="62">
        <f t="shared" si="10"/>
        <v>12088.264960381679</v>
      </c>
      <c r="E64" s="62">
        <f t="shared" si="11"/>
        <v>36811.491763715079</v>
      </c>
      <c r="H64">
        <v>57</v>
      </c>
      <c r="I64" s="62">
        <f t="shared" si="12"/>
        <v>6227.5065679062027</v>
      </c>
      <c r="J64" s="62">
        <f t="shared" si="13"/>
        <v>183.37408771536286</v>
      </c>
      <c r="K64" s="62">
        <f t="shared" si="14"/>
        <v>6044.1324801908395</v>
      </c>
      <c r="L64" s="62">
        <f t="shared" si="15"/>
        <v>18405.74588185754</v>
      </c>
    </row>
    <row r="65" spans="1:12" ht="12.75" customHeight="1" x14ac:dyDescent="0.2">
      <c r="A65">
        <v>58</v>
      </c>
      <c r="B65" s="62">
        <f t="shared" si="8"/>
        <v>12455.013135812405</v>
      </c>
      <c r="C65" s="62">
        <f t="shared" si="9"/>
        <v>276.08618822786309</v>
      </c>
      <c r="D65" s="62">
        <f t="shared" si="10"/>
        <v>12178.926947584543</v>
      </c>
      <c r="E65" s="62">
        <f t="shared" si="11"/>
        <v>24632.564816130536</v>
      </c>
      <c r="H65">
        <v>58</v>
      </c>
      <c r="I65" s="62">
        <f t="shared" si="12"/>
        <v>6227.5065679062027</v>
      </c>
      <c r="J65" s="62">
        <f t="shared" si="13"/>
        <v>138.04309411393155</v>
      </c>
      <c r="K65" s="62">
        <f t="shared" si="14"/>
        <v>6089.4634737922715</v>
      </c>
      <c r="L65" s="62">
        <f t="shared" si="15"/>
        <v>12316.282408065268</v>
      </c>
    </row>
    <row r="66" spans="1:12" ht="12.75" customHeight="1" x14ac:dyDescent="0.2">
      <c r="A66">
        <v>59</v>
      </c>
      <c r="B66" s="62">
        <f t="shared" si="8"/>
        <v>12455.013135812405</v>
      </c>
      <c r="C66" s="62">
        <f t="shared" si="9"/>
        <v>184.74423612097902</v>
      </c>
      <c r="D66" s="62">
        <f t="shared" si="10"/>
        <v>12270.268899691426</v>
      </c>
      <c r="E66" s="62">
        <f t="shared" si="11"/>
        <v>12362.29591643911</v>
      </c>
      <c r="H66">
        <v>59</v>
      </c>
      <c r="I66" s="62">
        <f t="shared" si="12"/>
        <v>6227.5065679062027</v>
      </c>
      <c r="J66" s="62">
        <f t="shared" si="13"/>
        <v>92.372118060489512</v>
      </c>
      <c r="K66" s="62">
        <f t="shared" si="14"/>
        <v>6135.1344498457129</v>
      </c>
      <c r="L66" s="62">
        <f t="shared" si="15"/>
        <v>6181.1479582195552</v>
      </c>
    </row>
    <row r="67" spans="1:12" ht="12.75" customHeight="1" x14ac:dyDescent="0.2">
      <c r="A67">
        <v>60</v>
      </c>
      <c r="B67" s="62">
        <f t="shared" si="8"/>
        <v>12455.013135812405</v>
      </c>
      <c r="C67" s="62">
        <f t="shared" si="9"/>
        <v>92.717219373293318</v>
      </c>
      <c r="D67" s="62">
        <f t="shared" si="10"/>
        <v>12362.295916439112</v>
      </c>
      <c r="E67" s="62">
        <f t="shared" si="11"/>
        <v>0</v>
      </c>
      <c r="H67">
        <v>60</v>
      </c>
      <c r="I67" s="62">
        <f t="shared" si="12"/>
        <v>6227.5065679062027</v>
      </c>
      <c r="J67" s="62">
        <f t="shared" si="13"/>
        <v>46.358609686646659</v>
      </c>
      <c r="K67" s="62">
        <f t="shared" si="14"/>
        <v>6181.1479582195561</v>
      </c>
      <c r="L67" s="62">
        <f t="shared" si="15"/>
        <v>0</v>
      </c>
    </row>
    <row r="68" spans="1:12" ht="12.75" customHeight="1" x14ac:dyDescent="0.2">
      <c r="B68" s="62"/>
      <c r="C68" s="62"/>
      <c r="D68" s="62"/>
      <c r="E68" s="62"/>
    </row>
    <row r="69" spans="1:12" ht="12.75" customHeight="1" x14ac:dyDescent="0.2">
      <c r="B69" s="62"/>
      <c r="C69" s="62"/>
      <c r="D69" s="62"/>
      <c r="E69" s="62"/>
    </row>
    <row r="70" spans="1:12" ht="12.75" customHeight="1" x14ac:dyDescent="0.2">
      <c r="B70" s="62"/>
      <c r="C70" s="62"/>
      <c r="D70" s="62"/>
      <c r="E70" s="62"/>
    </row>
    <row r="71" spans="1:12" ht="12.75" customHeight="1" x14ac:dyDescent="0.2">
      <c r="B71" s="62"/>
      <c r="C71" s="62"/>
      <c r="D71" s="62"/>
      <c r="E71" s="62"/>
    </row>
    <row r="72" spans="1:12" ht="12.75" customHeight="1" x14ac:dyDescent="0.2">
      <c r="B72" s="62"/>
      <c r="C72" s="62"/>
      <c r="D72" s="62"/>
      <c r="E72" s="62"/>
    </row>
    <row r="73" spans="1:12" ht="12.75" customHeight="1" x14ac:dyDescent="0.2">
      <c r="B73" s="62"/>
      <c r="C73" s="62"/>
      <c r="D73" s="62"/>
      <c r="E73" s="62"/>
    </row>
    <row r="74" spans="1:12" ht="12.75" customHeight="1" x14ac:dyDescent="0.2">
      <c r="B74" s="62"/>
      <c r="C74" s="62"/>
      <c r="D74" s="62"/>
      <c r="E74" s="62"/>
    </row>
    <row r="75" spans="1:12" ht="12.75" customHeight="1" x14ac:dyDescent="0.2">
      <c r="B75" s="62"/>
      <c r="C75" s="62"/>
      <c r="D75" s="62"/>
      <c r="E75" s="62"/>
    </row>
    <row r="76" spans="1:12" ht="12.75" customHeight="1" x14ac:dyDescent="0.2">
      <c r="B76" s="62"/>
      <c r="C76" s="62"/>
      <c r="D76" s="62"/>
      <c r="E76" s="62"/>
    </row>
    <row r="77" spans="1:12" ht="12.75" customHeight="1" x14ac:dyDescent="0.2">
      <c r="B77" s="62"/>
      <c r="C77" s="62"/>
      <c r="D77" s="62"/>
      <c r="E77" s="62"/>
    </row>
    <row r="78" spans="1:12" ht="12.75" customHeight="1" x14ac:dyDescent="0.2">
      <c r="B78" s="62"/>
      <c r="C78" s="62"/>
      <c r="D78" s="62"/>
      <c r="E78" s="62"/>
    </row>
    <row r="79" spans="1:12" ht="12.75" customHeight="1" x14ac:dyDescent="0.2">
      <c r="B79" s="62"/>
      <c r="C79" s="62"/>
      <c r="D79" s="62"/>
      <c r="E79" s="62"/>
    </row>
    <row r="80" spans="1:12" ht="12.75" customHeight="1" x14ac:dyDescent="0.2">
      <c r="B80" s="62"/>
      <c r="C80" s="62"/>
      <c r="D80" s="62"/>
      <c r="E80" s="62"/>
    </row>
    <row r="81" spans="2:5" ht="12.75" customHeight="1" x14ac:dyDescent="0.2">
      <c r="B81" s="62"/>
      <c r="C81" s="62"/>
      <c r="D81" s="62"/>
      <c r="E81" s="62"/>
    </row>
    <row r="82" spans="2:5" ht="12.75" customHeight="1" x14ac:dyDescent="0.2">
      <c r="B82" s="62"/>
      <c r="C82" s="62"/>
      <c r="D82" s="62"/>
      <c r="E82" s="62"/>
    </row>
    <row r="83" spans="2:5" ht="12.75" customHeight="1" x14ac:dyDescent="0.2">
      <c r="B83" s="62"/>
      <c r="C83" s="62"/>
      <c r="D83" s="62"/>
      <c r="E83" s="62"/>
    </row>
    <row r="84" spans="2:5" ht="12.75" customHeight="1" x14ac:dyDescent="0.2">
      <c r="B84" s="62"/>
      <c r="C84" s="62"/>
      <c r="D84" s="62"/>
      <c r="E84" s="62"/>
    </row>
    <row r="85" spans="2:5" ht="12.75" customHeight="1" x14ac:dyDescent="0.2">
      <c r="B85" s="62"/>
      <c r="C85" s="62"/>
      <c r="D85" s="62"/>
      <c r="E85" s="62"/>
    </row>
    <row r="86" spans="2:5" ht="12.75" customHeight="1" x14ac:dyDescent="0.2">
      <c r="B86" s="62"/>
      <c r="C86" s="62"/>
      <c r="D86" s="62"/>
      <c r="E86" s="62"/>
    </row>
    <row r="87" spans="2:5" ht="12.75" customHeight="1" x14ac:dyDescent="0.2">
      <c r="B87" s="62"/>
      <c r="C87" s="62"/>
      <c r="D87" s="62"/>
      <c r="E87" s="62"/>
    </row>
    <row r="88" spans="2:5" ht="12.75" customHeight="1" x14ac:dyDescent="0.2">
      <c r="B88" s="62"/>
      <c r="C88" s="62"/>
      <c r="D88" s="62"/>
      <c r="E88" s="62"/>
    </row>
    <row r="89" spans="2:5" ht="12.75" customHeight="1" x14ac:dyDescent="0.2">
      <c r="B89" s="62"/>
      <c r="C89" s="62"/>
      <c r="D89" s="62"/>
      <c r="E89" s="62"/>
    </row>
    <row r="90" spans="2:5" ht="12.75" customHeight="1" x14ac:dyDescent="0.2">
      <c r="B90" s="62"/>
      <c r="C90" s="62"/>
      <c r="D90" s="62"/>
      <c r="E90" s="62"/>
    </row>
    <row r="91" spans="2:5" ht="12.75" customHeight="1" x14ac:dyDescent="0.2">
      <c r="B91" s="62"/>
      <c r="C91" s="62"/>
      <c r="D91" s="62"/>
      <c r="E91" s="62"/>
    </row>
    <row r="92" spans="2:5" ht="12.75" customHeight="1" x14ac:dyDescent="0.2">
      <c r="B92" s="62"/>
      <c r="C92" s="62"/>
      <c r="D92" s="62"/>
      <c r="E92" s="62"/>
    </row>
    <row r="93" spans="2:5" ht="12.75" customHeight="1" x14ac:dyDescent="0.2">
      <c r="B93" s="62"/>
      <c r="C93" s="62"/>
      <c r="D93" s="62"/>
      <c r="E93" s="62"/>
    </row>
    <row r="94" spans="2:5" ht="12.75" customHeight="1" x14ac:dyDescent="0.2">
      <c r="B94" s="62"/>
      <c r="C94" s="62"/>
      <c r="D94" s="62"/>
      <c r="E94" s="62"/>
    </row>
    <row r="95" spans="2:5" ht="12.75" customHeight="1" x14ac:dyDescent="0.2">
      <c r="B95" s="62"/>
      <c r="C95" s="62"/>
      <c r="D95" s="62"/>
      <c r="E95" s="62"/>
    </row>
    <row r="96" spans="2:5" ht="12.75" customHeight="1" x14ac:dyDescent="0.2">
      <c r="B96" s="62"/>
      <c r="C96" s="62"/>
      <c r="D96" s="62"/>
      <c r="E96" s="62"/>
    </row>
    <row r="97" spans="2:5" ht="12.75" customHeight="1" x14ac:dyDescent="0.2">
      <c r="B97" s="62"/>
      <c r="C97" s="62"/>
      <c r="D97" s="62"/>
      <c r="E97" s="62"/>
    </row>
    <row r="98" spans="2:5" ht="12.75" customHeight="1" x14ac:dyDescent="0.2">
      <c r="B98" s="62"/>
      <c r="C98" s="62"/>
      <c r="D98" s="62"/>
      <c r="E98" s="62"/>
    </row>
    <row r="99" spans="2:5" ht="12.75" customHeight="1" x14ac:dyDescent="0.2">
      <c r="B99" s="62"/>
      <c r="C99" s="62"/>
      <c r="D99" s="62"/>
      <c r="E99" s="62"/>
    </row>
    <row r="100" spans="2:5" ht="12.75" customHeight="1" x14ac:dyDescent="0.2">
      <c r="B100" s="62"/>
      <c r="C100" s="62"/>
      <c r="D100" s="62"/>
      <c r="E100" s="62"/>
    </row>
    <row r="101" spans="2:5" ht="12.75" customHeight="1" x14ac:dyDescent="0.2">
      <c r="B101" s="62"/>
      <c r="C101" s="62"/>
      <c r="D101" s="62"/>
      <c r="E101" s="62"/>
    </row>
    <row r="102" spans="2:5" ht="12.75" customHeight="1" x14ac:dyDescent="0.2">
      <c r="B102" s="62"/>
      <c r="C102" s="62"/>
      <c r="D102" s="62"/>
      <c r="E102" s="62"/>
    </row>
    <row r="103" spans="2:5" ht="12.75" customHeight="1" x14ac:dyDescent="0.2">
      <c r="B103" s="62"/>
      <c r="C103" s="62"/>
      <c r="D103" s="62"/>
      <c r="E103" s="62"/>
    </row>
    <row r="104" spans="2:5" ht="12.75" customHeight="1" x14ac:dyDescent="0.2">
      <c r="B104" s="62"/>
      <c r="C104" s="62"/>
      <c r="D104" s="62"/>
      <c r="E104" s="62"/>
    </row>
    <row r="105" spans="2:5" ht="12.75" customHeight="1" x14ac:dyDescent="0.2">
      <c r="B105" s="62"/>
      <c r="C105" s="62"/>
      <c r="D105" s="62"/>
      <c r="E105" s="62"/>
    </row>
    <row r="106" spans="2:5" ht="12.75" customHeight="1" x14ac:dyDescent="0.2">
      <c r="B106" s="62"/>
      <c r="C106" s="62"/>
      <c r="D106" s="62"/>
      <c r="E106" s="62"/>
    </row>
    <row r="107" spans="2:5" ht="12.75" customHeight="1" x14ac:dyDescent="0.2">
      <c r="B107" s="62"/>
      <c r="C107" s="62"/>
      <c r="D107" s="62"/>
      <c r="E107" s="62"/>
    </row>
    <row r="108" spans="2:5" ht="12.75" customHeight="1" x14ac:dyDescent="0.2">
      <c r="B108" s="62"/>
      <c r="C108" s="62"/>
      <c r="D108" s="62"/>
      <c r="E108" s="62"/>
    </row>
    <row r="109" spans="2:5" ht="12.75" customHeight="1" x14ac:dyDescent="0.2">
      <c r="B109" s="62"/>
      <c r="C109" s="62"/>
      <c r="D109" s="62"/>
      <c r="E109" s="62"/>
    </row>
    <row r="110" spans="2:5" ht="12.75" customHeight="1" x14ac:dyDescent="0.2">
      <c r="B110" s="62"/>
      <c r="C110" s="62"/>
      <c r="D110" s="62"/>
      <c r="E110" s="62"/>
    </row>
    <row r="111" spans="2:5" ht="12.75" customHeight="1" x14ac:dyDescent="0.2">
      <c r="B111" s="62"/>
      <c r="C111" s="62"/>
      <c r="D111" s="62"/>
      <c r="E111" s="62"/>
    </row>
    <row r="112" spans="2:5" ht="12.75" customHeight="1" x14ac:dyDescent="0.2">
      <c r="B112" s="62"/>
      <c r="C112" s="62"/>
      <c r="D112" s="62"/>
      <c r="E112" s="62"/>
    </row>
    <row r="113" spans="2:5" ht="12.75" customHeight="1" x14ac:dyDescent="0.2">
      <c r="B113" s="62"/>
      <c r="C113" s="62"/>
      <c r="D113" s="62"/>
      <c r="E113" s="62"/>
    </row>
    <row r="114" spans="2:5" ht="12.75" customHeight="1" x14ac:dyDescent="0.2">
      <c r="B114" s="62"/>
      <c r="C114" s="62"/>
      <c r="D114" s="62"/>
      <c r="E114" s="62"/>
    </row>
    <row r="115" spans="2:5" ht="12.75" customHeight="1" x14ac:dyDescent="0.2">
      <c r="B115" s="62"/>
      <c r="C115" s="62"/>
      <c r="D115" s="62"/>
      <c r="E115" s="62"/>
    </row>
    <row r="116" spans="2:5" ht="12.75" customHeight="1" x14ac:dyDescent="0.2">
      <c r="B116" s="62"/>
      <c r="C116" s="62"/>
      <c r="D116" s="62"/>
      <c r="E116" s="62"/>
    </row>
    <row r="117" spans="2:5" ht="12.75" customHeight="1" x14ac:dyDescent="0.2">
      <c r="B117" s="62"/>
      <c r="C117" s="62"/>
      <c r="D117" s="62"/>
      <c r="E117" s="62"/>
    </row>
    <row r="118" spans="2:5" ht="12.75" customHeight="1" x14ac:dyDescent="0.2">
      <c r="B118" s="62"/>
      <c r="C118" s="62"/>
      <c r="D118" s="62"/>
      <c r="E118" s="62"/>
    </row>
    <row r="119" spans="2:5" ht="12.75" customHeight="1" x14ac:dyDescent="0.2">
      <c r="B119" s="62"/>
      <c r="C119" s="62"/>
      <c r="D119" s="62"/>
      <c r="E119" s="62"/>
    </row>
    <row r="120" spans="2:5" ht="12.75" customHeight="1" x14ac:dyDescent="0.2">
      <c r="B120" s="62"/>
      <c r="C120" s="62"/>
      <c r="D120" s="62"/>
      <c r="E120" s="62"/>
    </row>
    <row r="121" spans="2:5" ht="12.75" customHeight="1" x14ac:dyDescent="0.2">
      <c r="B121" s="62"/>
      <c r="C121" s="62"/>
      <c r="D121" s="62"/>
      <c r="E121" s="62"/>
    </row>
    <row r="122" spans="2:5" ht="12.75" customHeight="1" x14ac:dyDescent="0.2">
      <c r="B122" s="62"/>
      <c r="C122" s="62"/>
      <c r="D122" s="62"/>
      <c r="E122" s="62"/>
    </row>
    <row r="123" spans="2:5" ht="12.75" customHeight="1" x14ac:dyDescent="0.2">
      <c r="B123" s="62"/>
      <c r="C123" s="62"/>
      <c r="D123" s="62"/>
      <c r="E123" s="62"/>
    </row>
    <row r="124" spans="2:5" ht="12.75" customHeight="1" x14ac:dyDescent="0.2">
      <c r="B124" s="62"/>
      <c r="C124" s="62"/>
      <c r="D124" s="62"/>
      <c r="E124" s="62"/>
    </row>
    <row r="125" spans="2:5" ht="12.75" customHeight="1" x14ac:dyDescent="0.2">
      <c r="B125" s="62"/>
      <c r="C125" s="62"/>
      <c r="D125" s="62"/>
      <c r="E125" s="62"/>
    </row>
    <row r="126" spans="2:5" ht="12.75" customHeight="1" x14ac:dyDescent="0.2">
      <c r="B126" s="62"/>
      <c r="C126" s="62"/>
      <c r="D126" s="62"/>
      <c r="E126" s="62"/>
    </row>
    <row r="127" spans="2:5" ht="12.75" customHeight="1" x14ac:dyDescent="0.2">
      <c r="B127" s="62"/>
      <c r="C127" s="62"/>
      <c r="D127" s="62"/>
      <c r="E127" s="62"/>
    </row>
    <row r="128" spans="2:5" ht="12.75" customHeight="1" x14ac:dyDescent="0.2">
      <c r="B128" s="62"/>
      <c r="C128" s="62"/>
      <c r="D128" s="62"/>
      <c r="E128" s="62"/>
    </row>
    <row r="129" spans="2:5" ht="12.75" customHeight="1" x14ac:dyDescent="0.2">
      <c r="B129" s="62"/>
      <c r="C129" s="62"/>
      <c r="D129" s="62"/>
      <c r="E129" s="62"/>
    </row>
    <row r="130" spans="2:5" ht="12.75" customHeight="1" x14ac:dyDescent="0.2">
      <c r="B130" s="62"/>
      <c r="C130" s="62"/>
      <c r="D130" s="62"/>
      <c r="E130" s="62"/>
    </row>
    <row r="131" spans="2:5" ht="12.75" customHeight="1" x14ac:dyDescent="0.2">
      <c r="B131" s="62"/>
      <c r="C131" s="62"/>
      <c r="D131" s="62"/>
      <c r="E131" s="62"/>
    </row>
    <row r="132" spans="2:5" ht="12.75" customHeight="1" x14ac:dyDescent="0.2">
      <c r="B132" s="62"/>
      <c r="C132" s="62"/>
      <c r="D132" s="62"/>
      <c r="E132" s="62"/>
    </row>
    <row r="133" spans="2:5" ht="12.75" customHeight="1" x14ac:dyDescent="0.2">
      <c r="B133" s="62"/>
      <c r="C133" s="62"/>
      <c r="D133" s="62"/>
      <c r="E133" s="62"/>
    </row>
    <row r="134" spans="2:5" ht="12.75" customHeight="1" x14ac:dyDescent="0.2">
      <c r="B134" s="62"/>
      <c r="C134" s="62"/>
      <c r="D134" s="62"/>
      <c r="E134" s="62"/>
    </row>
    <row r="135" spans="2:5" ht="12.75" customHeight="1" x14ac:dyDescent="0.2">
      <c r="B135" s="62"/>
      <c r="C135" s="62"/>
      <c r="D135" s="62"/>
      <c r="E135" s="62"/>
    </row>
    <row r="136" spans="2:5" ht="12.75" customHeight="1" x14ac:dyDescent="0.2">
      <c r="B136" s="62"/>
      <c r="C136" s="62"/>
      <c r="D136" s="62"/>
      <c r="E136" s="62"/>
    </row>
    <row r="137" spans="2:5" ht="12.75" customHeight="1" x14ac:dyDescent="0.2">
      <c r="B137" s="62"/>
      <c r="C137" s="62"/>
      <c r="D137" s="62"/>
      <c r="E137" s="62"/>
    </row>
    <row r="138" spans="2:5" ht="12.75" customHeight="1" x14ac:dyDescent="0.2">
      <c r="B138" s="62"/>
      <c r="C138" s="62"/>
      <c r="D138" s="62"/>
      <c r="E138" s="62"/>
    </row>
    <row r="139" spans="2:5" ht="12.75" customHeight="1" x14ac:dyDescent="0.2">
      <c r="B139" s="62"/>
      <c r="C139" s="62"/>
      <c r="D139" s="62"/>
      <c r="E139" s="62"/>
    </row>
    <row r="140" spans="2:5" ht="12.75" customHeight="1" x14ac:dyDescent="0.2">
      <c r="B140" s="62"/>
      <c r="C140" s="62"/>
      <c r="D140" s="62"/>
      <c r="E140" s="62"/>
    </row>
    <row r="141" spans="2:5" ht="12.75" customHeight="1" x14ac:dyDescent="0.2">
      <c r="B141" s="62"/>
      <c r="C141" s="62"/>
      <c r="D141" s="62"/>
      <c r="E141" s="62"/>
    </row>
    <row r="142" spans="2:5" ht="12.75" customHeight="1" x14ac:dyDescent="0.2">
      <c r="B142" s="62"/>
      <c r="C142" s="62"/>
      <c r="D142" s="62"/>
      <c r="E142" s="62"/>
    </row>
    <row r="143" spans="2:5" ht="12.75" customHeight="1" x14ac:dyDescent="0.2">
      <c r="B143" s="62"/>
      <c r="C143" s="62"/>
      <c r="D143" s="62"/>
      <c r="E143" s="62"/>
    </row>
    <row r="144" spans="2:5" ht="12.75" customHeight="1" x14ac:dyDescent="0.2">
      <c r="B144" s="62"/>
      <c r="C144" s="62"/>
      <c r="D144" s="62"/>
      <c r="E144" s="62"/>
    </row>
    <row r="145" spans="2:5" ht="12.75" customHeight="1" x14ac:dyDescent="0.2">
      <c r="B145" s="62"/>
      <c r="C145" s="62"/>
      <c r="D145" s="62"/>
      <c r="E145" s="62"/>
    </row>
    <row r="146" spans="2:5" ht="12.75" customHeight="1" x14ac:dyDescent="0.2">
      <c r="B146" s="62"/>
      <c r="C146" s="62"/>
      <c r="D146" s="62"/>
      <c r="E146" s="62"/>
    </row>
    <row r="147" spans="2:5" ht="12.75" customHeight="1" x14ac:dyDescent="0.2">
      <c r="B147" s="62"/>
      <c r="C147" s="62"/>
      <c r="D147" s="62"/>
      <c r="E147" s="62"/>
    </row>
    <row r="148" spans="2:5" ht="12.75" customHeight="1" x14ac:dyDescent="0.2">
      <c r="B148" s="62"/>
      <c r="C148" s="62"/>
      <c r="D148" s="62"/>
      <c r="E148" s="62"/>
    </row>
    <row r="149" spans="2:5" ht="12.75" customHeight="1" x14ac:dyDescent="0.2">
      <c r="B149" s="62"/>
      <c r="C149" s="62"/>
      <c r="D149" s="62"/>
      <c r="E149" s="62"/>
    </row>
    <row r="150" spans="2:5" ht="12.75" customHeight="1" x14ac:dyDescent="0.2">
      <c r="B150" s="62"/>
      <c r="C150" s="62"/>
      <c r="D150" s="62"/>
      <c r="E150" s="62"/>
    </row>
    <row r="151" spans="2:5" ht="12.75" customHeight="1" x14ac:dyDescent="0.2">
      <c r="B151" s="62"/>
      <c r="C151" s="62"/>
      <c r="D151" s="62"/>
      <c r="E151" s="62"/>
    </row>
    <row r="152" spans="2:5" ht="12.75" customHeight="1" x14ac:dyDescent="0.2">
      <c r="B152" s="62"/>
      <c r="C152" s="62"/>
      <c r="D152" s="62"/>
      <c r="E152" s="62"/>
    </row>
    <row r="153" spans="2:5" ht="12.75" customHeight="1" x14ac:dyDescent="0.2">
      <c r="B153" s="62"/>
      <c r="C153" s="62"/>
      <c r="D153" s="62"/>
      <c r="E153" s="62"/>
    </row>
    <row r="154" spans="2:5" ht="12.75" customHeight="1" x14ac:dyDescent="0.2">
      <c r="B154" s="62"/>
      <c r="C154" s="62"/>
      <c r="D154" s="62"/>
      <c r="E154" s="62"/>
    </row>
    <row r="155" spans="2:5" ht="12.75" customHeight="1" x14ac:dyDescent="0.2">
      <c r="B155" s="62"/>
      <c r="C155" s="62"/>
      <c r="D155" s="62"/>
      <c r="E155" s="62"/>
    </row>
    <row r="156" spans="2:5" ht="12.75" customHeight="1" x14ac:dyDescent="0.2">
      <c r="B156" s="62"/>
      <c r="C156" s="62"/>
      <c r="D156" s="62"/>
      <c r="E156" s="62"/>
    </row>
    <row r="157" spans="2:5" ht="12.75" customHeight="1" x14ac:dyDescent="0.2">
      <c r="B157" s="62"/>
      <c r="C157" s="62"/>
      <c r="D157" s="62"/>
      <c r="E157" s="62"/>
    </row>
    <row r="158" spans="2:5" ht="12.75" customHeight="1" x14ac:dyDescent="0.2">
      <c r="B158" s="62"/>
      <c r="C158" s="62"/>
      <c r="D158" s="62"/>
      <c r="E158" s="62"/>
    </row>
    <row r="159" spans="2:5" ht="12.75" customHeight="1" x14ac:dyDescent="0.2">
      <c r="B159" s="62"/>
      <c r="C159" s="62"/>
      <c r="D159" s="62"/>
      <c r="E159" s="62"/>
    </row>
    <row r="160" spans="2:5" ht="12.75" customHeight="1" x14ac:dyDescent="0.2">
      <c r="B160" s="62"/>
      <c r="C160" s="62"/>
      <c r="D160" s="62"/>
      <c r="E160" s="62"/>
    </row>
    <row r="161" spans="2:5" ht="12.75" customHeight="1" x14ac:dyDescent="0.2">
      <c r="B161" s="62"/>
      <c r="C161" s="62"/>
      <c r="D161" s="62"/>
      <c r="E161" s="62"/>
    </row>
    <row r="162" spans="2:5" ht="12.75" customHeight="1" x14ac:dyDescent="0.2">
      <c r="B162" s="62"/>
      <c r="C162" s="62"/>
      <c r="D162" s="62"/>
      <c r="E162" s="62"/>
    </row>
    <row r="163" spans="2:5" ht="12.75" customHeight="1" x14ac:dyDescent="0.2">
      <c r="B163" s="62"/>
      <c r="C163" s="62"/>
      <c r="D163" s="62"/>
      <c r="E163" s="62"/>
    </row>
    <row r="164" spans="2:5" ht="12.75" customHeight="1" x14ac:dyDescent="0.2">
      <c r="B164" s="62"/>
      <c r="C164" s="62"/>
      <c r="D164" s="62"/>
      <c r="E164" s="62"/>
    </row>
    <row r="165" spans="2:5" ht="12.75" customHeight="1" x14ac:dyDescent="0.2">
      <c r="B165" s="62"/>
      <c r="C165" s="62"/>
      <c r="D165" s="62"/>
      <c r="E165" s="62"/>
    </row>
    <row r="166" spans="2:5" ht="12.75" customHeight="1" x14ac:dyDescent="0.2">
      <c r="B166" s="62"/>
      <c r="C166" s="62"/>
      <c r="D166" s="62"/>
      <c r="E166" s="62"/>
    </row>
    <row r="167" spans="2:5" ht="12.75" customHeight="1" x14ac:dyDescent="0.2">
      <c r="B167" s="62"/>
      <c r="C167" s="62"/>
      <c r="D167" s="62"/>
      <c r="E167" s="62"/>
    </row>
    <row r="168" spans="2:5" ht="12.75" customHeight="1" x14ac:dyDescent="0.2">
      <c r="B168" s="62"/>
      <c r="C168" s="62"/>
      <c r="D168" s="62"/>
      <c r="E168" s="62"/>
    </row>
    <row r="169" spans="2:5" ht="12.75" customHeight="1" x14ac:dyDescent="0.2">
      <c r="B169" s="62"/>
      <c r="C169" s="62"/>
      <c r="D169" s="62"/>
      <c r="E169" s="62"/>
    </row>
    <row r="170" spans="2:5" ht="12.75" customHeight="1" x14ac:dyDescent="0.2">
      <c r="B170" s="62"/>
      <c r="C170" s="62"/>
      <c r="D170" s="62"/>
      <c r="E170" s="62"/>
    </row>
    <row r="171" spans="2:5" ht="12.75" customHeight="1" x14ac:dyDescent="0.2">
      <c r="B171" s="62"/>
      <c r="C171" s="62"/>
      <c r="D171" s="62"/>
      <c r="E171" s="62"/>
    </row>
    <row r="172" spans="2:5" ht="12.75" customHeight="1" x14ac:dyDescent="0.2">
      <c r="B172" s="62"/>
      <c r="C172" s="62"/>
      <c r="D172" s="62"/>
      <c r="E172" s="62"/>
    </row>
    <row r="173" spans="2:5" ht="12.75" customHeight="1" x14ac:dyDescent="0.2">
      <c r="B173" s="62"/>
      <c r="C173" s="62"/>
      <c r="D173" s="62"/>
      <c r="E173" s="62"/>
    </row>
    <row r="174" spans="2:5" ht="12.75" customHeight="1" x14ac:dyDescent="0.2">
      <c r="B174" s="62"/>
      <c r="C174" s="62"/>
      <c r="D174" s="62"/>
      <c r="E174" s="62"/>
    </row>
    <row r="175" spans="2:5" ht="12.75" customHeight="1" x14ac:dyDescent="0.2">
      <c r="B175" s="62"/>
      <c r="C175" s="62"/>
      <c r="D175" s="62"/>
      <c r="E175" s="62"/>
    </row>
    <row r="176" spans="2:5" ht="12.75" customHeight="1" x14ac:dyDescent="0.2">
      <c r="B176" s="62"/>
      <c r="C176" s="62"/>
      <c r="D176" s="62"/>
      <c r="E176" s="62"/>
    </row>
    <row r="177" spans="2:5" ht="12.75" customHeight="1" x14ac:dyDescent="0.2">
      <c r="B177" s="62"/>
      <c r="C177" s="62"/>
      <c r="D177" s="62"/>
      <c r="E177" s="62"/>
    </row>
    <row r="178" spans="2:5" ht="12.75" customHeight="1" x14ac:dyDescent="0.2">
      <c r="B178" s="62"/>
      <c r="C178" s="62"/>
      <c r="D178" s="62"/>
      <c r="E178" s="62"/>
    </row>
    <row r="179" spans="2:5" ht="12.75" customHeight="1" x14ac:dyDescent="0.2">
      <c r="B179" s="62"/>
      <c r="C179" s="62"/>
      <c r="D179" s="62"/>
      <c r="E179" s="62"/>
    </row>
    <row r="180" spans="2:5" ht="12.75" customHeight="1" x14ac:dyDescent="0.2">
      <c r="B180" s="62"/>
      <c r="C180" s="62"/>
      <c r="D180" s="62"/>
      <c r="E180" s="62"/>
    </row>
    <row r="181" spans="2:5" ht="12.75" customHeight="1" x14ac:dyDescent="0.2">
      <c r="B181" s="62"/>
      <c r="C181" s="62"/>
      <c r="D181" s="62"/>
      <c r="E181" s="62"/>
    </row>
    <row r="182" spans="2:5" ht="12.75" customHeight="1" x14ac:dyDescent="0.2">
      <c r="B182" s="62"/>
      <c r="C182" s="62"/>
      <c r="D182" s="62"/>
      <c r="E182" s="62"/>
    </row>
    <row r="183" spans="2:5" ht="12.75" customHeight="1" x14ac:dyDescent="0.2">
      <c r="B183" s="62"/>
      <c r="C183" s="62"/>
      <c r="D183" s="62"/>
      <c r="E183" s="62"/>
    </row>
    <row r="184" spans="2:5" ht="12.75" customHeight="1" x14ac:dyDescent="0.2">
      <c r="B184" s="62"/>
      <c r="C184" s="62"/>
      <c r="D184" s="62"/>
      <c r="E184" s="62"/>
    </row>
    <row r="185" spans="2:5" ht="12.75" customHeight="1" x14ac:dyDescent="0.2">
      <c r="B185" s="62"/>
      <c r="C185" s="62"/>
      <c r="D185" s="62"/>
      <c r="E185" s="62"/>
    </row>
    <row r="186" spans="2:5" ht="12.75" customHeight="1" x14ac:dyDescent="0.2">
      <c r="B186" s="62"/>
      <c r="C186" s="62"/>
      <c r="D186" s="62"/>
      <c r="E186" s="62"/>
    </row>
    <row r="187" spans="2:5" ht="12.75" customHeight="1" x14ac:dyDescent="0.2">
      <c r="B187" s="62"/>
      <c r="C187" s="62"/>
      <c r="D187" s="62"/>
      <c r="E187" s="62"/>
    </row>
    <row r="188" spans="2:5" ht="12.75" customHeight="1" x14ac:dyDescent="0.2">
      <c r="B188" s="62"/>
      <c r="C188" s="62"/>
      <c r="D188" s="62"/>
      <c r="E188" s="62"/>
    </row>
    <row r="189" spans="2:5" ht="12.75" customHeight="1" x14ac:dyDescent="0.2">
      <c r="B189" s="62"/>
      <c r="C189" s="62"/>
      <c r="D189" s="62"/>
      <c r="E189" s="62"/>
    </row>
    <row r="190" spans="2:5" ht="12.75" customHeight="1" x14ac:dyDescent="0.2">
      <c r="B190" s="62"/>
      <c r="C190" s="62"/>
      <c r="D190" s="62"/>
      <c r="E190" s="62"/>
    </row>
    <row r="191" spans="2:5" ht="12.75" customHeight="1" x14ac:dyDescent="0.2">
      <c r="B191" s="62"/>
      <c r="C191" s="62"/>
      <c r="D191" s="62"/>
      <c r="E191" s="62"/>
    </row>
    <row r="192" spans="2:5" ht="12.75" customHeight="1" x14ac:dyDescent="0.2">
      <c r="B192" s="62"/>
      <c r="C192" s="62"/>
      <c r="D192" s="62"/>
      <c r="E192" s="62"/>
    </row>
    <row r="193" spans="2:5" ht="12.75" customHeight="1" x14ac:dyDescent="0.2">
      <c r="B193" s="62"/>
      <c r="C193" s="62"/>
      <c r="D193" s="62"/>
      <c r="E193" s="62"/>
    </row>
    <row r="194" spans="2:5" ht="12.75" customHeight="1" x14ac:dyDescent="0.2">
      <c r="B194" s="62"/>
      <c r="C194" s="62"/>
      <c r="D194" s="62"/>
      <c r="E194" s="62"/>
    </row>
    <row r="195" spans="2:5" ht="12.75" customHeight="1" x14ac:dyDescent="0.2">
      <c r="B195" s="62"/>
      <c r="C195" s="62"/>
      <c r="D195" s="62"/>
      <c r="E195" s="62"/>
    </row>
    <row r="196" spans="2:5" ht="12.75" customHeight="1" x14ac:dyDescent="0.2">
      <c r="B196" s="62"/>
      <c r="C196" s="62"/>
      <c r="D196" s="62"/>
      <c r="E196" s="62"/>
    </row>
    <row r="197" spans="2:5" ht="12.75" customHeight="1" x14ac:dyDescent="0.2">
      <c r="B197" s="62"/>
      <c r="C197" s="62"/>
      <c r="D197" s="62"/>
      <c r="E197" s="62"/>
    </row>
    <row r="198" spans="2:5" ht="12.75" customHeight="1" x14ac:dyDescent="0.2">
      <c r="B198" s="62"/>
      <c r="C198" s="62"/>
      <c r="D198" s="62"/>
      <c r="E198" s="62"/>
    </row>
    <row r="199" spans="2:5" ht="12.75" customHeight="1" x14ac:dyDescent="0.2">
      <c r="B199" s="62"/>
      <c r="C199" s="62"/>
      <c r="D199" s="62"/>
      <c r="E199" s="62"/>
    </row>
    <row r="200" spans="2:5" ht="12.75" customHeight="1" x14ac:dyDescent="0.2">
      <c r="B200" s="62"/>
      <c r="C200" s="62"/>
      <c r="D200" s="62"/>
      <c r="E200" s="62"/>
    </row>
    <row r="201" spans="2:5" ht="12.75" customHeight="1" x14ac:dyDescent="0.2">
      <c r="B201" s="62"/>
      <c r="C201" s="62"/>
      <c r="D201" s="62"/>
      <c r="E201" s="62"/>
    </row>
    <row r="202" spans="2:5" ht="12.75" customHeight="1" x14ac:dyDescent="0.2">
      <c r="B202" s="62"/>
      <c r="C202" s="62"/>
      <c r="D202" s="62"/>
      <c r="E202" s="62"/>
    </row>
    <row r="203" spans="2:5" ht="12.75" customHeight="1" x14ac:dyDescent="0.2">
      <c r="B203" s="62"/>
      <c r="C203" s="62"/>
      <c r="D203" s="62"/>
      <c r="E203" s="62"/>
    </row>
    <row r="204" spans="2:5" ht="12.75" customHeight="1" x14ac:dyDescent="0.2">
      <c r="B204" s="62"/>
      <c r="C204" s="62"/>
      <c r="D204" s="62"/>
      <c r="E204" s="62"/>
    </row>
    <row r="205" spans="2:5" ht="12.75" customHeight="1" x14ac:dyDescent="0.2">
      <c r="B205" s="62"/>
      <c r="C205" s="62"/>
      <c r="D205" s="62"/>
      <c r="E205" s="62"/>
    </row>
    <row r="206" spans="2:5" ht="12.75" customHeight="1" x14ac:dyDescent="0.2">
      <c r="B206" s="62"/>
      <c r="C206" s="62"/>
      <c r="D206" s="62"/>
      <c r="E206" s="62"/>
    </row>
    <row r="207" spans="2:5" ht="12.75" customHeight="1" x14ac:dyDescent="0.2">
      <c r="B207" s="62"/>
      <c r="C207" s="62"/>
      <c r="D207" s="62"/>
      <c r="E207" s="62"/>
    </row>
    <row r="208" spans="2:5" ht="12.75" customHeight="1" x14ac:dyDescent="0.2">
      <c r="B208" s="62"/>
      <c r="C208" s="62"/>
      <c r="D208" s="62"/>
      <c r="E208" s="62"/>
    </row>
    <row r="209" spans="2:5" ht="12.75" customHeight="1" x14ac:dyDescent="0.2">
      <c r="B209" s="62"/>
      <c r="C209" s="62"/>
      <c r="D209" s="62"/>
      <c r="E209" s="62"/>
    </row>
    <row r="210" spans="2:5" ht="12.75" customHeight="1" x14ac:dyDescent="0.2">
      <c r="B210" s="62"/>
      <c r="C210" s="62"/>
      <c r="D210" s="62"/>
      <c r="E210" s="62"/>
    </row>
    <row r="211" spans="2:5" ht="12.75" customHeight="1" x14ac:dyDescent="0.2">
      <c r="B211" s="62"/>
      <c r="C211" s="62"/>
      <c r="D211" s="62"/>
      <c r="E211" s="62"/>
    </row>
    <row r="212" spans="2:5" ht="12.75" customHeight="1" x14ac:dyDescent="0.2">
      <c r="B212" s="62"/>
      <c r="C212" s="62"/>
      <c r="D212" s="62"/>
      <c r="E212" s="62"/>
    </row>
    <row r="213" spans="2:5" ht="12.75" customHeight="1" x14ac:dyDescent="0.2">
      <c r="B213" s="62"/>
      <c r="C213" s="62"/>
      <c r="D213" s="62"/>
      <c r="E213" s="62"/>
    </row>
    <row r="214" spans="2:5" ht="12.75" customHeight="1" x14ac:dyDescent="0.2">
      <c r="B214" s="62"/>
      <c r="C214" s="62"/>
      <c r="D214" s="62"/>
      <c r="E214" s="62"/>
    </row>
    <row r="215" spans="2:5" ht="12.75" customHeight="1" x14ac:dyDescent="0.2">
      <c r="B215" s="62"/>
      <c r="C215" s="62"/>
      <c r="D215" s="62"/>
      <c r="E215" s="62"/>
    </row>
    <row r="216" spans="2:5" ht="12.75" customHeight="1" x14ac:dyDescent="0.2">
      <c r="B216" s="62"/>
      <c r="C216" s="62"/>
      <c r="D216" s="62"/>
      <c r="E216" s="62"/>
    </row>
    <row r="217" spans="2:5" ht="12.75" customHeight="1" x14ac:dyDescent="0.2">
      <c r="B217" s="62"/>
      <c r="C217" s="62"/>
      <c r="D217" s="62"/>
      <c r="E217" s="62"/>
    </row>
    <row r="218" spans="2:5" ht="12.75" customHeight="1" x14ac:dyDescent="0.2">
      <c r="B218" s="62"/>
      <c r="C218" s="62"/>
      <c r="D218" s="62"/>
      <c r="E218" s="62"/>
    </row>
    <row r="219" spans="2:5" ht="12.75" customHeight="1" x14ac:dyDescent="0.2">
      <c r="B219" s="62"/>
      <c r="C219" s="62"/>
      <c r="D219" s="62"/>
      <c r="E219" s="62"/>
    </row>
    <row r="220" spans="2:5" ht="12.75" customHeight="1" x14ac:dyDescent="0.2">
      <c r="B220" s="62"/>
      <c r="C220" s="62"/>
      <c r="D220" s="62"/>
      <c r="E220" s="62"/>
    </row>
    <row r="221" spans="2:5" ht="12.75" customHeight="1" x14ac:dyDescent="0.2">
      <c r="B221" s="62"/>
      <c r="C221" s="62"/>
      <c r="D221" s="62"/>
      <c r="E221" s="62"/>
    </row>
    <row r="222" spans="2:5" ht="12.75" customHeight="1" x14ac:dyDescent="0.2">
      <c r="B222" s="62"/>
      <c r="C222" s="62"/>
      <c r="D222" s="62"/>
      <c r="E222" s="62"/>
    </row>
    <row r="223" spans="2:5" ht="12.75" customHeight="1" x14ac:dyDescent="0.2">
      <c r="B223" s="62"/>
      <c r="C223" s="62"/>
      <c r="D223" s="62"/>
      <c r="E223" s="62"/>
    </row>
    <row r="224" spans="2:5" ht="12.75" customHeight="1" x14ac:dyDescent="0.2">
      <c r="B224" s="62"/>
      <c r="C224" s="62"/>
      <c r="D224" s="62"/>
      <c r="E224" s="62"/>
    </row>
    <row r="225" spans="2:5" ht="12.75" customHeight="1" x14ac:dyDescent="0.2">
      <c r="B225" s="62"/>
      <c r="C225" s="62"/>
      <c r="D225" s="62"/>
      <c r="E225" s="62"/>
    </row>
    <row r="226" spans="2:5" ht="12.75" customHeight="1" x14ac:dyDescent="0.2">
      <c r="B226" s="62"/>
      <c r="C226" s="62"/>
      <c r="D226" s="62"/>
      <c r="E226" s="62"/>
    </row>
    <row r="227" spans="2:5" ht="12.75" customHeight="1" x14ac:dyDescent="0.2">
      <c r="B227" s="62"/>
      <c r="C227" s="62"/>
      <c r="D227" s="62"/>
      <c r="E227" s="62"/>
    </row>
    <row r="228" spans="2:5" ht="12.75" customHeight="1" x14ac:dyDescent="0.2">
      <c r="B228" s="62"/>
      <c r="C228" s="62"/>
      <c r="D228" s="62"/>
      <c r="E228" s="62"/>
    </row>
    <row r="229" spans="2:5" ht="12.75" customHeight="1" x14ac:dyDescent="0.2">
      <c r="B229" s="62"/>
      <c r="C229" s="62"/>
      <c r="D229" s="62"/>
      <c r="E229" s="62"/>
    </row>
    <row r="230" spans="2:5" ht="12.75" customHeight="1" x14ac:dyDescent="0.2">
      <c r="B230" s="62"/>
      <c r="C230" s="62"/>
      <c r="D230" s="62"/>
      <c r="E230" s="62"/>
    </row>
    <row r="231" spans="2:5" ht="12.75" customHeight="1" x14ac:dyDescent="0.2">
      <c r="B231" s="62"/>
      <c r="C231" s="62"/>
      <c r="D231" s="62"/>
      <c r="E231" s="62"/>
    </row>
    <row r="232" spans="2:5" ht="12.75" customHeight="1" x14ac:dyDescent="0.2">
      <c r="B232" s="62"/>
      <c r="C232" s="62"/>
      <c r="D232" s="62"/>
      <c r="E232" s="62"/>
    </row>
    <row r="233" spans="2:5" ht="12.75" customHeight="1" x14ac:dyDescent="0.2">
      <c r="B233" s="62"/>
      <c r="C233" s="62"/>
      <c r="D233" s="62"/>
      <c r="E233" s="62"/>
    </row>
    <row r="234" spans="2:5" ht="12.75" customHeight="1" x14ac:dyDescent="0.2">
      <c r="B234" s="62"/>
      <c r="C234" s="62"/>
      <c r="D234" s="62"/>
      <c r="E234" s="62"/>
    </row>
    <row r="235" spans="2:5" ht="12.75" customHeight="1" x14ac:dyDescent="0.2">
      <c r="B235" s="62"/>
      <c r="C235" s="62"/>
      <c r="D235" s="62"/>
      <c r="E235" s="62"/>
    </row>
    <row r="236" spans="2:5" ht="12.75" customHeight="1" x14ac:dyDescent="0.2">
      <c r="B236" s="62"/>
      <c r="C236" s="62"/>
      <c r="D236" s="62"/>
      <c r="E236" s="62"/>
    </row>
    <row r="237" spans="2:5" ht="12.75" customHeight="1" x14ac:dyDescent="0.2">
      <c r="B237" s="62"/>
      <c r="C237" s="62"/>
      <c r="D237" s="62"/>
      <c r="E237" s="62"/>
    </row>
    <row r="238" spans="2:5" ht="12.75" customHeight="1" x14ac:dyDescent="0.2">
      <c r="B238" s="62"/>
      <c r="C238" s="62"/>
      <c r="D238" s="62"/>
      <c r="E238" s="62"/>
    </row>
    <row r="239" spans="2:5" ht="12.75" customHeight="1" x14ac:dyDescent="0.2">
      <c r="B239" s="62"/>
      <c r="C239" s="62"/>
      <c r="D239" s="62"/>
      <c r="E239" s="62"/>
    </row>
    <row r="240" spans="2:5" ht="12.75" customHeight="1" x14ac:dyDescent="0.2">
      <c r="B240" s="62"/>
      <c r="C240" s="62"/>
      <c r="D240" s="62"/>
      <c r="E240" s="62"/>
    </row>
    <row r="241" spans="2:5" ht="12.75" customHeight="1" x14ac:dyDescent="0.2">
      <c r="B241" s="62"/>
      <c r="C241" s="62"/>
      <c r="D241" s="62"/>
      <c r="E241" s="62"/>
    </row>
    <row r="242" spans="2:5" ht="12.75" customHeight="1" x14ac:dyDescent="0.2">
      <c r="B242" s="62"/>
      <c r="C242" s="62"/>
      <c r="D242" s="62"/>
      <c r="E242" s="62"/>
    </row>
    <row r="243" spans="2:5" ht="12.75" customHeight="1" x14ac:dyDescent="0.2">
      <c r="B243" s="62"/>
      <c r="C243" s="62"/>
      <c r="D243" s="62"/>
      <c r="E243" s="62"/>
    </row>
    <row r="244" spans="2:5" ht="12.75" customHeight="1" x14ac:dyDescent="0.2">
      <c r="B244" s="62"/>
      <c r="C244" s="62"/>
      <c r="D244" s="62"/>
      <c r="E244" s="62"/>
    </row>
    <row r="245" spans="2:5" ht="12.75" customHeight="1" x14ac:dyDescent="0.2">
      <c r="B245" s="62"/>
      <c r="C245" s="62"/>
      <c r="D245" s="62"/>
      <c r="E245" s="62"/>
    </row>
    <row r="246" spans="2:5" ht="12.75" customHeight="1" x14ac:dyDescent="0.2">
      <c r="B246" s="62"/>
      <c r="C246" s="62"/>
      <c r="D246" s="62"/>
      <c r="E246" s="62"/>
    </row>
    <row r="247" spans="2:5" ht="12.75" customHeight="1" x14ac:dyDescent="0.2">
      <c r="B247" s="62"/>
      <c r="C247" s="62"/>
      <c r="D247" s="62"/>
      <c r="E247" s="62"/>
    </row>
    <row r="248" spans="2:5" ht="12.75" customHeight="1" x14ac:dyDescent="0.2">
      <c r="B248" s="62"/>
      <c r="C248" s="62"/>
      <c r="D248" s="62"/>
      <c r="E248" s="62"/>
    </row>
    <row r="249" spans="2:5" ht="12.75" customHeight="1" x14ac:dyDescent="0.2">
      <c r="B249" s="62"/>
      <c r="C249" s="62"/>
      <c r="D249" s="62"/>
      <c r="E249" s="62"/>
    </row>
    <row r="250" spans="2:5" ht="12.75" customHeight="1" x14ac:dyDescent="0.2">
      <c r="B250" s="62"/>
      <c r="C250" s="62"/>
      <c r="D250" s="62"/>
      <c r="E250" s="62"/>
    </row>
    <row r="251" spans="2:5" ht="12.75" customHeight="1" x14ac:dyDescent="0.2">
      <c r="B251" s="62"/>
      <c r="C251" s="62"/>
      <c r="D251" s="62"/>
      <c r="E251" s="62"/>
    </row>
    <row r="252" spans="2:5" ht="12.75" customHeight="1" x14ac:dyDescent="0.2">
      <c r="B252" s="62"/>
      <c r="C252" s="62"/>
      <c r="D252" s="62"/>
      <c r="E252" s="62"/>
    </row>
    <row r="253" spans="2:5" ht="12.75" customHeight="1" x14ac:dyDescent="0.2">
      <c r="B253" s="62"/>
      <c r="C253" s="62"/>
      <c r="D253" s="62"/>
      <c r="E253" s="62"/>
    </row>
    <row r="254" spans="2:5" ht="12.75" customHeight="1" x14ac:dyDescent="0.2">
      <c r="B254" s="62"/>
      <c r="C254" s="62"/>
      <c r="D254" s="62"/>
      <c r="E254" s="62"/>
    </row>
    <row r="255" spans="2:5" ht="12.75" customHeight="1" x14ac:dyDescent="0.2">
      <c r="B255" s="62"/>
      <c r="C255" s="62"/>
      <c r="D255" s="62"/>
      <c r="E255" s="62"/>
    </row>
    <row r="256" spans="2:5" ht="12.75" customHeight="1" x14ac:dyDescent="0.2">
      <c r="B256" s="62"/>
      <c r="C256" s="62"/>
      <c r="D256" s="62"/>
      <c r="E256" s="62"/>
    </row>
    <row r="257" spans="2:5" ht="12.75" customHeight="1" x14ac:dyDescent="0.2">
      <c r="B257" s="62"/>
      <c r="C257" s="62"/>
      <c r="D257" s="62"/>
      <c r="E257" s="62"/>
    </row>
    <row r="258" spans="2:5" ht="12.75" customHeight="1" x14ac:dyDescent="0.2">
      <c r="B258" s="62"/>
      <c r="C258" s="62"/>
      <c r="D258" s="62"/>
      <c r="E258" s="62"/>
    </row>
    <row r="259" spans="2:5" ht="12.75" customHeight="1" x14ac:dyDescent="0.2">
      <c r="B259" s="62"/>
      <c r="C259" s="62"/>
      <c r="D259" s="62"/>
      <c r="E259" s="62"/>
    </row>
    <row r="260" spans="2:5" ht="12.75" customHeight="1" x14ac:dyDescent="0.2">
      <c r="B260" s="62"/>
      <c r="C260" s="62"/>
      <c r="D260" s="62"/>
      <c r="E260" s="62"/>
    </row>
    <row r="261" spans="2:5" ht="12.75" customHeight="1" x14ac:dyDescent="0.2">
      <c r="B261" s="62"/>
      <c r="C261" s="62"/>
      <c r="D261" s="62"/>
      <c r="E261" s="62"/>
    </row>
    <row r="262" spans="2:5" ht="12.75" customHeight="1" x14ac:dyDescent="0.2">
      <c r="B262" s="62"/>
      <c r="C262" s="62"/>
      <c r="D262" s="62"/>
      <c r="E262" s="62"/>
    </row>
    <row r="263" spans="2:5" ht="12.75" customHeight="1" x14ac:dyDescent="0.2">
      <c r="B263" s="62"/>
      <c r="C263" s="62"/>
      <c r="D263" s="62"/>
      <c r="E263" s="62"/>
    </row>
    <row r="264" spans="2:5" ht="12.75" customHeight="1" x14ac:dyDescent="0.2">
      <c r="B264" s="62"/>
      <c r="C264" s="62"/>
      <c r="D264" s="62"/>
      <c r="E264" s="62"/>
    </row>
    <row r="265" spans="2:5" ht="12.75" customHeight="1" x14ac:dyDescent="0.2">
      <c r="B265" s="62"/>
      <c r="C265" s="62"/>
      <c r="D265" s="62"/>
      <c r="E265" s="62"/>
    </row>
    <row r="266" spans="2:5" ht="12.75" customHeight="1" x14ac:dyDescent="0.2">
      <c r="B266" s="62"/>
      <c r="C266" s="62"/>
      <c r="D266" s="62"/>
      <c r="E266" s="62"/>
    </row>
    <row r="267" spans="2:5" ht="12.75" customHeight="1" x14ac:dyDescent="0.2">
      <c r="B267" s="62"/>
      <c r="C267" s="62"/>
      <c r="D267" s="62"/>
      <c r="E267" s="62"/>
    </row>
    <row r="268" spans="2:5" ht="12.75" customHeight="1" x14ac:dyDescent="0.2">
      <c r="B268" s="62"/>
      <c r="C268" s="62"/>
      <c r="D268" s="62"/>
      <c r="E268" s="62"/>
    </row>
    <row r="269" spans="2:5" ht="12.75" customHeight="1" x14ac:dyDescent="0.2">
      <c r="B269" s="62"/>
      <c r="C269" s="62"/>
      <c r="D269" s="62"/>
      <c r="E269" s="62"/>
    </row>
    <row r="270" spans="2:5" ht="12.75" customHeight="1" x14ac:dyDescent="0.2">
      <c r="B270" s="62"/>
      <c r="C270" s="62"/>
      <c r="D270" s="62"/>
      <c r="E270" s="62"/>
    </row>
    <row r="271" spans="2:5" ht="12.75" customHeight="1" x14ac:dyDescent="0.2">
      <c r="B271" s="62"/>
      <c r="C271" s="62"/>
      <c r="D271" s="62"/>
      <c r="E271" s="62"/>
    </row>
    <row r="272" spans="2:5" ht="12.75" customHeight="1" x14ac:dyDescent="0.2">
      <c r="B272" s="62"/>
      <c r="C272" s="62"/>
      <c r="D272" s="62"/>
      <c r="E272" s="62"/>
    </row>
    <row r="273" spans="2:5" ht="12.75" customHeight="1" x14ac:dyDescent="0.2">
      <c r="B273" s="62"/>
      <c r="C273" s="62"/>
      <c r="D273" s="62"/>
      <c r="E273" s="62"/>
    </row>
    <row r="274" spans="2:5" ht="12.75" customHeight="1" x14ac:dyDescent="0.2">
      <c r="B274" s="62"/>
      <c r="C274" s="62"/>
      <c r="D274" s="62"/>
      <c r="E274" s="62"/>
    </row>
    <row r="275" spans="2:5" ht="12.75" customHeight="1" x14ac:dyDescent="0.2">
      <c r="B275" s="62"/>
      <c r="C275" s="62"/>
      <c r="D275" s="62"/>
      <c r="E275" s="62"/>
    </row>
    <row r="276" spans="2:5" ht="12.75" customHeight="1" x14ac:dyDescent="0.2">
      <c r="B276" s="62"/>
      <c r="C276" s="62"/>
      <c r="D276" s="62"/>
      <c r="E276" s="62"/>
    </row>
    <row r="277" spans="2:5" ht="12.75" customHeight="1" x14ac:dyDescent="0.2">
      <c r="B277" s="62"/>
      <c r="C277" s="62"/>
      <c r="D277" s="62"/>
      <c r="E277" s="62"/>
    </row>
    <row r="278" spans="2:5" ht="12.75" customHeight="1" x14ac:dyDescent="0.2">
      <c r="B278" s="62"/>
      <c r="C278" s="62"/>
      <c r="D278" s="62"/>
      <c r="E278" s="62"/>
    </row>
    <row r="279" spans="2:5" ht="12.75" customHeight="1" x14ac:dyDescent="0.2">
      <c r="B279" s="62"/>
      <c r="C279" s="62"/>
      <c r="D279" s="62"/>
      <c r="E279" s="62"/>
    </row>
    <row r="280" spans="2:5" ht="12.75" customHeight="1" x14ac:dyDescent="0.2">
      <c r="B280" s="62"/>
      <c r="C280" s="62"/>
      <c r="D280" s="62"/>
      <c r="E280" s="62"/>
    </row>
    <row r="281" spans="2:5" ht="12.75" customHeight="1" x14ac:dyDescent="0.2">
      <c r="B281" s="62"/>
      <c r="C281" s="62"/>
      <c r="D281" s="62"/>
      <c r="E281" s="62"/>
    </row>
    <row r="282" spans="2:5" ht="12.75" customHeight="1" x14ac:dyDescent="0.2">
      <c r="B282" s="62"/>
      <c r="C282" s="62"/>
      <c r="D282" s="62"/>
      <c r="E282" s="62"/>
    </row>
    <row r="283" spans="2:5" ht="12.75" customHeight="1" x14ac:dyDescent="0.2">
      <c r="B283" s="62"/>
      <c r="C283" s="62"/>
      <c r="D283" s="62"/>
      <c r="E283" s="62"/>
    </row>
    <row r="284" spans="2:5" ht="12.75" customHeight="1" x14ac:dyDescent="0.2">
      <c r="B284" s="62"/>
      <c r="C284" s="62"/>
      <c r="D284" s="62"/>
      <c r="E284" s="62"/>
    </row>
    <row r="285" spans="2:5" ht="12.75" customHeight="1" x14ac:dyDescent="0.2">
      <c r="B285" s="62"/>
      <c r="C285" s="62"/>
      <c r="D285" s="62"/>
      <c r="E285" s="62"/>
    </row>
    <row r="286" spans="2:5" ht="12.75" customHeight="1" x14ac:dyDescent="0.2">
      <c r="B286" s="62"/>
      <c r="C286" s="62"/>
      <c r="D286" s="62"/>
      <c r="E286" s="62"/>
    </row>
    <row r="287" spans="2:5" ht="12.75" customHeight="1" x14ac:dyDescent="0.2">
      <c r="B287" s="62"/>
      <c r="C287" s="62"/>
      <c r="D287" s="62"/>
      <c r="E287" s="62"/>
    </row>
    <row r="288" spans="2:5" ht="12.75" customHeight="1" x14ac:dyDescent="0.2">
      <c r="B288" s="62"/>
      <c r="C288" s="62"/>
      <c r="D288" s="62"/>
      <c r="E288" s="62"/>
    </row>
    <row r="289" spans="2:5" ht="12.75" customHeight="1" x14ac:dyDescent="0.2">
      <c r="B289" s="62"/>
      <c r="C289" s="62"/>
      <c r="D289" s="62"/>
      <c r="E289" s="62"/>
    </row>
    <row r="290" spans="2:5" ht="12.75" customHeight="1" x14ac:dyDescent="0.2">
      <c r="B290" s="62"/>
      <c r="C290" s="62"/>
      <c r="D290" s="62"/>
      <c r="E290" s="62"/>
    </row>
    <row r="291" spans="2:5" ht="12.75" customHeight="1" x14ac:dyDescent="0.2">
      <c r="B291" s="62"/>
      <c r="C291" s="62"/>
      <c r="D291" s="62"/>
      <c r="E291" s="62"/>
    </row>
    <row r="292" spans="2:5" ht="12.75" customHeight="1" x14ac:dyDescent="0.2">
      <c r="B292" s="62"/>
      <c r="C292" s="62"/>
      <c r="D292" s="62"/>
      <c r="E292" s="62"/>
    </row>
    <row r="293" spans="2:5" ht="12.75" customHeight="1" x14ac:dyDescent="0.2">
      <c r="B293" s="62"/>
      <c r="C293" s="62"/>
      <c r="D293" s="62"/>
      <c r="E293" s="62"/>
    </row>
    <row r="294" spans="2:5" ht="12.75" customHeight="1" x14ac:dyDescent="0.2">
      <c r="B294" s="62"/>
      <c r="C294" s="62"/>
      <c r="D294" s="62"/>
      <c r="E294" s="62"/>
    </row>
    <row r="295" spans="2:5" ht="12.75" customHeight="1" x14ac:dyDescent="0.2">
      <c r="B295" s="62"/>
      <c r="C295" s="62"/>
      <c r="D295" s="62"/>
      <c r="E295" s="62"/>
    </row>
    <row r="296" spans="2:5" ht="12.75" customHeight="1" x14ac:dyDescent="0.2">
      <c r="B296" s="62"/>
      <c r="C296" s="62"/>
      <c r="D296" s="62"/>
      <c r="E296" s="62"/>
    </row>
    <row r="297" spans="2:5" ht="12.75" customHeight="1" x14ac:dyDescent="0.2">
      <c r="B297" s="62"/>
      <c r="C297" s="62"/>
      <c r="D297" s="62"/>
      <c r="E297" s="62"/>
    </row>
    <row r="298" spans="2:5" ht="12.75" customHeight="1" x14ac:dyDescent="0.2">
      <c r="B298" s="62"/>
      <c r="C298" s="62"/>
      <c r="D298" s="62"/>
      <c r="E298" s="62"/>
    </row>
    <row r="299" spans="2:5" ht="12.75" customHeight="1" x14ac:dyDescent="0.2">
      <c r="B299" s="62"/>
      <c r="C299" s="62"/>
      <c r="D299" s="62"/>
      <c r="E299" s="62"/>
    </row>
    <row r="300" spans="2:5" ht="12.75" customHeight="1" x14ac:dyDescent="0.2">
      <c r="B300" s="62"/>
      <c r="C300" s="62"/>
      <c r="D300" s="62"/>
      <c r="E300" s="62"/>
    </row>
    <row r="301" spans="2:5" ht="12.75" customHeight="1" x14ac:dyDescent="0.2">
      <c r="B301" s="62"/>
      <c r="C301" s="62"/>
      <c r="D301" s="62"/>
      <c r="E301" s="62"/>
    </row>
    <row r="302" spans="2:5" ht="12.75" customHeight="1" x14ac:dyDescent="0.2">
      <c r="B302" s="62"/>
      <c r="C302" s="62"/>
      <c r="D302" s="62"/>
      <c r="E302" s="62"/>
    </row>
    <row r="303" spans="2:5" ht="12.75" customHeight="1" x14ac:dyDescent="0.2">
      <c r="B303" s="62"/>
      <c r="C303" s="62"/>
      <c r="D303" s="62"/>
      <c r="E303" s="62"/>
    </row>
    <row r="304" spans="2:5" ht="12.75" customHeight="1" x14ac:dyDescent="0.2">
      <c r="B304" s="62"/>
      <c r="C304" s="62"/>
      <c r="D304" s="62"/>
      <c r="E304" s="62"/>
    </row>
    <row r="305" spans="2:5" ht="12.75" customHeight="1" x14ac:dyDescent="0.2">
      <c r="B305" s="62"/>
      <c r="C305" s="62"/>
      <c r="D305" s="62"/>
      <c r="E305" s="62"/>
    </row>
    <row r="306" spans="2:5" ht="12.75" customHeight="1" x14ac:dyDescent="0.2">
      <c r="B306" s="62"/>
      <c r="C306" s="62"/>
      <c r="D306" s="62"/>
      <c r="E306" s="62"/>
    </row>
    <row r="307" spans="2:5" ht="12.75" customHeight="1" x14ac:dyDescent="0.2">
      <c r="B307" s="62"/>
      <c r="C307" s="62"/>
      <c r="D307" s="62"/>
      <c r="E307" s="62"/>
    </row>
    <row r="308" spans="2:5" ht="12.75" customHeight="1" x14ac:dyDescent="0.2">
      <c r="B308" s="62"/>
      <c r="C308" s="62"/>
      <c r="D308" s="62"/>
      <c r="E308" s="62"/>
    </row>
    <row r="309" spans="2:5" ht="12.75" customHeight="1" x14ac:dyDescent="0.2">
      <c r="B309" s="62"/>
      <c r="C309" s="62"/>
      <c r="D309" s="62"/>
      <c r="E309" s="62"/>
    </row>
    <row r="310" spans="2:5" ht="12.75" customHeight="1" x14ac:dyDescent="0.2">
      <c r="B310" s="62"/>
      <c r="C310" s="62"/>
      <c r="D310" s="62"/>
      <c r="E310" s="62"/>
    </row>
    <row r="311" spans="2:5" ht="12.75" customHeight="1" x14ac:dyDescent="0.2">
      <c r="B311" s="62"/>
      <c r="C311" s="62"/>
      <c r="D311" s="62"/>
      <c r="E311" s="62"/>
    </row>
    <row r="312" spans="2:5" ht="12.75" customHeight="1" x14ac:dyDescent="0.2">
      <c r="B312" s="62"/>
      <c r="C312" s="62"/>
      <c r="D312" s="62"/>
      <c r="E312" s="62"/>
    </row>
    <row r="313" spans="2:5" ht="12.75" customHeight="1" x14ac:dyDescent="0.2">
      <c r="B313" s="62"/>
      <c r="C313" s="62"/>
      <c r="D313" s="62"/>
      <c r="E313" s="62"/>
    </row>
    <row r="314" spans="2:5" ht="12.75" customHeight="1" x14ac:dyDescent="0.2">
      <c r="B314" s="62"/>
      <c r="C314" s="62"/>
      <c r="D314" s="62"/>
      <c r="E314" s="62"/>
    </row>
    <row r="315" spans="2:5" ht="12.75" customHeight="1" x14ac:dyDescent="0.2">
      <c r="B315" s="62"/>
      <c r="C315" s="62"/>
      <c r="D315" s="62"/>
      <c r="E315" s="62"/>
    </row>
    <row r="316" spans="2:5" ht="12.75" customHeight="1" x14ac:dyDescent="0.2">
      <c r="B316" s="62"/>
      <c r="C316" s="62"/>
      <c r="D316" s="62"/>
      <c r="E316" s="62"/>
    </row>
    <row r="317" spans="2:5" ht="12.75" customHeight="1" x14ac:dyDescent="0.2">
      <c r="B317" s="62"/>
      <c r="C317" s="62"/>
      <c r="D317" s="62"/>
      <c r="E317" s="62"/>
    </row>
    <row r="318" spans="2:5" ht="12.75" customHeight="1" x14ac:dyDescent="0.2">
      <c r="B318" s="62"/>
      <c r="C318" s="62"/>
      <c r="D318" s="62"/>
      <c r="E318" s="62"/>
    </row>
    <row r="319" spans="2:5" ht="12.75" customHeight="1" x14ac:dyDescent="0.2">
      <c r="B319" s="62"/>
      <c r="C319" s="62"/>
      <c r="D319" s="62"/>
      <c r="E319" s="62"/>
    </row>
    <row r="320" spans="2:5" ht="12.75" customHeight="1" x14ac:dyDescent="0.2">
      <c r="B320" s="62"/>
      <c r="C320" s="62"/>
      <c r="D320" s="62"/>
      <c r="E320" s="62"/>
    </row>
    <row r="321" spans="2:5" ht="12.75" customHeight="1" x14ac:dyDescent="0.2">
      <c r="B321" s="62"/>
      <c r="C321" s="62"/>
      <c r="D321" s="62"/>
      <c r="E321" s="62"/>
    </row>
    <row r="322" spans="2:5" ht="12.75" customHeight="1" x14ac:dyDescent="0.2">
      <c r="B322" s="62"/>
      <c r="C322" s="62"/>
      <c r="D322" s="62"/>
      <c r="E322" s="62"/>
    </row>
    <row r="323" spans="2:5" ht="12.75" customHeight="1" x14ac:dyDescent="0.2">
      <c r="B323" s="62"/>
      <c r="C323" s="62"/>
      <c r="D323" s="62"/>
      <c r="E323" s="62"/>
    </row>
    <row r="324" spans="2:5" ht="12.75" customHeight="1" x14ac:dyDescent="0.2">
      <c r="B324" s="62"/>
      <c r="C324" s="62"/>
      <c r="D324" s="62"/>
      <c r="E324" s="62"/>
    </row>
    <row r="325" spans="2:5" ht="12.75" customHeight="1" x14ac:dyDescent="0.2">
      <c r="B325" s="62"/>
      <c r="C325" s="62"/>
      <c r="D325" s="62"/>
      <c r="E325" s="62"/>
    </row>
    <row r="326" spans="2:5" ht="12.75" customHeight="1" x14ac:dyDescent="0.2">
      <c r="B326" s="62"/>
      <c r="C326" s="62"/>
      <c r="D326" s="62"/>
      <c r="E326" s="62"/>
    </row>
    <row r="327" spans="2:5" ht="12.75" customHeight="1" x14ac:dyDescent="0.2">
      <c r="B327" s="62"/>
      <c r="C327" s="62"/>
      <c r="D327" s="62"/>
      <c r="E327" s="62"/>
    </row>
    <row r="328" spans="2:5" ht="12.75" customHeight="1" x14ac:dyDescent="0.2">
      <c r="B328" s="62"/>
      <c r="C328" s="62"/>
      <c r="D328" s="62"/>
      <c r="E328" s="62"/>
    </row>
    <row r="329" spans="2:5" ht="12.75" customHeight="1" x14ac:dyDescent="0.2">
      <c r="B329" s="62"/>
      <c r="C329" s="62"/>
      <c r="D329" s="62"/>
      <c r="E329" s="62"/>
    </row>
    <row r="330" spans="2:5" ht="12.75" customHeight="1" x14ac:dyDescent="0.2">
      <c r="B330" s="62"/>
      <c r="C330" s="62"/>
      <c r="D330" s="62"/>
      <c r="E330" s="62"/>
    </row>
    <row r="331" spans="2:5" ht="12.75" customHeight="1" x14ac:dyDescent="0.2">
      <c r="B331" s="62"/>
      <c r="C331" s="62"/>
      <c r="D331" s="62"/>
      <c r="E331" s="62"/>
    </row>
    <row r="332" spans="2:5" ht="12.75" customHeight="1" x14ac:dyDescent="0.2">
      <c r="B332" s="62"/>
      <c r="C332" s="62"/>
      <c r="D332" s="62"/>
      <c r="E332" s="62"/>
    </row>
    <row r="333" spans="2:5" ht="12.75" customHeight="1" x14ac:dyDescent="0.2">
      <c r="B333" s="62"/>
      <c r="C333" s="62"/>
      <c r="D333" s="62"/>
      <c r="E333" s="62"/>
    </row>
    <row r="334" spans="2:5" ht="12.75" customHeight="1" x14ac:dyDescent="0.2">
      <c r="B334" s="62"/>
      <c r="C334" s="62"/>
      <c r="D334" s="62"/>
      <c r="E334" s="62"/>
    </row>
    <row r="335" spans="2:5" ht="12.75" customHeight="1" x14ac:dyDescent="0.2">
      <c r="B335" s="62"/>
      <c r="C335" s="62"/>
      <c r="D335" s="62"/>
      <c r="E335" s="62"/>
    </row>
    <row r="336" spans="2:5" ht="12.75" customHeight="1" x14ac:dyDescent="0.2">
      <c r="B336" s="62"/>
      <c r="C336" s="62"/>
      <c r="D336" s="62"/>
      <c r="E336" s="62"/>
    </row>
    <row r="337" spans="2:5" ht="12.75" customHeight="1" x14ac:dyDescent="0.2">
      <c r="B337" s="62"/>
      <c r="C337" s="62"/>
      <c r="D337" s="62"/>
      <c r="E337" s="62"/>
    </row>
    <row r="338" spans="2:5" ht="12.75" customHeight="1" x14ac:dyDescent="0.2">
      <c r="B338" s="62"/>
      <c r="C338" s="62"/>
      <c r="D338" s="62"/>
      <c r="E338" s="62"/>
    </row>
    <row r="339" spans="2:5" ht="12.75" customHeight="1" x14ac:dyDescent="0.2">
      <c r="B339" s="62"/>
      <c r="C339" s="62"/>
      <c r="D339" s="62"/>
      <c r="E339" s="62"/>
    </row>
    <row r="340" spans="2:5" ht="12.75" customHeight="1" x14ac:dyDescent="0.2">
      <c r="B340" s="62"/>
      <c r="C340" s="62"/>
      <c r="D340" s="62"/>
      <c r="E340" s="62"/>
    </row>
    <row r="341" spans="2:5" ht="12.75" customHeight="1" x14ac:dyDescent="0.2">
      <c r="B341" s="62"/>
      <c r="C341" s="62"/>
      <c r="D341" s="62"/>
      <c r="E341" s="62"/>
    </row>
    <row r="342" spans="2:5" ht="12.75" customHeight="1" x14ac:dyDescent="0.2">
      <c r="B342" s="62"/>
      <c r="C342" s="62"/>
      <c r="D342" s="62"/>
      <c r="E342" s="62"/>
    </row>
    <row r="343" spans="2:5" ht="12.75" customHeight="1" x14ac:dyDescent="0.2">
      <c r="B343" s="62"/>
      <c r="C343" s="62"/>
      <c r="D343" s="62"/>
      <c r="E343" s="62"/>
    </row>
    <row r="344" spans="2:5" ht="12.75" customHeight="1" x14ac:dyDescent="0.2">
      <c r="B344" s="62"/>
      <c r="C344" s="62"/>
      <c r="D344" s="62"/>
      <c r="E344" s="62"/>
    </row>
    <row r="345" spans="2:5" ht="12.75" customHeight="1" x14ac:dyDescent="0.2">
      <c r="B345" s="62"/>
      <c r="C345" s="62"/>
      <c r="D345" s="62"/>
      <c r="E345" s="62"/>
    </row>
    <row r="346" spans="2:5" ht="12.75" customHeight="1" x14ac:dyDescent="0.2">
      <c r="B346" s="62"/>
      <c r="C346" s="62"/>
      <c r="D346" s="62"/>
      <c r="E346" s="62"/>
    </row>
    <row r="347" spans="2:5" ht="12.75" customHeight="1" x14ac:dyDescent="0.2">
      <c r="B347" s="62"/>
      <c r="C347" s="62"/>
      <c r="D347" s="62"/>
      <c r="E347" s="62"/>
    </row>
    <row r="348" spans="2:5" ht="12.75" customHeight="1" x14ac:dyDescent="0.2">
      <c r="B348" s="62"/>
      <c r="C348" s="62"/>
      <c r="D348" s="62"/>
      <c r="E348" s="62"/>
    </row>
    <row r="349" spans="2:5" ht="12.75" customHeight="1" x14ac:dyDescent="0.2">
      <c r="B349" s="62"/>
      <c r="C349" s="62"/>
      <c r="D349" s="62"/>
      <c r="E349" s="62"/>
    </row>
    <row r="350" spans="2:5" ht="12.75" customHeight="1" x14ac:dyDescent="0.2">
      <c r="B350" s="62"/>
      <c r="C350" s="62"/>
      <c r="D350" s="62"/>
      <c r="E350" s="62"/>
    </row>
    <row r="351" spans="2:5" ht="12.75" customHeight="1" x14ac:dyDescent="0.2">
      <c r="B351" s="62"/>
      <c r="C351" s="62"/>
      <c r="D351" s="62"/>
      <c r="E351" s="62"/>
    </row>
    <row r="352" spans="2:5" ht="12.75" customHeight="1" x14ac:dyDescent="0.2">
      <c r="B352" s="62"/>
      <c r="C352" s="62"/>
      <c r="D352" s="62"/>
      <c r="E352" s="62"/>
    </row>
    <row r="353" spans="2:5" ht="12.75" customHeight="1" x14ac:dyDescent="0.2">
      <c r="B353" s="62"/>
      <c r="C353" s="62"/>
      <c r="D353" s="62"/>
      <c r="E353" s="62"/>
    </row>
    <row r="354" spans="2:5" ht="12.75" customHeight="1" x14ac:dyDescent="0.2">
      <c r="B354" s="62"/>
      <c r="C354" s="62"/>
      <c r="D354" s="62"/>
      <c r="E354" s="62"/>
    </row>
    <row r="355" spans="2:5" ht="12.75" customHeight="1" x14ac:dyDescent="0.2">
      <c r="B355" s="62"/>
      <c r="C355" s="62"/>
      <c r="D355" s="62"/>
      <c r="E355" s="62"/>
    </row>
    <row r="356" spans="2:5" ht="12.75" customHeight="1" x14ac:dyDescent="0.2">
      <c r="B356" s="62"/>
      <c r="C356" s="62"/>
      <c r="D356" s="62"/>
      <c r="E356" s="62"/>
    </row>
    <row r="357" spans="2:5" ht="12.75" customHeight="1" x14ac:dyDescent="0.2">
      <c r="B357" s="62"/>
      <c r="C357" s="62"/>
      <c r="D357" s="62"/>
      <c r="E357" s="62"/>
    </row>
    <row r="358" spans="2:5" ht="12.75" customHeight="1" x14ac:dyDescent="0.2">
      <c r="B358" s="62"/>
      <c r="C358" s="62"/>
      <c r="D358" s="62"/>
      <c r="E358" s="62"/>
    </row>
    <row r="359" spans="2:5" ht="12.75" customHeight="1" x14ac:dyDescent="0.2">
      <c r="B359" s="62"/>
      <c r="C359" s="62"/>
      <c r="D359" s="62"/>
      <c r="E359" s="62"/>
    </row>
    <row r="360" spans="2:5" ht="12.75" customHeight="1" x14ac:dyDescent="0.2">
      <c r="B360" s="62"/>
      <c r="C360" s="62"/>
      <c r="D360" s="62"/>
      <c r="E360" s="62"/>
    </row>
    <row r="361" spans="2:5" ht="12.75" customHeight="1" x14ac:dyDescent="0.2">
      <c r="B361" s="62"/>
      <c r="C361" s="62"/>
      <c r="D361" s="62"/>
      <c r="E361" s="62"/>
    </row>
    <row r="362" spans="2:5" ht="12.75" customHeight="1" x14ac:dyDescent="0.2">
      <c r="B362" s="62"/>
      <c r="C362" s="62"/>
      <c r="D362" s="62"/>
      <c r="E362" s="62"/>
    </row>
    <row r="363" spans="2:5" ht="12.75" customHeight="1" x14ac:dyDescent="0.2">
      <c r="B363" s="62"/>
      <c r="C363" s="62"/>
      <c r="D363" s="62"/>
      <c r="E363" s="62"/>
    </row>
    <row r="364" spans="2:5" ht="12.75" customHeight="1" x14ac:dyDescent="0.2">
      <c r="B364" s="62"/>
      <c r="C364" s="62"/>
      <c r="D364" s="62"/>
      <c r="E364" s="62"/>
    </row>
    <row r="365" spans="2:5" ht="12.75" customHeight="1" x14ac:dyDescent="0.2">
      <c r="B365" s="62"/>
      <c r="C365" s="62"/>
      <c r="D365" s="62"/>
      <c r="E365" s="62"/>
    </row>
    <row r="366" spans="2:5" ht="12.75" customHeight="1" x14ac:dyDescent="0.2">
      <c r="B366" s="62"/>
      <c r="C366" s="62"/>
      <c r="D366" s="62"/>
      <c r="E366" s="62"/>
    </row>
    <row r="367" spans="2:5" ht="12.75" customHeight="1" x14ac:dyDescent="0.2">
      <c r="B367" s="62"/>
      <c r="C367" s="62"/>
      <c r="D367" s="62"/>
      <c r="E367" s="62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Balance Sheet</vt:lpstr>
      <vt:lpstr>Helicopter Secure Loan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2019-07-25T21:55:00Z</dcterms:created>
  <dcterms:modified xsi:type="dcterms:W3CDTF">2019-07-25T21:55:07Z</dcterms:modified>
</cp:coreProperties>
</file>