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6_{279A3B9D-11B9-4442-A9B5-C564A31E98C3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Average Forecast" sheetId="1" r:id="rId1"/>
    <sheet name="Good Forecast" sheetId="6" r:id="rId2"/>
    <sheet name="Bad Forecast" sheetId="5" r:id="rId3"/>
    <sheet name="Assumptions" sheetId="2" r:id="rId4"/>
    <sheet name="Mortgage" sheetId="3" r:id="rId5"/>
  </sheets>
  <definedNames>
    <definedName name="solver_adj" localSheetId="0" hidden="1">'Average Forecast'!$C$103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'Average Forecast'!$C$99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6" l="1"/>
  <c r="P47" i="1"/>
  <c r="G109" i="6" l="1"/>
  <c r="G109" i="1" l="1"/>
  <c r="E9" i="6" l="1"/>
  <c r="F9" i="6" s="1"/>
  <c r="G9" i="6" s="1"/>
  <c r="H9" i="6" s="1"/>
  <c r="I9" i="6" s="1"/>
  <c r="J9" i="6" s="1"/>
  <c r="K9" i="6" s="1"/>
  <c r="L9" i="6" s="1"/>
  <c r="M9" i="6" s="1"/>
  <c r="E7" i="6"/>
  <c r="D8" i="6"/>
  <c r="D34" i="6" s="1"/>
  <c r="D88" i="6" s="1"/>
  <c r="D10" i="6"/>
  <c r="D14" i="6"/>
  <c r="D15" i="6"/>
  <c r="D16" i="6"/>
  <c r="D17" i="6"/>
  <c r="D24" i="6"/>
  <c r="M17" i="6"/>
  <c r="M89" i="6"/>
  <c r="L17" i="6"/>
  <c r="L89" i="6"/>
  <c r="K17" i="6"/>
  <c r="K89" i="6"/>
  <c r="J17" i="6"/>
  <c r="J89" i="6"/>
  <c r="I17" i="6"/>
  <c r="I89" i="6"/>
  <c r="H17" i="6"/>
  <c r="H89" i="6"/>
  <c r="G17" i="6"/>
  <c r="G89" i="6"/>
  <c r="F17" i="6"/>
  <c r="F89" i="6"/>
  <c r="E17" i="6"/>
  <c r="E89" i="6"/>
  <c r="D89" i="6"/>
  <c r="E24" i="6"/>
  <c r="F24" i="6"/>
  <c r="G24" i="6"/>
  <c r="H24" i="6"/>
  <c r="I24" i="6"/>
  <c r="J24" i="6"/>
  <c r="K24" i="6"/>
  <c r="L24" i="6"/>
  <c r="M24" i="6"/>
  <c r="N48" i="6"/>
  <c r="E9" i="5"/>
  <c r="F9" i="5" s="1"/>
  <c r="G9" i="5" s="1"/>
  <c r="H9" i="5" s="1"/>
  <c r="I9" i="5" s="1"/>
  <c r="J9" i="5" s="1"/>
  <c r="K9" i="5" s="1"/>
  <c r="L9" i="5" s="1"/>
  <c r="M9" i="5" s="1"/>
  <c r="D8" i="5"/>
  <c r="D10" i="5"/>
  <c r="D14" i="5"/>
  <c r="D15" i="5"/>
  <c r="D16" i="5"/>
  <c r="D17" i="5"/>
  <c r="D24" i="5"/>
  <c r="M17" i="5"/>
  <c r="M90" i="5"/>
  <c r="L17" i="5"/>
  <c r="L90" i="5"/>
  <c r="K17" i="5"/>
  <c r="K90" i="5"/>
  <c r="J17" i="5"/>
  <c r="J90" i="5"/>
  <c r="I17" i="5"/>
  <c r="I90" i="5"/>
  <c r="H17" i="5"/>
  <c r="H90" i="5"/>
  <c r="G17" i="5"/>
  <c r="G90" i="5"/>
  <c r="F17" i="5"/>
  <c r="F90" i="5"/>
  <c r="E17" i="5"/>
  <c r="E90" i="5"/>
  <c r="D90" i="5"/>
  <c r="E24" i="5"/>
  <c r="F24" i="5"/>
  <c r="G24" i="5"/>
  <c r="H24" i="5"/>
  <c r="I24" i="5"/>
  <c r="J24" i="5"/>
  <c r="K24" i="5"/>
  <c r="L24" i="5"/>
  <c r="M24" i="5"/>
  <c r="N48" i="5"/>
  <c r="D8" i="1"/>
  <c r="D10" i="1"/>
  <c r="D14" i="1"/>
  <c r="D15" i="1"/>
  <c r="D16" i="1"/>
  <c r="D17" i="1"/>
  <c r="D24" i="1"/>
  <c r="P48" i="5"/>
  <c r="P47" i="5"/>
  <c r="D89" i="1"/>
  <c r="E17" i="1"/>
  <c r="E89" i="1"/>
  <c r="F17" i="1"/>
  <c r="F89" i="1"/>
  <c r="G17" i="1"/>
  <c r="G89" i="1"/>
  <c r="H17" i="1"/>
  <c r="H89" i="1"/>
  <c r="I17" i="1"/>
  <c r="I89" i="1"/>
  <c r="J17" i="1"/>
  <c r="J89" i="1"/>
  <c r="K17" i="1"/>
  <c r="K89" i="1"/>
  <c r="L17" i="1"/>
  <c r="L89" i="1"/>
  <c r="M17" i="1"/>
  <c r="M89" i="1"/>
  <c r="AI48" i="1"/>
  <c r="AI47" i="1"/>
  <c r="D14" i="2"/>
  <c r="F63" i="2"/>
  <c r="E63" i="2"/>
  <c r="J24" i="1"/>
  <c r="E24" i="1"/>
  <c r="F24" i="1"/>
  <c r="G24" i="1"/>
  <c r="H24" i="1"/>
  <c r="I24" i="1"/>
  <c r="K24" i="1"/>
  <c r="L24" i="1"/>
  <c r="M24" i="1"/>
  <c r="D30" i="2"/>
  <c r="E30" i="2"/>
  <c r="F15" i="1" s="1"/>
  <c r="C32" i="2"/>
  <c r="N48" i="1"/>
  <c r="P48" i="1"/>
  <c r="F77" i="2"/>
  <c r="I2" i="3"/>
  <c r="C12" i="2"/>
  <c r="C9" i="2"/>
  <c r="B6" i="2"/>
  <c r="B5" i="2"/>
  <c r="B4" i="2"/>
  <c r="B3" i="2"/>
  <c r="I4" i="3"/>
  <c r="D33" i="2"/>
  <c r="D31" i="2"/>
  <c r="D20" i="2"/>
  <c r="C68" i="2"/>
  <c r="B68" i="2"/>
  <c r="B75" i="2" s="1"/>
  <c r="C67" i="2"/>
  <c r="B67" i="2"/>
  <c r="B64" i="2"/>
  <c r="C11" i="2"/>
  <c r="D63" i="2"/>
  <c r="C10" i="2"/>
  <c r="C13" i="2" s="1"/>
  <c r="D62" i="2"/>
  <c r="D61" i="2"/>
  <c r="E65" i="2" s="1"/>
  <c r="E64" i="2" s="1"/>
  <c r="E61" i="2" s="1"/>
  <c r="F65" i="2"/>
  <c r="F64" i="2" s="1"/>
  <c r="E14" i="2"/>
  <c r="G63" i="2"/>
  <c r="F14" i="2"/>
  <c r="G14" i="2"/>
  <c r="H63" i="2"/>
  <c r="H65" i="2"/>
  <c r="H64" i="2" s="1"/>
  <c r="F61" i="2" l="1"/>
  <c r="E9" i="1" s="1"/>
  <c r="F62" i="2"/>
  <c r="D44" i="5"/>
  <c r="D91" i="5" s="1"/>
  <c r="D44" i="6"/>
  <c r="D90" i="6" s="1"/>
  <c r="D44" i="1"/>
  <c r="D90" i="1" s="1"/>
  <c r="H61" i="2"/>
  <c r="H62" i="2"/>
  <c r="G64" i="2"/>
  <c r="H8" i="6"/>
  <c r="H8" i="5"/>
  <c r="H8" i="1"/>
  <c r="I63" i="2"/>
  <c r="G65" i="2"/>
  <c r="E62" i="2"/>
  <c r="D9" i="1" s="1"/>
  <c r="D32" i="2"/>
  <c r="E31" i="2"/>
  <c r="G8" i="6"/>
  <c r="G8" i="5"/>
  <c r="G8" i="1"/>
  <c r="F8" i="6"/>
  <c r="F8" i="5"/>
  <c r="F8" i="1"/>
  <c r="E14" i="6"/>
  <c r="E14" i="1"/>
  <c r="E14" i="5"/>
  <c r="E33" i="2"/>
  <c r="H14" i="2"/>
  <c r="C75" i="2"/>
  <c r="B47" i="2" s="1"/>
  <c r="D7" i="5"/>
  <c r="D7" i="1"/>
  <c r="E10" i="6"/>
  <c r="E10" i="5"/>
  <c r="E10" i="1"/>
  <c r="D64" i="2"/>
  <c r="B44" i="2"/>
  <c r="B40" i="2"/>
  <c r="G77" i="2"/>
  <c r="F15" i="6"/>
  <c r="F15" i="5"/>
  <c r="F30" i="2"/>
  <c r="E8" i="6"/>
  <c r="E8" i="5"/>
  <c r="E8" i="1"/>
  <c r="D13" i="6"/>
  <c r="D18" i="6" s="1"/>
  <c r="D13" i="5"/>
  <c r="D18" i="5" s="1"/>
  <c r="D13" i="1"/>
  <c r="D18" i="1" s="1"/>
  <c r="E15" i="6"/>
  <c r="E15" i="5"/>
  <c r="E15" i="1"/>
  <c r="F7" i="6"/>
  <c r="D11" i="6"/>
  <c r="G9" i="1" l="1"/>
  <c r="E11" i="6"/>
  <c r="E34" i="6"/>
  <c r="E88" i="6" s="1"/>
  <c r="C34" i="2"/>
  <c r="D11" i="1"/>
  <c r="D19" i="1" s="1"/>
  <c r="D34" i="1"/>
  <c r="E7" i="1"/>
  <c r="G15" i="6"/>
  <c r="G15" i="5"/>
  <c r="G30" i="2"/>
  <c r="G15" i="1"/>
  <c r="M37" i="6"/>
  <c r="D37" i="6"/>
  <c r="C82" i="6" s="1"/>
  <c r="M84" i="6" s="1"/>
  <c r="K37" i="6"/>
  <c r="J37" i="6"/>
  <c r="I37" i="6"/>
  <c r="H37" i="6"/>
  <c r="G37" i="6"/>
  <c r="F37" i="6"/>
  <c r="E37" i="6"/>
  <c r="L37" i="6"/>
  <c r="M37" i="5"/>
  <c r="D37" i="5"/>
  <c r="C83" i="5" s="1"/>
  <c r="M85" i="5" s="1"/>
  <c r="J37" i="5"/>
  <c r="I37" i="5"/>
  <c r="H37" i="5"/>
  <c r="G37" i="5"/>
  <c r="F37" i="5"/>
  <c r="E37" i="5"/>
  <c r="L37" i="5"/>
  <c r="D48" i="2"/>
  <c r="H48" i="2"/>
  <c r="K48" i="2"/>
  <c r="D37" i="1"/>
  <c r="C82" i="1" s="1"/>
  <c r="M84" i="1" s="1"/>
  <c r="E48" i="2"/>
  <c r="I48" i="2"/>
  <c r="J48" i="2"/>
  <c r="C48" i="2"/>
  <c r="G48" i="2"/>
  <c r="M37" i="1"/>
  <c r="G37" i="1"/>
  <c r="K37" i="1"/>
  <c r="L37" i="1"/>
  <c r="F48" i="2"/>
  <c r="E37" i="1"/>
  <c r="I37" i="1"/>
  <c r="K37" i="5"/>
  <c r="L48" i="2"/>
  <c r="H37" i="1"/>
  <c r="M48" i="2"/>
  <c r="J37" i="1"/>
  <c r="F37" i="1"/>
  <c r="E32" i="2"/>
  <c r="F31" i="2"/>
  <c r="I65" i="2"/>
  <c r="I64" i="2" s="1"/>
  <c r="F34" i="6"/>
  <c r="G7" i="6"/>
  <c r="M35" i="6"/>
  <c r="L35" i="6"/>
  <c r="J35" i="6"/>
  <c r="I35" i="6"/>
  <c r="H35" i="6"/>
  <c r="G35" i="6"/>
  <c r="F35" i="6"/>
  <c r="E35" i="6"/>
  <c r="D35" i="6"/>
  <c r="M35" i="5"/>
  <c r="K35" i="6"/>
  <c r="L35" i="5"/>
  <c r="I35" i="5"/>
  <c r="G35" i="5"/>
  <c r="E35" i="5"/>
  <c r="J35" i="5"/>
  <c r="H35" i="5"/>
  <c r="F35" i="5"/>
  <c r="D35" i="5"/>
  <c r="K35" i="5"/>
  <c r="D35" i="1"/>
  <c r="M35" i="1"/>
  <c r="E35" i="1"/>
  <c r="I35" i="1"/>
  <c r="G35" i="1"/>
  <c r="K35" i="1"/>
  <c r="L35" i="1"/>
  <c r="F35" i="1"/>
  <c r="J35" i="1"/>
  <c r="H35" i="1"/>
  <c r="I8" i="6"/>
  <c r="I8" i="5"/>
  <c r="I8" i="1"/>
  <c r="I14" i="2"/>
  <c r="J63" i="2"/>
  <c r="E13" i="6"/>
  <c r="E13" i="5"/>
  <c r="E13" i="1"/>
  <c r="F14" i="6"/>
  <c r="F14" i="1"/>
  <c r="F14" i="5"/>
  <c r="F33" i="2"/>
  <c r="G62" i="2"/>
  <c r="G61" i="2"/>
  <c r="D19" i="6"/>
  <c r="F10" i="6"/>
  <c r="F11" i="6" s="1"/>
  <c r="F10" i="5"/>
  <c r="H77" i="2"/>
  <c r="F10" i="1"/>
  <c r="E7" i="5"/>
  <c r="D11" i="5"/>
  <c r="D19" i="5" s="1"/>
  <c r="D34" i="5"/>
  <c r="D51" i="6"/>
  <c r="L51" i="6"/>
  <c r="H51" i="6"/>
  <c r="J36" i="6"/>
  <c r="I36" i="6"/>
  <c r="H36" i="6"/>
  <c r="G36" i="6"/>
  <c r="F36" i="6"/>
  <c r="E36" i="6"/>
  <c r="D36" i="6"/>
  <c r="K51" i="6"/>
  <c r="G51" i="6"/>
  <c r="M36" i="6"/>
  <c r="M51" i="6"/>
  <c r="I51" i="6"/>
  <c r="E51" i="6"/>
  <c r="K36" i="6"/>
  <c r="F51" i="6"/>
  <c r="D51" i="5"/>
  <c r="L36" i="6"/>
  <c r="J51" i="6"/>
  <c r="M51" i="5"/>
  <c r="K51" i="5"/>
  <c r="G51" i="5"/>
  <c r="M36" i="5"/>
  <c r="K36" i="5"/>
  <c r="L51" i="5"/>
  <c r="I51" i="5"/>
  <c r="F51" i="5"/>
  <c r="D51" i="1"/>
  <c r="E51" i="5"/>
  <c r="I36" i="5"/>
  <c r="E36" i="5"/>
  <c r="M36" i="1"/>
  <c r="J36" i="5"/>
  <c r="F36" i="5"/>
  <c r="J51" i="5"/>
  <c r="H36" i="5"/>
  <c r="D36" i="5"/>
  <c r="E51" i="1"/>
  <c r="F51" i="1"/>
  <c r="G51" i="1"/>
  <c r="H51" i="1"/>
  <c r="I51" i="1"/>
  <c r="J51" i="1"/>
  <c r="K51" i="1"/>
  <c r="H51" i="5"/>
  <c r="I6" i="3"/>
  <c r="C42" i="2"/>
  <c r="L36" i="5"/>
  <c r="G36" i="5"/>
  <c r="L51" i="1"/>
  <c r="M51" i="1"/>
  <c r="F36" i="1"/>
  <c r="J36" i="1"/>
  <c r="D36" i="1"/>
  <c r="H36" i="1"/>
  <c r="K36" i="1"/>
  <c r="I36" i="1"/>
  <c r="G36" i="1"/>
  <c r="L36" i="1"/>
  <c r="E36" i="1"/>
  <c r="F9" i="1" l="1"/>
  <c r="C82" i="5"/>
  <c r="C99" i="5" s="1"/>
  <c r="C109" i="5" s="1"/>
  <c r="I62" i="2"/>
  <c r="I61" i="2"/>
  <c r="H9" i="1" s="1"/>
  <c r="B2" i="3"/>
  <c r="I8" i="3"/>
  <c r="F88" i="6"/>
  <c r="D22" i="6"/>
  <c r="D39" i="6" s="1"/>
  <c r="D22" i="5"/>
  <c r="D39" i="5" s="1"/>
  <c r="D22" i="1"/>
  <c r="D39" i="1" s="1"/>
  <c r="H15" i="6"/>
  <c r="H15" i="5"/>
  <c r="H15" i="1"/>
  <c r="H30" i="2"/>
  <c r="N51" i="5"/>
  <c r="J8" i="6"/>
  <c r="J8" i="5"/>
  <c r="J8" i="1"/>
  <c r="J14" i="2"/>
  <c r="K63" i="2"/>
  <c r="N51" i="1"/>
  <c r="D74" i="5"/>
  <c r="C81" i="1"/>
  <c r="C98" i="1" s="1"/>
  <c r="C81" i="6"/>
  <c r="C98" i="6" s="1"/>
  <c r="M22" i="6"/>
  <c r="M22" i="5"/>
  <c r="M22" i="1"/>
  <c r="J22" i="6"/>
  <c r="J22" i="5"/>
  <c r="J22" i="1"/>
  <c r="I22" i="6"/>
  <c r="I22" i="5"/>
  <c r="I22" i="1"/>
  <c r="D21" i="6"/>
  <c r="D21" i="1"/>
  <c r="D21" i="5"/>
  <c r="D42" i="2"/>
  <c r="N51" i="6"/>
  <c r="F7" i="5"/>
  <c r="F16" i="5" s="1"/>
  <c r="F44" i="5" s="1"/>
  <c r="E11" i="5"/>
  <c r="E34" i="5"/>
  <c r="G14" i="6"/>
  <c r="G14" i="5"/>
  <c r="G14" i="1"/>
  <c r="G33" i="2"/>
  <c r="G34" i="6"/>
  <c r="H7" i="6"/>
  <c r="H16" i="6" s="1"/>
  <c r="H44" i="6" s="1"/>
  <c r="H22" i="6"/>
  <c r="H22" i="5"/>
  <c r="H22" i="1"/>
  <c r="F22" i="6"/>
  <c r="F22" i="5"/>
  <c r="F22" i="1"/>
  <c r="E22" i="6"/>
  <c r="E22" i="5"/>
  <c r="E22" i="1"/>
  <c r="E34" i="1"/>
  <c r="F7" i="1"/>
  <c r="F16" i="1" s="1"/>
  <c r="F44" i="1" s="1"/>
  <c r="E11" i="1"/>
  <c r="D73" i="6"/>
  <c r="J65" i="2"/>
  <c r="J64" i="2" s="1"/>
  <c r="D89" i="5"/>
  <c r="F13" i="6"/>
  <c r="F13" i="5"/>
  <c r="F13" i="1"/>
  <c r="K22" i="6"/>
  <c r="K22" i="5"/>
  <c r="K22" i="1"/>
  <c r="L22" i="6"/>
  <c r="L22" i="5"/>
  <c r="L22" i="1"/>
  <c r="D73" i="1"/>
  <c r="F32" i="2"/>
  <c r="G31" i="2"/>
  <c r="D88" i="1"/>
  <c r="G10" i="6"/>
  <c r="G11" i="6" s="1"/>
  <c r="G10" i="5"/>
  <c r="G10" i="1"/>
  <c r="I77" i="2"/>
  <c r="G22" i="6"/>
  <c r="G22" i="5"/>
  <c r="G22" i="1"/>
  <c r="E16" i="6"/>
  <c r="E44" i="6" s="1"/>
  <c r="E90" i="6" s="1"/>
  <c r="G16" i="6"/>
  <c r="G44" i="6" s="1"/>
  <c r="F16" i="6"/>
  <c r="F44" i="6" s="1"/>
  <c r="E16" i="5"/>
  <c r="E44" i="5" s="1"/>
  <c r="E91" i="5" s="1"/>
  <c r="E16" i="1"/>
  <c r="E44" i="1" s="1"/>
  <c r="E90" i="1" s="1"/>
  <c r="E39" i="6" l="1"/>
  <c r="E39" i="1"/>
  <c r="F39" i="1" s="1"/>
  <c r="G39" i="1" s="1"/>
  <c r="H39" i="1" s="1"/>
  <c r="I39" i="1" s="1"/>
  <c r="J39" i="1" s="1"/>
  <c r="F90" i="6"/>
  <c r="F90" i="1"/>
  <c r="H90" i="6"/>
  <c r="F91" i="5"/>
  <c r="E18" i="5"/>
  <c r="E19" i="5" s="1"/>
  <c r="J62" i="2"/>
  <c r="J61" i="2"/>
  <c r="H10" i="6"/>
  <c r="H11" i="6" s="1"/>
  <c r="H10" i="5"/>
  <c r="H10" i="1"/>
  <c r="J77" i="2"/>
  <c r="H14" i="6"/>
  <c r="H14" i="5"/>
  <c r="H14" i="1"/>
  <c r="H33" i="2"/>
  <c r="C108" i="1"/>
  <c r="C110" i="1" s="1"/>
  <c r="E18" i="6"/>
  <c r="E19" i="6" s="1"/>
  <c r="D38" i="5"/>
  <c r="D75" i="5"/>
  <c r="D79" i="5" s="1"/>
  <c r="E39" i="5"/>
  <c r="F39" i="5" s="1"/>
  <c r="G39" i="5" s="1"/>
  <c r="H39" i="5" s="1"/>
  <c r="I39" i="5" s="1"/>
  <c r="J39" i="5" s="1"/>
  <c r="E89" i="5"/>
  <c r="I7" i="6"/>
  <c r="H34" i="6"/>
  <c r="D38" i="6"/>
  <c r="D74" i="6"/>
  <c r="D78" i="6" s="1"/>
  <c r="K8" i="6"/>
  <c r="K8" i="5"/>
  <c r="K8" i="1"/>
  <c r="L63" i="2"/>
  <c r="K14" i="2"/>
  <c r="E5" i="3"/>
  <c r="E9" i="3"/>
  <c r="E13" i="3"/>
  <c r="E17" i="3"/>
  <c r="E21" i="3"/>
  <c r="E25" i="3"/>
  <c r="E31" i="3"/>
  <c r="E35" i="3"/>
  <c r="E39" i="3"/>
  <c r="E45" i="3"/>
  <c r="E2" i="3"/>
  <c r="E6" i="3"/>
  <c r="E10" i="3"/>
  <c r="E18" i="3"/>
  <c r="E22" i="3"/>
  <c r="E26" i="3"/>
  <c r="E32" i="3"/>
  <c r="E36" i="3"/>
  <c r="E40" i="3"/>
  <c r="E4" i="3"/>
  <c r="E8" i="3"/>
  <c r="E12" i="3"/>
  <c r="E16" i="3"/>
  <c r="E20" i="3"/>
  <c r="E24" i="3"/>
  <c r="E30" i="3"/>
  <c r="E34" i="3"/>
  <c r="E38" i="3"/>
  <c r="E44" i="3"/>
  <c r="E48" i="3"/>
  <c r="E52" i="3"/>
  <c r="E58" i="3"/>
  <c r="E62" i="3"/>
  <c r="E66" i="3"/>
  <c r="E72" i="3"/>
  <c r="E76" i="3"/>
  <c r="E80" i="3"/>
  <c r="E86" i="3"/>
  <c r="E90" i="3"/>
  <c r="E94" i="3"/>
  <c r="E100" i="3"/>
  <c r="E104" i="3"/>
  <c r="E108" i="3"/>
  <c r="E114" i="3"/>
  <c r="E11" i="3"/>
  <c r="E27" i="3"/>
  <c r="E41" i="3"/>
  <c r="E53" i="3"/>
  <c r="E54" i="3"/>
  <c r="E55" i="3"/>
  <c r="E67" i="3"/>
  <c r="E68" i="3"/>
  <c r="E69" i="3"/>
  <c r="E81" i="3"/>
  <c r="E82" i="3"/>
  <c r="E83" i="3"/>
  <c r="E95" i="3"/>
  <c r="E96" i="3"/>
  <c r="E97" i="3"/>
  <c r="E109" i="3"/>
  <c r="E110" i="3"/>
  <c r="E111" i="3"/>
  <c r="E49" i="3"/>
  <c r="E50" i="3"/>
  <c r="E51" i="3"/>
  <c r="E63" i="3"/>
  <c r="E64" i="3"/>
  <c r="E65" i="3"/>
  <c r="E77" i="3"/>
  <c r="E78" i="3"/>
  <c r="E79" i="3"/>
  <c r="E91" i="3"/>
  <c r="E92" i="3"/>
  <c r="E93" i="3"/>
  <c r="E105" i="3"/>
  <c r="E106" i="3"/>
  <c r="E107" i="3"/>
  <c r="E118" i="3"/>
  <c r="E122" i="3"/>
  <c r="E128" i="3"/>
  <c r="E132" i="3"/>
  <c r="E136" i="3"/>
  <c r="E148" i="3"/>
  <c r="E153" i="3"/>
  <c r="E145" i="3"/>
  <c r="E7" i="3"/>
  <c r="E23" i="3"/>
  <c r="E37" i="3"/>
  <c r="E116" i="3"/>
  <c r="E120" i="3"/>
  <c r="E124" i="3"/>
  <c r="E130" i="3"/>
  <c r="E134" i="3"/>
  <c r="E138" i="3"/>
  <c r="E152" i="3"/>
  <c r="E144" i="3"/>
  <c r="E149" i="3"/>
  <c r="E19" i="3"/>
  <c r="E33" i="3"/>
  <c r="E46" i="3"/>
  <c r="E60" i="3"/>
  <c r="E74" i="3"/>
  <c r="E88" i="3"/>
  <c r="E102" i="3"/>
  <c r="E115" i="3"/>
  <c r="E123" i="3"/>
  <c r="E129" i="3"/>
  <c r="E146" i="3"/>
  <c r="E151" i="3"/>
  <c r="E47" i="3"/>
  <c r="E61" i="3"/>
  <c r="E75" i="3"/>
  <c r="E89" i="3"/>
  <c r="E103" i="3"/>
  <c r="E117" i="3"/>
  <c r="E125" i="3"/>
  <c r="E131" i="3"/>
  <c r="E139" i="3"/>
  <c r="E142" i="3"/>
  <c r="E119" i="3"/>
  <c r="E59" i="3"/>
  <c r="E73" i="3"/>
  <c r="E87" i="3"/>
  <c r="E101" i="3"/>
  <c r="E121" i="3"/>
  <c r="E135" i="3"/>
  <c r="E150" i="3"/>
  <c r="E147" i="3"/>
  <c r="E137" i="3"/>
  <c r="E143" i="3"/>
  <c r="E3" i="3"/>
  <c r="E133" i="3"/>
  <c r="F18" i="1"/>
  <c r="F34" i="1"/>
  <c r="G7" i="1"/>
  <c r="F11" i="1"/>
  <c r="D74" i="1"/>
  <c r="D78" i="1" s="1"/>
  <c r="D38" i="1"/>
  <c r="K65" i="2"/>
  <c r="K64" i="2"/>
  <c r="F39" i="6"/>
  <c r="G39" i="6" s="1"/>
  <c r="H39" i="6" s="1"/>
  <c r="I39" i="6" s="1"/>
  <c r="J39" i="6" s="1"/>
  <c r="G32" i="2"/>
  <c r="H31" i="2"/>
  <c r="F18" i="5"/>
  <c r="E88" i="1"/>
  <c r="G90" i="6"/>
  <c r="G13" i="6"/>
  <c r="G18" i="6" s="1"/>
  <c r="G19" i="6" s="1"/>
  <c r="G13" i="5"/>
  <c r="G13" i="1"/>
  <c r="F18" i="6"/>
  <c r="F19" i="6" s="1"/>
  <c r="E18" i="1"/>
  <c r="E19" i="1" s="1"/>
  <c r="G88" i="6"/>
  <c r="F11" i="5"/>
  <c r="G7" i="5"/>
  <c r="F34" i="5"/>
  <c r="E21" i="6"/>
  <c r="E74" i="6" s="1"/>
  <c r="E78" i="6" s="1"/>
  <c r="E21" i="5"/>
  <c r="E75" i="5" s="1"/>
  <c r="E79" i="5" s="1"/>
  <c r="E42" i="2"/>
  <c r="E21" i="1"/>
  <c r="E74" i="1" s="1"/>
  <c r="E78" i="1" s="1"/>
  <c r="C108" i="6"/>
  <c r="C110" i="6" s="1"/>
  <c r="I15" i="6"/>
  <c r="I15" i="5"/>
  <c r="I15" i="1"/>
  <c r="I30" i="2"/>
  <c r="D2" i="3"/>
  <c r="D75" i="1" l="1"/>
  <c r="D76" i="1" s="1"/>
  <c r="D75" i="6"/>
  <c r="D76" i="6" s="1"/>
  <c r="E73" i="1"/>
  <c r="E75" i="1" s="1"/>
  <c r="G73" i="6"/>
  <c r="H13" i="6"/>
  <c r="H18" i="6" s="1"/>
  <c r="H19" i="6" s="1"/>
  <c r="H13" i="5"/>
  <c r="H13" i="1"/>
  <c r="E38" i="1"/>
  <c r="D41" i="1"/>
  <c r="F89" i="5"/>
  <c r="L39" i="6"/>
  <c r="M39" i="6"/>
  <c r="O86" i="6" s="1"/>
  <c r="O88" i="6" s="1"/>
  <c r="M86" i="6" s="1"/>
  <c r="K39" i="6"/>
  <c r="F88" i="1"/>
  <c r="K39" i="5"/>
  <c r="M39" i="5"/>
  <c r="O87" i="5" s="1"/>
  <c r="O89" i="5" s="1"/>
  <c r="M87" i="5" s="1"/>
  <c r="L39" i="5"/>
  <c r="H7" i="5"/>
  <c r="G11" i="5"/>
  <c r="G34" i="5"/>
  <c r="G16" i="5"/>
  <c r="G44" i="5" s="1"/>
  <c r="G91" i="5" s="1"/>
  <c r="E38" i="6"/>
  <c r="D41" i="6"/>
  <c r="I14" i="6"/>
  <c r="I14" i="1"/>
  <c r="I14" i="5"/>
  <c r="I33" i="2"/>
  <c r="I10" i="6"/>
  <c r="I11" i="6" s="1"/>
  <c r="I10" i="5"/>
  <c r="I10" i="1"/>
  <c r="K77" i="2"/>
  <c r="J15" i="6"/>
  <c r="J15" i="5"/>
  <c r="J30" i="2"/>
  <c r="J15" i="1"/>
  <c r="F19" i="5"/>
  <c r="F73" i="6"/>
  <c r="H32" i="2"/>
  <c r="I31" i="2"/>
  <c r="F19" i="1"/>
  <c r="L8" i="6"/>
  <c r="L8" i="5"/>
  <c r="L8" i="1"/>
  <c r="L14" i="2"/>
  <c r="M63" i="2"/>
  <c r="H88" i="6"/>
  <c r="E38" i="5"/>
  <c r="D41" i="5"/>
  <c r="E74" i="5"/>
  <c r="E76" i="5" s="1"/>
  <c r="I9" i="1"/>
  <c r="M39" i="1"/>
  <c r="O86" i="1" s="1"/>
  <c r="O88" i="1" s="1"/>
  <c r="M86" i="1" s="1"/>
  <c r="L39" i="1"/>
  <c r="K39" i="1"/>
  <c r="F21" i="6"/>
  <c r="F74" i="6" s="1"/>
  <c r="F78" i="6" s="1"/>
  <c r="F21" i="1"/>
  <c r="F74" i="1" s="1"/>
  <c r="F78" i="1" s="1"/>
  <c r="F42" i="2"/>
  <c r="F21" i="5"/>
  <c r="F75" i="5" s="1"/>
  <c r="F79" i="5" s="1"/>
  <c r="K61" i="2"/>
  <c r="K62" i="2"/>
  <c r="G11" i="1"/>
  <c r="G34" i="1"/>
  <c r="H7" i="1"/>
  <c r="G16" i="1"/>
  <c r="G44" i="1" s="1"/>
  <c r="G90" i="1" s="1"/>
  <c r="C2" i="3"/>
  <c r="L64" i="2"/>
  <c r="L65" i="2"/>
  <c r="D76" i="5"/>
  <c r="I34" i="6"/>
  <c r="J7" i="6"/>
  <c r="I16" i="6"/>
  <c r="I44" i="6" s="1"/>
  <c r="I90" i="6" s="1"/>
  <c r="E73" i="6"/>
  <c r="E75" i="6" s="1"/>
  <c r="D91" i="1" l="1"/>
  <c r="D77" i="1"/>
  <c r="D79" i="1" s="1"/>
  <c r="D91" i="6"/>
  <c r="D77" i="6"/>
  <c r="D79" i="6" s="1"/>
  <c r="F75" i="6"/>
  <c r="F76" i="6" s="1"/>
  <c r="F77" i="6" s="1"/>
  <c r="F79" i="6" s="1"/>
  <c r="G18" i="1"/>
  <c r="G19" i="1" s="1"/>
  <c r="G18" i="5"/>
  <c r="G19" i="5" s="1"/>
  <c r="G74" i="5" s="1"/>
  <c r="L62" i="2"/>
  <c r="L61" i="2"/>
  <c r="G88" i="1"/>
  <c r="F38" i="1"/>
  <c r="E41" i="1"/>
  <c r="D77" i="5"/>
  <c r="D92" i="5" s="1"/>
  <c r="E76" i="6"/>
  <c r="E91" i="6" s="1"/>
  <c r="F2" i="3"/>
  <c r="B3" i="3" s="1"/>
  <c r="H11" i="1"/>
  <c r="H34" i="1"/>
  <c r="I7" i="1"/>
  <c r="H16" i="1"/>
  <c r="H44" i="1" s="1"/>
  <c r="H90" i="1" s="1"/>
  <c r="J9" i="1"/>
  <c r="F38" i="5"/>
  <c r="E41" i="5"/>
  <c r="M8" i="6"/>
  <c r="M8" i="5"/>
  <c r="M8" i="1"/>
  <c r="M14" i="2"/>
  <c r="O63" i="2" s="1"/>
  <c r="N63" i="2"/>
  <c r="K15" i="6"/>
  <c r="K30" i="2"/>
  <c r="K15" i="1"/>
  <c r="K15" i="5"/>
  <c r="G89" i="5"/>
  <c r="K7" i="6"/>
  <c r="J34" i="6"/>
  <c r="J16" i="6"/>
  <c r="J44" i="6" s="1"/>
  <c r="J90" i="6" s="1"/>
  <c r="I88" i="6"/>
  <c r="G21" i="6"/>
  <c r="G21" i="5"/>
  <c r="G75" i="5" s="1"/>
  <c r="G79" i="5" s="1"/>
  <c r="G21" i="1"/>
  <c r="G74" i="1" s="1"/>
  <c r="G78" i="1" s="1"/>
  <c r="G42" i="2"/>
  <c r="E77" i="5"/>
  <c r="I32" i="2"/>
  <c r="J31" i="2"/>
  <c r="F74" i="5"/>
  <c r="F76" i="5" s="1"/>
  <c r="F38" i="6"/>
  <c r="E41" i="6"/>
  <c r="I7" i="5"/>
  <c r="H34" i="5"/>
  <c r="H11" i="5"/>
  <c r="H16" i="5"/>
  <c r="H44" i="5" s="1"/>
  <c r="H91" i="5" s="1"/>
  <c r="H73" i="6"/>
  <c r="F73" i="1"/>
  <c r="F75" i="1" s="1"/>
  <c r="M65" i="2"/>
  <c r="M64" i="2"/>
  <c r="I13" i="6"/>
  <c r="I18" i="6" s="1"/>
  <c r="I19" i="6" s="1"/>
  <c r="I13" i="5"/>
  <c r="I13" i="1"/>
  <c r="J10" i="6"/>
  <c r="J11" i="6" s="1"/>
  <c r="J10" i="5"/>
  <c r="J10" i="1"/>
  <c r="L77" i="2"/>
  <c r="J14" i="6"/>
  <c r="J14" i="5"/>
  <c r="J14" i="1"/>
  <c r="J33" i="2"/>
  <c r="E76" i="1"/>
  <c r="E91" i="1" s="1"/>
  <c r="E92" i="5" l="1"/>
  <c r="D98" i="1"/>
  <c r="D108" i="1" s="1"/>
  <c r="D107" i="1" s="1"/>
  <c r="D98" i="6"/>
  <c r="D108" i="6" s="1"/>
  <c r="H18" i="5"/>
  <c r="H19" i="5" s="1"/>
  <c r="I73" i="6"/>
  <c r="J7" i="5"/>
  <c r="I34" i="5"/>
  <c r="I11" i="5"/>
  <c r="I16" i="5"/>
  <c r="I44" i="5" s="1"/>
  <c r="I91" i="5" s="1"/>
  <c r="G74" i="6"/>
  <c r="D3" i="3"/>
  <c r="G38" i="1"/>
  <c r="F41" i="1"/>
  <c r="F76" i="1"/>
  <c r="F91" i="1" s="1"/>
  <c r="M61" i="2"/>
  <c r="L9" i="1" s="1"/>
  <c r="M62" i="2"/>
  <c r="G38" i="6"/>
  <c r="F41" i="6"/>
  <c r="E77" i="1"/>
  <c r="E79" i="1" s="1"/>
  <c r="E98" i="1" s="1"/>
  <c r="K14" i="6"/>
  <c r="K14" i="5"/>
  <c r="K14" i="1"/>
  <c r="K33" i="2"/>
  <c r="K10" i="6"/>
  <c r="K11" i="6" s="1"/>
  <c r="K10" i="5"/>
  <c r="K10" i="1"/>
  <c r="M77" i="2"/>
  <c r="H89" i="5"/>
  <c r="E78" i="5"/>
  <c r="E80" i="5" s="1"/>
  <c r="E99" i="5" s="1"/>
  <c r="E109" i="5" s="1"/>
  <c r="K34" i="6"/>
  <c r="L7" i="6"/>
  <c r="K16" i="6"/>
  <c r="K44" i="6" s="1"/>
  <c r="K90" i="6" s="1"/>
  <c r="E77" i="6"/>
  <c r="E79" i="6" s="1"/>
  <c r="E98" i="6" s="1"/>
  <c r="F91" i="6"/>
  <c r="F98" i="6" s="1"/>
  <c r="F108" i="6" s="1"/>
  <c r="K9" i="1"/>
  <c r="F77" i="5"/>
  <c r="F92" i="5" s="1"/>
  <c r="N65" i="2"/>
  <c r="N64" i="2" s="1"/>
  <c r="J32" i="2"/>
  <c r="K31" i="2"/>
  <c r="H21" i="6"/>
  <c r="H21" i="5"/>
  <c r="H75" i="5" s="1"/>
  <c r="H79" i="5" s="1"/>
  <c r="H42" i="2"/>
  <c r="H21" i="1"/>
  <c r="H74" i="1" s="1"/>
  <c r="H78" i="1" s="1"/>
  <c r="G73" i="1"/>
  <c r="G75" i="1" s="1"/>
  <c r="L15" i="6"/>
  <c r="L15" i="5"/>
  <c r="L15" i="1"/>
  <c r="L30" i="2"/>
  <c r="O65" i="2"/>
  <c r="O64" i="2" s="1"/>
  <c r="I34" i="1"/>
  <c r="J7" i="1"/>
  <c r="I11" i="1"/>
  <c r="I16" i="1"/>
  <c r="I44" i="1" s="1"/>
  <c r="I90" i="1" s="1"/>
  <c r="D78" i="5"/>
  <c r="D80" i="5" s="1"/>
  <c r="D99" i="5" s="1"/>
  <c r="H18" i="1"/>
  <c r="H19" i="1" s="1"/>
  <c r="J13" i="6"/>
  <c r="J18" i="6" s="1"/>
  <c r="J19" i="6" s="1"/>
  <c r="J13" i="5"/>
  <c r="J13" i="1"/>
  <c r="J88" i="6"/>
  <c r="G38" i="5"/>
  <c r="F41" i="5"/>
  <c r="H88" i="1"/>
  <c r="G76" i="5"/>
  <c r="I18" i="5" l="1"/>
  <c r="D107" i="6"/>
  <c r="D110" i="6"/>
  <c r="F77" i="1"/>
  <c r="F79" i="1" s="1"/>
  <c r="F98" i="1" s="1"/>
  <c r="F108" i="1" s="1"/>
  <c r="F110" i="1" s="1"/>
  <c r="D110" i="1"/>
  <c r="F107" i="6"/>
  <c r="F110" i="6"/>
  <c r="F107" i="1"/>
  <c r="I19" i="5"/>
  <c r="J73" i="6"/>
  <c r="H73" i="1"/>
  <c r="H75" i="1" s="1"/>
  <c r="O62" i="2"/>
  <c r="O61" i="2"/>
  <c r="H38" i="5"/>
  <c r="G41" i="5"/>
  <c r="K13" i="6"/>
  <c r="K18" i="6" s="1"/>
  <c r="K19" i="6" s="1"/>
  <c r="K13" i="5"/>
  <c r="K13" i="1"/>
  <c r="K32" i="2"/>
  <c r="L31" i="2"/>
  <c r="F78" i="5"/>
  <c r="F80" i="5" s="1"/>
  <c r="F99" i="5" s="1"/>
  <c r="F109" i="5" s="1"/>
  <c r="H38" i="1"/>
  <c r="G41" i="1"/>
  <c r="I89" i="5"/>
  <c r="E108" i="6"/>
  <c r="H38" i="6"/>
  <c r="G41" i="6"/>
  <c r="C3" i="3"/>
  <c r="G78" i="6"/>
  <c r="G75" i="6"/>
  <c r="M15" i="6"/>
  <c r="M15" i="5"/>
  <c r="M15" i="1"/>
  <c r="M30" i="2"/>
  <c r="N61" i="2"/>
  <c r="N62" i="2"/>
  <c r="K88" i="6"/>
  <c r="I18" i="1"/>
  <c r="I19" i="1" s="1"/>
  <c r="H74" i="5"/>
  <c r="H76" i="5" s="1"/>
  <c r="G77" i="5"/>
  <c r="G92" i="5" s="1"/>
  <c r="I21" i="6"/>
  <c r="I21" i="5"/>
  <c r="I75" i="5" s="1"/>
  <c r="I79" i="5" s="1"/>
  <c r="I42" i="2"/>
  <c r="I21" i="1"/>
  <c r="I74" i="1" s="1"/>
  <c r="I78" i="1" s="1"/>
  <c r="L34" i="6"/>
  <c r="M7" i="6"/>
  <c r="L16" i="6"/>
  <c r="L44" i="6" s="1"/>
  <c r="L90" i="6" s="1"/>
  <c r="K7" i="5"/>
  <c r="J11" i="5"/>
  <c r="J34" i="5"/>
  <c r="J16" i="5"/>
  <c r="J44" i="5" s="1"/>
  <c r="J91" i="5" s="1"/>
  <c r="J34" i="1"/>
  <c r="K7" i="1"/>
  <c r="J11" i="1"/>
  <c r="J16" i="1"/>
  <c r="J44" i="1" s="1"/>
  <c r="J90" i="1" s="1"/>
  <c r="D109" i="5"/>
  <c r="I88" i="1"/>
  <c r="G76" i="1"/>
  <c r="G91" i="1" s="1"/>
  <c r="H74" i="6"/>
  <c r="L10" i="6"/>
  <c r="L11" i="6" s="1"/>
  <c r="L10" i="5"/>
  <c r="L10" i="1"/>
  <c r="N77" i="2"/>
  <c r="L14" i="6"/>
  <c r="L14" i="5"/>
  <c r="L14" i="1"/>
  <c r="L33" i="2"/>
  <c r="E108" i="1"/>
  <c r="G77" i="1" l="1"/>
  <c r="G79" i="1" s="1"/>
  <c r="G98" i="1" s="1"/>
  <c r="G108" i="1" s="1"/>
  <c r="G110" i="1" s="1"/>
  <c r="E110" i="6"/>
  <c r="E107" i="6"/>
  <c r="E107" i="1"/>
  <c r="E110" i="1"/>
  <c r="G78" i="5"/>
  <c r="G80" i="5" s="1"/>
  <c r="G99" i="5" s="1"/>
  <c r="G109" i="5" s="1"/>
  <c r="K73" i="6"/>
  <c r="M10" i="6"/>
  <c r="M11" i="6" s="1"/>
  <c r="M10" i="5"/>
  <c r="M10" i="1"/>
  <c r="O77" i="2"/>
  <c r="I73" i="1"/>
  <c r="I75" i="1" s="1"/>
  <c r="H76" i="1"/>
  <c r="H91" i="1" s="1"/>
  <c r="H78" i="6"/>
  <c r="H75" i="6"/>
  <c r="L88" i="6"/>
  <c r="J88" i="1"/>
  <c r="K34" i="5"/>
  <c r="K11" i="5"/>
  <c r="L7" i="5"/>
  <c r="K16" i="5"/>
  <c r="K44" i="5" s="1"/>
  <c r="K91" i="5" s="1"/>
  <c r="I74" i="6"/>
  <c r="G76" i="6"/>
  <c r="G91" i="6" s="1"/>
  <c r="J18" i="1"/>
  <c r="J19" i="1" s="1"/>
  <c r="M14" i="6"/>
  <c r="M14" i="5"/>
  <c r="M14" i="1"/>
  <c r="M33" i="2"/>
  <c r="I38" i="6"/>
  <c r="H41" i="6"/>
  <c r="J89" i="5"/>
  <c r="M34" i="6"/>
  <c r="M16" i="6"/>
  <c r="M44" i="6" s="1"/>
  <c r="J21" i="6"/>
  <c r="J21" i="5"/>
  <c r="J75" i="5" s="1"/>
  <c r="J79" i="5" s="1"/>
  <c r="J21" i="1"/>
  <c r="J74" i="1" s="1"/>
  <c r="J78" i="1" s="1"/>
  <c r="J42" i="2"/>
  <c r="J18" i="5"/>
  <c r="J19" i="5" s="1"/>
  <c r="L32" i="2"/>
  <c r="M31" i="2"/>
  <c r="M32" i="2" s="1"/>
  <c r="H77" i="5"/>
  <c r="H92" i="5" s="1"/>
  <c r="I38" i="5"/>
  <c r="H41" i="5"/>
  <c r="I74" i="5"/>
  <c r="I76" i="5" s="1"/>
  <c r="K11" i="1"/>
  <c r="K34" i="1"/>
  <c r="L7" i="1"/>
  <c r="K16" i="1"/>
  <c r="K44" i="1" s="1"/>
  <c r="K90" i="1" s="1"/>
  <c r="M9" i="1"/>
  <c r="F3" i="3"/>
  <c r="B4" i="3" s="1"/>
  <c r="I38" i="1"/>
  <c r="H41" i="1"/>
  <c r="L13" i="6"/>
  <c r="L18" i="6" s="1"/>
  <c r="L19" i="6" s="1"/>
  <c r="L13" i="5"/>
  <c r="L13" i="1"/>
  <c r="G77" i="6" l="1"/>
  <c r="G79" i="6" s="1"/>
  <c r="G98" i="6" s="1"/>
  <c r="G108" i="6" s="1"/>
  <c r="G107" i="1"/>
  <c r="H78" i="5"/>
  <c r="H80" i="5" s="1"/>
  <c r="H99" i="5" s="1"/>
  <c r="H109" i="5" s="1"/>
  <c r="J38" i="1"/>
  <c r="I41" i="1"/>
  <c r="L73" i="6"/>
  <c r="K18" i="5"/>
  <c r="K19" i="5" s="1"/>
  <c r="K21" i="6"/>
  <c r="K21" i="5"/>
  <c r="K75" i="5" s="1"/>
  <c r="K79" i="5" s="1"/>
  <c r="K21" i="1"/>
  <c r="K74" i="1" s="1"/>
  <c r="K78" i="1" s="1"/>
  <c r="K42" i="2"/>
  <c r="J38" i="5"/>
  <c r="I41" i="5"/>
  <c r="J73" i="1"/>
  <c r="J75" i="1" s="1"/>
  <c r="I78" i="6"/>
  <c r="I75" i="6"/>
  <c r="K89" i="5"/>
  <c r="I76" i="1"/>
  <c r="I91" i="1" s="1"/>
  <c r="M13" i="6"/>
  <c r="M18" i="6" s="1"/>
  <c r="M19" i="6" s="1"/>
  <c r="M13" i="5"/>
  <c r="M13" i="1"/>
  <c r="K18" i="1"/>
  <c r="K19" i="1" s="1"/>
  <c r="D4" i="3"/>
  <c r="L11" i="1"/>
  <c r="L34" i="1"/>
  <c r="M7" i="1"/>
  <c r="L16" i="1"/>
  <c r="L44" i="1" s="1"/>
  <c r="L90" i="1" s="1"/>
  <c r="I77" i="5"/>
  <c r="I92" i="5" s="1"/>
  <c r="J74" i="6"/>
  <c r="M7" i="5"/>
  <c r="L34" i="5"/>
  <c r="L11" i="5"/>
  <c r="L16" i="5"/>
  <c r="L44" i="5" s="1"/>
  <c r="L91" i="5" s="1"/>
  <c r="H77" i="1"/>
  <c r="H79" i="1" s="1"/>
  <c r="H98" i="1" s="1"/>
  <c r="M88" i="6"/>
  <c r="M93" i="6"/>
  <c r="J74" i="5"/>
  <c r="J76" i="5" s="1"/>
  <c r="K88" i="1"/>
  <c r="M90" i="6"/>
  <c r="M95" i="6"/>
  <c r="J38" i="6"/>
  <c r="I41" i="6"/>
  <c r="H76" i="6"/>
  <c r="H91" i="6" s="1"/>
  <c r="G107" i="6" l="1"/>
  <c r="G110" i="6"/>
  <c r="L18" i="5"/>
  <c r="L19" i="5" s="1"/>
  <c r="L74" i="5" s="1"/>
  <c r="I77" i="1"/>
  <c r="I79" i="1" s="1"/>
  <c r="I98" i="1" s="1"/>
  <c r="I108" i="1" s="1"/>
  <c r="I107" i="1" s="1"/>
  <c r="I109" i="1" s="1"/>
  <c r="I110" i="1" s="1"/>
  <c r="M73" i="6"/>
  <c r="K38" i="6"/>
  <c r="J41" i="6"/>
  <c r="J78" i="6"/>
  <c r="J75" i="6"/>
  <c r="M34" i="1"/>
  <c r="M11" i="1"/>
  <c r="M16" i="1"/>
  <c r="M44" i="1" s="1"/>
  <c r="J76" i="1"/>
  <c r="J91" i="1" s="1"/>
  <c r="K74" i="6"/>
  <c r="J77" i="5"/>
  <c r="J92" i="5" s="1"/>
  <c r="H108" i="1"/>
  <c r="H107" i="1" s="1"/>
  <c r="H109" i="1" s="1"/>
  <c r="H110" i="1" s="1"/>
  <c r="L89" i="5"/>
  <c r="I78" i="5"/>
  <c r="I80" i="5" s="1"/>
  <c r="I99" i="5" s="1"/>
  <c r="L88" i="1"/>
  <c r="I76" i="6"/>
  <c r="I91" i="6" s="1"/>
  <c r="L21" i="6"/>
  <c r="L21" i="5"/>
  <c r="L75" i="5" s="1"/>
  <c r="L79" i="5" s="1"/>
  <c r="L42" i="2"/>
  <c r="L21" i="1"/>
  <c r="L74" i="1" s="1"/>
  <c r="L78" i="1" s="1"/>
  <c r="M11" i="5"/>
  <c r="M34" i="5"/>
  <c r="M16" i="5"/>
  <c r="M44" i="5" s="1"/>
  <c r="H77" i="6"/>
  <c r="H79" i="6" s="1"/>
  <c r="H98" i="6" s="1"/>
  <c r="K38" i="5"/>
  <c r="J41" i="5"/>
  <c r="K38" i="1"/>
  <c r="J41" i="1"/>
  <c r="K74" i="5"/>
  <c r="K76" i="5" s="1"/>
  <c r="C4" i="3"/>
  <c r="K73" i="1"/>
  <c r="K75" i="1" s="1"/>
  <c r="L18" i="1"/>
  <c r="L19" i="1" s="1"/>
  <c r="L76" i="5" l="1"/>
  <c r="J78" i="5"/>
  <c r="J80" i="5" s="1"/>
  <c r="J99" i="5" s="1"/>
  <c r="J109" i="5" s="1"/>
  <c r="M18" i="1"/>
  <c r="M19" i="1" s="1"/>
  <c r="J77" i="1"/>
  <c r="J79" i="1" s="1"/>
  <c r="J98" i="1" s="1"/>
  <c r="J108" i="1" s="1"/>
  <c r="L73" i="1"/>
  <c r="L75" i="1" s="1"/>
  <c r="I77" i="6"/>
  <c r="I79" i="6" s="1"/>
  <c r="I98" i="6" s="1"/>
  <c r="I108" i="6" s="1"/>
  <c r="I109" i="5"/>
  <c r="K78" i="6"/>
  <c r="K75" i="6"/>
  <c r="K76" i="1"/>
  <c r="K91" i="1" s="1"/>
  <c r="M91" i="5"/>
  <c r="M96" i="5"/>
  <c r="M88" i="1"/>
  <c r="M93" i="1"/>
  <c r="M18" i="5"/>
  <c r="M19" i="5" s="1"/>
  <c r="M89" i="5"/>
  <c r="M94" i="5"/>
  <c r="J76" i="6"/>
  <c r="J91" i="6" s="1"/>
  <c r="L77" i="5"/>
  <c r="L38" i="5"/>
  <c r="K41" i="5"/>
  <c r="M21" i="6"/>
  <c r="M21" i="5"/>
  <c r="M75" i="5" s="1"/>
  <c r="M79" i="5" s="1"/>
  <c r="M21" i="1"/>
  <c r="M74" i="1" s="1"/>
  <c r="M78" i="1" s="1"/>
  <c r="M42" i="2"/>
  <c r="L38" i="6"/>
  <c r="K41" i="6"/>
  <c r="L38" i="1"/>
  <c r="K41" i="1"/>
  <c r="F4" i="3"/>
  <c r="B5" i="3" s="1"/>
  <c r="K77" i="5"/>
  <c r="K92" i="5" s="1"/>
  <c r="H108" i="6"/>
  <c r="L74" i="6"/>
  <c r="M95" i="1"/>
  <c r="M90" i="1"/>
  <c r="H107" i="6" l="1"/>
  <c r="H109" i="6" s="1"/>
  <c r="H110" i="6" s="1"/>
  <c r="J107" i="1"/>
  <c r="J109" i="1" s="1"/>
  <c r="J110" i="1" s="1"/>
  <c r="I107" i="6"/>
  <c r="I109" i="6" s="1"/>
  <c r="I110" i="6" s="1"/>
  <c r="K78" i="5"/>
  <c r="K80" i="5" s="1"/>
  <c r="K99" i="5" s="1"/>
  <c r="K109" i="5" s="1"/>
  <c r="L92" i="5"/>
  <c r="L78" i="5"/>
  <c r="L80" i="5" s="1"/>
  <c r="D5" i="3"/>
  <c r="K76" i="6"/>
  <c r="K91" i="6" s="1"/>
  <c r="L78" i="6"/>
  <c r="L75" i="6"/>
  <c r="M74" i="5"/>
  <c r="M76" i="5" s="1"/>
  <c r="M38" i="1"/>
  <c r="L41" i="1"/>
  <c r="M38" i="5"/>
  <c r="L41" i="5"/>
  <c r="J77" i="6"/>
  <c r="J79" i="6" s="1"/>
  <c r="J98" i="6" s="1"/>
  <c r="J108" i="6" s="1"/>
  <c r="M73" i="1"/>
  <c r="M75" i="1" s="1"/>
  <c r="M38" i="6"/>
  <c r="L41" i="6"/>
  <c r="M74" i="6"/>
  <c r="K77" i="1"/>
  <c r="K79" i="1" s="1"/>
  <c r="K98" i="1" s="1"/>
  <c r="K108" i="1" s="1"/>
  <c r="L76" i="1"/>
  <c r="L91" i="1" s="1"/>
  <c r="L99" i="5" l="1"/>
  <c r="L109" i="5" s="1"/>
  <c r="K107" i="1"/>
  <c r="K109" i="1" s="1"/>
  <c r="K110" i="1" s="1"/>
  <c r="J107" i="6"/>
  <c r="J109" i="6" s="1"/>
  <c r="J110" i="6" s="1"/>
  <c r="O84" i="5"/>
  <c r="M84" i="5" s="1"/>
  <c r="O86" i="5" s="1"/>
  <c r="M86" i="5" s="1"/>
  <c r="M41" i="5"/>
  <c r="L77" i="1"/>
  <c r="L79" i="1" s="1"/>
  <c r="L98" i="1" s="1"/>
  <c r="L108" i="1" s="1"/>
  <c r="O83" i="6"/>
  <c r="M83" i="6" s="1"/>
  <c r="O85" i="6" s="1"/>
  <c r="M85" i="6" s="1"/>
  <c r="M41" i="6"/>
  <c r="K77" i="6"/>
  <c r="K79" i="6" s="1"/>
  <c r="K98" i="6" s="1"/>
  <c r="K108" i="6" s="1"/>
  <c r="M77" i="5"/>
  <c r="M78" i="5" s="1"/>
  <c r="M80" i="5" s="1"/>
  <c r="M78" i="6"/>
  <c r="M75" i="6"/>
  <c r="L76" i="6"/>
  <c r="L91" i="6" s="1"/>
  <c r="M76" i="1"/>
  <c r="O83" i="1"/>
  <c r="M83" i="1" s="1"/>
  <c r="O85" i="1" s="1"/>
  <c r="M85" i="1" s="1"/>
  <c r="M41" i="1"/>
  <c r="C5" i="3"/>
  <c r="L107" i="1" l="1"/>
  <c r="L109" i="1" s="1"/>
  <c r="L110" i="1" s="1"/>
  <c r="K107" i="6"/>
  <c r="K109" i="6" s="1"/>
  <c r="K110" i="6" s="1"/>
  <c r="M76" i="6"/>
  <c r="L77" i="6"/>
  <c r="L79" i="6" s="1"/>
  <c r="L98" i="6" s="1"/>
  <c r="L108" i="6" s="1"/>
  <c r="M92" i="5"/>
  <c r="M97" i="5"/>
  <c r="M96" i="1"/>
  <c r="M91" i="1"/>
  <c r="F5" i="3"/>
  <c r="B6" i="3" s="1"/>
  <c r="M77" i="1"/>
  <c r="M79" i="1" s="1"/>
  <c r="M99" i="5" l="1"/>
  <c r="M109" i="5" s="1"/>
  <c r="L107" i="6"/>
  <c r="L109" i="6" s="1"/>
  <c r="L110" i="6" s="1"/>
  <c r="M98" i="1"/>
  <c r="M108" i="1" s="1"/>
  <c r="M107" i="1" s="1"/>
  <c r="M109" i="1" s="1"/>
  <c r="M110" i="1" s="1"/>
  <c r="M91" i="6"/>
  <c r="M96" i="6"/>
  <c r="C100" i="5"/>
  <c r="D6" i="3"/>
  <c r="C6" i="3" s="1"/>
  <c r="M77" i="6"/>
  <c r="M79" i="6" s="1"/>
  <c r="C99" i="1" l="1"/>
  <c r="M98" i="6"/>
  <c r="M108" i="6" s="1"/>
  <c r="F6" i="3"/>
  <c r="B7" i="3" s="1"/>
  <c r="M107" i="6" l="1"/>
  <c r="M109" i="6" s="1"/>
  <c r="M110" i="6" s="1"/>
  <c r="C99" i="6"/>
  <c r="D7" i="3"/>
  <c r="C7" i="3" s="1"/>
  <c r="F7" i="3" s="1"/>
  <c r="B8" i="3" s="1"/>
  <c r="D8" i="3" l="1"/>
  <c r="C8" i="3" s="1"/>
  <c r="F8" i="3" s="1"/>
  <c r="B9" i="3" s="1"/>
  <c r="D9" i="3" l="1"/>
  <c r="C9" i="3" s="1"/>
  <c r="F9" i="3" s="1"/>
  <c r="B10" i="3" s="1"/>
  <c r="D10" i="3" l="1"/>
  <c r="C10" i="3" s="1"/>
  <c r="F10" i="3" s="1"/>
  <c r="B11" i="3" s="1"/>
  <c r="D11" i="3" l="1"/>
  <c r="C11" i="3" s="1"/>
  <c r="F11" i="3" s="1"/>
  <c r="B12" i="3" s="1"/>
  <c r="D12" i="3" l="1"/>
  <c r="C12" i="3" s="1"/>
  <c r="F12" i="3" s="1"/>
  <c r="B13" i="3" s="1"/>
  <c r="D13" i="3" l="1"/>
  <c r="C13" i="3" l="1"/>
  <c r="D14" i="3"/>
  <c r="C14" i="3" l="1"/>
  <c r="F13" i="3"/>
  <c r="D23" i="6"/>
  <c r="D26" i="6" s="1"/>
  <c r="D23" i="5"/>
  <c r="D26" i="5" s="1"/>
  <c r="D23" i="1"/>
  <c r="D26" i="1" s="1"/>
  <c r="D27" i="1" l="1"/>
  <c r="D45" i="1" s="1"/>
  <c r="D27" i="5"/>
  <c r="D45" i="5" s="1"/>
  <c r="D27" i="6"/>
  <c r="D45" i="6" s="1"/>
  <c r="D47" i="6"/>
  <c r="D47" i="5"/>
  <c r="D47" i="1"/>
  <c r="B16" i="3"/>
  <c r="D28" i="1" l="1"/>
  <c r="D53" i="1" s="1"/>
  <c r="D28" i="6"/>
  <c r="D52" i="6" s="1"/>
  <c r="D61" i="6" s="1"/>
  <c r="D28" i="5"/>
  <c r="D16" i="3"/>
  <c r="D52" i="1"/>
  <c r="D61" i="1" s="1"/>
  <c r="D58" i="5"/>
  <c r="D57" i="5"/>
  <c r="D57" i="6"/>
  <c r="D58" i="6"/>
  <c r="D58" i="1"/>
  <c r="D57" i="1"/>
  <c r="D55" i="1" l="1"/>
  <c r="D59" i="5"/>
  <c r="D53" i="6"/>
  <c r="D55" i="6" s="1"/>
  <c r="D59" i="6"/>
  <c r="D62" i="6"/>
  <c r="D64" i="6" s="1"/>
  <c r="D67" i="6" s="1"/>
  <c r="D59" i="1"/>
  <c r="D62" i="1"/>
  <c r="D64" i="1" s="1"/>
  <c r="D67" i="1" s="1"/>
  <c r="C16" i="3"/>
  <c r="D52" i="5"/>
  <c r="D53" i="5"/>
  <c r="D69" i="6" l="1"/>
  <c r="C103" i="6" s="1"/>
  <c r="L101" i="6" s="1"/>
  <c r="D69" i="1"/>
  <c r="C103" i="1" s="1"/>
  <c r="D55" i="5"/>
  <c r="F16" i="3"/>
  <c r="B17" i="3" s="1"/>
  <c r="D62" i="5"/>
  <c r="D61" i="5"/>
  <c r="C112" i="6" l="1"/>
  <c r="C112" i="1"/>
  <c r="D112" i="6"/>
  <c r="F112" i="6"/>
  <c r="D112" i="1"/>
  <c r="F112" i="1"/>
  <c r="E112" i="6"/>
  <c r="E112" i="1"/>
  <c r="G112" i="1"/>
  <c r="H112" i="1"/>
  <c r="G112" i="6"/>
  <c r="I112" i="1"/>
  <c r="I112" i="6"/>
  <c r="J112" i="1"/>
  <c r="K111" i="1" s="1"/>
  <c r="H112" i="6"/>
  <c r="K112" i="1"/>
  <c r="J112" i="6"/>
  <c r="L112" i="1"/>
  <c r="K112" i="6"/>
  <c r="M112" i="1"/>
  <c r="L112" i="6"/>
  <c r="M112" i="6"/>
  <c r="K101" i="6"/>
  <c r="F101" i="6"/>
  <c r="D101" i="6"/>
  <c r="G101" i="6"/>
  <c r="H101" i="6"/>
  <c r="E101" i="6"/>
  <c r="I101" i="6"/>
  <c r="J101" i="6"/>
  <c r="M101" i="6"/>
  <c r="D64" i="5"/>
  <c r="D67" i="5" s="1"/>
  <c r="D69" i="5" s="1"/>
  <c r="C104" i="5" s="1"/>
  <c r="D17" i="3"/>
  <c r="C101" i="6"/>
  <c r="C112" i="5"/>
  <c r="C102" i="5"/>
  <c r="I111" i="1"/>
  <c r="K101" i="1"/>
  <c r="C101" i="1"/>
  <c r="M101" i="1"/>
  <c r="I101" i="1"/>
  <c r="E101" i="1"/>
  <c r="H101" i="1"/>
  <c r="F101" i="1"/>
  <c r="D101" i="1"/>
  <c r="L101" i="1"/>
  <c r="G101" i="1"/>
  <c r="J101" i="1"/>
  <c r="C114" i="1" l="1"/>
  <c r="E111" i="6"/>
  <c r="M111" i="1"/>
  <c r="K111" i="6"/>
  <c r="C102" i="6"/>
  <c r="D111" i="1"/>
  <c r="H111" i="1"/>
  <c r="F111" i="6"/>
  <c r="L111" i="6"/>
  <c r="F111" i="1"/>
  <c r="E111" i="1"/>
  <c r="J111" i="1"/>
  <c r="G111" i="1"/>
  <c r="I111" i="6"/>
  <c r="J111" i="6"/>
  <c r="L111" i="1"/>
  <c r="G111" i="6"/>
  <c r="H111" i="6"/>
  <c r="L112" i="5"/>
  <c r="J112" i="5"/>
  <c r="K112" i="5"/>
  <c r="I112" i="5"/>
  <c r="G112" i="5"/>
  <c r="D112" i="5"/>
  <c r="J102" i="5"/>
  <c r="F102" i="5"/>
  <c r="M112" i="5"/>
  <c r="L102" i="5"/>
  <c r="G102" i="5"/>
  <c r="K102" i="5"/>
  <c r="E102" i="5"/>
  <c r="H112" i="5"/>
  <c r="E112" i="5"/>
  <c r="M102" i="5"/>
  <c r="H102" i="5"/>
  <c r="F112" i="5"/>
  <c r="I102" i="5"/>
  <c r="D102" i="5"/>
  <c r="C17" i="3"/>
  <c r="C102" i="1"/>
  <c r="C114" i="6"/>
  <c r="M111" i="5" l="1"/>
  <c r="G111" i="5"/>
  <c r="L111" i="5"/>
  <c r="I111" i="5"/>
  <c r="F111" i="5"/>
  <c r="C114" i="5"/>
  <c r="C117" i="1" s="1"/>
  <c r="E111" i="5"/>
  <c r="K111" i="5"/>
  <c r="H111" i="5"/>
  <c r="D111" i="5"/>
  <c r="J111" i="5"/>
  <c r="C103" i="5"/>
  <c r="F17" i="3"/>
  <c r="B18" i="3" s="1"/>
  <c r="D18" i="3" l="1"/>
  <c r="C18" i="3" l="1"/>
  <c r="F18" i="3" l="1"/>
  <c r="B19" i="3" s="1"/>
  <c r="D19" i="3" l="1"/>
  <c r="C19" i="3" l="1"/>
  <c r="F19" i="3" l="1"/>
  <c r="B20" i="3" s="1"/>
  <c r="D20" i="3" l="1"/>
  <c r="C20" i="3" l="1"/>
  <c r="F20" i="3" l="1"/>
  <c r="B21" i="3" s="1"/>
  <c r="D21" i="3" l="1"/>
  <c r="C21" i="3" s="1"/>
  <c r="F21" i="3" s="1"/>
  <c r="B22" i="3" s="1"/>
  <c r="D22" i="3" l="1"/>
  <c r="C22" i="3" s="1"/>
  <c r="F22" i="3" s="1"/>
  <c r="B23" i="3" s="1"/>
  <c r="D23" i="3" l="1"/>
  <c r="C23" i="3" s="1"/>
  <c r="F23" i="3" s="1"/>
  <c r="B24" i="3" s="1"/>
  <c r="D24" i="3" l="1"/>
  <c r="C24" i="3" s="1"/>
  <c r="F24" i="3" s="1"/>
  <c r="B25" i="3" s="1"/>
  <c r="D25" i="3" l="1"/>
  <c r="C25" i="3" s="1"/>
  <c r="F25" i="3" s="1"/>
  <c r="B26" i="3" s="1"/>
  <c r="D26" i="3" l="1"/>
  <c r="C26" i="3" s="1"/>
  <c r="F26" i="3" s="1"/>
  <c r="B27" i="3" s="1"/>
  <c r="D27" i="3" l="1"/>
  <c r="C27" i="3" l="1"/>
  <c r="D28" i="3"/>
  <c r="C28" i="3" l="1"/>
  <c r="F27" i="3"/>
  <c r="E23" i="6"/>
  <c r="E26" i="6" s="1"/>
  <c r="E23" i="5"/>
  <c r="E26" i="5" s="1"/>
  <c r="E23" i="1"/>
  <c r="E26" i="1" s="1"/>
  <c r="E27" i="1" l="1"/>
  <c r="E45" i="1" s="1"/>
  <c r="E27" i="5"/>
  <c r="E45" i="5" s="1"/>
  <c r="E27" i="6"/>
  <c r="E45" i="6" s="1"/>
  <c r="E47" i="5"/>
  <c r="E47" i="6"/>
  <c r="E47" i="1"/>
  <c r="B30" i="3"/>
  <c r="E28" i="6" l="1"/>
  <c r="E52" i="6" s="1"/>
  <c r="E61" i="6" s="1"/>
  <c r="E57" i="5"/>
  <c r="E58" i="5"/>
  <c r="E58" i="1"/>
  <c r="E57" i="1"/>
  <c r="E57" i="6"/>
  <c r="E58" i="6"/>
  <c r="E28" i="5"/>
  <c r="D30" i="3"/>
  <c r="E28" i="1"/>
  <c r="E59" i="6" l="1"/>
  <c r="E53" i="6"/>
  <c r="E55" i="6" s="1"/>
  <c r="E59" i="1"/>
  <c r="C30" i="3"/>
  <c r="E53" i="1"/>
  <c r="E52" i="1"/>
  <c r="E62" i="6"/>
  <c r="E64" i="6" s="1"/>
  <c r="E67" i="6" s="1"/>
  <c r="E53" i="5"/>
  <c r="E52" i="5"/>
  <c r="E59" i="5"/>
  <c r="E69" i="6" l="1"/>
  <c r="E55" i="1"/>
  <c r="E55" i="5"/>
  <c r="E62" i="1"/>
  <c r="E61" i="1"/>
  <c r="F30" i="3"/>
  <c r="B31" i="3" s="1"/>
  <c r="E62" i="5"/>
  <c r="E61" i="5"/>
  <c r="E64" i="5" l="1"/>
  <c r="E67" i="5" s="1"/>
  <c r="E69" i="5" s="1"/>
  <c r="E64" i="1"/>
  <c r="E67" i="1" s="1"/>
  <c r="E69" i="1" s="1"/>
  <c r="D31" i="3"/>
  <c r="C31" i="3" l="1"/>
  <c r="F31" i="3" l="1"/>
  <c r="B32" i="3" s="1"/>
  <c r="D32" i="3" l="1"/>
  <c r="C32" i="3" l="1"/>
  <c r="F32" i="3" l="1"/>
  <c r="B33" i="3" s="1"/>
  <c r="D33" i="3" l="1"/>
  <c r="C33" i="3" l="1"/>
  <c r="F33" i="3" l="1"/>
  <c r="B34" i="3" s="1"/>
  <c r="D34" i="3" l="1"/>
  <c r="C34" i="3" l="1"/>
  <c r="F34" i="3" l="1"/>
  <c r="B35" i="3" s="1"/>
  <c r="D35" i="3" l="1"/>
  <c r="C35" i="3" s="1"/>
  <c r="F35" i="3" s="1"/>
  <c r="B36" i="3" s="1"/>
  <c r="D36" i="3" l="1"/>
  <c r="C36" i="3" s="1"/>
  <c r="F36" i="3" s="1"/>
  <c r="B37" i="3" s="1"/>
  <c r="D37" i="3" l="1"/>
  <c r="C37" i="3" s="1"/>
  <c r="F37" i="3" s="1"/>
  <c r="B38" i="3" s="1"/>
  <c r="D38" i="3" l="1"/>
  <c r="C38" i="3" s="1"/>
  <c r="F38" i="3" s="1"/>
  <c r="B39" i="3" s="1"/>
  <c r="D39" i="3" l="1"/>
  <c r="C39" i="3" s="1"/>
  <c r="F39" i="3" s="1"/>
  <c r="B40" i="3" s="1"/>
  <c r="D40" i="3" l="1"/>
  <c r="C40" i="3" s="1"/>
  <c r="F40" i="3" s="1"/>
  <c r="B41" i="3" s="1"/>
  <c r="D41" i="3" l="1"/>
  <c r="C41" i="3" l="1"/>
  <c r="D42" i="3"/>
  <c r="C42" i="3" l="1"/>
  <c r="F41" i="3"/>
  <c r="F23" i="6"/>
  <c r="F26" i="6" s="1"/>
  <c r="F23" i="5"/>
  <c r="F26" i="5" s="1"/>
  <c r="F23" i="1"/>
  <c r="F26" i="1" s="1"/>
  <c r="F27" i="5" l="1"/>
  <c r="F45" i="5" s="1"/>
  <c r="F27" i="1"/>
  <c r="F45" i="1" s="1"/>
  <c r="F27" i="6"/>
  <c r="F45" i="6" s="1"/>
  <c r="F47" i="6"/>
  <c r="F47" i="5"/>
  <c r="F47" i="1"/>
  <c r="B44" i="3"/>
  <c r="F28" i="5" l="1"/>
  <c r="F53" i="5" s="1"/>
  <c r="F57" i="6"/>
  <c r="F58" i="6"/>
  <c r="F58" i="1"/>
  <c r="F57" i="1"/>
  <c r="F57" i="5"/>
  <c r="F58" i="5"/>
  <c r="F28" i="1"/>
  <c r="D44" i="3"/>
  <c r="F28" i="6"/>
  <c r="F59" i="5" l="1"/>
  <c r="F52" i="5"/>
  <c r="F62" i="5" s="1"/>
  <c r="F59" i="1"/>
  <c r="C44" i="3"/>
  <c r="F53" i="1"/>
  <c r="F52" i="1"/>
  <c r="F53" i="6"/>
  <c r="F52" i="6"/>
  <c r="F59" i="6"/>
  <c r="F55" i="5" l="1"/>
  <c r="F61" i="5"/>
  <c r="F64" i="5" s="1"/>
  <c r="F67" i="5" s="1"/>
  <c r="F69" i="5" s="1"/>
  <c r="F55" i="1"/>
  <c r="F62" i="6"/>
  <c r="F61" i="6"/>
  <c r="F55" i="6"/>
  <c r="F62" i="1"/>
  <c r="F61" i="1"/>
  <c r="F44" i="3"/>
  <c r="B45" i="3" s="1"/>
  <c r="F64" i="6" l="1"/>
  <c r="F67" i="6" s="1"/>
  <c r="F69" i="6" s="1"/>
  <c r="D45" i="3"/>
  <c r="F64" i="1"/>
  <c r="F67" i="1" s="1"/>
  <c r="F69" i="1" s="1"/>
  <c r="C45" i="3" l="1"/>
  <c r="F45" i="3" l="1"/>
  <c r="B46" i="3" s="1"/>
  <c r="D46" i="3" l="1"/>
  <c r="C46" i="3" l="1"/>
  <c r="F46" i="3" l="1"/>
  <c r="B47" i="3" s="1"/>
  <c r="D47" i="3" l="1"/>
  <c r="C47" i="3" l="1"/>
  <c r="F47" i="3" l="1"/>
  <c r="B48" i="3" s="1"/>
  <c r="D48" i="3" l="1"/>
  <c r="C48" i="3" l="1"/>
  <c r="F48" i="3" l="1"/>
  <c r="B49" i="3" s="1"/>
  <c r="D49" i="3" l="1"/>
  <c r="C49" i="3" s="1"/>
  <c r="F49" i="3" s="1"/>
  <c r="B50" i="3" s="1"/>
  <c r="D50" i="3" l="1"/>
  <c r="C50" i="3" s="1"/>
  <c r="F50" i="3" s="1"/>
  <c r="B51" i="3" s="1"/>
  <c r="D51" i="3" l="1"/>
  <c r="C51" i="3" s="1"/>
  <c r="F51" i="3" s="1"/>
  <c r="B52" i="3" s="1"/>
  <c r="D52" i="3" l="1"/>
  <c r="C52" i="3" s="1"/>
  <c r="F52" i="3" s="1"/>
  <c r="B53" i="3" s="1"/>
  <c r="D53" i="3" l="1"/>
  <c r="C53" i="3" s="1"/>
  <c r="F53" i="3" s="1"/>
  <c r="B54" i="3" s="1"/>
  <c r="D54" i="3" l="1"/>
  <c r="C54" i="3" s="1"/>
  <c r="F54" i="3" s="1"/>
  <c r="B55" i="3" s="1"/>
  <c r="D55" i="3" l="1"/>
  <c r="C55" i="3" l="1"/>
  <c r="D56" i="3"/>
  <c r="C56" i="3" l="1"/>
  <c r="F55" i="3"/>
  <c r="G23" i="6"/>
  <c r="G26" i="6" s="1"/>
  <c r="G23" i="5"/>
  <c r="G26" i="5" s="1"/>
  <c r="G23" i="1"/>
  <c r="G26" i="1" s="1"/>
  <c r="G27" i="1" l="1"/>
  <c r="G45" i="1" s="1"/>
  <c r="G27" i="5"/>
  <c r="G45" i="5" s="1"/>
  <c r="G27" i="6"/>
  <c r="G45" i="6" s="1"/>
  <c r="G47" i="6"/>
  <c r="G47" i="5"/>
  <c r="G47" i="1"/>
  <c r="B58" i="3"/>
  <c r="G28" i="5" l="1"/>
  <c r="G52" i="5" s="1"/>
  <c r="G28" i="6"/>
  <c r="G53" i="6" s="1"/>
  <c r="G58" i="5"/>
  <c r="G57" i="5"/>
  <c r="G53" i="5"/>
  <c r="G58" i="6"/>
  <c r="G57" i="6"/>
  <c r="D58" i="3"/>
  <c r="G57" i="1"/>
  <c r="G58" i="1"/>
  <c r="G28" i="1"/>
  <c r="G52" i="6" l="1"/>
  <c r="G61" i="6" s="1"/>
  <c r="G59" i="1"/>
  <c r="G55" i="5"/>
  <c r="G59" i="5"/>
  <c r="G62" i="5"/>
  <c r="G59" i="6"/>
  <c r="G61" i="5"/>
  <c r="G53" i="1"/>
  <c r="G52" i="1"/>
  <c r="C58" i="3"/>
  <c r="G55" i="1" l="1"/>
  <c r="G55" i="6"/>
  <c r="G62" i="6"/>
  <c r="G64" i="6" s="1"/>
  <c r="G67" i="6" s="1"/>
  <c r="G69" i="6" s="1"/>
  <c r="G62" i="1"/>
  <c r="G61" i="1"/>
  <c r="F58" i="3"/>
  <c r="B59" i="3" s="1"/>
  <c r="G64" i="5"/>
  <c r="G67" i="5" s="1"/>
  <c r="G69" i="5" s="1"/>
  <c r="G64" i="1" l="1"/>
  <c r="G67" i="1" s="1"/>
  <c r="G69" i="1" s="1"/>
  <c r="D59" i="3"/>
  <c r="C59" i="3" l="1"/>
  <c r="F59" i="3" l="1"/>
  <c r="B60" i="3" s="1"/>
  <c r="D60" i="3" l="1"/>
  <c r="C60" i="3" l="1"/>
  <c r="F60" i="3" l="1"/>
  <c r="B61" i="3" s="1"/>
  <c r="D61" i="3" l="1"/>
  <c r="C61" i="3" l="1"/>
  <c r="F61" i="3" l="1"/>
  <c r="B62" i="3" s="1"/>
  <c r="D62" i="3" l="1"/>
  <c r="C62" i="3" l="1"/>
  <c r="F62" i="3" l="1"/>
  <c r="B63" i="3" s="1"/>
  <c r="D63" i="3" l="1"/>
  <c r="C63" i="3" s="1"/>
  <c r="F63" i="3" s="1"/>
  <c r="B64" i="3" s="1"/>
  <c r="D64" i="3" l="1"/>
  <c r="C64" i="3" s="1"/>
  <c r="F64" i="3" s="1"/>
  <c r="B65" i="3" s="1"/>
  <c r="D65" i="3" l="1"/>
  <c r="C65" i="3" s="1"/>
  <c r="F65" i="3" s="1"/>
  <c r="B66" i="3" s="1"/>
  <c r="D66" i="3" l="1"/>
  <c r="C66" i="3" s="1"/>
  <c r="F66" i="3" s="1"/>
  <c r="B67" i="3" s="1"/>
  <c r="D67" i="3" l="1"/>
  <c r="C67" i="3" s="1"/>
  <c r="F67" i="3" s="1"/>
  <c r="B68" i="3" s="1"/>
  <c r="D68" i="3" l="1"/>
  <c r="C68" i="3" s="1"/>
  <c r="F68" i="3" s="1"/>
  <c r="B69" i="3" s="1"/>
  <c r="D69" i="3" l="1"/>
  <c r="C69" i="3" l="1"/>
  <c r="D70" i="3"/>
  <c r="C70" i="3" l="1"/>
  <c r="F69" i="3"/>
  <c r="H23" i="6"/>
  <c r="H26" i="6" s="1"/>
  <c r="H23" i="5"/>
  <c r="H26" i="5" s="1"/>
  <c r="H23" i="1"/>
  <c r="H26" i="1" s="1"/>
  <c r="H27" i="1" l="1"/>
  <c r="H45" i="1" s="1"/>
  <c r="H27" i="5"/>
  <c r="H45" i="5" s="1"/>
  <c r="H27" i="6"/>
  <c r="H45" i="6" s="1"/>
  <c r="H47" i="6"/>
  <c r="H47" i="5"/>
  <c r="H47" i="1"/>
  <c r="B72" i="3"/>
  <c r="H28" i="5" l="1"/>
  <c r="H52" i="5" s="1"/>
  <c r="H58" i="6"/>
  <c r="H57" i="6"/>
  <c r="D72" i="3"/>
  <c r="H57" i="1"/>
  <c r="H58" i="1"/>
  <c r="H57" i="5"/>
  <c r="H58" i="5"/>
  <c r="H28" i="6"/>
  <c r="H28" i="1"/>
  <c r="H53" i="5" l="1"/>
  <c r="H59" i="5"/>
  <c r="H59" i="6"/>
  <c r="H59" i="1"/>
  <c r="H62" i="5"/>
  <c r="C72" i="3"/>
  <c r="H55" i="5"/>
  <c r="H61" i="5"/>
  <c r="H53" i="1"/>
  <c r="H52" i="1"/>
  <c r="H53" i="6"/>
  <c r="H52" i="6"/>
  <c r="H62" i="1" l="1"/>
  <c r="H61" i="1"/>
  <c r="F72" i="3"/>
  <c r="B73" i="3" s="1"/>
  <c r="H55" i="1"/>
  <c r="H62" i="6"/>
  <c r="H61" i="6"/>
  <c r="H55" i="6"/>
  <c r="H64" i="5"/>
  <c r="H67" i="5" s="1"/>
  <c r="H69" i="5" s="1"/>
  <c r="H64" i="1" l="1"/>
  <c r="H67" i="1" s="1"/>
  <c r="H69" i="1" s="1"/>
  <c r="D73" i="3"/>
  <c r="H64" i="6"/>
  <c r="H67" i="6" s="1"/>
  <c r="H69" i="6" s="1"/>
  <c r="C73" i="3" l="1"/>
  <c r="F73" i="3" l="1"/>
  <c r="B74" i="3" s="1"/>
  <c r="D74" i="3" l="1"/>
  <c r="C74" i="3" l="1"/>
  <c r="F74" i="3" l="1"/>
  <c r="B75" i="3" s="1"/>
  <c r="D75" i="3" l="1"/>
  <c r="C75" i="3" l="1"/>
  <c r="F75" i="3" l="1"/>
  <c r="B76" i="3" s="1"/>
  <c r="D76" i="3" l="1"/>
  <c r="C76" i="3" l="1"/>
  <c r="F76" i="3" l="1"/>
  <c r="B77" i="3" s="1"/>
  <c r="D77" i="3" l="1"/>
  <c r="C77" i="3" s="1"/>
  <c r="F77" i="3" s="1"/>
  <c r="B78" i="3" s="1"/>
  <c r="D78" i="3" l="1"/>
  <c r="C78" i="3" s="1"/>
  <c r="F78" i="3" s="1"/>
  <c r="B79" i="3" s="1"/>
  <c r="D79" i="3" l="1"/>
  <c r="C79" i="3" s="1"/>
  <c r="F79" i="3" s="1"/>
  <c r="B80" i="3" s="1"/>
  <c r="D80" i="3" l="1"/>
  <c r="C80" i="3" s="1"/>
  <c r="F80" i="3" s="1"/>
  <c r="B81" i="3" s="1"/>
  <c r="D81" i="3" l="1"/>
  <c r="C81" i="3" s="1"/>
  <c r="F81" i="3" s="1"/>
  <c r="B82" i="3" s="1"/>
  <c r="D82" i="3" l="1"/>
  <c r="C82" i="3" s="1"/>
  <c r="F82" i="3" s="1"/>
  <c r="B83" i="3" s="1"/>
  <c r="D83" i="3" l="1"/>
  <c r="C83" i="3" l="1"/>
  <c r="D84" i="3"/>
  <c r="C84" i="3" l="1"/>
  <c r="F83" i="3"/>
  <c r="I23" i="6"/>
  <c r="I26" i="6" s="1"/>
  <c r="I23" i="5"/>
  <c r="I26" i="5" s="1"/>
  <c r="I23" i="1"/>
  <c r="I26" i="1" s="1"/>
  <c r="I27" i="5" l="1"/>
  <c r="I45" i="5" s="1"/>
  <c r="I27" i="1"/>
  <c r="I45" i="1" s="1"/>
  <c r="I27" i="6"/>
  <c r="I45" i="6" s="1"/>
  <c r="I47" i="6"/>
  <c r="I47" i="5"/>
  <c r="I47" i="1"/>
  <c r="B86" i="3"/>
  <c r="I28" i="1" l="1"/>
  <c r="I53" i="1" s="1"/>
  <c r="I57" i="1"/>
  <c r="I58" i="1"/>
  <c r="I57" i="5"/>
  <c r="I58" i="5"/>
  <c r="I57" i="6"/>
  <c r="I58" i="6"/>
  <c r="D86" i="3"/>
  <c r="I28" i="6"/>
  <c r="I28" i="5"/>
  <c r="I52" i="1" l="1"/>
  <c r="I61" i="1" s="1"/>
  <c r="I59" i="5"/>
  <c r="I59" i="6"/>
  <c r="I59" i="1"/>
  <c r="I53" i="5"/>
  <c r="I52" i="5"/>
  <c r="I53" i="6"/>
  <c r="I52" i="6"/>
  <c r="C86" i="3"/>
  <c r="I62" i="1" l="1"/>
  <c r="I55" i="1"/>
  <c r="I55" i="5"/>
  <c r="I55" i="6"/>
  <c r="I62" i="6"/>
  <c r="I61" i="6"/>
  <c r="I64" i="1"/>
  <c r="I67" i="1" s="1"/>
  <c r="I69" i="1" s="1"/>
  <c r="F86" i="3"/>
  <c r="B87" i="3" s="1"/>
  <c r="I62" i="5"/>
  <c r="I61" i="5"/>
  <c r="D87" i="3" l="1"/>
  <c r="I64" i="6"/>
  <c r="I67" i="6" s="1"/>
  <c r="I69" i="6" s="1"/>
  <c r="I64" i="5"/>
  <c r="I67" i="5" s="1"/>
  <c r="I69" i="5" s="1"/>
  <c r="C87" i="3" l="1"/>
  <c r="F87" i="3" l="1"/>
  <c r="B88" i="3" s="1"/>
  <c r="D88" i="3" l="1"/>
  <c r="C88" i="3" l="1"/>
  <c r="F88" i="3" l="1"/>
  <c r="B89" i="3" s="1"/>
  <c r="D89" i="3" l="1"/>
  <c r="C89" i="3" l="1"/>
  <c r="F89" i="3" l="1"/>
  <c r="B90" i="3" s="1"/>
  <c r="D90" i="3" l="1"/>
  <c r="C90" i="3" l="1"/>
  <c r="F90" i="3" l="1"/>
  <c r="B91" i="3" s="1"/>
  <c r="D91" i="3" l="1"/>
  <c r="C91" i="3" s="1"/>
  <c r="F91" i="3" s="1"/>
  <c r="B92" i="3" s="1"/>
  <c r="D92" i="3" l="1"/>
  <c r="C92" i="3" s="1"/>
  <c r="F92" i="3" s="1"/>
  <c r="B93" i="3" s="1"/>
  <c r="D93" i="3" l="1"/>
  <c r="C93" i="3" s="1"/>
  <c r="F93" i="3"/>
  <c r="B94" i="3" s="1"/>
  <c r="D94" i="3" l="1"/>
  <c r="C94" i="3" s="1"/>
  <c r="F94" i="3" s="1"/>
  <c r="B95" i="3" s="1"/>
  <c r="D95" i="3" l="1"/>
  <c r="C95" i="3" s="1"/>
  <c r="F95" i="3" s="1"/>
  <c r="B96" i="3" s="1"/>
  <c r="D96" i="3" l="1"/>
  <c r="C96" i="3" s="1"/>
  <c r="F96" i="3" s="1"/>
  <c r="B97" i="3" s="1"/>
  <c r="D97" i="3" l="1"/>
  <c r="C97" i="3" l="1"/>
  <c r="D98" i="3"/>
  <c r="J23" i="6" l="1"/>
  <c r="J26" i="6" s="1"/>
  <c r="J23" i="5"/>
  <c r="J26" i="5" s="1"/>
  <c r="J23" i="1"/>
  <c r="J26" i="1" s="1"/>
  <c r="C98" i="3"/>
  <c r="F97" i="3"/>
  <c r="J47" i="6" l="1"/>
  <c r="J47" i="5"/>
  <c r="J47" i="1"/>
  <c r="B100" i="3"/>
  <c r="J27" i="6"/>
  <c r="J45" i="6" s="1"/>
  <c r="J27" i="1"/>
  <c r="J45" i="1" s="1"/>
  <c r="J27" i="5"/>
  <c r="J45" i="5" s="1"/>
  <c r="D100" i="3" l="1"/>
  <c r="J28" i="1"/>
  <c r="J57" i="5"/>
  <c r="J58" i="5"/>
  <c r="J57" i="1"/>
  <c r="J58" i="1"/>
  <c r="J28" i="5"/>
  <c r="J28" i="6"/>
  <c r="J57" i="6"/>
  <c r="J58" i="6"/>
  <c r="J59" i="5" l="1"/>
  <c r="J59" i="6"/>
  <c r="J59" i="1"/>
  <c r="J53" i="6"/>
  <c r="J52" i="6"/>
  <c r="J53" i="1"/>
  <c r="J52" i="1"/>
  <c r="J53" i="5"/>
  <c r="J52" i="5"/>
  <c r="C100" i="3"/>
  <c r="J55" i="5" l="1"/>
  <c r="J55" i="6"/>
  <c r="J55" i="1"/>
  <c r="F100" i="3"/>
  <c r="B101" i="3" s="1"/>
  <c r="J62" i="1"/>
  <c r="J61" i="1"/>
  <c r="J62" i="5"/>
  <c r="J61" i="5"/>
  <c r="J62" i="6"/>
  <c r="J61" i="6"/>
  <c r="J64" i="1" l="1"/>
  <c r="J67" i="1" s="1"/>
  <c r="J69" i="1" s="1"/>
  <c r="J64" i="5"/>
  <c r="J67" i="5" s="1"/>
  <c r="J69" i="5" s="1"/>
  <c r="J64" i="6"/>
  <c r="J67" i="6" s="1"/>
  <c r="J69" i="6" s="1"/>
  <c r="D101" i="3"/>
  <c r="C101" i="3" l="1"/>
  <c r="F101" i="3" l="1"/>
  <c r="B102" i="3" s="1"/>
  <c r="D102" i="3" l="1"/>
  <c r="C102" i="3" l="1"/>
  <c r="F102" i="3" l="1"/>
  <c r="B103" i="3" s="1"/>
  <c r="D103" i="3" l="1"/>
  <c r="C103" i="3" l="1"/>
  <c r="F103" i="3" l="1"/>
  <c r="B104" i="3" s="1"/>
  <c r="D104" i="3" l="1"/>
  <c r="C104" i="3" l="1"/>
  <c r="F104" i="3" l="1"/>
  <c r="B105" i="3" s="1"/>
  <c r="D105" i="3" l="1"/>
  <c r="C105" i="3" s="1"/>
  <c r="F105" i="3" s="1"/>
  <c r="B106" i="3" s="1"/>
  <c r="D106" i="3" l="1"/>
  <c r="C106" i="3" s="1"/>
  <c r="F106" i="3" s="1"/>
  <c r="B107" i="3" s="1"/>
  <c r="D107" i="3" l="1"/>
  <c r="C107" i="3" s="1"/>
  <c r="F107" i="3" s="1"/>
  <c r="B108" i="3" s="1"/>
  <c r="D108" i="3" l="1"/>
  <c r="C108" i="3" s="1"/>
  <c r="F108" i="3" s="1"/>
  <c r="B109" i="3" s="1"/>
  <c r="D109" i="3" l="1"/>
  <c r="C109" i="3" s="1"/>
  <c r="F109" i="3" s="1"/>
  <c r="B110" i="3" s="1"/>
  <c r="D110" i="3" l="1"/>
  <c r="C110" i="3" s="1"/>
  <c r="F110" i="3" s="1"/>
  <c r="B111" i="3" s="1"/>
  <c r="D111" i="3" l="1"/>
  <c r="C111" i="3" l="1"/>
  <c r="D112" i="3"/>
  <c r="C112" i="3" l="1"/>
  <c r="F111" i="3"/>
  <c r="K23" i="6"/>
  <c r="K26" i="6" s="1"/>
  <c r="K23" i="5"/>
  <c r="K26" i="5" s="1"/>
  <c r="K23" i="1"/>
  <c r="K26" i="1" s="1"/>
  <c r="K27" i="5" l="1"/>
  <c r="K45" i="5" s="1"/>
  <c r="K27" i="1"/>
  <c r="K45" i="1" s="1"/>
  <c r="K27" i="6"/>
  <c r="K45" i="6" s="1"/>
  <c r="K47" i="6"/>
  <c r="K47" i="5"/>
  <c r="K47" i="1"/>
  <c r="B114" i="3"/>
  <c r="K28" i="1" l="1"/>
  <c r="K53" i="1" s="1"/>
  <c r="K57" i="1"/>
  <c r="K58" i="1"/>
  <c r="K58" i="5"/>
  <c r="K57" i="5"/>
  <c r="K58" i="6"/>
  <c r="K57" i="6"/>
  <c r="D114" i="3"/>
  <c r="K28" i="6"/>
  <c r="K28" i="5"/>
  <c r="K59" i="6" l="1"/>
  <c r="K52" i="1"/>
  <c r="K62" i="1" s="1"/>
  <c r="K53" i="5"/>
  <c r="K52" i="5"/>
  <c r="K53" i="6"/>
  <c r="K52" i="6"/>
  <c r="C114" i="3"/>
  <c r="K59" i="5"/>
  <c r="K59" i="1"/>
  <c r="K61" i="1" l="1"/>
  <c r="K64" i="1" s="1"/>
  <c r="K67" i="1" s="1"/>
  <c r="K69" i="1" s="1"/>
  <c r="K55" i="6"/>
  <c r="K55" i="1"/>
  <c r="K62" i="6"/>
  <c r="K61" i="6"/>
  <c r="F114" i="3"/>
  <c r="B115" i="3" s="1"/>
  <c r="K62" i="5"/>
  <c r="K61" i="5"/>
  <c r="K55" i="5"/>
  <c r="D115" i="3" l="1"/>
  <c r="K64" i="6"/>
  <c r="K67" i="6" s="1"/>
  <c r="K69" i="6" s="1"/>
  <c r="K64" i="5"/>
  <c r="K67" i="5" s="1"/>
  <c r="K69" i="5" s="1"/>
  <c r="C115" i="3" l="1"/>
  <c r="F115" i="3" l="1"/>
  <c r="B116" i="3" s="1"/>
  <c r="D116" i="3" l="1"/>
  <c r="C116" i="3" l="1"/>
  <c r="F116" i="3" l="1"/>
  <c r="B117" i="3" s="1"/>
  <c r="D117" i="3" l="1"/>
  <c r="C117" i="3" l="1"/>
  <c r="F117" i="3" l="1"/>
  <c r="B118" i="3" s="1"/>
  <c r="D118" i="3" l="1"/>
  <c r="C118" i="3" l="1"/>
  <c r="F118" i="3" l="1"/>
  <c r="B119" i="3" s="1"/>
  <c r="D119" i="3" l="1"/>
  <c r="C119" i="3" s="1"/>
  <c r="F119" i="3" s="1"/>
  <c r="B120" i="3" s="1"/>
  <c r="D120" i="3" l="1"/>
  <c r="C120" i="3" s="1"/>
  <c r="F120" i="3" s="1"/>
  <c r="B121" i="3" s="1"/>
  <c r="D121" i="3" l="1"/>
  <c r="C121" i="3" s="1"/>
  <c r="F121" i="3"/>
  <c r="B122" i="3" s="1"/>
  <c r="D122" i="3" l="1"/>
  <c r="C122" i="3" s="1"/>
  <c r="F122" i="3" s="1"/>
  <c r="B123" i="3" s="1"/>
  <c r="D123" i="3" l="1"/>
  <c r="C123" i="3" s="1"/>
  <c r="F123" i="3" s="1"/>
  <c r="B124" i="3" s="1"/>
  <c r="D124" i="3" l="1"/>
  <c r="C124" i="3" s="1"/>
  <c r="F124" i="3" s="1"/>
  <c r="B125" i="3" s="1"/>
  <c r="D125" i="3" l="1"/>
  <c r="C125" i="3" l="1"/>
  <c r="D126" i="3"/>
  <c r="C126" i="3" l="1"/>
  <c r="F125" i="3"/>
  <c r="L23" i="6"/>
  <c r="L26" i="6" s="1"/>
  <c r="L23" i="5"/>
  <c r="L26" i="5" s="1"/>
  <c r="L23" i="1"/>
  <c r="L26" i="1" s="1"/>
  <c r="L27" i="1" l="1"/>
  <c r="L45" i="1" s="1"/>
  <c r="L27" i="5"/>
  <c r="L45" i="5" s="1"/>
  <c r="L27" i="6"/>
  <c r="L45" i="6" s="1"/>
  <c r="L47" i="6"/>
  <c r="L47" i="5"/>
  <c r="B128" i="3"/>
  <c r="L47" i="1"/>
  <c r="L28" i="6" l="1"/>
  <c r="L52" i="6" s="1"/>
  <c r="L28" i="5"/>
  <c r="L52" i="5" s="1"/>
  <c r="D128" i="3"/>
  <c r="L58" i="5"/>
  <c r="L57" i="5"/>
  <c r="L58" i="6"/>
  <c r="L57" i="6"/>
  <c r="L57" i="1"/>
  <c r="L58" i="1"/>
  <c r="L28" i="1"/>
  <c r="L53" i="5" l="1"/>
  <c r="L55" i="5" s="1"/>
  <c r="L53" i="6"/>
  <c r="L55" i="6" s="1"/>
  <c r="L53" i="1"/>
  <c r="L52" i="1"/>
  <c r="L62" i="5"/>
  <c r="L62" i="6"/>
  <c r="L59" i="5"/>
  <c r="L59" i="6"/>
  <c r="C128" i="3"/>
  <c r="L59" i="1"/>
  <c r="L61" i="6"/>
  <c r="L61" i="5"/>
  <c r="L55" i="1" l="1"/>
  <c r="L64" i="5"/>
  <c r="L67" i="5" s="1"/>
  <c r="L69" i="5" s="1"/>
  <c r="L64" i="6"/>
  <c r="L67" i="6" s="1"/>
  <c r="L69" i="6" s="1"/>
  <c r="F128" i="3"/>
  <c r="B129" i="3" s="1"/>
  <c r="L62" i="1"/>
  <c r="L61" i="1"/>
  <c r="L64" i="1" l="1"/>
  <c r="L67" i="1" s="1"/>
  <c r="L69" i="1" s="1"/>
  <c r="D129" i="3"/>
  <c r="C129" i="3" l="1"/>
  <c r="F129" i="3" l="1"/>
  <c r="B130" i="3" s="1"/>
  <c r="D130" i="3" l="1"/>
  <c r="C130" i="3" l="1"/>
  <c r="F130" i="3" l="1"/>
  <c r="B131" i="3" s="1"/>
  <c r="D131" i="3" l="1"/>
  <c r="C131" i="3" l="1"/>
  <c r="F131" i="3" l="1"/>
  <c r="B132" i="3" s="1"/>
  <c r="D132" i="3" l="1"/>
  <c r="C132" i="3" l="1"/>
  <c r="F132" i="3" l="1"/>
  <c r="B133" i="3" s="1"/>
  <c r="D133" i="3" l="1"/>
  <c r="C133" i="3" s="1"/>
  <c r="F133" i="3" s="1"/>
  <c r="B134" i="3" s="1"/>
  <c r="D134" i="3" l="1"/>
  <c r="C134" i="3" s="1"/>
  <c r="F134" i="3" s="1"/>
  <c r="B135" i="3" s="1"/>
  <c r="D135" i="3" l="1"/>
  <c r="C135" i="3" s="1"/>
  <c r="F135" i="3" s="1"/>
  <c r="B136" i="3" s="1"/>
  <c r="D136" i="3" l="1"/>
  <c r="C136" i="3" s="1"/>
  <c r="F136" i="3" s="1"/>
  <c r="B137" i="3" s="1"/>
  <c r="D137" i="3" l="1"/>
  <c r="C137" i="3" s="1"/>
  <c r="F137" i="3" s="1"/>
  <c r="B138" i="3" s="1"/>
  <c r="D138" i="3" l="1"/>
  <c r="C138" i="3" s="1"/>
  <c r="F138" i="3" s="1"/>
  <c r="B139" i="3" s="1"/>
  <c r="D139" i="3" l="1"/>
  <c r="C139" i="3" l="1"/>
  <c r="D140" i="3"/>
  <c r="C140" i="3" l="1"/>
  <c r="F139" i="3"/>
  <c r="M23" i="6"/>
  <c r="M26" i="6" s="1"/>
  <c r="M23" i="1"/>
  <c r="M26" i="1" s="1"/>
  <c r="M23" i="5"/>
  <c r="M26" i="5" s="1"/>
  <c r="M27" i="5" l="1"/>
  <c r="M45" i="5" s="1"/>
  <c r="M27" i="1"/>
  <c r="M45" i="1" s="1"/>
  <c r="M27" i="6"/>
  <c r="M45" i="6" s="1"/>
  <c r="M47" i="6"/>
  <c r="M47" i="5"/>
  <c r="B142" i="3"/>
  <c r="M47" i="1"/>
  <c r="M28" i="1" l="1"/>
  <c r="M52" i="1" s="1"/>
  <c r="D142" i="3"/>
  <c r="M57" i="5"/>
  <c r="M58" i="5"/>
  <c r="N47" i="5"/>
  <c r="M57" i="6"/>
  <c r="M58" i="6"/>
  <c r="N47" i="6"/>
  <c r="M57" i="1"/>
  <c r="M58" i="1"/>
  <c r="N47" i="1"/>
  <c r="Q47" i="1" s="1"/>
  <c r="M28" i="6"/>
  <c r="M28" i="5"/>
  <c r="M53" i="1" l="1"/>
  <c r="M62" i="1"/>
  <c r="N52" i="1"/>
  <c r="M59" i="6"/>
  <c r="M59" i="5"/>
  <c r="AJ47" i="1"/>
  <c r="AJ48" i="1"/>
  <c r="Q47" i="5"/>
  <c r="Q48" i="5"/>
  <c r="Q48" i="1"/>
  <c r="M55" i="1"/>
  <c r="M53" i="5"/>
  <c r="M52" i="5"/>
  <c r="M61" i="1"/>
  <c r="M53" i="6"/>
  <c r="M52" i="6"/>
  <c r="M59" i="1"/>
  <c r="C142" i="3"/>
  <c r="M55" i="6" l="1"/>
  <c r="F142" i="3"/>
  <c r="B143" i="3" s="1"/>
  <c r="M62" i="5"/>
  <c r="N52" i="5"/>
  <c r="M61" i="5"/>
  <c r="M62" i="6"/>
  <c r="N52" i="6"/>
  <c r="M61" i="6"/>
  <c r="M55" i="5"/>
  <c r="M64" i="1"/>
  <c r="M67" i="1" s="1"/>
  <c r="M69" i="1" s="1"/>
  <c r="M64" i="5" l="1"/>
  <c r="M67" i="5" s="1"/>
  <c r="M69" i="5" s="1"/>
  <c r="M64" i="6"/>
  <c r="M67" i="6" s="1"/>
  <c r="M69" i="6" s="1"/>
  <c r="D143" i="3"/>
  <c r="C143" i="3" l="1"/>
  <c r="F143" i="3" l="1"/>
  <c r="B144" i="3" s="1"/>
  <c r="D144" i="3" l="1"/>
  <c r="C144" i="3" l="1"/>
  <c r="F144" i="3" l="1"/>
  <c r="B145" i="3" s="1"/>
  <c r="D145" i="3" l="1"/>
  <c r="C145" i="3" l="1"/>
  <c r="F145" i="3" l="1"/>
  <c r="B146" i="3" s="1"/>
  <c r="D146" i="3" l="1"/>
  <c r="C146" i="3" l="1"/>
  <c r="F146" i="3" l="1"/>
  <c r="B147" i="3" s="1"/>
  <c r="D147" i="3" l="1"/>
  <c r="C147" i="3" s="1"/>
  <c r="F147" i="3" s="1"/>
  <c r="B148" i="3" s="1"/>
  <c r="D148" i="3" l="1"/>
  <c r="C148" i="3" s="1"/>
  <c r="F148" i="3" s="1"/>
  <c r="B149" i="3" s="1"/>
  <c r="D149" i="3" l="1"/>
  <c r="C149" i="3" s="1"/>
  <c r="F149" i="3" s="1"/>
  <c r="B150" i="3" s="1"/>
  <c r="D150" i="3" l="1"/>
  <c r="C150" i="3" s="1"/>
  <c r="F150" i="3"/>
  <c r="B151" i="3" s="1"/>
  <c r="D151" i="3" l="1"/>
  <c r="C151" i="3" s="1"/>
  <c r="F151" i="3"/>
  <c r="B152" i="3" s="1"/>
  <c r="D152" i="3" l="1"/>
  <c r="C152" i="3" s="1"/>
  <c r="F152" i="3"/>
  <c r="B153" i="3" s="1"/>
  <c r="D153" i="3" l="1"/>
  <c r="C153" i="3" l="1"/>
  <c r="D154" i="3"/>
  <c r="C154" i="3" l="1"/>
  <c r="F153" i="3"/>
</calcChain>
</file>

<file path=xl/sharedStrings.xml><?xml version="1.0" encoding="utf-8"?>
<sst xmlns="http://schemas.openxmlformats.org/spreadsheetml/2006/main" count="454" uniqueCount="192">
  <si>
    <t>The Birch North Park Theature</t>
  </si>
  <si>
    <t>INCOME STATEMENT</t>
  </si>
  <si>
    <t>Revenue</t>
  </si>
  <si>
    <t>Rehersal rent revenue</t>
  </si>
  <si>
    <t>Fixed Ticket revenue</t>
  </si>
  <si>
    <t>Rentout revenue</t>
  </si>
  <si>
    <t>Equipment rental revenue</t>
  </si>
  <si>
    <t>Operating Expenses</t>
  </si>
  <si>
    <t>Technical Expense (Light &amp; Sound)</t>
  </si>
  <si>
    <t>General Main &amp; Admin</t>
  </si>
  <si>
    <t>Technical equipment expense</t>
  </si>
  <si>
    <t>Utilites</t>
  </si>
  <si>
    <t>Total Operating Expense</t>
  </si>
  <si>
    <t>Mortgage Interest Expense</t>
  </si>
  <si>
    <t>Taxable Income</t>
  </si>
  <si>
    <t>Income Tax</t>
  </si>
  <si>
    <t>Net Income</t>
  </si>
  <si>
    <t>BALANCE SHEET</t>
  </si>
  <si>
    <t>Assets</t>
  </si>
  <si>
    <t>Minimum Cash</t>
  </si>
  <si>
    <t>Extra Cash</t>
  </si>
  <si>
    <t>Accounts Receivable</t>
  </si>
  <si>
    <t>Building</t>
  </si>
  <si>
    <t>Total Assets</t>
  </si>
  <si>
    <t>Liabilities</t>
  </si>
  <si>
    <t>Accounts Payable</t>
  </si>
  <si>
    <t>Income Tax Payable</t>
  </si>
  <si>
    <t>Mortgage Loan</t>
  </si>
  <si>
    <t>Extra Bank Loan</t>
  </si>
  <si>
    <t>Equity</t>
  </si>
  <si>
    <t>Common Stock</t>
  </si>
  <si>
    <t>Retained Earnings</t>
  </si>
  <si>
    <t>Less: Dividends</t>
  </si>
  <si>
    <t>Total Liab and Equity</t>
  </si>
  <si>
    <t>Assumptions</t>
  </si>
  <si>
    <t>Increase/Decrease</t>
  </si>
  <si>
    <t>Building Price</t>
  </si>
  <si>
    <t>Ticket Prices</t>
  </si>
  <si>
    <t>Year Built:</t>
  </si>
  <si>
    <t>Section A, 300</t>
  </si>
  <si>
    <t>Land Area:</t>
  </si>
  <si>
    <t>acres</t>
  </si>
  <si>
    <t>Seciton B, 232</t>
  </si>
  <si>
    <t>Renovation completed:</t>
  </si>
  <si>
    <t>Section C, 102</t>
  </si>
  <si>
    <t>Seating:</t>
  </si>
  <si>
    <t>seats</t>
  </si>
  <si>
    <t>Section D, 68</t>
  </si>
  <si>
    <t>Rentout Rev</t>
  </si>
  <si>
    <t>Tenants:</t>
  </si>
  <si>
    <t>Percent of building used</t>
  </si>
  <si>
    <t>Tickets Sold</t>
  </si>
  <si>
    <t>Occupancy:</t>
  </si>
  <si>
    <t>West Coast Tavern</t>
  </si>
  <si>
    <t>square feet</t>
  </si>
  <si>
    <t>Section A</t>
  </si>
  <si>
    <t>Starbucks Coffee</t>
  </si>
  <si>
    <t>Seciton B</t>
  </si>
  <si>
    <t>Lyric Opera San Diego</t>
  </si>
  <si>
    <t>Section C</t>
  </si>
  <si>
    <t>Bldg Sq. Ft. (Rentable):</t>
  </si>
  <si>
    <t>Section D</t>
  </si>
  <si>
    <t>TOTALS</t>
  </si>
  <si>
    <t>Stage Equipment for Rental:</t>
  </si>
  <si>
    <t>Rental price</t>
  </si>
  <si>
    <t>Part of Inventory</t>
  </si>
  <si>
    <t>Fixed from Ticket Sales</t>
  </si>
  <si>
    <t>25 music stands</t>
  </si>
  <si>
    <t>27 music stand clip lights</t>
  </si>
  <si>
    <t>MDF Atmosphere hazer w/DMX interface</t>
  </si>
  <si>
    <t>Ladders:</t>
  </si>
  <si>
    <t>1 – 20′</t>
  </si>
  <si>
    <t>1 – 16′</t>
  </si>
  <si>
    <t>1 – 12′</t>
  </si>
  <si>
    <t>1 – 6′</t>
  </si>
  <si>
    <t>Rehearsal rooms:</t>
  </si>
  <si>
    <t>#1 Simon Rehearsal Hall
(25-30 occupancy)</t>
  </si>
  <si>
    <t>3 hour minimum</t>
  </si>
  <si>
    <t>each additional hour</t>
  </si>
  <si>
    <t>#2 Goodman Rehearsal Hall
(10-20 occupancy)</t>
  </si>
  <si>
    <t>Average additional hour price</t>
  </si>
  <si>
    <t>Occupancy</t>
  </si>
  <si>
    <t>No of Shows per month</t>
  </si>
  <si>
    <t>rehersals</t>
  </si>
  <si>
    <t>No of rehersals per month in Simon RH</t>
  </si>
  <si>
    <t>No of rehersals per month in goodman RH</t>
  </si>
  <si>
    <t>Extra rehersal hours</t>
  </si>
  <si>
    <t>hours</t>
  </si>
  <si>
    <t>Light &amp; Sound Crew Amount</t>
  </si>
  <si>
    <t>Show Hours</t>
  </si>
  <si>
    <t>Technical Equipment Expenses</t>
  </si>
  <si>
    <t>Light and Sound (Pay Rate)</t>
  </si>
  <si>
    <t>Light and Sound Exp per month</t>
  </si>
  <si>
    <t>Tax Rate</t>
  </si>
  <si>
    <t>Building cost</t>
  </si>
  <si>
    <t>price per square foot</t>
  </si>
  <si>
    <t>Depreciation Exp</t>
  </si>
  <si>
    <t>accounts reivable turnover</t>
  </si>
  <si>
    <t>accounts payable turnover</t>
  </si>
  <si>
    <t>percent of divends from income</t>
  </si>
  <si>
    <t>Beg Balance</t>
  </si>
  <si>
    <t>Principle</t>
  </si>
  <si>
    <t>Interest</t>
  </si>
  <si>
    <t>Payment</t>
  </si>
  <si>
    <t>End Balance</t>
  </si>
  <si>
    <t>Rate</t>
  </si>
  <si>
    <t>Perrate</t>
  </si>
  <si>
    <t>FV</t>
  </si>
  <si>
    <t xml:space="preserve">Per </t>
  </si>
  <si>
    <t>Type</t>
  </si>
  <si>
    <t>PV</t>
  </si>
  <si>
    <t>Interest Rate</t>
  </si>
  <si>
    <t>Increase in reheral rent revenue</t>
  </si>
  <si>
    <t>Insurance Expense</t>
  </si>
  <si>
    <t>Equipment</t>
  </si>
  <si>
    <t>Depreciation - Building</t>
  </si>
  <si>
    <t>Depreciation - Equipment</t>
  </si>
  <si>
    <t>Accumulated Depreciation - Building</t>
  </si>
  <si>
    <t>Accumulated Depreciation - Equipment</t>
  </si>
  <si>
    <t>Equipment cost</t>
  </si>
  <si>
    <t>Lights &amp; Sounds system</t>
  </si>
  <si>
    <t>Utilities</t>
  </si>
  <si>
    <t>Land</t>
  </si>
  <si>
    <t>All Revenue increase by 3% per year due to inflation</t>
  </si>
  <si>
    <t>Land Cost</t>
  </si>
  <si>
    <t>Price per sqaure foot</t>
  </si>
  <si>
    <t>Proportion</t>
  </si>
  <si>
    <t>Blended</t>
  </si>
  <si>
    <t>DEBT PROPORTION</t>
  </si>
  <si>
    <t>EQUITY PROPORTION</t>
  </si>
  <si>
    <t>Bank Loan Interest Expense</t>
  </si>
  <si>
    <t>interest rate</t>
  </si>
  <si>
    <t>Total Operating Income</t>
  </si>
  <si>
    <t>Total Revenue</t>
  </si>
  <si>
    <t>tax rate</t>
  </si>
  <si>
    <t>FCF</t>
  </si>
  <si>
    <t>Cash from Operations</t>
  </si>
  <si>
    <t>Operating Income</t>
  </si>
  <si>
    <t>Less: Depreciation</t>
  </si>
  <si>
    <t>Taxable Operating Income</t>
  </si>
  <si>
    <t>Taxes on OPERATIONS ONLY (=Taxes Payable on Op Only)</t>
  </si>
  <si>
    <t>Net Operating Income</t>
  </si>
  <si>
    <t>Add Back: Depreciation</t>
  </si>
  <si>
    <t>Cash In/Out from Capital Expenditures</t>
  </si>
  <si>
    <t>Bought Buildings</t>
  </si>
  <si>
    <t>Sell Buildings</t>
  </si>
  <si>
    <t>Tax on Sale of Buildings</t>
  </si>
  <si>
    <t>Sell for %</t>
  </si>
  <si>
    <t>Cash In/Out From Changes in Working Capital</t>
  </si>
  <si>
    <t>-</t>
  </si>
  <si>
    <t>Inventory</t>
  </si>
  <si>
    <t>+</t>
  </si>
  <si>
    <t>Income Tax Payable (OPERATIONS ONLY)</t>
  </si>
  <si>
    <t>Cash In/Out from Liquidating Working Capital</t>
  </si>
  <si>
    <t>TOTAL FREE CASH FLOWS</t>
  </si>
  <si>
    <t>IRR</t>
  </si>
  <si>
    <t>PV OF FCF</t>
  </si>
  <si>
    <t>NPV OF FCF</t>
  </si>
  <si>
    <t>WACC</t>
  </si>
  <si>
    <t>Average</t>
  </si>
  <si>
    <t>Bought Equipment</t>
  </si>
  <si>
    <t>Sell Equipment</t>
  </si>
  <si>
    <t>Tax on Sale of Equipment</t>
  </si>
  <si>
    <t>Book Value of Building</t>
  </si>
  <si>
    <t>Gain on Sale of Building</t>
  </si>
  <si>
    <t>Book Value of Equipment</t>
  </si>
  <si>
    <t>Gain on Sale of Equipment</t>
  </si>
  <si>
    <t>Wacc</t>
  </si>
  <si>
    <t>Unleaved Beta</t>
  </si>
  <si>
    <t>Current Equity</t>
  </si>
  <si>
    <t>S&amp;P</t>
  </si>
  <si>
    <t>Tbills</t>
  </si>
  <si>
    <t>CAPM Cost of Equity</t>
  </si>
  <si>
    <t>Blended Rate</t>
  </si>
  <si>
    <t>Average Market Total FCF:</t>
  </si>
  <si>
    <t>TOTAL Average MARKET FCF</t>
  </si>
  <si>
    <t>Pv of each year</t>
  </si>
  <si>
    <t>Npv</t>
  </si>
  <si>
    <t>Strong Market Total FCF:</t>
  </si>
  <si>
    <t>TOTAL Strong MARKET FCF</t>
  </si>
  <si>
    <t>Changing the tax rate</t>
  </si>
  <si>
    <t>Assumption Change the Revenue</t>
  </si>
  <si>
    <t>Assumption expenses</t>
  </si>
  <si>
    <t>Standard devation Statisocs</t>
  </si>
  <si>
    <t>Option</t>
  </si>
  <si>
    <t>Sum</t>
  </si>
  <si>
    <t>Expected Value of whole project</t>
  </si>
  <si>
    <t>Mortagae Loan Proportion</t>
  </si>
  <si>
    <t>Extra Bank Loan Propotion</t>
  </si>
  <si>
    <t>Current Debt</t>
  </si>
  <si>
    <t>Relevered Beta</t>
  </si>
  <si>
    <t>yearly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</si>
</sst>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&quot;$&quot;#,##0.0_);[Red]\(&quot;$&quot;#,##0.0\)"/>
    <numFmt numFmtId="168" formatCode="_(* #,##0_);_(* \(#,##0\);_(* &quot;-&quot;??_);_(@_)"/>
    <numFmt numFmtId="169" formatCode="_(\$* #,##0_);_(\$* \(#,##0\);_(\$* \-??_);_(@_)"/>
    <numFmt numFmtId="170" formatCode="0.0%"/>
  </numFmts>
  <fonts count="24" x14ac:knownFonts="1">
    <font>
      <sz val="10"/>
      <color rgb="FF000000"/>
      <name val="Arial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.5"/>
      <color indexed="10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  <charset val="1"/>
    </font>
    <font>
      <i/>
      <sz val="12"/>
      <color indexed="8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b/>
      <i/>
      <u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9" fontId="7" fillId="0" borderId="0" applyFont="0" applyFill="0" applyBorder="0" applyAlignment="0" applyProtection="0"/>
  </cellStyleXfs>
  <cellXfs count="178"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0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0" fontId="0" fillId="2" borderId="0" xfId="0" applyFill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wrapText="1"/>
    </xf>
    <xf numFmtId="165" fontId="0" fillId="0" borderId="0" xfId="0" applyNumberFormat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/>
    <xf numFmtId="17" fontId="0" fillId="0" borderId="0" xfId="0" applyNumberFormat="1"/>
    <xf numFmtId="0" fontId="8" fillId="0" borderId="0" xfId="0" applyFont="1"/>
    <xf numFmtId="44" fontId="8" fillId="0" borderId="0" xfId="0" applyNumberFormat="1" applyFont="1"/>
    <xf numFmtId="166" fontId="0" fillId="0" borderId="0" xfId="2" applyNumberFormat="1" applyFont="1"/>
    <xf numFmtId="166" fontId="0" fillId="0" borderId="0" xfId="0" applyNumberFormat="1"/>
    <xf numFmtId="166" fontId="8" fillId="0" borderId="0" xfId="2" applyNumberFormat="1" applyFont="1"/>
    <xf numFmtId="166" fontId="8" fillId="0" borderId="0" xfId="0" applyNumberFormat="1" applyFont="1"/>
    <xf numFmtId="166" fontId="0" fillId="0" borderId="0" xfId="2" applyNumberFormat="1" applyFont="1" applyAlignment="1">
      <alignment wrapText="1"/>
    </xf>
    <xf numFmtId="9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68" fontId="0" fillId="0" borderId="0" xfId="1" applyNumberFormat="1" applyFont="1" applyAlignment="1">
      <alignment wrapText="1"/>
    </xf>
    <xf numFmtId="0" fontId="0" fillId="0" borderId="0" xfId="0" applyAlignment="1">
      <alignment horizontal="centerContinuous" wrapText="1"/>
    </xf>
    <xf numFmtId="10" fontId="0" fillId="0" borderId="0" xfId="4" applyNumberFormat="1" applyFont="1" applyAlignment="1">
      <alignment wrapText="1"/>
    </xf>
    <xf numFmtId="169" fontId="12" fillId="0" borderId="0" xfId="2" applyNumberFormat="1" applyFont="1" applyFill="1" applyBorder="1" applyAlignment="1" applyProtection="1"/>
    <xf numFmtId="170" fontId="0" fillId="0" borderId="0" xfId="4" applyNumberFormat="1" applyFont="1" applyAlignment="1">
      <alignment wrapText="1"/>
    </xf>
    <xf numFmtId="0" fontId="18" fillId="0" borderId="0" xfId="0" applyFont="1" applyAlignment="1">
      <alignment wrapText="1"/>
    </xf>
    <xf numFmtId="169" fontId="19" fillId="0" borderId="0" xfId="2" applyNumberFormat="1" applyFont="1" applyFill="1" applyBorder="1" applyAlignment="1" applyProtection="1"/>
    <xf numFmtId="0" fontId="1" fillId="0" borderId="0" xfId="0" applyFont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9" fontId="0" fillId="0" borderId="0" xfId="4" applyFont="1" applyFill="1" applyBorder="1" applyAlignment="1">
      <alignment wrapText="1"/>
    </xf>
    <xf numFmtId="170" fontId="0" fillId="0" borderId="0" xfId="4" applyNumberFormat="1" applyFont="1" applyFill="1" applyBorder="1" applyAlignment="1">
      <alignment wrapText="1"/>
    </xf>
    <xf numFmtId="2" fontId="12" fillId="0" borderId="0" xfId="3" applyNumberFormat="1"/>
    <xf numFmtId="10" fontId="7" fillId="0" borderId="0" xfId="4" applyNumberFormat="1" applyFill="1" applyBorder="1"/>
    <xf numFmtId="170" fontId="7" fillId="0" borderId="0" xfId="4" applyNumberFormat="1" applyFill="1" applyBorder="1"/>
    <xf numFmtId="0" fontId="9" fillId="0" borderId="0" xfId="0" applyFont="1" applyAlignment="1">
      <alignment horizontal="centerContinuous" wrapText="1"/>
    </xf>
    <xf numFmtId="166" fontId="0" fillId="0" borderId="0" xfId="2" applyNumberFormat="1" applyFont="1" applyFill="1" applyAlignment="1">
      <alignment wrapText="1"/>
    </xf>
    <xf numFmtId="166" fontId="0" fillId="0" borderId="2" xfId="2" applyNumberFormat="1" applyFont="1" applyFill="1" applyBorder="1" applyAlignment="1">
      <alignment wrapText="1"/>
    </xf>
    <xf numFmtId="166" fontId="0" fillId="0" borderId="3" xfId="2" applyNumberFormat="1" applyFont="1" applyFill="1" applyBorder="1" applyAlignment="1">
      <alignment wrapText="1"/>
    </xf>
    <xf numFmtId="0" fontId="17" fillId="0" borderId="0" xfId="0" applyFont="1" applyAlignment="1">
      <alignment vertical="center" wrapText="1"/>
    </xf>
    <xf numFmtId="170" fontId="0" fillId="0" borderId="0" xfId="0" applyNumberFormat="1" applyAlignment="1">
      <alignment wrapText="1"/>
    </xf>
    <xf numFmtId="166" fontId="0" fillId="0" borderId="1" xfId="2" applyNumberFormat="1" applyFont="1" applyFill="1" applyBorder="1" applyAlignment="1">
      <alignment wrapText="1"/>
    </xf>
    <xf numFmtId="0" fontId="12" fillId="0" borderId="0" xfId="3"/>
    <xf numFmtId="9" fontId="12" fillId="0" borderId="0" xfId="3" applyNumberFormat="1"/>
    <xf numFmtId="166" fontId="0" fillId="0" borderId="0" xfId="0" applyNumberFormat="1" applyAlignment="1">
      <alignment wrapText="1"/>
    </xf>
    <xf numFmtId="10" fontId="12" fillId="0" borderId="0" xfId="3" applyNumberFormat="1"/>
    <xf numFmtId="0" fontId="13" fillId="0" borderId="0" xfId="3" applyFont="1"/>
    <xf numFmtId="0" fontId="12" fillId="0" borderId="0" xfId="3" applyAlignment="1">
      <alignment horizontal="center"/>
    </xf>
    <xf numFmtId="169" fontId="12" fillId="0" borderId="0" xfId="3" applyNumberFormat="1"/>
    <xf numFmtId="169" fontId="0" fillId="0" borderId="0" xfId="0" applyNumberFormat="1" applyAlignment="1">
      <alignment wrapText="1"/>
    </xf>
    <xf numFmtId="168" fontId="7" fillId="0" borderId="0" xfId="1" applyNumberFormat="1" applyFont="1" applyFill="1" applyAlignment="1">
      <alignment wrapText="1"/>
    </xf>
    <xf numFmtId="0" fontId="22" fillId="0" borderId="0" xfId="0" applyFont="1" applyAlignment="1">
      <alignment wrapText="1"/>
    </xf>
    <xf numFmtId="1" fontId="0" fillId="0" borderId="0" xfId="0" applyNumberFormat="1" applyAlignment="1">
      <alignment wrapText="1"/>
    </xf>
    <xf numFmtId="9" fontId="0" fillId="0" borderId="0" xfId="4" applyFont="1" applyFill="1" applyAlignment="1">
      <alignment wrapText="1"/>
    </xf>
    <xf numFmtId="44" fontId="0" fillId="0" borderId="0" xfId="2" applyFont="1" applyFill="1" applyAlignment="1">
      <alignment wrapText="1"/>
    </xf>
    <xf numFmtId="0" fontId="7" fillId="0" borderId="4" xfId="0" applyFont="1" applyBorder="1" applyAlignment="1">
      <alignment wrapText="1"/>
    </xf>
    <xf numFmtId="168" fontId="7" fillId="0" borderId="5" xfId="1" applyNumberFormat="1" applyFont="1" applyFill="1" applyBorder="1" applyAlignment="1">
      <alignment wrapText="1"/>
    </xf>
    <xf numFmtId="8" fontId="0" fillId="0" borderId="0" xfId="0" applyNumberFormat="1" applyAlignment="1">
      <alignment wrapText="1"/>
    </xf>
    <xf numFmtId="166" fontId="12" fillId="0" borderId="0" xfId="2" applyNumberFormat="1" applyFont="1" applyFill="1"/>
    <xf numFmtId="0" fontId="13" fillId="0" borderId="6" xfId="3" applyFont="1" applyBorder="1"/>
    <xf numFmtId="0" fontId="12" fillId="0" borderId="7" xfId="3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2" fillId="0" borderId="9" xfId="3" applyBorder="1"/>
    <xf numFmtId="0" fontId="0" fillId="0" borderId="10" xfId="0" applyBorder="1" applyAlignment="1">
      <alignment wrapText="1"/>
    </xf>
    <xf numFmtId="0" fontId="13" fillId="0" borderId="9" xfId="3" applyFont="1" applyBorder="1"/>
    <xf numFmtId="169" fontId="14" fillId="0" borderId="0" xfId="3" applyNumberFormat="1" applyFont="1"/>
    <xf numFmtId="169" fontId="13" fillId="0" borderId="0" xfId="3" applyNumberFormat="1" applyFont="1"/>
    <xf numFmtId="169" fontId="7" fillId="0" borderId="0" xfId="2" applyNumberFormat="1" applyFill="1" applyBorder="1"/>
    <xf numFmtId="166" fontId="0" fillId="0" borderId="10" xfId="2" applyNumberFormat="1" applyFont="1" applyFill="1" applyBorder="1" applyAlignment="1">
      <alignment wrapText="1"/>
    </xf>
    <xf numFmtId="0" fontId="12" fillId="0" borderId="9" xfId="3" quotePrefix="1" applyBorder="1"/>
    <xf numFmtId="0" fontId="15" fillId="0" borderId="0" xfId="3" applyFont="1"/>
    <xf numFmtId="0" fontId="19" fillId="0" borderId="0" xfId="3" applyFont="1"/>
    <xf numFmtId="10" fontId="13" fillId="0" borderId="0" xfId="3" applyNumberFormat="1" applyFont="1"/>
    <xf numFmtId="0" fontId="13" fillId="0" borderId="11" xfId="3" applyFont="1" applyBorder="1"/>
    <xf numFmtId="0" fontId="13" fillId="0" borderId="12" xfId="3" applyFont="1" applyBorder="1"/>
    <xf numFmtId="10" fontId="13" fillId="0" borderId="12" xfId="3" applyNumberFormat="1" applyFont="1" applyBorder="1"/>
    <xf numFmtId="0" fontId="12" fillId="0" borderId="12" xfId="3" applyBorder="1"/>
    <xf numFmtId="0" fontId="0" fillId="0" borderId="12" xfId="0" applyBorder="1" applyAlignment="1">
      <alignment wrapText="1"/>
    </xf>
    <xf numFmtId="0" fontId="12" fillId="0" borderId="6" xfId="3" applyBorder="1"/>
    <xf numFmtId="0" fontId="12" fillId="0" borderId="7" xfId="3" applyBorder="1" applyAlignment="1">
      <alignment horizontal="center"/>
    </xf>
    <xf numFmtId="0" fontId="12" fillId="0" borderId="8" xfId="3" applyBorder="1" applyAlignment="1">
      <alignment horizontal="center"/>
    </xf>
    <xf numFmtId="169" fontId="12" fillId="0" borderId="10" xfId="3" applyNumberFormat="1" applyBorder="1"/>
    <xf numFmtId="169" fontId="14" fillId="0" borderId="10" xfId="3" applyNumberFormat="1" applyFont="1" applyBorder="1"/>
    <xf numFmtId="169" fontId="0" fillId="0" borderId="10" xfId="0" applyNumberFormat="1" applyBorder="1" applyAlignment="1">
      <alignment wrapText="1"/>
    </xf>
    <xf numFmtId="169" fontId="7" fillId="0" borderId="10" xfId="2" applyNumberFormat="1" applyFill="1" applyBorder="1"/>
    <xf numFmtId="0" fontId="0" fillId="0" borderId="13" xfId="0" applyBorder="1" applyAlignment="1">
      <alignment wrapText="1"/>
    </xf>
    <xf numFmtId="0" fontId="16" fillId="0" borderId="12" xfId="3" applyFont="1" applyBorder="1"/>
    <xf numFmtId="169" fontId="12" fillId="0" borderId="13" xfId="3" applyNumberFormat="1" applyBorder="1"/>
    <xf numFmtId="0" fontId="12" fillId="0" borderId="1" xfId="3" applyBorder="1"/>
    <xf numFmtId="170" fontId="12" fillId="0" borderId="1" xfId="3" applyNumberFormat="1" applyBorder="1"/>
    <xf numFmtId="0" fontId="12" fillId="0" borderId="2" xfId="3" applyBorder="1"/>
    <xf numFmtId="169" fontId="13" fillId="0" borderId="2" xfId="3" applyNumberFormat="1" applyFont="1" applyBorder="1"/>
    <xf numFmtId="169" fontId="7" fillId="0" borderId="2" xfId="2" applyNumberFormat="1" applyFill="1" applyBorder="1"/>
    <xf numFmtId="0" fontId="16" fillId="0" borderId="2" xfId="3" applyFont="1" applyBorder="1"/>
    <xf numFmtId="169" fontId="12" fillId="0" borderId="2" xfId="3" applyNumberFormat="1" applyBorder="1"/>
    <xf numFmtId="0" fontId="13" fillId="0" borderId="14" xfId="3" applyFont="1" applyBorder="1"/>
    <xf numFmtId="0" fontId="0" fillId="0" borderId="15" xfId="0" applyBorder="1" applyAlignment="1">
      <alignment wrapText="1"/>
    </xf>
    <xf numFmtId="0" fontId="12" fillId="0" borderId="16" xfId="3" applyBorder="1"/>
    <xf numFmtId="169" fontId="13" fillId="0" borderId="17" xfId="3" applyNumberFormat="1" applyFont="1" applyBorder="1"/>
    <xf numFmtId="169" fontId="7" fillId="0" borderId="17" xfId="2" applyNumberFormat="1" applyFill="1" applyBorder="1"/>
    <xf numFmtId="0" fontId="12" fillId="0" borderId="16" xfId="3" quotePrefix="1" applyBorder="1"/>
    <xf numFmtId="169" fontId="12" fillId="0" borderId="17" xfId="3" applyNumberFormat="1" applyBorder="1"/>
    <xf numFmtId="0" fontId="13" fillId="0" borderId="16" xfId="3" applyFont="1" applyBorder="1"/>
    <xf numFmtId="0" fontId="0" fillId="0" borderId="6" xfId="0" applyBorder="1" applyAlignment="1">
      <alignment wrapText="1"/>
    </xf>
    <xf numFmtId="168" fontId="7" fillId="0" borderId="7" xfId="1" applyNumberFormat="1" applyFont="1" applyFill="1" applyBorder="1" applyAlignment="1">
      <alignment wrapText="1"/>
    </xf>
    <xf numFmtId="168" fontId="7" fillId="0" borderId="8" xfId="1" applyNumberFormat="1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20" fillId="0" borderId="0" xfId="0" applyFont="1" applyAlignment="1">
      <alignment vertical="center" wrapText="1"/>
    </xf>
    <xf numFmtId="168" fontId="7" fillId="0" borderId="0" xfId="1" applyNumberFormat="1" applyFont="1" applyFill="1" applyBorder="1" applyAlignment="1">
      <alignment wrapText="1"/>
    </xf>
    <xf numFmtId="168" fontId="7" fillId="0" borderId="10" xfId="1" applyNumberFormat="1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43" fontId="7" fillId="0" borderId="10" xfId="1" applyFont="1" applyFill="1" applyBorder="1" applyAlignment="1">
      <alignment wrapText="1"/>
    </xf>
    <xf numFmtId="168" fontId="7" fillId="0" borderId="0" xfId="1" applyNumberFormat="1" applyFont="1" applyFill="1" applyBorder="1" applyAlignment="1">
      <alignment vertical="center" wrapText="1"/>
    </xf>
    <xf numFmtId="168" fontId="7" fillId="0" borderId="10" xfId="1" applyNumberFormat="1" applyFont="1" applyFill="1" applyBorder="1" applyAlignment="1">
      <alignment vertical="center" wrapText="1"/>
    </xf>
    <xf numFmtId="9" fontId="7" fillId="0" borderId="0" xfId="4" applyFont="1" applyFill="1" applyBorder="1" applyAlignment="1">
      <alignment wrapText="1"/>
    </xf>
    <xf numFmtId="9" fontId="7" fillId="0" borderId="10" xfId="4" applyFont="1" applyFill="1" applyBorder="1" applyAlignment="1">
      <alignment wrapText="1"/>
    </xf>
    <xf numFmtId="0" fontId="0" fillId="0" borderId="11" xfId="0" applyBorder="1" applyAlignment="1">
      <alignment wrapText="1"/>
    </xf>
    <xf numFmtId="168" fontId="7" fillId="0" borderId="12" xfId="1" applyNumberFormat="1" applyFont="1" applyFill="1" applyBorder="1" applyAlignment="1">
      <alignment wrapText="1"/>
    </xf>
    <xf numFmtId="168" fontId="7" fillId="0" borderId="13" xfId="1" applyNumberFormat="1" applyFont="1" applyFill="1" applyBorder="1" applyAlignment="1">
      <alignment wrapText="1"/>
    </xf>
    <xf numFmtId="0" fontId="0" fillId="0" borderId="18" xfId="0" applyBorder="1" applyAlignment="1">
      <alignment wrapText="1"/>
    </xf>
    <xf numFmtId="1" fontId="7" fillId="0" borderId="19" xfId="1" applyNumberFormat="1" applyFont="1" applyFill="1" applyBorder="1" applyAlignment="1">
      <alignment wrapText="1"/>
    </xf>
    <xf numFmtId="168" fontId="7" fillId="0" borderId="19" xfId="1" applyNumberFormat="1" applyFont="1" applyFill="1" applyBorder="1" applyAlignment="1">
      <alignment wrapText="1"/>
    </xf>
    <xf numFmtId="0" fontId="0" fillId="0" borderId="19" xfId="0" applyBorder="1" applyAlignment="1">
      <alignment wrapText="1"/>
    </xf>
    <xf numFmtId="168" fontId="7" fillId="0" borderId="20" xfId="1" applyNumberFormat="1" applyFont="1" applyFill="1" applyBorder="1" applyAlignment="1">
      <alignment wrapText="1"/>
    </xf>
    <xf numFmtId="0" fontId="23" fillId="0" borderId="19" xfId="0" applyFont="1" applyBorder="1" applyAlignment="1">
      <alignment vertical="center" wrapText="1"/>
    </xf>
    <xf numFmtId="169" fontId="14" fillId="0" borderId="2" xfId="3" applyNumberFormat="1" applyFont="1" applyBorder="1"/>
    <xf numFmtId="169" fontId="14" fillId="0" borderId="17" xfId="3" applyNumberFormat="1" applyFont="1" applyBorder="1"/>
    <xf numFmtId="0" fontId="2" fillId="0" borderId="0" xfId="0" applyFont="1" applyAlignment="1">
      <alignment wrapText="1"/>
    </xf>
    <xf numFmtId="166" fontId="0" fillId="0" borderId="17" xfId="2" applyNumberFormat="1" applyFont="1" applyFill="1" applyBorder="1" applyAlignment="1">
      <alignment wrapText="1"/>
    </xf>
    <xf numFmtId="166" fontId="0" fillId="0" borderId="21" xfId="2" applyNumberFormat="1" applyFont="1" applyFill="1" applyBorder="1" applyAlignment="1">
      <alignment wrapText="1"/>
    </xf>
    <xf numFmtId="44" fontId="0" fillId="0" borderId="0" xfId="2" applyFont="1" applyFill="1" applyBorder="1" applyAlignment="1">
      <alignment wrapText="1"/>
    </xf>
    <xf numFmtId="44" fontId="0" fillId="0" borderId="10" xfId="2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166" fontId="0" fillId="0" borderId="22" xfId="2" applyNumberFormat="1" applyFont="1" applyFill="1" applyBorder="1" applyAlignment="1">
      <alignment wrapText="1"/>
    </xf>
    <xf numFmtId="166" fontId="0" fillId="0" borderId="23" xfId="2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166" fontId="7" fillId="0" borderId="0" xfId="2" applyNumberFormat="1" applyFont="1" applyFill="1" applyBorder="1" applyAlignment="1">
      <alignment wrapText="1"/>
    </xf>
    <xf numFmtId="166" fontId="7" fillId="0" borderId="10" xfId="2" applyNumberFormat="1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9" fontId="0" fillId="0" borderId="7" xfId="4" applyFont="1" applyFill="1" applyBorder="1" applyAlignment="1">
      <alignment wrapText="1"/>
    </xf>
    <xf numFmtId="9" fontId="0" fillId="0" borderId="8" xfId="4" applyFont="1" applyFill="1" applyBorder="1" applyAlignment="1">
      <alignment wrapText="1"/>
    </xf>
    <xf numFmtId="9" fontId="0" fillId="0" borderId="10" xfId="4" applyFont="1" applyFill="1" applyBorder="1" applyAlignment="1">
      <alignment wrapText="1"/>
    </xf>
    <xf numFmtId="170" fontId="0" fillId="0" borderId="10" xfId="4" applyNumberFormat="1" applyFont="1" applyFill="1" applyBorder="1" applyAlignment="1">
      <alignment wrapText="1"/>
    </xf>
    <xf numFmtId="2" fontId="12" fillId="0" borderId="10" xfId="3" applyNumberFormat="1" applyBorder="1"/>
    <xf numFmtId="170" fontId="7" fillId="0" borderId="10" xfId="4" applyNumberFormat="1" applyFill="1" applyBorder="1"/>
    <xf numFmtId="10" fontId="12" fillId="0" borderId="10" xfId="3" applyNumberFormat="1" applyBorder="1"/>
    <xf numFmtId="10" fontId="7" fillId="0" borderId="10" xfId="4" applyNumberFormat="1" applyFill="1" applyBorder="1"/>
    <xf numFmtId="170" fontId="7" fillId="0" borderId="12" xfId="4" applyNumberFormat="1" applyFill="1" applyBorder="1"/>
    <xf numFmtId="170" fontId="7" fillId="0" borderId="13" xfId="4" applyNumberFormat="1" applyFill="1" applyBorder="1"/>
    <xf numFmtId="0" fontId="6" fillId="0" borderId="0" xfId="0" applyFont="1" applyAlignment="1">
      <alignment horizontal="center" wrapText="1"/>
    </xf>
    <xf numFmtId="0" fontId="12" fillId="0" borderId="10" xfId="3" applyBorder="1" applyAlignment="1">
      <alignment horizontal="center"/>
    </xf>
    <xf numFmtId="168" fontId="0" fillId="0" borderId="0" xfId="1" applyNumberFormat="1" applyFont="1" applyFill="1" applyBorder="1" applyAlignment="1">
      <alignment wrapText="1"/>
    </xf>
    <xf numFmtId="168" fontId="0" fillId="0" borderId="10" xfId="1" applyNumberFormat="1" applyFont="1" applyFill="1" applyBorder="1" applyAlignment="1">
      <alignment wrapText="1"/>
    </xf>
    <xf numFmtId="168" fontId="0" fillId="0" borderId="0" xfId="0" applyNumberFormat="1" applyAlignment="1">
      <alignment wrapText="1"/>
    </xf>
    <xf numFmtId="168" fontId="0" fillId="0" borderId="10" xfId="0" applyNumberFormat="1" applyBorder="1" applyAlignment="1">
      <alignment wrapText="1"/>
    </xf>
    <xf numFmtId="8" fontId="0" fillId="0" borderId="10" xfId="0" applyNumberFormat="1" applyBorder="1" applyAlignment="1">
      <alignment wrapText="1"/>
    </xf>
    <xf numFmtId="8" fontId="0" fillId="0" borderId="12" xfId="0" applyNumberFormat="1" applyBorder="1" applyAlignment="1">
      <alignment wrapText="1"/>
    </xf>
    <xf numFmtId="0" fontId="0" fillId="0" borderId="20" xfId="0" applyBorder="1" applyAlignment="1">
      <alignment wrapText="1"/>
    </xf>
    <xf numFmtId="0" fontId="22" fillId="0" borderId="12" xfId="0" applyFont="1" applyBorder="1" applyAlignment="1">
      <alignment wrapText="1"/>
    </xf>
    <xf numFmtId="169" fontId="7" fillId="0" borderId="7" xfId="2" applyNumberFormat="1" applyFill="1" applyBorder="1"/>
    <xf numFmtId="169" fontId="7" fillId="0" borderId="8" xfId="2" applyNumberFormat="1" applyFill="1" applyBorder="1"/>
    <xf numFmtId="3" fontId="7" fillId="0" borderId="0" xfId="0" applyNumberFormat="1" applyFont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0" fillId="0" borderId="6" xfId="0" applyBorder="1"/>
    <xf numFmtId="9" fontId="0" fillId="0" borderId="8" xfId="0" applyNumberFormat="1" applyBorder="1"/>
    <xf numFmtId="0" fontId="0" fillId="0" borderId="9" xfId="0" applyBorder="1"/>
    <xf numFmtId="10" fontId="0" fillId="0" borderId="10" xfId="4" applyNumberFormat="1" applyFont="1" applyBorder="1"/>
    <xf numFmtId="0" fontId="0" fillId="0" borderId="10" xfId="0" applyBorder="1"/>
    <xf numFmtId="166" fontId="0" fillId="0" borderId="10" xfId="2" applyNumberFormat="1" applyFont="1" applyBorder="1" applyAlignment="1">
      <alignment wrapText="1"/>
    </xf>
    <xf numFmtId="0" fontId="0" fillId="0" borderId="11" xfId="0" applyBorder="1"/>
    <xf numFmtId="167" fontId="0" fillId="0" borderId="13" xfId="0" applyNumberFormat="1" applyBorder="1"/>
    <xf numFmtId="0" fontId="10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Excel Built-in Normal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9"/>
  <sheetViews>
    <sheetView tabSelected="1" zoomScale="80" zoomScaleNormal="80" workbookViewId="0">
      <selection activeCell="B12" sqref="B12"/>
    </sheetView>
  </sheetViews>
  <sheetFormatPr defaultColWidth="17.140625" defaultRowHeight="12.75" customHeight="1" x14ac:dyDescent="0.2"/>
  <cols>
    <col min="1" max="1" width="3.85546875" customWidth="1"/>
    <col min="2" max="2" width="52.7109375" bestFit="1" customWidth="1"/>
    <col min="3" max="5" width="13" bestFit="1" customWidth="1"/>
    <col min="6" max="12" width="12" bestFit="1" customWidth="1"/>
    <col min="13" max="13" width="12.28515625" bestFit="1" customWidth="1"/>
    <col min="14" max="14" width="25.140625" customWidth="1"/>
    <col min="15" max="15" width="13.140625" customWidth="1"/>
    <col min="20" max="20" width="3.28515625" customWidth="1"/>
    <col min="21" max="21" width="48.7109375" customWidth="1"/>
    <col min="39" max="39" width="3.28515625" customWidth="1"/>
    <col min="40" max="40" width="52.7109375" bestFit="1" customWidth="1"/>
  </cols>
  <sheetData>
    <row r="1" spans="1:15" ht="10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18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5" ht="10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ht="13.5" thickBot="1" x14ac:dyDescent="0.25">
      <c r="D4" s="154">
        <v>2013</v>
      </c>
      <c r="E4" s="154">
        <v>2014</v>
      </c>
      <c r="F4" s="154">
        <v>2015</v>
      </c>
      <c r="G4" s="154">
        <v>2016</v>
      </c>
      <c r="H4" s="154">
        <v>2017</v>
      </c>
      <c r="I4" s="154">
        <v>2018</v>
      </c>
      <c r="J4" s="154">
        <v>2019</v>
      </c>
      <c r="K4" s="154">
        <v>2020</v>
      </c>
      <c r="L4" s="154">
        <v>2021</v>
      </c>
      <c r="M4" s="154">
        <v>2022</v>
      </c>
    </row>
    <row r="5" spans="1:15" x14ac:dyDescent="0.2">
      <c r="A5" s="108"/>
      <c r="B5" s="140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5" x14ac:dyDescent="0.2">
      <c r="A6" s="111"/>
      <c r="B6" s="132" t="s">
        <v>2</v>
      </c>
      <c r="M6" s="68"/>
    </row>
    <row r="7" spans="1:15" x14ac:dyDescent="0.2">
      <c r="A7" s="111"/>
      <c r="B7" t="s">
        <v>3</v>
      </c>
      <c r="D7" s="33">
        <f>(((Assumptions!$B$24*Assumptions!$B$18)*12)+((Assumptions!$B$25*Assumptions!$B$19)*12))+((Assumptions!$B$26*Assumptions!$D$20)*12)</f>
        <v>149280</v>
      </c>
      <c r="E7" s="33">
        <f>D7+(D7*Assumptions!$B$27)</f>
        <v>153758.39999999999</v>
      </c>
      <c r="F7" s="33">
        <f>E7+(E7*Assumptions!$B$27)</f>
        <v>158371.152</v>
      </c>
      <c r="G7" s="33">
        <f>F7+(F7*Assumptions!$B$27)</f>
        <v>163122.28656000001</v>
      </c>
      <c r="H7" s="33">
        <f>G7+(G7*Assumptions!$B$27)</f>
        <v>168015.95515680002</v>
      </c>
      <c r="I7" s="33">
        <f>H7+(H7*Assumptions!$B$27)</f>
        <v>173056.43381150402</v>
      </c>
      <c r="J7" s="33">
        <f>I7+(I7*Assumptions!$B$27)</f>
        <v>178248.12682584915</v>
      </c>
      <c r="K7" s="33">
        <f>J7+(J7*Assumptions!$B$27)</f>
        <v>183595.57063062463</v>
      </c>
      <c r="L7" s="33">
        <f>K7+(K7*Assumptions!$B$27)</f>
        <v>189103.43774954337</v>
      </c>
      <c r="M7" s="73">
        <f>L7+(L7*Assumptions!$B$27)</f>
        <v>194776.54088202969</v>
      </c>
    </row>
    <row r="8" spans="1:15" x14ac:dyDescent="0.2">
      <c r="A8" s="111"/>
      <c r="B8" t="s">
        <v>4</v>
      </c>
      <c r="D8" s="33">
        <f>(Assumptions!C14*Assumptions!$B$23)*12</f>
        <v>1017840</v>
      </c>
      <c r="E8" s="33">
        <f>(Assumptions!D14*Assumptions!$B$23)*12</f>
        <v>1048375.2000000001</v>
      </c>
      <c r="F8" s="33">
        <f>(Assumptions!E14*Assumptions!$B$23)*12</f>
        <v>1079826.4560000002</v>
      </c>
      <c r="G8" s="33">
        <f>(Assumptions!F14*Assumptions!$B$23)*12</f>
        <v>1112221.2496800004</v>
      </c>
      <c r="H8" s="33">
        <f>(Assumptions!G14*Assumptions!$B$23)*12</f>
        <v>1145587.8871704</v>
      </c>
      <c r="I8" s="33">
        <f>(Assumptions!H14*Assumptions!$B$23)*12</f>
        <v>1179955.5237855124</v>
      </c>
      <c r="J8" s="33">
        <f>(Assumptions!I14*Assumptions!$B$23)*12</f>
        <v>1215354.1894990779</v>
      </c>
      <c r="K8" s="33">
        <f>(Assumptions!J14*Assumptions!$B$23)*12</f>
        <v>1251814.8151840502</v>
      </c>
      <c r="L8" s="33">
        <f>(Assumptions!K14*Assumptions!$B$23)*12</f>
        <v>1289369.2596395719</v>
      </c>
      <c r="M8" s="73">
        <f>(Assumptions!L14*Assumptions!$B$23)*12</f>
        <v>1328050.3374287589</v>
      </c>
      <c r="O8" s="30"/>
    </row>
    <row r="9" spans="1:15" x14ac:dyDescent="0.2">
      <c r="A9" s="111"/>
      <c r="B9" t="s">
        <v>5</v>
      </c>
      <c r="D9" s="33">
        <f>((Assumptions!E61+Assumptions!E62)*Assumptions!$B$23)*12</f>
        <v>228321.03852310535</v>
      </c>
      <c r="E9" s="33">
        <f>((Assumptions!F61+Assumptions!F62)*Assumptions!$B$23)*12</f>
        <v>235170.66967879853</v>
      </c>
      <c r="F9" s="33">
        <f>((Assumptions!G61+Assumptions!G62)*Assumptions!$B$23)*12</f>
        <v>242225.78976916245</v>
      </c>
      <c r="G9" s="33">
        <f>((Assumptions!H61+Assumptions!H62)*Assumptions!$B$23)*12</f>
        <v>249492.56346223736</v>
      </c>
      <c r="H9" s="33">
        <f>((Assumptions!I61+Assumptions!I62)*Assumptions!$B$23)*12</f>
        <v>256977.34036610453</v>
      </c>
      <c r="I9" s="33">
        <f>((Assumptions!J61+Assumptions!J62)*Assumptions!$B$23)*12</f>
        <v>264686.66057708766</v>
      </c>
      <c r="J9" s="33">
        <f>((Assumptions!K61+Assumptions!K62)*Assumptions!$B$23)*12</f>
        <v>272627.26039440033</v>
      </c>
      <c r="K9" s="33">
        <f>((Assumptions!L61+Assumptions!L62)*Assumptions!$B$23)*12</f>
        <v>280806.07820623228</v>
      </c>
      <c r="L9" s="33">
        <f>((Assumptions!M61+Assumptions!M62)*Assumptions!$B$23)*12</f>
        <v>289230.26055241929</v>
      </c>
      <c r="M9" s="73">
        <f>((Assumptions!N61+Assumptions!N62)*Assumptions!$B$23)*12</f>
        <v>297907.16836899187</v>
      </c>
    </row>
    <row r="10" spans="1:15" x14ac:dyDescent="0.2">
      <c r="A10" s="111"/>
      <c r="B10" t="s">
        <v>6</v>
      </c>
      <c r="D10" s="33">
        <f>(Assumptions!E77*Assumptions!$B$23)*12</f>
        <v>124080</v>
      </c>
      <c r="E10" s="33">
        <f>(Assumptions!F77*Assumptions!$B$23)*12</f>
        <v>127802.40000000001</v>
      </c>
      <c r="F10" s="33">
        <f>(Assumptions!G77*Assumptions!$B$23)*12</f>
        <v>131636.47199999998</v>
      </c>
      <c r="G10" s="33">
        <f>(Assumptions!H77*Assumptions!$B$23)*12</f>
        <v>135585.56615999999</v>
      </c>
      <c r="H10" s="33">
        <f>(Assumptions!I77*Assumptions!$B$23)*12</f>
        <v>139653.1331448</v>
      </c>
      <c r="I10" s="33">
        <f>(Assumptions!J77*Assumptions!$B$23)*12</f>
        <v>143842.72713914397</v>
      </c>
      <c r="J10" s="33">
        <f>(Assumptions!K77*Assumptions!$B$23)*12</f>
        <v>148158.00895331829</v>
      </c>
      <c r="K10" s="33">
        <f>(Assumptions!L77*Assumptions!$B$23)*12</f>
        <v>152602.74922191782</v>
      </c>
      <c r="L10" s="33">
        <f>(Assumptions!M77*Assumptions!$B$23)*12</f>
        <v>157180.83169857538</v>
      </c>
      <c r="M10" s="73">
        <f>(Assumptions!N77*Assumptions!$B$23)*12</f>
        <v>161896.25664953265</v>
      </c>
      <c r="O10" s="30"/>
    </row>
    <row r="11" spans="1:15" x14ac:dyDescent="0.2">
      <c r="A11" s="111"/>
      <c r="B11" s="24" t="s">
        <v>133</v>
      </c>
      <c r="D11" s="41">
        <f t="shared" ref="D11:M11" si="0">SUM(D7:D10)+$N$11</f>
        <v>1519521.0385231054</v>
      </c>
      <c r="E11" s="41">
        <f t="shared" si="0"/>
        <v>1565106.6696787984</v>
      </c>
      <c r="F11" s="41">
        <f t="shared" si="0"/>
        <v>1612059.8697691627</v>
      </c>
      <c r="G11" s="41">
        <f t="shared" si="0"/>
        <v>1660421.6658622376</v>
      </c>
      <c r="H11" s="41">
        <f t="shared" si="0"/>
        <v>1710234.3158381048</v>
      </c>
      <c r="I11" s="41">
        <f t="shared" si="0"/>
        <v>1761541.345313248</v>
      </c>
      <c r="J11" s="41">
        <f t="shared" si="0"/>
        <v>1814387.5856726456</v>
      </c>
      <c r="K11" s="41">
        <f t="shared" si="0"/>
        <v>1868819.2132428251</v>
      </c>
      <c r="L11" s="41">
        <f t="shared" si="0"/>
        <v>1924883.78964011</v>
      </c>
      <c r="M11" s="133">
        <f t="shared" si="0"/>
        <v>1982630.3033293129</v>
      </c>
      <c r="N11" s="30"/>
    </row>
    <row r="12" spans="1:15" x14ac:dyDescent="0.2">
      <c r="A12" s="111"/>
      <c r="B12" s="132" t="s">
        <v>7</v>
      </c>
      <c r="C12" s="2"/>
      <c r="D12" s="33"/>
      <c r="E12" s="33"/>
      <c r="F12" s="33"/>
      <c r="G12" s="33"/>
      <c r="H12" s="33"/>
      <c r="I12" s="33"/>
      <c r="J12" s="33"/>
      <c r="K12" s="33"/>
      <c r="L12" s="33"/>
      <c r="M12" s="73"/>
      <c r="O12" s="30"/>
    </row>
    <row r="13" spans="1:15" x14ac:dyDescent="0.2">
      <c r="A13" s="111"/>
      <c r="B13" t="s">
        <v>8</v>
      </c>
      <c r="C13" s="24"/>
      <c r="D13" s="33">
        <f>Assumptions!C32*12</f>
        <v>252000</v>
      </c>
      <c r="E13" s="33">
        <f>Assumptions!D32*12</f>
        <v>257040</v>
      </c>
      <c r="F13" s="33">
        <f>Assumptions!E32*12</f>
        <v>262180.80000000005</v>
      </c>
      <c r="G13" s="33">
        <f>Assumptions!F32*12</f>
        <v>267424.41600000003</v>
      </c>
      <c r="H13" s="33">
        <f>Assumptions!G32*12</f>
        <v>272772.90431999997</v>
      </c>
      <c r="I13" s="33">
        <f>Assumptions!H32*12</f>
        <v>278228.36240640003</v>
      </c>
      <c r="J13" s="33">
        <f>Assumptions!I32*12</f>
        <v>283792.92965452804</v>
      </c>
      <c r="K13" s="33">
        <f>Assumptions!J32*12</f>
        <v>289468.78824761859</v>
      </c>
      <c r="L13" s="33">
        <f>Assumptions!K32*12</f>
        <v>295258.16401257098</v>
      </c>
      <c r="M13" s="73">
        <f>Assumptions!L32*12</f>
        <v>301163.32729282242</v>
      </c>
    </row>
    <row r="14" spans="1:15" x14ac:dyDescent="0.2">
      <c r="A14" s="111"/>
      <c r="B14" s="24" t="s">
        <v>9</v>
      </c>
      <c r="D14" s="33">
        <f>Assumptions!C33</f>
        <v>200000</v>
      </c>
      <c r="E14" s="33">
        <f>Assumptions!D33</f>
        <v>204000</v>
      </c>
      <c r="F14" s="33">
        <f>Assumptions!E33</f>
        <v>208080</v>
      </c>
      <c r="G14" s="33">
        <f>Assumptions!F33</f>
        <v>212241.6</v>
      </c>
      <c r="H14" s="33">
        <f>Assumptions!G33</f>
        <v>216486.432</v>
      </c>
      <c r="I14" s="33">
        <f>Assumptions!H33</f>
        <v>220816.16064000002</v>
      </c>
      <c r="J14" s="33">
        <f>Assumptions!I33</f>
        <v>225232.48385280001</v>
      </c>
      <c r="K14" s="33">
        <f>Assumptions!J33</f>
        <v>229737.13352985602</v>
      </c>
      <c r="L14" s="33">
        <f>Assumptions!K33</f>
        <v>234331.87620045315</v>
      </c>
      <c r="M14" s="73">
        <f>Assumptions!L33</f>
        <v>239018.51372446222</v>
      </c>
    </row>
    <row r="15" spans="1:15" x14ac:dyDescent="0.2">
      <c r="A15" s="111"/>
      <c r="B15" t="s">
        <v>10</v>
      </c>
      <c r="C15" s="2"/>
      <c r="D15" s="33">
        <f>Assumptions!C30</f>
        <v>718000</v>
      </c>
      <c r="E15" s="33">
        <f>Assumptions!D30</f>
        <v>725180</v>
      </c>
      <c r="F15" s="33">
        <f>Assumptions!E30</f>
        <v>732431.8</v>
      </c>
      <c r="G15" s="33">
        <f>Assumptions!F30</f>
        <v>739756.11800000002</v>
      </c>
      <c r="H15" s="33">
        <f>Assumptions!G30</f>
        <v>747153.67917999998</v>
      </c>
      <c r="I15" s="33">
        <f>Assumptions!H30</f>
        <v>754625.21597180003</v>
      </c>
      <c r="J15" s="33">
        <f>Assumptions!I30</f>
        <v>762171.46813151799</v>
      </c>
      <c r="K15" s="33">
        <f>Assumptions!J30</f>
        <v>769793.18281283323</v>
      </c>
      <c r="L15" s="33">
        <f>Assumptions!K30</f>
        <v>777491.11464096152</v>
      </c>
      <c r="M15" s="73">
        <f>Assumptions!L30</f>
        <v>785266.02578737109</v>
      </c>
    </row>
    <row r="16" spans="1:15" x14ac:dyDescent="0.2">
      <c r="A16" s="111"/>
      <c r="B16" t="s">
        <v>11</v>
      </c>
      <c r="D16" s="33">
        <f>+Assumptions!$B$34</f>
        <v>44000</v>
      </c>
      <c r="E16" s="33">
        <f>SUM(E7:E8)*Assumptions!$C$34</f>
        <v>45320.000000000007</v>
      </c>
      <c r="F16" s="33">
        <f>SUM(F7:F8)*Assumptions!$C$34</f>
        <v>46679.600000000013</v>
      </c>
      <c r="G16" s="33">
        <f>SUM(G7:G8)*Assumptions!$C$34</f>
        <v>48079.988000000012</v>
      </c>
      <c r="H16" s="33">
        <f>SUM(H7:H8)*Assumptions!$C$34</f>
        <v>49522.387640000008</v>
      </c>
      <c r="I16" s="33">
        <f>SUM(I7:I8)*Assumptions!$C$34</f>
        <v>51008.059269200021</v>
      </c>
      <c r="J16" s="33">
        <f>SUM(J7:J8)*Assumptions!$C$34</f>
        <v>52538.301047276022</v>
      </c>
      <c r="K16" s="33">
        <f>SUM(K7:K8)*Assumptions!$C$34</f>
        <v>54114.45007869431</v>
      </c>
      <c r="L16" s="33">
        <f>SUM(L7:L8)*Assumptions!$C$34</f>
        <v>55737.883581055146</v>
      </c>
      <c r="M16" s="73">
        <f>SUM(M7:M8)*Assumptions!$C$34</f>
        <v>57410.020088486788</v>
      </c>
    </row>
    <row r="17" spans="1:36" x14ac:dyDescent="0.2">
      <c r="A17" s="111"/>
      <c r="B17" s="24" t="s">
        <v>113</v>
      </c>
      <c r="D17" s="41">
        <f>+Assumptions!$B$35</f>
        <v>10000</v>
      </c>
      <c r="E17" s="41">
        <f>+Assumptions!$B$35</f>
        <v>10000</v>
      </c>
      <c r="F17" s="41">
        <f>+Assumptions!$B$35</f>
        <v>10000</v>
      </c>
      <c r="G17" s="41">
        <f>+Assumptions!$B$35</f>
        <v>10000</v>
      </c>
      <c r="H17" s="41">
        <f>+Assumptions!$B$35</f>
        <v>10000</v>
      </c>
      <c r="I17" s="41">
        <f>+Assumptions!$B$35</f>
        <v>10000</v>
      </c>
      <c r="J17" s="41">
        <f>+Assumptions!$B$35</f>
        <v>10000</v>
      </c>
      <c r="K17" s="41">
        <f>+Assumptions!$B$35</f>
        <v>10000</v>
      </c>
      <c r="L17" s="41">
        <f>+Assumptions!$B$35</f>
        <v>10000</v>
      </c>
      <c r="M17" s="133">
        <f>+Assumptions!$B$35</f>
        <v>10000</v>
      </c>
    </row>
    <row r="18" spans="1:36" x14ac:dyDescent="0.2">
      <c r="A18" s="111"/>
      <c r="B18" t="s">
        <v>12</v>
      </c>
      <c r="D18" s="42">
        <f t="shared" ref="D18:M18" si="1">SUM(D13:D17)+$N$18</f>
        <v>1224000</v>
      </c>
      <c r="E18" s="42">
        <f t="shared" si="1"/>
        <v>1241540</v>
      </c>
      <c r="F18" s="42">
        <f t="shared" si="1"/>
        <v>1259372.2000000002</v>
      </c>
      <c r="G18" s="42">
        <f t="shared" si="1"/>
        <v>1277502.122</v>
      </c>
      <c r="H18" s="42">
        <f t="shared" si="1"/>
        <v>1295935.4031400001</v>
      </c>
      <c r="I18" s="42">
        <f t="shared" si="1"/>
        <v>1314677.7982874</v>
      </c>
      <c r="J18" s="42">
        <f t="shared" si="1"/>
        <v>1333735.1826861219</v>
      </c>
      <c r="K18" s="42">
        <f t="shared" si="1"/>
        <v>1353113.5546690023</v>
      </c>
      <c r="L18" s="42">
        <f t="shared" si="1"/>
        <v>1372819.0384350407</v>
      </c>
      <c r="M18" s="134">
        <f t="shared" si="1"/>
        <v>1392857.8868931425</v>
      </c>
      <c r="N18" s="30"/>
    </row>
    <row r="19" spans="1:36" x14ac:dyDescent="0.2">
      <c r="A19" s="111"/>
      <c r="B19" s="24" t="s">
        <v>132</v>
      </c>
      <c r="C19" s="2"/>
      <c r="D19" s="42">
        <f t="shared" ref="D19:M19" si="2">D11-D18</f>
        <v>295521.03852310544</v>
      </c>
      <c r="E19" s="42">
        <f t="shared" si="2"/>
        <v>323566.66967879841</v>
      </c>
      <c r="F19" s="42">
        <f t="shared" si="2"/>
        <v>352687.66976916254</v>
      </c>
      <c r="G19" s="42">
        <f t="shared" si="2"/>
        <v>382919.5438622376</v>
      </c>
      <c r="H19" s="42">
        <f t="shared" si="2"/>
        <v>414298.91269810474</v>
      </c>
      <c r="I19" s="42">
        <f t="shared" si="2"/>
        <v>446863.54702584795</v>
      </c>
      <c r="J19" s="42">
        <f t="shared" si="2"/>
        <v>480652.4029865237</v>
      </c>
      <c r="K19" s="42">
        <f t="shared" si="2"/>
        <v>515705.65857382282</v>
      </c>
      <c r="L19" s="42">
        <f t="shared" si="2"/>
        <v>552064.75120506925</v>
      </c>
      <c r="M19" s="134">
        <f t="shared" si="2"/>
        <v>589772.41643617046</v>
      </c>
    </row>
    <row r="20" spans="1:36" x14ac:dyDescent="0.2">
      <c r="A20" s="111"/>
      <c r="D20" s="33"/>
      <c r="E20" s="33"/>
      <c r="F20" s="33"/>
      <c r="G20" s="33"/>
      <c r="H20" s="33"/>
      <c r="I20" s="33"/>
      <c r="J20" s="33"/>
      <c r="K20" s="33"/>
      <c r="L20" s="33"/>
      <c r="M20" s="73"/>
    </row>
    <row r="21" spans="1:36" x14ac:dyDescent="0.2">
      <c r="A21" s="111"/>
      <c r="B21" s="24" t="s">
        <v>115</v>
      </c>
      <c r="D21" s="33">
        <f>Assumptions!C42</f>
        <v>49000</v>
      </c>
      <c r="E21" s="33">
        <f>Assumptions!D42</f>
        <v>49000</v>
      </c>
      <c r="F21" s="33">
        <f>Assumptions!E42</f>
        <v>49000</v>
      </c>
      <c r="G21" s="33">
        <f>Assumptions!F42</f>
        <v>49000</v>
      </c>
      <c r="H21" s="33">
        <f>Assumptions!G42</f>
        <v>49000</v>
      </c>
      <c r="I21" s="33">
        <f>Assumptions!H42</f>
        <v>49000</v>
      </c>
      <c r="J21" s="33">
        <f>Assumptions!I42</f>
        <v>49000</v>
      </c>
      <c r="K21" s="33">
        <f>Assumptions!J42</f>
        <v>49000</v>
      </c>
      <c r="L21" s="33">
        <f>Assumptions!K42</f>
        <v>49000</v>
      </c>
      <c r="M21" s="73">
        <f>Assumptions!L42</f>
        <v>49000</v>
      </c>
    </row>
    <row r="22" spans="1:36" x14ac:dyDescent="0.2">
      <c r="A22" s="111"/>
      <c r="B22" s="24" t="s">
        <v>116</v>
      </c>
      <c r="D22" s="33">
        <f>+Assumptions!C48</f>
        <v>22311.428571428572</v>
      </c>
      <c r="E22" s="33">
        <f>+Assumptions!D48</f>
        <v>22311.428571428572</v>
      </c>
      <c r="F22" s="33">
        <f>+Assumptions!E48</f>
        <v>22311.428571428572</v>
      </c>
      <c r="G22" s="33">
        <f>+Assumptions!F48</f>
        <v>22311.428571428572</v>
      </c>
      <c r="H22" s="33">
        <f>+Assumptions!G48</f>
        <v>22311.428571428572</v>
      </c>
      <c r="I22" s="33">
        <f>+Assumptions!H48</f>
        <v>22311.428571428572</v>
      </c>
      <c r="J22" s="33">
        <f>+Assumptions!I48</f>
        <v>22311.428571428572</v>
      </c>
      <c r="K22" s="33">
        <f>+Assumptions!J48</f>
        <v>22311.428571428572</v>
      </c>
      <c r="L22" s="33">
        <f>+Assumptions!K48</f>
        <v>22311.428571428572</v>
      </c>
      <c r="M22" s="73">
        <f>+Assumptions!L48</f>
        <v>22311.428571428572</v>
      </c>
    </row>
    <row r="23" spans="1:36" x14ac:dyDescent="0.2">
      <c r="A23" s="111"/>
      <c r="B23" t="s">
        <v>13</v>
      </c>
      <c r="D23" s="33">
        <f>Mortgage!D14</f>
        <v>93724.976249642699</v>
      </c>
      <c r="E23" s="33">
        <f>Mortgage!D28</f>
        <v>92909.599020160909</v>
      </c>
      <c r="F23" s="33">
        <f>Mortgage!D42</f>
        <v>92026.545882770064</v>
      </c>
      <c r="G23" s="33">
        <f>Mortgage!D56</f>
        <v>91070.19977049093</v>
      </c>
      <c r="H23" s="33">
        <f>+Mortgage!D70</f>
        <v>90034.477402555349</v>
      </c>
      <c r="I23" s="33">
        <f>+Mortgage!D84</f>
        <v>88912.790588891614</v>
      </c>
      <c r="J23" s="33">
        <f>+Mortgage!D98</f>
        <v>87698.00432290131</v>
      </c>
      <c r="K23" s="33">
        <f>+Mortgage!D112</f>
        <v>86382.391395957296</v>
      </c>
      <c r="L23" s="33">
        <f>+Mortgage!D126</f>
        <v>84957.583244927315</v>
      </c>
      <c r="M23" s="73">
        <f>+Mortgage!D140</f>
        <v>83414.516720066531</v>
      </c>
    </row>
    <row r="24" spans="1:36" x14ac:dyDescent="0.2">
      <c r="A24" s="111"/>
      <c r="B24" s="24" t="s">
        <v>130</v>
      </c>
      <c r="D24" s="135">
        <f t="shared" ref="D24:M24" si="3">D48*$N$24</f>
        <v>118746.64798375948</v>
      </c>
      <c r="E24" s="135">
        <f t="shared" si="3"/>
        <v>108684.33314333712</v>
      </c>
      <c r="F24" s="135">
        <f t="shared" si="3"/>
        <v>95296.719551511356</v>
      </c>
      <c r="G24" s="135">
        <f t="shared" si="3"/>
        <v>78206.714283403518</v>
      </c>
      <c r="H24" s="135">
        <f t="shared" si="3"/>
        <v>57002.043333804097</v>
      </c>
      <c r="I24" s="135">
        <f t="shared" si="3"/>
        <v>31232.161595777889</v>
      </c>
      <c r="J24" s="135">
        <f t="shared" si="3"/>
        <v>2233.4841541125188</v>
      </c>
      <c r="K24" s="135">
        <f t="shared" si="3"/>
        <v>2702.1212122626616</v>
      </c>
      <c r="L24" s="135">
        <f t="shared" si="3"/>
        <v>3219.0929570832745</v>
      </c>
      <c r="M24" s="136">
        <f t="shared" si="3"/>
        <v>3788.7743090592362</v>
      </c>
      <c r="N24" s="23">
        <v>0.1</v>
      </c>
      <c r="O24" s="24" t="s">
        <v>131</v>
      </c>
    </row>
    <row r="25" spans="1:36" ht="13.5" x14ac:dyDescent="0.2">
      <c r="A25" s="111"/>
      <c r="D25" s="33"/>
      <c r="E25" s="33"/>
      <c r="F25" s="33"/>
      <c r="G25" s="33"/>
      <c r="H25" s="33"/>
      <c r="I25" s="33"/>
      <c r="J25" s="33"/>
      <c r="K25" s="33"/>
      <c r="L25" s="33"/>
      <c r="M25" s="73"/>
      <c r="Q25" s="43"/>
      <c r="AJ25" s="43"/>
    </row>
    <row r="26" spans="1:36" ht="13.5" x14ac:dyDescent="0.2">
      <c r="A26" s="111"/>
      <c r="B26" t="s">
        <v>14</v>
      </c>
      <c r="D26" s="33">
        <f t="shared" ref="D26:M26" si="4">D19-SUM(D21:D24)</f>
        <v>11737.985718274664</v>
      </c>
      <c r="E26" s="33">
        <f t="shared" si="4"/>
        <v>50661.308943871816</v>
      </c>
      <c r="F26" s="33">
        <f t="shared" si="4"/>
        <v>94052.97576345253</v>
      </c>
      <c r="G26" s="33">
        <f t="shared" si="4"/>
        <v>142331.20123691455</v>
      </c>
      <c r="H26" s="33">
        <f t="shared" si="4"/>
        <v>195950.96339031673</v>
      </c>
      <c r="I26" s="33">
        <f t="shared" si="4"/>
        <v>255407.16626974987</v>
      </c>
      <c r="J26" s="33">
        <f t="shared" si="4"/>
        <v>319409.48593808128</v>
      </c>
      <c r="K26" s="33">
        <f t="shared" si="4"/>
        <v>355309.71739417431</v>
      </c>
      <c r="L26" s="33">
        <f t="shared" si="4"/>
        <v>392576.64643163007</v>
      </c>
      <c r="M26" s="73">
        <f t="shared" si="4"/>
        <v>431257.69683561614</v>
      </c>
      <c r="Q26" s="43"/>
      <c r="AJ26" s="43"/>
    </row>
    <row r="27" spans="1:36" ht="13.5" x14ac:dyDescent="0.2">
      <c r="A27" s="111"/>
      <c r="B27" t="s">
        <v>15</v>
      </c>
      <c r="D27" s="41">
        <f t="shared" ref="D27:M27" si="5">D26*$N$27</f>
        <v>2641.0467866117992</v>
      </c>
      <c r="E27" s="41">
        <f t="shared" si="5"/>
        <v>11398.79451237116</v>
      </c>
      <c r="F27" s="41">
        <f t="shared" si="5"/>
        <v>21161.919546776819</v>
      </c>
      <c r="G27" s="41">
        <f t="shared" si="5"/>
        <v>32024.520278305776</v>
      </c>
      <c r="H27" s="41">
        <f t="shared" si="5"/>
        <v>44088.966762821263</v>
      </c>
      <c r="I27" s="41">
        <f t="shared" si="5"/>
        <v>57466.61241069372</v>
      </c>
      <c r="J27" s="41">
        <f t="shared" si="5"/>
        <v>71867.134336068295</v>
      </c>
      <c r="K27" s="41">
        <f t="shared" si="5"/>
        <v>79944.686413689225</v>
      </c>
      <c r="L27" s="41">
        <f t="shared" si="5"/>
        <v>88329.745447116773</v>
      </c>
      <c r="M27" s="133">
        <f t="shared" si="5"/>
        <v>97032.98178801364</v>
      </c>
      <c r="N27" s="44">
        <v>0.22500000000000001</v>
      </c>
      <c r="O27" s="24" t="s">
        <v>134</v>
      </c>
      <c r="Q27" s="43"/>
      <c r="AJ27" s="43"/>
    </row>
    <row r="28" spans="1:36" ht="14.25" thickBot="1" x14ac:dyDescent="0.25">
      <c r="A28" s="121"/>
      <c r="B28" s="137" t="s">
        <v>16</v>
      </c>
      <c r="C28" s="82"/>
      <c r="D28" s="138">
        <f t="shared" ref="D28:M28" si="6">D26-D27</f>
        <v>9096.938931662864</v>
      </c>
      <c r="E28" s="138">
        <f t="shared" si="6"/>
        <v>39262.514431500655</v>
      </c>
      <c r="F28" s="138">
        <f t="shared" si="6"/>
        <v>72891.056216675715</v>
      </c>
      <c r="G28" s="138">
        <f t="shared" si="6"/>
        <v>110306.68095860878</v>
      </c>
      <c r="H28" s="138">
        <f t="shared" si="6"/>
        <v>151861.99662749545</v>
      </c>
      <c r="I28" s="138">
        <f t="shared" si="6"/>
        <v>197940.55385905615</v>
      </c>
      <c r="J28" s="138">
        <f t="shared" si="6"/>
        <v>247542.35160201299</v>
      </c>
      <c r="K28" s="138">
        <f t="shared" si="6"/>
        <v>275365.03098048508</v>
      </c>
      <c r="L28" s="138">
        <f t="shared" si="6"/>
        <v>304246.90098451328</v>
      </c>
      <c r="M28" s="139">
        <f t="shared" si="6"/>
        <v>334224.71504760248</v>
      </c>
      <c r="Q28" s="43"/>
      <c r="AJ28" s="43"/>
    </row>
    <row r="29" spans="1:36" ht="14.25" thickBot="1" x14ac:dyDescent="0.25">
      <c r="Q29" s="43"/>
      <c r="AJ29" s="43"/>
    </row>
    <row r="30" spans="1:36" x14ac:dyDescent="0.2">
      <c r="A30" s="108"/>
      <c r="B30" s="140" t="s">
        <v>17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36" x14ac:dyDescent="0.2">
      <c r="A31" s="111"/>
      <c r="B31" s="132" t="s">
        <v>18</v>
      </c>
      <c r="M31" s="68"/>
    </row>
    <row r="32" spans="1:36" x14ac:dyDescent="0.2">
      <c r="A32" s="111"/>
      <c r="B32" t="s">
        <v>19</v>
      </c>
      <c r="D32" s="33">
        <v>6000</v>
      </c>
      <c r="E32" s="33">
        <v>6000</v>
      </c>
      <c r="F32" s="33">
        <v>6000</v>
      </c>
      <c r="G32" s="33">
        <v>6000</v>
      </c>
      <c r="H32" s="33">
        <v>6000</v>
      </c>
      <c r="I32" s="33">
        <v>6000</v>
      </c>
      <c r="J32" s="33">
        <v>6000</v>
      </c>
      <c r="K32" s="33">
        <v>6000</v>
      </c>
      <c r="L32" s="33">
        <v>6000</v>
      </c>
      <c r="M32" s="73">
        <v>6000</v>
      </c>
    </row>
    <row r="33" spans="1:37" x14ac:dyDescent="0.2">
      <c r="A33" s="111"/>
      <c r="B33" t="s">
        <v>20</v>
      </c>
      <c r="D33" s="33"/>
      <c r="E33" s="33"/>
      <c r="F33" s="33"/>
      <c r="G33" s="33"/>
      <c r="H33" s="33"/>
      <c r="I33" s="33"/>
      <c r="J33" s="33">
        <v>16599</v>
      </c>
      <c r="K33" s="33">
        <v>327746</v>
      </c>
      <c r="L33" s="33">
        <v>666854</v>
      </c>
      <c r="M33" s="73">
        <v>1034946</v>
      </c>
    </row>
    <row r="34" spans="1:37" x14ac:dyDescent="0.2">
      <c r="A34" s="111"/>
      <c r="B34" t="s">
        <v>21</v>
      </c>
      <c r="D34" s="33">
        <f>(SUM(D7:D9)/365)*Assumptions!$B$50</f>
        <v>172040.67598230066</v>
      </c>
      <c r="E34" s="33">
        <f>(SUM(E7:E9)/365)*Assumptions!$B$50</f>
        <v>177201.8962617697</v>
      </c>
      <c r="F34" s="33">
        <f>(SUM(F7:F9)/365)*Assumptions!$B$50</f>
        <v>182517.9531496228</v>
      </c>
      <c r="G34" s="33">
        <f>(SUM(G7:G9)/365)*Assumptions!$B$50</f>
        <v>187993.4917441115</v>
      </c>
      <c r="H34" s="33">
        <f>(SUM(H7:H9)/365)*Assumptions!$B$50</f>
        <v>193633.29649643484</v>
      </c>
      <c r="I34" s="33">
        <f>(SUM(I7:I9)/365)*Assumptions!$B$50</f>
        <v>199442.29539132791</v>
      </c>
      <c r="J34" s="33">
        <f>(SUM(J7:J9)/365)*Assumptions!$B$50</f>
        <v>205425.56425306774</v>
      </c>
      <c r="K34" s="33">
        <f>(SUM(K7:K9)/365)*Assumptions!$B$50</f>
        <v>211588.33118065979</v>
      </c>
      <c r="L34" s="33">
        <f>(SUM(L7:L9)/365)*Assumptions!$B$50</f>
        <v>217935.98111607964</v>
      </c>
      <c r="M34" s="73">
        <f>(SUM(M7:M9)/365)*Assumptions!$B$50</f>
        <v>224474.06054956195</v>
      </c>
    </row>
    <row r="35" spans="1:37" x14ac:dyDescent="0.2">
      <c r="A35" s="111"/>
      <c r="B35" t="s">
        <v>122</v>
      </c>
      <c r="D35" s="33">
        <f>Assumptions!$B$44</f>
        <v>980000</v>
      </c>
      <c r="E35" s="33">
        <f>Assumptions!$B$44</f>
        <v>980000</v>
      </c>
      <c r="F35" s="33">
        <f>Assumptions!$B$44</f>
        <v>980000</v>
      </c>
      <c r="G35" s="33">
        <f>Assumptions!$B$44</f>
        <v>980000</v>
      </c>
      <c r="H35" s="33">
        <f>Assumptions!$B$44</f>
        <v>980000</v>
      </c>
      <c r="I35" s="33">
        <f>Assumptions!$B$44</f>
        <v>980000</v>
      </c>
      <c r="J35" s="33">
        <f>Assumptions!$B$44</f>
        <v>980000</v>
      </c>
      <c r="K35" s="33">
        <f>Assumptions!$B$44</f>
        <v>980000</v>
      </c>
      <c r="L35" s="33">
        <f>Assumptions!$B$44</f>
        <v>980000</v>
      </c>
      <c r="M35" s="73">
        <f>Assumptions!$B$44</f>
        <v>980000</v>
      </c>
    </row>
    <row r="36" spans="1:37" x14ac:dyDescent="0.2">
      <c r="A36" s="111"/>
      <c r="B36" t="s">
        <v>22</v>
      </c>
      <c r="D36" s="33">
        <f>Assumptions!$B$40</f>
        <v>1470000</v>
      </c>
      <c r="E36" s="33">
        <f>Assumptions!$B$40</f>
        <v>1470000</v>
      </c>
      <c r="F36" s="33">
        <f>Assumptions!$B$40</f>
        <v>1470000</v>
      </c>
      <c r="G36" s="33">
        <f>Assumptions!$B$40</f>
        <v>1470000</v>
      </c>
      <c r="H36" s="33">
        <f>Assumptions!$B$40</f>
        <v>1470000</v>
      </c>
      <c r="I36" s="33">
        <f>Assumptions!$B$40</f>
        <v>1470000</v>
      </c>
      <c r="J36" s="33">
        <f>Assumptions!$B$40</f>
        <v>1470000</v>
      </c>
      <c r="K36" s="33">
        <f>Assumptions!$B$40</f>
        <v>1470000</v>
      </c>
      <c r="L36" s="33">
        <f>Assumptions!$B$40</f>
        <v>1470000</v>
      </c>
      <c r="M36" s="73">
        <f>Assumptions!$B$40</f>
        <v>1470000</v>
      </c>
    </row>
    <row r="37" spans="1:37" x14ac:dyDescent="0.2">
      <c r="A37" s="111"/>
      <c r="B37" s="24" t="s">
        <v>114</v>
      </c>
      <c r="D37" s="33">
        <f>+Assumptions!$B$47</f>
        <v>156180</v>
      </c>
      <c r="E37" s="33">
        <f>+Assumptions!$B$47</f>
        <v>156180</v>
      </c>
      <c r="F37" s="33">
        <f>+Assumptions!$B$47</f>
        <v>156180</v>
      </c>
      <c r="G37" s="33">
        <f>+Assumptions!$B$47</f>
        <v>156180</v>
      </c>
      <c r="H37" s="33">
        <f>+Assumptions!$B$47</f>
        <v>156180</v>
      </c>
      <c r="I37" s="33">
        <f>+Assumptions!$B$47</f>
        <v>156180</v>
      </c>
      <c r="J37" s="33">
        <f>+Assumptions!$B$47</f>
        <v>156180</v>
      </c>
      <c r="K37" s="33">
        <f>+Assumptions!$B$47</f>
        <v>156180</v>
      </c>
      <c r="L37" s="33">
        <f>+Assumptions!$B$47</f>
        <v>156180</v>
      </c>
      <c r="M37" s="73">
        <f>+Assumptions!$B$47</f>
        <v>156180</v>
      </c>
      <c r="O37" s="30"/>
    </row>
    <row r="38" spans="1:37" x14ac:dyDescent="0.2">
      <c r="A38" s="111"/>
      <c r="B38" s="24" t="s">
        <v>117</v>
      </c>
      <c r="D38" s="33">
        <f>D21</f>
        <v>49000</v>
      </c>
      <c r="E38" s="33">
        <f t="shared" ref="E38:M38" si="7">D38+E21</f>
        <v>98000</v>
      </c>
      <c r="F38" s="33">
        <f t="shared" si="7"/>
        <v>147000</v>
      </c>
      <c r="G38" s="33">
        <f t="shared" si="7"/>
        <v>196000</v>
      </c>
      <c r="H38" s="33">
        <f t="shared" si="7"/>
        <v>245000</v>
      </c>
      <c r="I38" s="33">
        <f t="shared" si="7"/>
        <v>294000</v>
      </c>
      <c r="J38" s="33">
        <f t="shared" si="7"/>
        <v>343000</v>
      </c>
      <c r="K38" s="33">
        <f t="shared" si="7"/>
        <v>392000</v>
      </c>
      <c r="L38" s="33">
        <f t="shared" si="7"/>
        <v>441000</v>
      </c>
      <c r="M38" s="73">
        <f t="shared" si="7"/>
        <v>490000</v>
      </c>
    </row>
    <row r="39" spans="1:37" x14ac:dyDescent="0.2">
      <c r="A39" s="111"/>
      <c r="B39" s="24" t="s">
        <v>118</v>
      </c>
      <c r="D39" s="33">
        <f>+D22</f>
        <v>22311.428571428572</v>
      </c>
      <c r="E39" s="33">
        <f t="shared" ref="E39:J39" si="8">+D39+E22</f>
        <v>44622.857142857145</v>
      </c>
      <c r="F39" s="33">
        <f t="shared" si="8"/>
        <v>66934.28571428571</v>
      </c>
      <c r="G39" s="33">
        <f t="shared" si="8"/>
        <v>89245.71428571429</v>
      </c>
      <c r="H39" s="33">
        <f t="shared" si="8"/>
        <v>111557.14285714287</v>
      </c>
      <c r="I39" s="33">
        <f t="shared" si="8"/>
        <v>133868.57142857145</v>
      </c>
      <c r="J39" s="33">
        <f t="shared" si="8"/>
        <v>156180.00000000003</v>
      </c>
      <c r="K39" s="33">
        <f>J39</f>
        <v>156180.00000000003</v>
      </c>
      <c r="L39" s="33">
        <f>J39</f>
        <v>156180.00000000003</v>
      </c>
      <c r="M39" s="73">
        <f>J39</f>
        <v>156180.00000000003</v>
      </c>
    </row>
    <row r="40" spans="1:37" x14ac:dyDescent="0.2">
      <c r="A40" s="111"/>
      <c r="D40" s="41"/>
      <c r="E40" s="41"/>
      <c r="F40" s="41"/>
      <c r="G40" s="41"/>
      <c r="H40" s="41"/>
      <c r="I40" s="41"/>
      <c r="J40" s="41"/>
      <c r="K40" s="41"/>
      <c r="L40" s="41"/>
      <c r="M40" s="133"/>
    </row>
    <row r="41" spans="1:37" x14ac:dyDescent="0.2">
      <c r="A41" s="111"/>
      <c r="B41" s="132" t="s">
        <v>23</v>
      </c>
      <c r="D41" s="42">
        <f t="shared" ref="D41:M41" si="9">SUM(D32:D37)-SUM(D38:D39)</f>
        <v>2712909.247410872</v>
      </c>
      <c r="E41" s="42">
        <f t="shared" si="9"/>
        <v>2646759.0391189125</v>
      </c>
      <c r="F41" s="42">
        <f t="shared" si="9"/>
        <v>2580763.6674353369</v>
      </c>
      <c r="G41" s="42">
        <f t="shared" si="9"/>
        <v>2514927.7774583967</v>
      </c>
      <c r="H41" s="42">
        <f t="shared" si="9"/>
        <v>2449256.1536392923</v>
      </c>
      <c r="I41" s="42">
        <f t="shared" si="9"/>
        <v>2383753.7239627563</v>
      </c>
      <c r="J41" s="42">
        <f t="shared" si="9"/>
        <v>2335024.5642530676</v>
      </c>
      <c r="K41" s="42">
        <f t="shared" si="9"/>
        <v>2603334.3311806601</v>
      </c>
      <c r="L41" s="42">
        <f t="shared" si="9"/>
        <v>2899789.9811160797</v>
      </c>
      <c r="M41" s="134">
        <f t="shared" si="9"/>
        <v>3225420.0605495619</v>
      </c>
    </row>
    <row r="42" spans="1:37" x14ac:dyDescent="0.2">
      <c r="A42" s="111"/>
      <c r="D42" s="45"/>
      <c r="E42" s="45"/>
      <c r="F42" s="45"/>
      <c r="G42" s="45"/>
      <c r="M42" s="68"/>
    </row>
    <row r="43" spans="1:37" x14ac:dyDescent="0.2">
      <c r="A43" s="111"/>
      <c r="B43" s="132" t="s">
        <v>24</v>
      </c>
      <c r="D43" s="33"/>
      <c r="E43" s="33"/>
      <c r="F43" s="33"/>
      <c r="M43" s="68"/>
    </row>
    <row r="44" spans="1:37" x14ac:dyDescent="0.2">
      <c r="A44" s="111"/>
      <c r="B44" t="s">
        <v>25</v>
      </c>
      <c r="D44" s="33">
        <f>(SUM(D16:D17)/365)*Assumptions!$B$51</f>
        <v>4438.3561643835619</v>
      </c>
      <c r="E44" s="33">
        <f>(SUM(E16:E17)/365)*Assumptions!$B$51</f>
        <v>4546.8493150684935</v>
      </c>
      <c r="F44" s="33">
        <f>(SUM(F16:F17)/365)*Assumptions!$B$51</f>
        <v>4658.5972602739739</v>
      </c>
      <c r="G44" s="33">
        <f>(SUM(G16:G17)/365)*Assumptions!$B$51</f>
        <v>4773.6976438356178</v>
      </c>
      <c r="H44" s="33">
        <f>(SUM(H16:H17)/365)*Assumptions!$B$51</f>
        <v>4892.2510389041099</v>
      </c>
      <c r="I44" s="33">
        <f>(SUM(I16:I17)/365)*Assumptions!$B$51</f>
        <v>5014.3610358246597</v>
      </c>
      <c r="J44" s="33">
        <f>(SUM(J16:J17)/365)*Assumptions!$B$51</f>
        <v>5140.134332652824</v>
      </c>
      <c r="K44" s="33">
        <f>(SUM(K16:K17)/365)*Assumptions!$B$51</f>
        <v>5269.6808283858336</v>
      </c>
      <c r="L44" s="33">
        <f>(SUM(L16:L17)/365)*Assumptions!$B$51</f>
        <v>5403.1137189908341</v>
      </c>
      <c r="M44" s="73">
        <f>(SUM(M16:M17)/365)*Assumptions!$B$51</f>
        <v>5540.549596313982</v>
      </c>
    </row>
    <row r="45" spans="1:37" x14ac:dyDescent="0.2">
      <c r="A45" s="111"/>
      <c r="B45" t="s">
        <v>26</v>
      </c>
      <c r="D45" s="33">
        <f t="shared" ref="D45:M45" si="10">D27</f>
        <v>2641.0467866117992</v>
      </c>
      <c r="E45" s="33">
        <f t="shared" si="10"/>
        <v>11398.79451237116</v>
      </c>
      <c r="F45" s="33">
        <f t="shared" si="10"/>
        <v>21161.919546776819</v>
      </c>
      <c r="G45" s="33">
        <f t="shared" si="10"/>
        <v>32024.520278305776</v>
      </c>
      <c r="H45" s="33">
        <f t="shared" si="10"/>
        <v>44088.966762821263</v>
      </c>
      <c r="I45" s="33">
        <f t="shared" si="10"/>
        <v>57466.61241069372</v>
      </c>
      <c r="J45" s="33">
        <f t="shared" si="10"/>
        <v>71867.134336068295</v>
      </c>
      <c r="K45" s="33">
        <f t="shared" si="10"/>
        <v>79944.686413689225</v>
      </c>
      <c r="L45" s="33">
        <f t="shared" si="10"/>
        <v>88329.745447116773</v>
      </c>
      <c r="M45" s="73">
        <f t="shared" si="10"/>
        <v>97032.98178801364</v>
      </c>
    </row>
    <row r="46" spans="1:37" ht="15" x14ac:dyDescent="0.25">
      <c r="A46" s="111"/>
      <c r="D46" s="33"/>
      <c r="E46" s="33"/>
      <c r="F46" s="33"/>
      <c r="G46" s="33"/>
      <c r="H46" s="33"/>
      <c r="I46" s="33"/>
      <c r="J46" s="33"/>
      <c r="K46" s="33"/>
      <c r="L46" s="33"/>
      <c r="M46" s="73"/>
      <c r="N46" s="24" t="s">
        <v>159</v>
      </c>
      <c r="O46" s="28"/>
      <c r="P46" s="46" t="s">
        <v>105</v>
      </c>
      <c r="Q46" s="46" t="s">
        <v>126</v>
      </c>
      <c r="R46" s="46"/>
      <c r="AI46" s="46" t="s">
        <v>105</v>
      </c>
      <c r="AJ46" s="46" t="s">
        <v>126</v>
      </c>
      <c r="AK46" s="46" t="s">
        <v>127</v>
      </c>
    </row>
    <row r="47" spans="1:37" ht="15" x14ac:dyDescent="0.25">
      <c r="A47" s="111"/>
      <c r="B47" t="s">
        <v>27</v>
      </c>
      <c r="D47" s="33">
        <f>Mortgage!F13</f>
        <v>1166176.1195837851</v>
      </c>
      <c r="E47" s="33">
        <f>Mortgage!F27</f>
        <v>1155536.8619380882</v>
      </c>
      <c r="F47" s="33">
        <f>Mortgage!F41</f>
        <v>1144014.5511550012</v>
      </c>
      <c r="G47" s="33">
        <f>Mortgage!F55</f>
        <v>1131535.8942596344</v>
      </c>
      <c r="H47" s="33">
        <f>+Mortgage!F69</f>
        <v>1118021.5149963319</v>
      </c>
      <c r="I47" s="33">
        <f>+Mortgage!F83</f>
        <v>1103385.4489193661</v>
      </c>
      <c r="J47" s="33">
        <f>+Mortgage!F97</f>
        <v>1087534.5965764101</v>
      </c>
      <c r="K47" s="33">
        <f>+Mortgage!F111</f>
        <v>1070368.13130651</v>
      </c>
      <c r="L47" s="33">
        <f>+Mortgage!F125</f>
        <v>1051776.8578855798</v>
      </c>
      <c r="M47" s="73">
        <f>+Mortgage!F139</f>
        <v>1031642.5179397889</v>
      </c>
      <c r="N47" s="40">
        <f>AVERAGE(D47:M47)</f>
        <v>1105999.2494560496</v>
      </c>
      <c r="O47" s="28"/>
      <c r="P47" s="47">
        <f>Mortgage!I1</f>
        <v>0.08</v>
      </c>
      <c r="Q47" s="38">
        <f>N47/SUM(N47:N48)</f>
        <v>0.68819080580522896</v>
      </c>
      <c r="R47" s="46"/>
      <c r="AI47" s="47">
        <f>Mortgage!AB1</f>
        <v>0</v>
      </c>
      <c r="AJ47" s="38">
        <f>'Good Forecast'!N47/SUM('Good Forecast'!N47:N48)</f>
        <v>0.74082315002430599</v>
      </c>
      <c r="AK47" s="46"/>
    </row>
    <row r="48" spans="1:37" ht="15" x14ac:dyDescent="0.25">
      <c r="A48" s="111"/>
      <c r="B48" t="s">
        <v>28</v>
      </c>
      <c r="D48" s="33">
        <v>1187466.4798375948</v>
      </c>
      <c r="E48" s="33">
        <v>1086843.3314333712</v>
      </c>
      <c r="F48" s="33">
        <v>952967.19551511353</v>
      </c>
      <c r="G48" s="33">
        <v>782067.14283403521</v>
      </c>
      <c r="H48" s="33">
        <v>570020.43333804095</v>
      </c>
      <c r="I48" s="33">
        <v>312321.61595777888</v>
      </c>
      <c r="J48" s="33">
        <v>22334.841541125188</v>
      </c>
      <c r="K48" s="33">
        <v>27021.212122626614</v>
      </c>
      <c r="L48" s="33">
        <v>32190.929570832745</v>
      </c>
      <c r="M48" s="73">
        <v>37887.743090592361</v>
      </c>
      <c r="N48" s="40">
        <f>AVERAGE(D48:M48)</f>
        <v>501112.09252411115</v>
      </c>
      <c r="O48" s="28"/>
      <c r="P48" s="47">
        <f>N24</f>
        <v>0.1</v>
      </c>
      <c r="Q48" s="38">
        <f>N48/SUM(N47:N48)</f>
        <v>0.31180919419477116</v>
      </c>
      <c r="AI48" s="47">
        <f>'Good Forecast'!N24</f>
        <v>0.1</v>
      </c>
      <c r="AJ48" s="38">
        <f>'Good Forecast'!N48/SUM('Good Forecast'!N47:N48)</f>
        <v>0.2591768499756939</v>
      </c>
    </row>
    <row r="49" spans="1:37" ht="15" x14ac:dyDescent="0.25">
      <c r="A49" s="111"/>
      <c r="D49" s="33"/>
      <c r="E49" s="33"/>
      <c r="F49" s="33"/>
      <c r="G49" s="33"/>
      <c r="H49" s="33"/>
      <c r="I49" s="33"/>
      <c r="J49" s="33"/>
      <c r="K49" s="33"/>
      <c r="L49" s="33"/>
      <c r="M49" s="73"/>
      <c r="N49" s="48"/>
      <c r="O49" s="28" t="s">
        <v>128</v>
      </c>
      <c r="P49" s="46"/>
      <c r="Q49" s="46"/>
      <c r="AI49" s="46"/>
      <c r="AJ49" s="46"/>
    </row>
    <row r="50" spans="1:37" ht="15" x14ac:dyDescent="0.25">
      <c r="A50" s="111"/>
      <c r="B50" s="132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73"/>
      <c r="O50" s="28"/>
      <c r="P50" s="49"/>
      <c r="Q50" s="46"/>
      <c r="R50" s="46"/>
      <c r="AI50" s="49"/>
      <c r="AJ50" s="46"/>
      <c r="AK50" s="46"/>
    </row>
    <row r="51" spans="1:37" ht="15" x14ac:dyDescent="0.25">
      <c r="A51" s="111"/>
      <c r="B51" t="s">
        <v>30</v>
      </c>
      <c r="D51" s="141">
        <f>50000+(Assumptions!$B$40*0.2)</f>
        <v>344000</v>
      </c>
      <c r="E51" s="141">
        <f>50000+(Assumptions!$B$40*0.2)</f>
        <v>344000</v>
      </c>
      <c r="F51" s="141">
        <f>50000+(Assumptions!$B$40*0.2)</f>
        <v>344000</v>
      </c>
      <c r="G51" s="141">
        <f>50000+(Assumptions!$B$40*0.2)</f>
        <v>344000</v>
      </c>
      <c r="H51" s="141">
        <f>50000+(Assumptions!$B$40*0.2)</f>
        <v>344000</v>
      </c>
      <c r="I51" s="141">
        <f>50000+(Assumptions!$B$40*0.2)</f>
        <v>344000</v>
      </c>
      <c r="J51" s="141">
        <f>50000+(Assumptions!$B$40*0.2)</f>
        <v>344000</v>
      </c>
      <c r="K51" s="141">
        <f>50000+(Assumptions!$B$40*0.2)</f>
        <v>344000</v>
      </c>
      <c r="L51" s="141">
        <f>50000+(Assumptions!$B$40*0.2)</f>
        <v>344000</v>
      </c>
      <c r="M51" s="142">
        <f>50000+(Assumptions!$B$40*0.2)</f>
        <v>344000</v>
      </c>
      <c r="N51" s="40">
        <f>AVERAGE(D51:M51)</f>
        <v>344000</v>
      </c>
      <c r="O51" s="31"/>
      <c r="P51" s="49"/>
      <c r="Q51" s="46"/>
      <c r="R51" s="46"/>
      <c r="AI51" s="49"/>
      <c r="AJ51" s="46"/>
      <c r="AK51" s="46"/>
    </row>
    <row r="52" spans="1:37" ht="15" x14ac:dyDescent="0.25">
      <c r="A52" s="111"/>
      <c r="B52" t="s">
        <v>31</v>
      </c>
      <c r="D52" s="33">
        <f>D28</f>
        <v>9096.938931662864</v>
      </c>
      <c r="E52" s="33">
        <f t="shared" ref="E52:M52" si="11">D52+E28</f>
        <v>48359.45336316352</v>
      </c>
      <c r="F52" s="33">
        <f t="shared" si="11"/>
        <v>121250.50957983924</v>
      </c>
      <c r="G52" s="33">
        <f t="shared" si="11"/>
        <v>231557.19053844802</v>
      </c>
      <c r="H52" s="33">
        <f t="shared" si="11"/>
        <v>383419.18716594344</v>
      </c>
      <c r="I52" s="33">
        <f t="shared" si="11"/>
        <v>581359.74102499965</v>
      </c>
      <c r="J52" s="33">
        <f t="shared" si="11"/>
        <v>828902.09262701264</v>
      </c>
      <c r="K52" s="33">
        <f t="shared" si="11"/>
        <v>1104267.1236074977</v>
      </c>
      <c r="L52" s="33">
        <f t="shared" si="11"/>
        <v>1408514.024592011</v>
      </c>
      <c r="M52" s="73">
        <f t="shared" si="11"/>
        <v>1742738.7396396135</v>
      </c>
      <c r="N52" s="40">
        <f>AVERAGE(D52:M52)</f>
        <v>645946.50010701921</v>
      </c>
      <c r="O52" s="28" t="s">
        <v>129</v>
      </c>
      <c r="P52" s="46"/>
      <c r="Q52" s="46"/>
      <c r="AI52" s="46"/>
      <c r="AJ52" s="46"/>
    </row>
    <row r="53" spans="1:37" x14ac:dyDescent="0.2">
      <c r="A53" s="111"/>
      <c r="B53" t="s">
        <v>32</v>
      </c>
      <c r="D53" s="135">
        <f>Assumptions!$B$52*D28</f>
        <v>909.69389316628644</v>
      </c>
      <c r="E53" s="33">
        <f>Assumptions!$B$52*E28</f>
        <v>3926.2514431500658</v>
      </c>
      <c r="F53" s="33">
        <f>Assumptions!$B$52*F28</f>
        <v>7289.1056216675715</v>
      </c>
      <c r="G53" s="33">
        <f>Assumptions!$B$52*G28</f>
        <v>11030.668095860878</v>
      </c>
      <c r="H53" s="33">
        <f>Assumptions!$B$52*H28</f>
        <v>15186.199662749546</v>
      </c>
      <c r="I53" s="33">
        <f>Assumptions!$B$52*I28</f>
        <v>19794.055385905616</v>
      </c>
      <c r="J53" s="33">
        <f>Assumptions!$B$52*J28</f>
        <v>24754.2351602013</v>
      </c>
      <c r="K53" s="33">
        <f>Assumptions!$B$52*K28</f>
        <v>27536.50309804851</v>
      </c>
      <c r="L53" s="33">
        <f>Assumptions!$B$52*L28</f>
        <v>30424.69009845133</v>
      </c>
      <c r="M53" s="73">
        <f>Assumptions!$B$52*M28</f>
        <v>33422.471504760251</v>
      </c>
      <c r="N53" s="30"/>
    </row>
    <row r="54" spans="1:37" x14ac:dyDescent="0.2">
      <c r="A54" s="111"/>
      <c r="D54" s="41"/>
      <c r="E54" s="41"/>
      <c r="F54" s="41"/>
      <c r="G54" s="41"/>
      <c r="H54" s="41"/>
      <c r="I54" s="41"/>
      <c r="J54" s="41"/>
      <c r="K54" s="41"/>
      <c r="L54" s="41"/>
      <c r="M54" s="133"/>
    </row>
    <row r="55" spans="1:37" ht="13.5" thickBot="1" x14ac:dyDescent="0.25">
      <c r="A55" s="121"/>
      <c r="B55" s="137" t="s">
        <v>33</v>
      </c>
      <c r="C55" s="82"/>
      <c r="D55" s="138">
        <f t="shared" ref="D55:M55" si="12">SUM(D44:D52)-D53</f>
        <v>2712909.247410872</v>
      </c>
      <c r="E55" s="138">
        <f t="shared" si="12"/>
        <v>2646759.0391189125</v>
      </c>
      <c r="F55" s="138">
        <f t="shared" si="12"/>
        <v>2580763.6674353369</v>
      </c>
      <c r="G55" s="138">
        <f t="shared" si="12"/>
        <v>2514927.7774583977</v>
      </c>
      <c r="H55" s="138">
        <f t="shared" si="12"/>
        <v>2449256.1536392919</v>
      </c>
      <c r="I55" s="138">
        <f t="shared" si="12"/>
        <v>2383753.7239627573</v>
      </c>
      <c r="J55" s="138">
        <f t="shared" si="12"/>
        <v>2335024.5642530681</v>
      </c>
      <c r="K55" s="138">
        <f t="shared" si="12"/>
        <v>2603334.3311806605</v>
      </c>
      <c r="L55" s="138">
        <f t="shared" si="12"/>
        <v>2899789.9811160797</v>
      </c>
      <c r="M55" s="139">
        <f t="shared" si="12"/>
        <v>3225420.0605495619</v>
      </c>
    </row>
    <row r="56" spans="1:37" ht="13.5" thickBot="1" x14ac:dyDescent="0.25">
      <c r="B56" s="32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37" x14ac:dyDescent="0.2">
      <c r="A57" s="108"/>
      <c r="B57" s="143" t="s">
        <v>187</v>
      </c>
      <c r="C57" s="65"/>
      <c r="D57" s="144">
        <f t="shared" ref="D57:M57" si="13">D47/SUM(D47:D48)</f>
        <v>0.49547714673012716</v>
      </c>
      <c r="E57" s="144">
        <f t="shared" si="13"/>
        <v>0.51531710160207822</v>
      </c>
      <c r="F57" s="144">
        <f t="shared" si="13"/>
        <v>0.54555293720206666</v>
      </c>
      <c r="G57" s="144">
        <f t="shared" si="13"/>
        <v>0.59131171529607396</v>
      </c>
      <c r="H57" s="144">
        <f t="shared" si="13"/>
        <v>0.66231856151413038</v>
      </c>
      <c r="I57" s="144">
        <f t="shared" si="13"/>
        <v>0.77938824796012296</v>
      </c>
      <c r="J57" s="144">
        <f t="shared" si="13"/>
        <v>0.97987615410060513</v>
      </c>
      <c r="K57" s="144">
        <f t="shared" si="13"/>
        <v>0.97537682292577188</v>
      </c>
      <c r="L57" s="144">
        <f t="shared" si="13"/>
        <v>0.9703026880103417</v>
      </c>
      <c r="M57" s="145">
        <f t="shared" si="13"/>
        <v>0.96457534258629429</v>
      </c>
    </row>
    <row r="58" spans="1:37" x14ac:dyDescent="0.2">
      <c r="A58" s="111"/>
      <c r="B58" s="32" t="s">
        <v>188</v>
      </c>
      <c r="D58" s="34">
        <f t="shared" ref="D58:M58" si="14">D48/SUM(D47:D48)</f>
        <v>0.50452285326987278</v>
      </c>
      <c r="E58" s="34">
        <f t="shared" si="14"/>
        <v>0.48468289839792172</v>
      </c>
      <c r="F58" s="34">
        <f t="shared" si="14"/>
        <v>0.45444706279793329</v>
      </c>
      <c r="G58" s="34">
        <f t="shared" si="14"/>
        <v>0.40868828470392604</v>
      </c>
      <c r="H58" s="34">
        <f t="shared" si="14"/>
        <v>0.33768143848586957</v>
      </c>
      <c r="I58" s="34">
        <f t="shared" si="14"/>
        <v>0.22061175203987707</v>
      </c>
      <c r="J58" s="34">
        <f t="shared" si="14"/>
        <v>2.0123845899394813E-2</v>
      </c>
      <c r="K58" s="34">
        <f t="shared" si="14"/>
        <v>2.4623177074228165E-2</v>
      </c>
      <c r="L58" s="34">
        <f t="shared" si="14"/>
        <v>2.9697311989658342E-2</v>
      </c>
      <c r="M58" s="146">
        <f t="shared" si="14"/>
        <v>3.5424657413705582E-2</v>
      </c>
    </row>
    <row r="59" spans="1:37" x14ac:dyDescent="0.2">
      <c r="A59" s="111"/>
      <c r="B59" s="32" t="s">
        <v>173</v>
      </c>
      <c r="D59" s="35">
        <f>(+D57*'Average Forecast'!$I$1)+('Average Forecast'!D58*'Average Forecast'!$N$24)</f>
        <v>5.0452285326987284E-2</v>
      </c>
      <c r="E59" s="35">
        <f>(+E57*'Average Forecast'!$I$1)+('Average Forecast'!E58*'Average Forecast'!$N$24)</f>
        <v>4.8468289839792178E-2</v>
      </c>
      <c r="F59" s="35">
        <f>(+F57*'Average Forecast'!$I$1)+('Average Forecast'!F58*'Average Forecast'!$N$24)</f>
        <v>4.5444706279793329E-2</v>
      </c>
      <c r="G59" s="35">
        <f>(+G57*'Average Forecast'!$I$1)+('Average Forecast'!G58*'Average Forecast'!$N$24)</f>
        <v>4.086882847039261E-2</v>
      </c>
      <c r="H59" s="35">
        <f>(+H57*'Average Forecast'!$I$1)+('Average Forecast'!H58*'Average Forecast'!$N$24)</f>
        <v>3.3768143848586958E-2</v>
      </c>
      <c r="I59" s="35">
        <f>(+I57*'Average Forecast'!$I$1)+('Average Forecast'!I58*'Average Forecast'!$N$24)</f>
        <v>2.2061175203987708E-2</v>
      </c>
      <c r="J59" s="35">
        <f>(+J57*'Average Forecast'!$I$1)+('Average Forecast'!J58*'Average Forecast'!$N$24)</f>
        <v>2.0123845899394813E-3</v>
      </c>
      <c r="K59" s="35">
        <f>(+K57*'Average Forecast'!$I$1)+('Average Forecast'!K58*'Average Forecast'!$N$24)</f>
        <v>2.4623177074228168E-3</v>
      </c>
      <c r="L59" s="35">
        <f>(+L57*'Average Forecast'!$I$1)+('Average Forecast'!L58*'Average Forecast'!$N$24)</f>
        <v>2.9697311989658345E-3</v>
      </c>
      <c r="M59" s="147">
        <f>(+M57*'Average Forecast'!$I$1)+('Average Forecast'!M58*'Average Forecast'!$N$24)</f>
        <v>3.5424657413705585E-3</v>
      </c>
    </row>
    <row r="60" spans="1:37" ht="15" x14ac:dyDescent="0.25">
      <c r="A60" s="111"/>
      <c r="B60" s="32" t="s">
        <v>168</v>
      </c>
      <c r="D60" s="36">
        <v>1.24</v>
      </c>
      <c r="E60" s="36">
        <v>1.24</v>
      </c>
      <c r="F60" s="36">
        <v>1.24</v>
      </c>
      <c r="G60" s="36">
        <v>1.24</v>
      </c>
      <c r="H60" s="36">
        <v>1.24</v>
      </c>
      <c r="I60" s="36">
        <v>1.24</v>
      </c>
      <c r="J60" s="36">
        <v>1.24</v>
      </c>
      <c r="K60" s="36">
        <v>1.24</v>
      </c>
      <c r="L60" s="36">
        <v>1.24</v>
      </c>
      <c r="M60" s="148">
        <v>1.24</v>
      </c>
    </row>
    <row r="61" spans="1:37" x14ac:dyDescent="0.2">
      <c r="A61" s="111"/>
      <c r="B61" s="32" t="s">
        <v>189</v>
      </c>
      <c r="D61" s="38">
        <f t="shared" ref="D61:M61" si="15">SUM(D47:D48)/SUM(D47:D52)</f>
        <v>0.86954897804961673</v>
      </c>
      <c r="E61" s="38">
        <f t="shared" si="15"/>
        <v>0.85108226771118123</v>
      </c>
      <c r="F61" s="38">
        <f t="shared" si="15"/>
        <v>0.81841985306173104</v>
      </c>
      <c r="G61" s="38">
        <f t="shared" si="15"/>
        <v>0.76877455129276173</v>
      </c>
      <c r="H61" s="38">
        <f t="shared" si="15"/>
        <v>0.69884873059020558</v>
      </c>
      <c r="I61" s="38">
        <f t="shared" si="15"/>
        <v>0.60472732401653673</v>
      </c>
      <c r="J61" s="38">
        <f t="shared" si="15"/>
        <v>0.48619383200190019</v>
      </c>
      <c r="K61" s="38">
        <f t="shared" si="15"/>
        <v>0.43108304582298701</v>
      </c>
      <c r="L61" s="38">
        <f t="shared" si="15"/>
        <v>0.38215220801067046</v>
      </c>
      <c r="M61" s="149">
        <f t="shared" si="15"/>
        <v>0.3388590328654964</v>
      </c>
    </row>
    <row r="62" spans="1:37" x14ac:dyDescent="0.2">
      <c r="A62" s="111"/>
      <c r="B62" s="32" t="s">
        <v>169</v>
      </c>
      <c r="D62" s="38">
        <f t="shared" ref="D62:M62" si="16">SUM(D51:D52)/SUM(D47:D52)</f>
        <v>0.13045102195038319</v>
      </c>
      <c r="E62" s="38">
        <f t="shared" si="16"/>
        <v>0.14891773228881877</v>
      </c>
      <c r="F62" s="38">
        <f t="shared" si="16"/>
        <v>0.18158014693826904</v>
      </c>
      <c r="G62" s="38">
        <f t="shared" si="16"/>
        <v>0.23122544870723841</v>
      </c>
      <c r="H62" s="38">
        <f t="shared" si="16"/>
        <v>0.30115126940979431</v>
      </c>
      <c r="I62" s="38">
        <f t="shared" si="16"/>
        <v>0.39527267598346322</v>
      </c>
      <c r="J62" s="38">
        <f t="shared" si="16"/>
        <v>0.51380616799809975</v>
      </c>
      <c r="K62" s="38">
        <f t="shared" si="16"/>
        <v>0.56891695417701305</v>
      </c>
      <c r="L62" s="38">
        <f t="shared" si="16"/>
        <v>0.6178477919893296</v>
      </c>
      <c r="M62" s="149">
        <f t="shared" si="16"/>
        <v>0.66114096713450354</v>
      </c>
    </row>
    <row r="63" spans="1:37" x14ac:dyDescent="0.2">
      <c r="A63" s="111"/>
      <c r="B63" s="32"/>
      <c r="D63" s="33"/>
      <c r="E63" s="33"/>
      <c r="F63" s="33"/>
      <c r="G63" s="33"/>
      <c r="H63" s="33"/>
      <c r="I63" s="33"/>
      <c r="J63" s="33"/>
      <c r="K63" s="33"/>
      <c r="L63" s="33"/>
      <c r="M63" s="73"/>
    </row>
    <row r="64" spans="1:37" ht="15" x14ac:dyDescent="0.25">
      <c r="A64" s="111"/>
      <c r="B64" s="32" t="s">
        <v>190</v>
      </c>
      <c r="D64" s="36">
        <f t="shared" ref="D64:M64" si="17">+D60*(1+(1-$N$27)*(D61/D62))</f>
        <v>7.6457494944233906</v>
      </c>
      <c r="E64" s="36">
        <f t="shared" si="17"/>
        <v>6.7322274647869795</v>
      </c>
      <c r="F64" s="36">
        <f t="shared" si="17"/>
        <v>5.5714288046022276</v>
      </c>
      <c r="G64" s="36">
        <f t="shared" si="17"/>
        <v>4.4351169212682624</v>
      </c>
      <c r="H64" s="36">
        <f t="shared" si="17"/>
        <v>3.4700873292461889</v>
      </c>
      <c r="I64" s="36">
        <f t="shared" si="17"/>
        <v>2.7102330661586245</v>
      </c>
      <c r="J64" s="36">
        <f t="shared" si="17"/>
        <v>2.1493551258332775</v>
      </c>
      <c r="K64" s="36">
        <f t="shared" si="17"/>
        <v>1.9681744795866887</v>
      </c>
      <c r="L64" s="36">
        <f t="shared" si="17"/>
        <v>1.8343992625041163</v>
      </c>
      <c r="M64" s="148">
        <f t="shared" si="17"/>
        <v>1.7325478026193657</v>
      </c>
    </row>
    <row r="65" spans="1:14" ht="15" x14ac:dyDescent="0.25">
      <c r="A65" s="111"/>
      <c r="B65" s="32" t="s">
        <v>170</v>
      </c>
      <c r="D65" s="49">
        <v>0.1002</v>
      </c>
      <c r="E65" s="49">
        <v>0.1002</v>
      </c>
      <c r="F65" s="49">
        <v>0.1002</v>
      </c>
      <c r="G65" s="49">
        <v>0.1002</v>
      </c>
      <c r="H65" s="49">
        <v>0.1002</v>
      </c>
      <c r="I65" s="49">
        <v>0.1002</v>
      </c>
      <c r="J65" s="49">
        <v>0.1002</v>
      </c>
      <c r="K65" s="49">
        <v>0.1002</v>
      </c>
      <c r="L65" s="49">
        <v>0.1002</v>
      </c>
      <c r="M65" s="150">
        <v>0.1002</v>
      </c>
    </row>
    <row r="66" spans="1:14" ht="15" x14ac:dyDescent="0.25">
      <c r="A66" s="111"/>
      <c r="B66" s="32" t="s">
        <v>171</v>
      </c>
      <c r="D66" s="49">
        <v>2.0799999999999999E-2</v>
      </c>
      <c r="E66" s="49">
        <v>2.0799999999999999E-2</v>
      </c>
      <c r="F66" s="49">
        <v>2.0799999999999999E-2</v>
      </c>
      <c r="G66" s="49">
        <v>2.0799999999999999E-2</v>
      </c>
      <c r="H66" s="49">
        <v>2.0799999999999999E-2</v>
      </c>
      <c r="I66" s="49">
        <v>2.0799999999999999E-2</v>
      </c>
      <c r="J66" s="49">
        <v>2.0799999999999999E-2</v>
      </c>
      <c r="K66" s="49">
        <v>2.0799999999999999E-2</v>
      </c>
      <c r="L66" s="49">
        <v>2.0799999999999999E-2</v>
      </c>
      <c r="M66" s="150">
        <v>2.0799999999999999E-2</v>
      </c>
    </row>
    <row r="67" spans="1:14" x14ac:dyDescent="0.2">
      <c r="A67" s="111"/>
      <c r="B67" s="32" t="s">
        <v>172</v>
      </c>
      <c r="D67" s="37">
        <f t="shared" ref="D67:M67" si="18">+D66+D64*(D65-D66)</f>
        <v>0.62787250985721721</v>
      </c>
      <c r="E67" s="37">
        <f t="shared" si="18"/>
        <v>0.55533886070408622</v>
      </c>
      <c r="F67" s="37">
        <f t="shared" si="18"/>
        <v>0.46317144708541685</v>
      </c>
      <c r="G67" s="37">
        <f t="shared" si="18"/>
        <v>0.37294828354870002</v>
      </c>
      <c r="H67" s="37">
        <f t="shared" si="18"/>
        <v>0.29632493394214737</v>
      </c>
      <c r="I67" s="37">
        <f t="shared" si="18"/>
        <v>0.23599250545299477</v>
      </c>
      <c r="J67" s="37">
        <f t="shared" si="18"/>
        <v>0.19145879699116225</v>
      </c>
      <c r="K67" s="37">
        <f t="shared" si="18"/>
        <v>0.17707305367918308</v>
      </c>
      <c r="L67" s="37">
        <f t="shared" si="18"/>
        <v>0.16645130144282683</v>
      </c>
      <c r="M67" s="151">
        <f t="shared" si="18"/>
        <v>0.15836429552797765</v>
      </c>
    </row>
    <row r="68" spans="1:14" x14ac:dyDescent="0.2">
      <c r="A68" s="111"/>
      <c r="B68" s="32"/>
      <c r="D68" s="33"/>
      <c r="E68" s="33"/>
      <c r="F68" s="33"/>
      <c r="G68" s="33"/>
      <c r="H68" s="33"/>
      <c r="I68" s="33"/>
      <c r="J68" s="33"/>
      <c r="K68" s="33"/>
      <c r="L68" s="33"/>
      <c r="M68" s="73"/>
    </row>
    <row r="69" spans="1:14" ht="13.5" thickBot="1" x14ac:dyDescent="0.25">
      <c r="A69" s="121"/>
      <c r="B69" s="137" t="s">
        <v>167</v>
      </c>
      <c r="C69" s="82"/>
      <c r="D69" s="152">
        <f t="shared" ref="D69:M69" si="19">D61*(1-$N$27)*D59+D62*D67</f>
        <v>0.11590642875384687</v>
      </c>
      <c r="E69" s="152">
        <f t="shared" si="19"/>
        <v>0.11466894286033191</v>
      </c>
      <c r="F69" s="152">
        <f t="shared" si="19"/>
        <v>0.11292719804223574</v>
      </c>
      <c r="G69" s="152">
        <f t="shared" si="19"/>
        <v>0.1105847935417624</v>
      </c>
      <c r="H69" s="152">
        <f t="shared" si="19"/>
        <v>0.10752771897325478</v>
      </c>
      <c r="I69" s="152">
        <f t="shared" si="19"/>
        <v>0.10362066061291707</v>
      </c>
      <c r="J69" s="152">
        <f t="shared" si="19"/>
        <v>9.9130977767369483E-2</v>
      </c>
      <c r="K69" s="152">
        <f t="shared" si="19"/>
        <v>0.10156249651423585</v>
      </c>
      <c r="L69" s="152">
        <f t="shared" si="19"/>
        <v>0.10372110830473517</v>
      </c>
      <c r="M69" s="153">
        <f t="shared" si="19"/>
        <v>0.10563143080412847</v>
      </c>
    </row>
    <row r="70" spans="1:14" ht="15.75" thickBot="1" x14ac:dyDescent="0.3">
      <c r="B70" s="46"/>
      <c r="C70" s="46"/>
      <c r="D70" s="46"/>
      <c r="E70" s="46"/>
      <c r="F70" s="46"/>
      <c r="G70" s="46"/>
      <c r="H70" s="46"/>
      <c r="I70" s="46"/>
      <c r="J70" s="46"/>
    </row>
    <row r="71" spans="1:14" ht="15" x14ac:dyDescent="0.25">
      <c r="A71" s="63" t="s">
        <v>135</v>
      </c>
      <c r="B71" s="64"/>
      <c r="C71" s="84">
        <v>0</v>
      </c>
      <c r="D71" s="84">
        <v>1</v>
      </c>
      <c r="E71" s="84">
        <v>2</v>
      </c>
      <c r="F71" s="84">
        <v>3</v>
      </c>
      <c r="G71" s="84">
        <v>4</v>
      </c>
      <c r="H71" s="84">
        <v>5</v>
      </c>
      <c r="I71" s="84">
        <v>6</v>
      </c>
      <c r="J71" s="84">
        <v>7</v>
      </c>
      <c r="K71" s="84">
        <v>8</v>
      </c>
      <c r="L71" s="84">
        <v>9</v>
      </c>
      <c r="M71" s="85">
        <v>10</v>
      </c>
    </row>
    <row r="72" spans="1:14" ht="15" x14ac:dyDescent="0.25">
      <c r="A72" s="100" t="s">
        <v>136</v>
      </c>
      <c r="B72" s="93"/>
      <c r="C72" s="94"/>
      <c r="D72" s="93"/>
      <c r="E72" s="93"/>
      <c r="F72" s="93"/>
      <c r="G72" s="93"/>
      <c r="H72" s="93"/>
      <c r="I72" s="93"/>
      <c r="J72" s="93"/>
      <c r="K72" s="8"/>
      <c r="L72" s="8"/>
      <c r="M72" s="101"/>
    </row>
    <row r="73" spans="1:14" ht="15" x14ac:dyDescent="0.25">
      <c r="A73" s="67"/>
      <c r="B73" s="46" t="s">
        <v>137</v>
      </c>
      <c r="C73" s="46"/>
      <c r="D73" s="52">
        <f t="shared" ref="D73:M73" si="20">D19</f>
        <v>295521.03852310544</v>
      </c>
      <c r="E73" s="52">
        <f t="shared" si="20"/>
        <v>323566.66967879841</v>
      </c>
      <c r="F73" s="52">
        <f t="shared" si="20"/>
        <v>352687.66976916254</v>
      </c>
      <c r="G73" s="52">
        <f t="shared" si="20"/>
        <v>382919.5438622376</v>
      </c>
      <c r="H73" s="52">
        <f t="shared" si="20"/>
        <v>414298.91269810474</v>
      </c>
      <c r="I73" s="52">
        <f t="shared" si="20"/>
        <v>446863.54702584795</v>
      </c>
      <c r="J73" s="52">
        <f t="shared" si="20"/>
        <v>480652.4029865237</v>
      </c>
      <c r="K73" s="52">
        <f t="shared" si="20"/>
        <v>515705.65857382282</v>
      </c>
      <c r="L73" s="52">
        <f t="shared" si="20"/>
        <v>552064.75120506925</v>
      </c>
      <c r="M73" s="86">
        <f t="shared" si="20"/>
        <v>589772.41643617046</v>
      </c>
      <c r="N73" s="52"/>
    </row>
    <row r="74" spans="1:14" ht="15" x14ac:dyDescent="0.25">
      <c r="A74" s="67"/>
      <c r="B74" s="46" t="s">
        <v>138</v>
      </c>
      <c r="C74" s="46"/>
      <c r="D74" s="52">
        <f t="shared" ref="D74:M74" si="21">SUM(D21:D22)</f>
        <v>71311.42857142858</v>
      </c>
      <c r="E74" s="52">
        <f t="shared" si="21"/>
        <v>71311.42857142858</v>
      </c>
      <c r="F74" s="52">
        <f t="shared" si="21"/>
        <v>71311.42857142858</v>
      </c>
      <c r="G74" s="52">
        <f t="shared" si="21"/>
        <v>71311.42857142858</v>
      </c>
      <c r="H74" s="52">
        <f t="shared" si="21"/>
        <v>71311.42857142858</v>
      </c>
      <c r="I74" s="52">
        <f t="shared" si="21"/>
        <v>71311.42857142858</v>
      </c>
      <c r="J74" s="52">
        <f t="shared" si="21"/>
        <v>71311.42857142858</v>
      </c>
      <c r="K74" s="52">
        <f t="shared" si="21"/>
        <v>71311.42857142858</v>
      </c>
      <c r="L74" s="52">
        <f t="shared" si="21"/>
        <v>71311.42857142858</v>
      </c>
      <c r="M74" s="86">
        <f t="shared" si="21"/>
        <v>71311.42857142858</v>
      </c>
    </row>
    <row r="75" spans="1:14" ht="15" x14ac:dyDescent="0.25">
      <c r="A75" s="67"/>
      <c r="B75" s="46" t="s">
        <v>139</v>
      </c>
      <c r="C75" s="46"/>
      <c r="D75" s="52">
        <f t="shared" ref="D75:M75" si="22">D73-D74</f>
        <v>224209.60995167686</v>
      </c>
      <c r="E75" s="52">
        <f t="shared" si="22"/>
        <v>252255.24110736983</v>
      </c>
      <c r="F75" s="52">
        <f t="shared" si="22"/>
        <v>281376.24119773397</v>
      </c>
      <c r="G75" s="52">
        <f t="shared" si="22"/>
        <v>311608.11529080902</v>
      </c>
      <c r="H75" s="52">
        <f t="shared" si="22"/>
        <v>342987.48412667617</v>
      </c>
      <c r="I75" s="52">
        <f t="shared" si="22"/>
        <v>375552.11845441937</v>
      </c>
      <c r="J75" s="52">
        <f t="shared" si="22"/>
        <v>409340.97441509512</v>
      </c>
      <c r="K75" s="52">
        <f t="shared" si="22"/>
        <v>444394.23000239424</v>
      </c>
      <c r="L75" s="52">
        <f t="shared" si="22"/>
        <v>480753.32263364067</v>
      </c>
      <c r="M75" s="86">
        <f t="shared" si="22"/>
        <v>518460.98786474188</v>
      </c>
    </row>
    <row r="76" spans="1:14" ht="15" x14ac:dyDescent="0.25">
      <c r="A76" s="67"/>
      <c r="B76" s="46" t="s">
        <v>140</v>
      </c>
      <c r="C76" s="46"/>
      <c r="D76" s="52">
        <f t="shared" ref="D76:M76" si="23">IF(D75&lt;0,0,D75*$N$27)</f>
        <v>50447.162239127298</v>
      </c>
      <c r="E76" s="52">
        <f t="shared" si="23"/>
        <v>56757.429249158216</v>
      </c>
      <c r="F76" s="52">
        <f t="shared" si="23"/>
        <v>63309.654269490144</v>
      </c>
      <c r="G76" s="52">
        <f t="shared" si="23"/>
        <v>70111.825940432027</v>
      </c>
      <c r="H76" s="52">
        <f t="shared" si="23"/>
        <v>77172.183928502141</v>
      </c>
      <c r="I76" s="52">
        <f t="shared" si="23"/>
        <v>84499.226652244353</v>
      </c>
      <c r="J76" s="52">
        <f t="shared" si="23"/>
        <v>92101.719243396408</v>
      </c>
      <c r="K76" s="52">
        <f t="shared" si="23"/>
        <v>99988.701750538705</v>
      </c>
      <c r="L76" s="52">
        <f t="shared" si="23"/>
        <v>108169.49759256915</v>
      </c>
      <c r="M76" s="86">
        <f t="shared" si="23"/>
        <v>116653.72226956692</v>
      </c>
    </row>
    <row r="77" spans="1:14" ht="15" x14ac:dyDescent="0.25">
      <c r="A77" s="67"/>
      <c r="B77" s="46" t="s">
        <v>141</v>
      </c>
      <c r="C77" s="46"/>
      <c r="D77" s="70">
        <f t="shared" ref="D77:M77" si="24">D75-D76</f>
        <v>173762.44771254956</v>
      </c>
      <c r="E77" s="70">
        <f t="shared" si="24"/>
        <v>195497.81185821161</v>
      </c>
      <c r="F77" s="70">
        <f t="shared" si="24"/>
        <v>218066.58692824381</v>
      </c>
      <c r="G77" s="70">
        <f t="shared" si="24"/>
        <v>241496.28935037699</v>
      </c>
      <c r="H77" s="70">
        <f t="shared" si="24"/>
        <v>265815.30019817402</v>
      </c>
      <c r="I77" s="70">
        <f t="shared" si="24"/>
        <v>291052.89180217503</v>
      </c>
      <c r="J77" s="70">
        <f t="shared" si="24"/>
        <v>317239.25517169869</v>
      </c>
      <c r="K77" s="70">
        <f t="shared" si="24"/>
        <v>344405.52825185552</v>
      </c>
      <c r="L77" s="70">
        <f t="shared" si="24"/>
        <v>372583.82504107151</v>
      </c>
      <c r="M77" s="87">
        <f t="shared" si="24"/>
        <v>401807.26559517498</v>
      </c>
    </row>
    <row r="78" spans="1:14" ht="15" x14ac:dyDescent="0.25">
      <c r="A78" s="67"/>
      <c r="B78" s="46" t="s">
        <v>142</v>
      </c>
      <c r="C78" s="46"/>
      <c r="D78" s="52">
        <f t="shared" ref="D78:M78" si="25">D74</f>
        <v>71311.42857142858</v>
      </c>
      <c r="E78" s="52">
        <f t="shared" si="25"/>
        <v>71311.42857142858</v>
      </c>
      <c r="F78" s="52">
        <f t="shared" si="25"/>
        <v>71311.42857142858</v>
      </c>
      <c r="G78" s="52">
        <f t="shared" si="25"/>
        <v>71311.42857142858</v>
      </c>
      <c r="H78" s="52">
        <f t="shared" si="25"/>
        <v>71311.42857142858</v>
      </c>
      <c r="I78" s="52">
        <f t="shared" si="25"/>
        <v>71311.42857142858</v>
      </c>
      <c r="J78" s="52">
        <f t="shared" si="25"/>
        <v>71311.42857142858</v>
      </c>
      <c r="K78" s="52">
        <f t="shared" si="25"/>
        <v>71311.42857142858</v>
      </c>
      <c r="L78" s="52">
        <f t="shared" si="25"/>
        <v>71311.42857142858</v>
      </c>
      <c r="M78" s="86">
        <f t="shared" si="25"/>
        <v>71311.42857142858</v>
      </c>
    </row>
    <row r="79" spans="1:14" ht="15" x14ac:dyDescent="0.25">
      <c r="A79" s="102"/>
      <c r="B79" s="95" t="s">
        <v>136</v>
      </c>
      <c r="C79" s="95"/>
      <c r="D79" s="130">
        <f t="shared" ref="D79:M79" si="26">D77+D78</f>
        <v>245073.87628397814</v>
      </c>
      <c r="E79" s="130">
        <f t="shared" si="26"/>
        <v>266809.24042964017</v>
      </c>
      <c r="F79" s="130">
        <f t="shared" si="26"/>
        <v>289378.01549967239</v>
      </c>
      <c r="G79" s="130">
        <f t="shared" si="26"/>
        <v>312807.71792180557</v>
      </c>
      <c r="H79" s="130">
        <f t="shared" si="26"/>
        <v>337126.7287696026</v>
      </c>
      <c r="I79" s="130">
        <f t="shared" si="26"/>
        <v>362364.32037360361</v>
      </c>
      <c r="J79" s="130">
        <f t="shared" si="26"/>
        <v>388550.68374312727</v>
      </c>
      <c r="K79" s="130">
        <f t="shared" si="26"/>
        <v>415716.9568232841</v>
      </c>
      <c r="L79" s="130">
        <f t="shared" si="26"/>
        <v>443895.25361250009</v>
      </c>
      <c r="M79" s="131">
        <f t="shared" si="26"/>
        <v>473118.69416660356</v>
      </c>
    </row>
    <row r="80" spans="1:14" ht="15" x14ac:dyDescent="0.25">
      <c r="A80" s="100" t="s">
        <v>143</v>
      </c>
      <c r="B80" s="93"/>
      <c r="C80" s="93"/>
      <c r="D80" s="93"/>
      <c r="E80" s="93"/>
      <c r="F80" s="93"/>
      <c r="G80" s="93"/>
      <c r="H80" s="93"/>
      <c r="I80" s="93"/>
      <c r="J80" s="93"/>
      <c r="K80" s="8"/>
      <c r="L80" s="8"/>
      <c r="M80" s="101"/>
    </row>
    <row r="81" spans="1:15" ht="15" x14ac:dyDescent="0.25">
      <c r="A81" s="67"/>
      <c r="B81" s="46" t="s">
        <v>144</v>
      </c>
      <c r="C81" s="52">
        <f>-(D35+D36)</f>
        <v>-2450000</v>
      </c>
      <c r="D81" s="46"/>
      <c r="E81" s="46"/>
      <c r="F81" s="46"/>
      <c r="G81" s="46"/>
      <c r="H81" s="46"/>
      <c r="I81" s="46"/>
      <c r="J81" s="46"/>
      <c r="M81" s="68"/>
    </row>
    <row r="82" spans="1:15" ht="15" x14ac:dyDescent="0.25">
      <c r="A82" s="67"/>
      <c r="B82" s="46" t="s">
        <v>160</v>
      </c>
      <c r="C82" s="52">
        <f>-D37</f>
        <v>-156180</v>
      </c>
      <c r="D82" s="46"/>
      <c r="E82" s="46"/>
      <c r="F82" s="46"/>
      <c r="G82" s="46"/>
      <c r="H82" s="46"/>
      <c r="I82" s="46"/>
      <c r="J82" s="46"/>
      <c r="M82" s="68"/>
    </row>
    <row r="83" spans="1:15" ht="15" x14ac:dyDescent="0.25">
      <c r="A83" s="67"/>
      <c r="B83" s="46" t="s">
        <v>145</v>
      </c>
      <c r="C83" s="46"/>
      <c r="D83" s="46"/>
      <c r="E83" s="46"/>
      <c r="F83" s="46"/>
      <c r="H83" s="46"/>
      <c r="M83" s="86">
        <f>O83*O84</f>
        <v>2352000</v>
      </c>
      <c r="N83" s="46" t="s">
        <v>163</v>
      </c>
      <c r="O83" s="62">
        <f>(M35+M36-M38)</f>
        <v>1960000</v>
      </c>
    </row>
    <row r="84" spans="1:15" ht="15" x14ac:dyDescent="0.25">
      <c r="A84" s="67"/>
      <c r="B84" s="46" t="s">
        <v>161</v>
      </c>
      <c r="C84" s="46"/>
      <c r="D84" s="46"/>
      <c r="E84" s="46"/>
      <c r="F84" s="46"/>
      <c r="G84" s="52"/>
      <c r="H84" s="46"/>
      <c r="M84" s="88">
        <f>-O87*C82</f>
        <v>39045</v>
      </c>
      <c r="N84" s="46" t="s">
        <v>147</v>
      </c>
      <c r="O84" s="47">
        <v>1.2</v>
      </c>
    </row>
    <row r="85" spans="1:15" ht="15" x14ac:dyDescent="0.25">
      <c r="A85" s="67"/>
      <c r="B85" s="46" t="s">
        <v>146</v>
      </c>
      <c r="C85" s="46"/>
      <c r="D85" s="46"/>
      <c r="E85" s="46"/>
      <c r="F85" s="46"/>
      <c r="H85" s="46"/>
      <c r="M85" s="89">
        <f>-O85*N27</f>
        <v>-88200</v>
      </c>
      <c r="N85" s="46" t="s">
        <v>164</v>
      </c>
      <c r="O85" s="62">
        <f>M83-O83</f>
        <v>392000</v>
      </c>
    </row>
    <row r="86" spans="1:15" ht="15" x14ac:dyDescent="0.25">
      <c r="A86" s="102"/>
      <c r="B86" s="95" t="s">
        <v>162</v>
      </c>
      <c r="C86" s="95"/>
      <c r="D86" s="95"/>
      <c r="E86" s="95"/>
      <c r="F86" s="95"/>
      <c r="G86" s="97"/>
      <c r="H86" s="95"/>
      <c r="I86" s="10"/>
      <c r="J86" s="10"/>
      <c r="K86" s="10"/>
      <c r="L86" s="10"/>
      <c r="M86" s="104">
        <f>-O88*N27</f>
        <v>-8785.125</v>
      </c>
      <c r="N86" s="46" t="s">
        <v>165</v>
      </c>
      <c r="O86" s="40">
        <f>M37-M39</f>
        <v>0</v>
      </c>
    </row>
    <row r="87" spans="1:15" ht="15" x14ac:dyDescent="0.25">
      <c r="A87" s="100" t="s">
        <v>148</v>
      </c>
      <c r="B87" s="93"/>
      <c r="C87" s="93"/>
      <c r="D87" s="93"/>
      <c r="E87" s="93"/>
      <c r="F87" s="93"/>
      <c r="G87" s="93"/>
      <c r="H87" s="93"/>
      <c r="I87" s="8"/>
      <c r="J87" s="8"/>
      <c r="K87" s="8"/>
      <c r="L87" s="8"/>
      <c r="M87" s="101"/>
      <c r="N87" s="46" t="s">
        <v>147</v>
      </c>
      <c r="O87" s="47">
        <v>0.25</v>
      </c>
    </row>
    <row r="88" spans="1:15" ht="15" x14ac:dyDescent="0.25">
      <c r="A88" s="74" t="s">
        <v>149</v>
      </c>
      <c r="B88" s="75" t="s">
        <v>21</v>
      </c>
      <c r="C88" s="76"/>
      <c r="D88" s="52">
        <f t="shared" ref="D88:M88" si="27">-(D34-C34)</f>
        <v>-172040.67598230066</v>
      </c>
      <c r="E88" s="52">
        <f t="shared" si="27"/>
        <v>-5161.2202794690384</v>
      </c>
      <c r="F88" s="52">
        <f t="shared" si="27"/>
        <v>-5316.0568878531049</v>
      </c>
      <c r="G88" s="52">
        <f t="shared" si="27"/>
        <v>-5475.5385944886948</v>
      </c>
      <c r="H88" s="52">
        <f t="shared" si="27"/>
        <v>-5639.8047523233399</v>
      </c>
      <c r="I88" s="52">
        <f t="shared" si="27"/>
        <v>-5808.9988948930695</v>
      </c>
      <c r="J88" s="52">
        <f t="shared" si="27"/>
        <v>-5983.268861739838</v>
      </c>
      <c r="K88" s="52">
        <f t="shared" si="27"/>
        <v>-6162.7669275920489</v>
      </c>
      <c r="L88" s="52">
        <f t="shared" si="27"/>
        <v>-6347.6499354198459</v>
      </c>
      <c r="M88" s="86">
        <f t="shared" si="27"/>
        <v>-6538.0794334823149</v>
      </c>
      <c r="N88" s="46" t="s">
        <v>166</v>
      </c>
      <c r="O88" s="40">
        <f>M84-O86</f>
        <v>39045</v>
      </c>
    </row>
    <row r="89" spans="1:15" ht="15" x14ac:dyDescent="0.25">
      <c r="A89" s="74" t="s">
        <v>149</v>
      </c>
      <c r="B89" s="75" t="s">
        <v>150</v>
      </c>
      <c r="C89" s="46"/>
      <c r="D89" s="52">
        <f>0</f>
        <v>0</v>
      </c>
      <c r="E89" s="52">
        <f>0</f>
        <v>0</v>
      </c>
      <c r="F89" s="52">
        <f>0</f>
        <v>0</v>
      </c>
      <c r="G89" s="52">
        <f>0</f>
        <v>0</v>
      </c>
      <c r="H89" s="52">
        <f>0</f>
        <v>0</v>
      </c>
      <c r="I89" s="52">
        <f>0</f>
        <v>0</v>
      </c>
      <c r="J89" s="52">
        <f>0</f>
        <v>0</v>
      </c>
      <c r="K89" s="52">
        <f>0</f>
        <v>0</v>
      </c>
      <c r="L89" s="52">
        <f>0</f>
        <v>0</v>
      </c>
      <c r="M89" s="86">
        <f>0</f>
        <v>0</v>
      </c>
    </row>
    <row r="90" spans="1:15" ht="15" x14ac:dyDescent="0.25">
      <c r="A90" s="74" t="s">
        <v>151</v>
      </c>
      <c r="B90" s="75" t="s">
        <v>25</v>
      </c>
      <c r="C90" s="46"/>
      <c r="D90" s="52">
        <f t="shared" ref="D90:M90" si="28">D44-C44</f>
        <v>4438.3561643835619</v>
      </c>
      <c r="E90" s="52">
        <f t="shared" si="28"/>
        <v>108.49315068493161</v>
      </c>
      <c r="F90" s="52">
        <f t="shared" si="28"/>
        <v>111.74794520548039</v>
      </c>
      <c r="G90" s="52">
        <f t="shared" si="28"/>
        <v>115.10038356164387</v>
      </c>
      <c r="H90" s="52">
        <f t="shared" si="28"/>
        <v>118.55339506849214</v>
      </c>
      <c r="I90" s="52">
        <f t="shared" si="28"/>
        <v>122.10999692054975</v>
      </c>
      <c r="J90" s="52">
        <f t="shared" si="28"/>
        <v>125.77329682816435</v>
      </c>
      <c r="K90" s="52">
        <f t="shared" si="28"/>
        <v>129.54649573300958</v>
      </c>
      <c r="L90" s="52">
        <f t="shared" si="28"/>
        <v>133.43289060500047</v>
      </c>
      <c r="M90" s="86">
        <f t="shared" si="28"/>
        <v>137.43587732314791</v>
      </c>
    </row>
    <row r="91" spans="1:15" ht="15" x14ac:dyDescent="0.25">
      <c r="A91" s="105" t="s">
        <v>151</v>
      </c>
      <c r="B91" s="98" t="s">
        <v>152</v>
      </c>
      <c r="C91" s="95"/>
      <c r="D91" s="99">
        <f t="shared" ref="D91:M91" si="29">D76-C76</f>
        <v>50447.162239127298</v>
      </c>
      <c r="E91" s="99">
        <f t="shared" si="29"/>
        <v>6310.2670100309188</v>
      </c>
      <c r="F91" s="99">
        <f t="shared" si="29"/>
        <v>6552.2250203319272</v>
      </c>
      <c r="G91" s="99">
        <f t="shared" si="29"/>
        <v>6802.1716709418833</v>
      </c>
      <c r="H91" s="99">
        <f t="shared" si="29"/>
        <v>7060.3579880701145</v>
      </c>
      <c r="I91" s="99">
        <f t="shared" si="29"/>
        <v>7327.0427237422118</v>
      </c>
      <c r="J91" s="99">
        <f t="shared" si="29"/>
        <v>7602.492591152055</v>
      </c>
      <c r="K91" s="99">
        <f t="shared" si="29"/>
        <v>7886.9825071422965</v>
      </c>
      <c r="L91" s="99">
        <f t="shared" si="29"/>
        <v>8180.7958420304494</v>
      </c>
      <c r="M91" s="106">
        <f t="shared" si="29"/>
        <v>8484.2246769977646</v>
      </c>
      <c r="O91" s="30"/>
    </row>
    <row r="92" spans="1:15" ht="15" x14ac:dyDescent="0.25">
      <c r="A92" s="100" t="s">
        <v>153</v>
      </c>
      <c r="B92" s="93"/>
      <c r="C92" s="93"/>
      <c r="D92" s="93"/>
      <c r="E92" s="93"/>
      <c r="F92" s="93"/>
      <c r="G92" s="93"/>
      <c r="H92" s="93"/>
      <c r="I92" s="93"/>
      <c r="J92" s="93"/>
      <c r="K92" s="8"/>
      <c r="L92" s="8"/>
      <c r="M92" s="101"/>
      <c r="O92" s="30"/>
    </row>
    <row r="93" spans="1:15" ht="15" x14ac:dyDescent="0.25">
      <c r="A93" s="74" t="s">
        <v>151</v>
      </c>
      <c r="B93" s="75" t="s">
        <v>21</v>
      </c>
      <c r="C93" s="46"/>
      <c r="D93" s="46"/>
      <c r="E93" s="46"/>
      <c r="F93" s="46"/>
      <c r="H93" s="46"/>
      <c r="I93" s="46"/>
      <c r="J93" s="46"/>
      <c r="M93" s="86">
        <f>M34</f>
        <v>224474.06054956195</v>
      </c>
    </row>
    <row r="94" spans="1:15" ht="15" x14ac:dyDescent="0.25">
      <c r="A94" s="74" t="s">
        <v>151</v>
      </c>
      <c r="B94" s="75" t="s">
        <v>150</v>
      </c>
      <c r="C94" s="46"/>
      <c r="D94" s="46"/>
      <c r="E94" s="46"/>
      <c r="F94" s="46"/>
      <c r="H94" s="46"/>
      <c r="I94" s="46"/>
      <c r="J94" s="46"/>
      <c r="M94" s="86">
        <v>0</v>
      </c>
      <c r="O94" s="30"/>
    </row>
    <row r="95" spans="1:15" ht="15" x14ac:dyDescent="0.25">
      <c r="A95" s="67" t="s">
        <v>149</v>
      </c>
      <c r="B95" s="75" t="s">
        <v>25</v>
      </c>
      <c r="C95" s="46"/>
      <c r="D95" s="46"/>
      <c r="E95" s="46"/>
      <c r="F95" s="46"/>
      <c r="H95" s="46"/>
      <c r="I95" s="46"/>
      <c r="J95" s="46"/>
      <c r="M95" s="86">
        <f>-M44</f>
        <v>-5540.549596313982</v>
      </c>
      <c r="O95" s="30"/>
    </row>
    <row r="96" spans="1:15" ht="15" x14ac:dyDescent="0.25">
      <c r="A96" s="107" t="s">
        <v>149</v>
      </c>
      <c r="B96" s="98" t="s">
        <v>152</v>
      </c>
      <c r="C96" s="95"/>
      <c r="D96" s="95"/>
      <c r="E96" s="95"/>
      <c r="F96" s="95"/>
      <c r="G96" s="10"/>
      <c r="H96" s="95"/>
      <c r="I96" s="95"/>
      <c r="J96" s="95"/>
      <c r="K96" s="10"/>
      <c r="L96" s="10"/>
      <c r="M96" s="106">
        <f>-M76</f>
        <v>-116653.72226956692</v>
      </c>
      <c r="O96" s="30"/>
    </row>
    <row r="97" spans="1:17" ht="15" x14ac:dyDescent="0.25">
      <c r="A97" s="67"/>
      <c r="B97" s="46"/>
      <c r="C97" s="46"/>
      <c r="D97" s="46"/>
      <c r="E97" s="46"/>
      <c r="F97" s="46"/>
      <c r="G97" s="46"/>
      <c r="H97" s="46"/>
      <c r="I97" s="46"/>
      <c r="J97" s="46"/>
      <c r="M97" s="68"/>
      <c r="O97" s="30"/>
    </row>
    <row r="98" spans="1:17" ht="15" x14ac:dyDescent="0.25">
      <c r="A98" s="69" t="s">
        <v>154</v>
      </c>
      <c r="B98" s="46"/>
      <c r="C98" s="72">
        <f t="shared" ref="C98:M98" si="30">SUM(C79:C96)</f>
        <v>-2606180</v>
      </c>
      <c r="D98" s="72">
        <f t="shared" si="30"/>
        <v>127918.71870518834</v>
      </c>
      <c r="E98" s="72">
        <f t="shared" si="30"/>
        <v>268066.78031088697</v>
      </c>
      <c r="F98" s="72">
        <f t="shared" si="30"/>
        <v>290725.93157735671</v>
      </c>
      <c r="G98" s="72">
        <f t="shared" si="30"/>
        <v>314249.45138182037</v>
      </c>
      <c r="H98" s="72">
        <f t="shared" si="30"/>
        <v>338665.83540041791</v>
      </c>
      <c r="I98" s="72">
        <f t="shared" si="30"/>
        <v>364004.47419937328</v>
      </c>
      <c r="J98" s="72">
        <f t="shared" si="30"/>
        <v>390295.68076936761</v>
      </c>
      <c r="K98" s="72">
        <f t="shared" si="30"/>
        <v>417570.71889856737</v>
      </c>
      <c r="L98" s="72">
        <f t="shared" si="30"/>
        <v>445861.83240971569</v>
      </c>
      <c r="M98" s="89">
        <f t="shared" si="30"/>
        <v>2871541.9389711237</v>
      </c>
      <c r="O98" s="30"/>
    </row>
    <row r="99" spans="1:17" ht="15" x14ac:dyDescent="0.25">
      <c r="A99" s="69" t="s">
        <v>155</v>
      </c>
      <c r="B99" s="46"/>
      <c r="C99" s="77">
        <f>IRR(C98:M98)</f>
        <v>0.11589637193083235</v>
      </c>
      <c r="D99" s="46"/>
      <c r="E99" s="46"/>
      <c r="F99" s="46"/>
      <c r="G99" s="46"/>
      <c r="H99" s="46"/>
      <c r="I99" s="46"/>
      <c r="J99" s="46"/>
      <c r="M99" s="68"/>
      <c r="O99" s="30"/>
    </row>
    <row r="100" spans="1:17" ht="15" x14ac:dyDescent="0.25">
      <c r="A100" s="67"/>
      <c r="B100" s="46"/>
      <c r="C100" s="46"/>
      <c r="D100" s="46"/>
      <c r="E100" s="46"/>
      <c r="F100" s="46"/>
      <c r="G100" s="46"/>
      <c r="H100" s="46"/>
      <c r="I100" s="46"/>
      <c r="J100" s="46"/>
      <c r="M100" s="68"/>
      <c r="O100" s="30"/>
    </row>
    <row r="101" spans="1:17" ht="15" x14ac:dyDescent="0.25">
      <c r="A101" s="69" t="s">
        <v>156</v>
      </c>
      <c r="B101" s="46"/>
      <c r="C101" s="72">
        <f t="shared" ref="C101:M101" si="31">-PV($C$103,C71,,C98)</f>
        <v>-2606180</v>
      </c>
      <c r="D101" s="72">
        <f t="shared" si="31"/>
        <v>114632.11915360816</v>
      </c>
      <c r="E101" s="72">
        <f t="shared" si="31"/>
        <v>215271.94713590658</v>
      </c>
      <c r="F101" s="72">
        <f t="shared" si="31"/>
        <v>209218.66766187767</v>
      </c>
      <c r="G101" s="72">
        <f t="shared" si="31"/>
        <v>202657.8401994239</v>
      </c>
      <c r="H101" s="72">
        <f t="shared" si="31"/>
        <v>195718.77524947323</v>
      </c>
      <c r="I101" s="72">
        <f t="shared" si="31"/>
        <v>188512.4529064369</v>
      </c>
      <c r="J101" s="72">
        <f t="shared" si="31"/>
        <v>181133.7123868613</v>
      </c>
      <c r="K101" s="72">
        <f t="shared" si="31"/>
        <v>173663.20057762804</v>
      </c>
      <c r="L101" s="72">
        <f t="shared" si="31"/>
        <v>166169.10490053741</v>
      </c>
      <c r="M101" s="89">
        <f t="shared" si="31"/>
        <v>959041.42792074545</v>
      </c>
      <c r="O101" s="30"/>
    </row>
    <row r="102" spans="1:17" ht="15" x14ac:dyDescent="0.25">
      <c r="A102" s="69" t="s">
        <v>157</v>
      </c>
      <c r="B102" s="50"/>
      <c r="C102" s="71">
        <f>SUM(C101:M101)</f>
        <v>-160.7519075012533</v>
      </c>
      <c r="D102" s="46"/>
      <c r="E102" s="46"/>
      <c r="F102" s="46"/>
      <c r="G102" s="46"/>
      <c r="H102" s="46"/>
      <c r="I102" s="46"/>
      <c r="J102" s="46"/>
      <c r="M102" s="68"/>
      <c r="O102" s="30"/>
    </row>
    <row r="103" spans="1:17" ht="15.75" thickBot="1" x14ac:dyDescent="0.3">
      <c r="A103" s="78" t="s">
        <v>158</v>
      </c>
      <c r="B103" s="79"/>
      <c r="C103" s="80">
        <f>D69</f>
        <v>0.11590642875384687</v>
      </c>
      <c r="D103" s="81"/>
      <c r="E103" s="81"/>
      <c r="F103" s="81"/>
      <c r="G103" s="81"/>
      <c r="H103" s="81"/>
      <c r="I103" s="81"/>
      <c r="J103" s="81"/>
      <c r="K103" s="82"/>
      <c r="L103" s="82"/>
      <c r="M103" s="90"/>
      <c r="O103" s="30"/>
    </row>
    <row r="104" spans="1:17" ht="13.5" thickBot="1" x14ac:dyDescent="0.25">
      <c r="O104" s="30"/>
    </row>
    <row r="105" spans="1:17" ht="15.75" x14ac:dyDescent="0.2">
      <c r="A105" s="124"/>
      <c r="B105" s="129" t="s">
        <v>174</v>
      </c>
      <c r="C105" s="125">
        <v>0</v>
      </c>
      <c r="D105" s="126">
        <v>1</v>
      </c>
      <c r="E105" s="126">
        <v>2</v>
      </c>
      <c r="F105" s="126">
        <v>3</v>
      </c>
      <c r="G105" s="126">
        <v>4</v>
      </c>
      <c r="H105" s="126">
        <v>5</v>
      </c>
      <c r="I105" s="126">
        <v>6</v>
      </c>
      <c r="J105" s="126">
        <v>7</v>
      </c>
      <c r="K105" s="126">
        <v>8</v>
      </c>
      <c r="L105" s="127">
        <v>9</v>
      </c>
      <c r="M105" s="128">
        <v>10</v>
      </c>
    </row>
    <row r="106" spans="1:17" ht="15.75" x14ac:dyDescent="0.2">
      <c r="A106" s="111"/>
      <c r="B106" s="112"/>
      <c r="C106" s="113"/>
      <c r="D106" s="113"/>
      <c r="E106" s="113"/>
      <c r="F106" s="113"/>
      <c r="G106" s="113"/>
      <c r="H106" s="113"/>
      <c r="I106" s="113"/>
      <c r="J106" s="113"/>
      <c r="K106" s="113"/>
      <c r="M106" s="114"/>
    </row>
    <row r="107" spans="1:17" x14ac:dyDescent="0.2">
      <c r="A107" s="111"/>
      <c r="C107" s="113"/>
      <c r="D107" s="115">
        <f>D108/-$C$108</f>
        <v>4.9082841056714552E-2</v>
      </c>
      <c r="E107" s="115">
        <f t="shared" ref="E107:M107" si="32">E108/-$C$108</f>
        <v>0.10285812196812461</v>
      </c>
      <c r="F107" s="115">
        <f t="shared" si="32"/>
        <v>0.11155251424589119</v>
      </c>
      <c r="G107" s="115">
        <f t="shared" si="32"/>
        <v>0.12057856762841414</v>
      </c>
      <c r="H107" s="115">
        <f t="shared" si="32"/>
        <v>0.12994721600212492</v>
      </c>
      <c r="I107" s="115">
        <f t="shared" si="32"/>
        <v>0.13966973662577922</v>
      </c>
      <c r="J107" s="115">
        <f t="shared" si="32"/>
        <v>0.14975776069548827</v>
      </c>
      <c r="K107" s="115">
        <f t="shared" si="32"/>
        <v>0.16022328423154478</v>
      </c>
      <c r="L107" s="115">
        <f t="shared" si="32"/>
        <v>0.17107867929679288</v>
      </c>
      <c r="M107" s="116">
        <f t="shared" si="32"/>
        <v>1.1018202652814171</v>
      </c>
    </row>
    <row r="108" spans="1:17" ht="15.75" x14ac:dyDescent="0.2">
      <c r="A108" s="111"/>
      <c r="B108" s="112" t="s">
        <v>175</v>
      </c>
      <c r="C108" s="117">
        <f t="shared" ref="C108:M108" si="33">C98</f>
        <v>-2606180</v>
      </c>
      <c r="D108" s="117">
        <f t="shared" si="33"/>
        <v>127918.71870518834</v>
      </c>
      <c r="E108" s="117">
        <f t="shared" si="33"/>
        <v>268066.78031088697</v>
      </c>
      <c r="F108" s="117">
        <f t="shared" si="33"/>
        <v>290725.93157735671</v>
      </c>
      <c r="G108" s="117">
        <f t="shared" si="33"/>
        <v>314249.45138182037</v>
      </c>
      <c r="H108" s="117">
        <f t="shared" si="33"/>
        <v>338665.83540041791</v>
      </c>
      <c r="I108" s="117">
        <f t="shared" si="33"/>
        <v>364004.47419937328</v>
      </c>
      <c r="J108" s="117">
        <f t="shared" si="33"/>
        <v>390295.68076936761</v>
      </c>
      <c r="K108" s="117">
        <f t="shared" si="33"/>
        <v>417570.71889856737</v>
      </c>
      <c r="L108" s="117">
        <f t="shared" si="33"/>
        <v>445861.83240971569</v>
      </c>
      <c r="M108" s="118">
        <f t="shared" si="33"/>
        <v>2871541.9389711237</v>
      </c>
    </row>
    <row r="109" spans="1:17" x14ac:dyDescent="0.2">
      <c r="A109" s="111"/>
      <c r="B109" s="55" t="s">
        <v>184</v>
      </c>
      <c r="C109" s="113"/>
      <c r="D109" s="113"/>
      <c r="E109" s="113"/>
      <c r="F109" s="113"/>
      <c r="G109" s="113">
        <f>-2500000-1400000</f>
        <v>-3900000</v>
      </c>
      <c r="H109" s="113">
        <f>-$G$109*H107</f>
        <v>506794.14240828715</v>
      </c>
      <c r="I109" s="113">
        <f t="shared" ref="I109:M109" si="34">-$G$109*I107</f>
        <v>544711.97284053895</v>
      </c>
      <c r="J109" s="113">
        <f t="shared" si="34"/>
        <v>584055.26671240421</v>
      </c>
      <c r="K109" s="113">
        <f t="shared" si="34"/>
        <v>624870.80850302463</v>
      </c>
      <c r="L109" s="113">
        <f t="shared" si="34"/>
        <v>667206.84925749223</v>
      </c>
      <c r="M109" s="114">
        <f t="shared" si="34"/>
        <v>4297099.0345975263</v>
      </c>
    </row>
    <row r="110" spans="1:17" x14ac:dyDescent="0.2">
      <c r="A110" s="111"/>
      <c r="B110" s="55" t="s">
        <v>185</v>
      </c>
      <c r="C110" s="113">
        <f>SUM(C108:C109)</f>
        <v>-2606180</v>
      </c>
      <c r="D110" s="113">
        <f t="shared" ref="D110:M110" si="35">SUM(D108:D109)</f>
        <v>127918.71870518834</v>
      </c>
      <c r="E110" s="113">
        <f t="shared" si="35"/>
        <v>268066.78031088697</v>
      </c>
      <c r="F110" s="113">
        <f t="shared" si="35"/>
        <v>290725.93157735671</v>
      </c>
      <c r="G110" s="113">
        <f t="shared" si="35"/>
        <v>-3585750.5486181797</v>
      </c>
      <c r="H110" s="113">
        <f t="shared" si="35"/>
        <v>845459.97780870507</v>
      </c>
      <c r="I110" s="113">
        <f t="shared" si="35"/>
        <v>908716.44703991222</v>
      </c>
      <c r="J110" s="113">
        <f t="shared" si="35"/>
        <v>974350.94748177181</v>
      </c>
      <c r="K110" s="113">
        <f t="shared" si="35"/>
        <v>1042441.527401592</v>
      </c>
      <c r="L110" s="113">
        <f t="shared" si="35"/>
        <v>1113068.681667208</v>
      </c>
      <c r="M110" s="114">
        <f t="shared" si="35"/>
        <v>7168640.97356865</v>
      </c>
    </row>
    <row r="111" spans="1:17" x14ac:dyDescent="0.2">
      <c r="A111" s="111"/>
      <c r="B111" s="2">
        <v>0.5</v>
      </c>
      <c r="C111" s="113"/>
      <c r="D111" s="119">
        <f>(D112-C112)/D112</f>
        <v>23.735163750289683</v>
      </c>
      <c r="E111" s="119">
        <f t="shared" ref="E111:M111" si="36">(E112-D112)/E112</f>
        <v>0.46750089512946141</v>
      </c>
      <c r="F111" s="119">
        <f t="shared" si="36"/>
        <v>-2.8932788558866707E-2</v>
      </c>
      <c r="G111" s="119">
        <f t="shared" si="36"/>
        <v>1.0904756010363421</v>
      </c>
      <c r="H111" s="119">
        <f t="shared" si="36"/>
        <v>5.7327634591072432</v>
      </c>
      <c r="I111" s="119">
        <f t="shared" si="36"/>
        <v>-3.8227301337026239E-2</v>
      </c>
      <c r="J111" s="119">
        <f t="shared" si="36"/>
        <v>-4.0736428477854268E-2</v>
      </c>
      <c r="K111" s="119">
        <f t="shared" si="36"/>
        <v>-4.3017241329108863E-2</v>
      </c>
      <c r="L111" s="119">
        <f t="shared" si="36"/>
        <v>-4.5099211923758598E-2</v>
      </c>
      <c r="M111" s="120">
        <f t="shared" si="36"/>
        <v>0.8267341742881732</v>
      </c>
    </row>
    <row r="112" spans="1:17" x14ac:dyDescent="0.2">
      <c r="A112" s="111"/>
      <c r="B112" t="s">
        <v>176</v>
      </c>
      <c r="C112" s="113">
        <f>-PV($C$103,C105,,C110)</f>
        <v>-2606180</v>
      </c>
      <c r="D112" s="113">
        <f t="shared" ref="D112:L112" si="37">-PV($C$103,D105,,D110)</f>
        <v>114632.11915360816</v>
      </c>
      <c r="E112" s="113">
        <f t="shared" si="37"/>
        <v>215271.94713590658</v>
      </c>
      <c r="F112" s="113">
        <f t="shared" si="37"/>
        <v>209218.66766187767</v>
      </c>
      <c r="G112" s="113">
        <f t="shared" si="37"/>
        <v>-2312431.9182785968</v>
      </c>
      <c r="H112" s="113">
        <f t="shared" si="37"/>
        <v>488600.78012747306</v>
      </c>
      <c r="I112" s="113">
        <f t="shared" si="37"/>
        <v>470610.6066544911</v>
      </c>
      <c r="J112" s="113">
        <f t="shared" si="37"/>
        <v>452190.00101955706</v>
      </c>
      <c r="K112" s="113">
        <f t="shared" si="37"/>
        <v>433540.29358453827</v>
      </c>
      <c r="L112" s="113">
        <f t="shared" si="37"/>
        <v>414831.71036604478</v>
      </c>
      <c r="M112" s="114">
        <f>-PV($C$103,M105,,M110)</f>
        <v>2394192.3265121346</v>
      </c>
      <c r="P112" s="55"/>
      <c r="Q112" s="58"/>
    </row>
    <row r="113" spans="1:17" x14ac:dyDescent="0.2">
      <c r="A113" s="111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4"/>
      <c r="P113" s="55"/>
      <c r="Q113" s="58"/>
    </row>
    <row r="114" spans="1:17" ht="13.5" thickBot="1" x14ac:dyDescent="0.25">
      <c r="A114" s="121"/>
      <c r="B114" s="82" t="s">
        <v>177</v>
      </c>
      <c r="C114" s="122">
        <f>SUM(C112:M112)</f>
        <v>274476.5339370342</v>
      </c>
      <c r="D114" s="122"/>
      <c r="E114" s="82"/>
      <c r="F114" s="122"/>
      <c r="G114" s="122"/>
      <c r="H114" s="122"/>
      <c r="I114" s="122"/>
      <c r="J114" s="122"/>
      <c r="K114" s="122"/>
      <c r="L114" s="122"/>
      <c r="M114" s="123"/>
    </row>
    <row r="115" spans="1:17" x14ac:dyDescent="0.2"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</row>
    <row r="116" spans="1:17" ht="13.5" thickBot="1" x14ac:dyDescent="0.25"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</row>
    <row r="117" spans="1:17" ht="13.5" thickBot="1" x14ac:dyDescent="0.25">
      <c r="B117" s="59" t="s">
        <v>186</v>
      </c>
      <c r="C117" s="60">
        <f>C114*B111+'Good Forecast'!C114*'Good Forecast'!B111+'Bad Forecast'!C114*'Bad Forecast'!B111</f>
        <v>335205.30742278072</v>
      </c>
      <c r="E117" s="54"/>
      <c r="F117" s="54"/>
      <c r="G117" s="54"/>
      <c r="H117" s="54"/>
      <c r="I117" s="54"/>
      <c r="J117" s="54"/>
      <c r="K117" s="54"/>
      <c r="L117" s="54"/>
      <c r="M117" s="54"/>
    </row>
    <row r="119" spans="1:17" ht="12.75" customHeight="1" x14ac:dyDescent="0.2">
      <c r="C119" s="55"/>
      <c r="D119" s="55"/>
    </row>
    <row r="122" spans="1:17" ht="12.75" customHeight="1" x14ac:dyDescent="0.2">
      <c r="B122" s="14"/>
      <c r="C122" s="53"/>
    </row>
    <row r="123" spans="1:17" ht="12.75" customHeight="1" x14ac:dyDescent="0.2">
      <c r="B123" s="14"/>
    </row>
    <row r="124" spans="1:17" ht="12.75" customHeight="1" x14ac:dyDescent="0.2">
      <c r="B124" s="14"/>
    </row>
    <row r="125" spans="1:17" ht="12.75" customHeight="1" x14ac:dyDescent="0.2">
      <c r="B125" s="14"/>
    </row>
    <row r="126" spans="1:17" ht="12.75" customHeight="1" x14ac:dyDescent="0.2">
      <c r="B126" s="14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</row>
    <row r="127" spans="1:17" ht="12.75" customHeight="1" x14ac:dyDescent="0.2">
      <c r="B127" s="14"/>
      <c r="C127" s="61"/>
    </row>
    <row r="128" spans="1:17" ht="12.75" customHeight="1" x14ac:dyDescent="0.2">
      <c r="B128" s="14"/>
    </row>
    <row r="129" spans="2:2" ht="12.75" customHeight="1" x14ac:dyDescent="0.2">
      <c r="B129" s="14"/>
    </row>
    <row r="130" spans="2:2" ht="12.75" customHeight="1" x14ac:dyDescent="0.2">
      <c r="B130" s="14"/>
    </row>
    <row r="131" spans="2:2" ht="12.75" customHeight="1" x14ac:dyDescent="0.2">
      <c r="B131" s="14"/>
    </row>
    <row r="132" spans="2:2" ht="12.75" customHeight="1" x14ac:dyDescent="0.2">
      <c r="B132" s="14"/>
    </row>
    <row r="133" spans="2:2" ht="12.75" customHeight="1" x14ac:dyDescent="0.2">
      <c r="B133" s="14"/>
    </row>
    <row r="134" spans="2:2" ht="12.75" customHeight="1" x14ac:dyDescent="0.2">
      <c r="B134" s="14"/>
    </row>
    <row r="135" spans="2:2" ht="12.75" customHeight="1" x14ac:dyDescent="0.2">
      <c r="B135" s="14"/>
    </row>
    <row r="136" spans="2:2" ht="12.75" customHeight="1" x14ac:dyDescent="0.2">
      <c r="B136" s="14"/>
    </row>
    <row r="137" spans="2:2" ht="12.75" customHeight="1" x14ac:dyDescent="0.2">
      <c r="B137" s="14"/>
    </row>
    <row r="138" spans="2:2" ht="12.75" customHeight="1" x14ac:dyDescent="0.2">
      <c r="B138" s="14"/>
    </row>
    <row r="139" spans="2:2" ht="12.75" customHeight="1" x14ac:dyDescent="0.2">
      <c r="B139" s="14"/>
    </row>
  </sheetData>
  <mergeCells count="1">
    <mergeCell ref="A2:M2"/>
  </mergeCells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8"/>
  <sheetViews>
    <sheetView zoomScale="80" zoomScaleNormal="80" workbookViewId="0">
      <selection activeCell="B8" sqref="B8"/>
    </sheetView>
  </sheetViews>
  <sheetFormatPr defaultRowHeight="12.75" x14ac:dyDescent="0.2"/>
  <cols>
    <col min="1" max="1" width="3.140625" customWidth="1"/>
    <col min="2" max="2" width="52.7109375" bestFit="1" customWidth="1"/>
    <col min="3" max="3" width="15.140625" bestFit="1" customWidth="1"/>
    <col min="4" max="4" width="13" bestFit="1" customWidth="1"/>
    <col min="5" max="6" width="12.42578125" bestFit="1" customWidth="1"/>
    <col min="7" max="7" width="15.140625" bestFit="1" customWidth="1"/>
    <col min="8" max="12" width="12.42578125" bestFit="1" customWidth="1"/>
    <col min="13" max="13" width="14.28515625" bestFit="1" customWidth="1"/>
    <col min="14" max="15" width="13" customWidth="1"/>
    <col min="18" max="18" width="19.85546875" bestFit="1" customWidth="1"/>
  </cols>
  <sheetData>
    <row r="1" spans="1:18" ht="10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8" ht="18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8" ht="10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8" ht="13.5" thickBot="1" x14ac:dyDescent="0.25">
      <c r="D4" s="154">
        <v>2013</v>
      </c>
      <c r="E4" s="154">
        <v>2014</v>
      </c>
      <c r="F4" s="154">
        <v>2015</v>
      </c>
      <c r="G4" s="154">
        <v>2016</v>
      </c>
      <c r="H4" s="154">
        <v>2017</v>
      </c>
      <c r="I4" s="154">
        <v>2018</v>
      </c>
      <c r="J4" s="154">
        <v>2019</v>
      </c>
      <c r="K4" s="154">
        <v>2020</v>
      </c>
      <c r="L4" s="154">
        <v>2021</v>
      </c>
      <c r="M4" s="154">
        <v>2022</v>
      </c>
    </row>
    <row r="5" spans="1:18" x14ac:dyDescent="0.2">
      <c r="A5" s="108"/>
      <c r="B5" s="140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  <c r="R5" s="55" t="s">
        <v>180</v>
      </c>
    </row>
    <row r="6" spans="1:18" ht="25.5" x14ac:dyDescent="0.2">
      <c r="A6" s="111"/>
      <c r="B6" s="132" t="s">
        <v>2</v>
      </c>
      <c r="M6" s="68"/>
      <c r="R6" s="55" t="s">
        <v>181</v>
      </c>
    </row>
    <row r="7" spans="1:18" x14ac:dyDescent="0.2">
      <c r="A7" s="111"/>
      <c r="B7" t="s">
        <v>3</v>
      </c>
      <c r="D7" s="33">
        <v>200000</v>
      </c>
      <c r="E7" s="33">
        <f>D7+(D7*Assumptions!$B$27)</f>
        <v>206000</v>
      </c>
      <c r="F7" s="33">
        <f>E7+(E7*Assumptions!$B$27)</f>
        <v>212180</v>
      </c>
      <c r="G7" s="33">
        <f>F7+(F7*Assumptions!$B$27)</f>
        <v>218545.4</v>
      </c>
      <c r="H7" s="33">
        <f>G7+(G7*Assumptions!$B$27)</f>
        <v>225101.76199999999</v>
      </c>
      <c r="I7" s="33">
        <f>H7+(H7*Assumptions!$B$27)</f>
        <v>231854.81485999998</v>
      </c>
      <c r="J7" s="33">
        <f>I7+(I7*Assumptions!$B$27)</f>
        <v>238810.45930579997</v>
      </c>
      <c r="K7" s="33">
        <f>J7+(J7*Assumptions!$B$27)</f>
        <v>245974.77308497397</v>
      </c>
      <c r="L7" s="33">
        <f>K7+(K7*Assumptions!$B$27)</f>
        <v>253354.01627752319</v>
      </c>
      <c r="M7" s="73">
        <f>L7+(L7*Assumptions!$B$27)</f>
        <v>260954.63676584887</v>
      </c>
      <c r="N7" s="57">
        <f>0.01</f>
        <v>0.01</v>
      </c>
      <c r="O7" s="55" t="s">
        <v>191</v>
      </c>
      <c r="R7" s="55" t="s">
        <v>182</v>
      </c>
    </row>
    <row r="8" spans="1:18" ht="25.5" x14ac:dyDescent="0.2">
      <c r="A8" s="111"/>
      <c r="B8" t="s">
        <v>4</v>
      </c>
      <c r="D8" s="33">
        <f>(Assumptions!C14*Assumptions!$B$23)*12</f>
        <v>1017840</v>
      </c>
      <c r="E8" s="33">
        <f>(Assumptions!D14*Assumptions!$B$23)*12</f>
        <v>1048375.2000000001</v>
      </c>
      <c r="F8" s="33">
        <f>(Assumptions!E14*Assumptions!$B$23)*12</f>
        <v>1079826.4560000002</v>
      </c>
      <c r="G8" s="33">
        <f>(Assumptions!F14*Assumptions!$B$23)*12</f>
        <v>1112221.2496800004</v>
      </c>
      <c r="H8" s="33">
        <f>(Assumptions!G14*Assumptions!$B$23)*12</f>
        <v>1145587.8871704</v>
      </c>
      <c r="I8" s="33">
        <f>(Assumptions!H14*Assumptions!$B$23)*12</f>
        <v>1179955.5237855124</v>
      </c>
      <c r="J8" s="33">
        <f>(Assumptions!I14*Assumptions!$B$23)*12</f>
        <v>1215354.1894990779</v>
      </c>
      <c r="K8" s="33">
        <f>(Assumptions!J14*Assumptions!$B$23)*12</f>
        <v>1251814.8151840502</v>
      </c>
      <c r="L8" s="33">
        <f>(Assumptions!K14*Assumptions!$B$23)*12</f>
        <v>1289369.2596395719</v>
      </c>
      <c r="M8" s="73">
        <f>(Assumptions!L14*Assumptions!$B$23)*12</f>
        <v>1328050.3374287589</v>
      </c>
      <c r="O8" s="30"/>
      <c r="R8" s="55" t="s">
        <v>183</v>
      </c>
    </row>
    <row r="9" spans="1:18" x14ac:dyDescent="0.2">
      <c r="A9" s="111"/>
      <c r="B9" t="s">
        <v>5</v>
      </c>
      <c r="D9" s="33">
        <v>250000</v>
      </c>
      <c r="E9" s="33">
        <f>D9*(1+$N$9)</f>
        <v>257500</v>
      </c>
      <c r="F9" s="33">
        <f t="shared" ref="F9:M9" si="0">E9*(1+$N$9)</f>
        <v>265225</v>
      </c>
      <c r="G9" s="33">
        <f t="shared" si="0"/>
        <v>273181.75</v>
      </c>
      <c r="H9" s="33">
        <f t="shared" si="0"/>
        <v>281377.20250000001</v>
      </c>
      <c r="I9" s="33">
        <f t="shared" si="0"/>
        <v>289818.51857499999</v>
      </c>
      <c r="J9" s="33">
        <f t="shared" si="0"/>
        <v>298513.07413224998</v>
      </c>
      <c r="K9" s="33">
        <f t="shared" si="0"/>
        <v>307468.46635621751</v>
      </c>
      <c r="L9" s="33">
        <f t="shared" si="0"/>
        <v>316692.52034690406</v>
      </c>
      <c r="M9" s="73">
        <f t="shared" si="0"/>
        <v>326193.29595731117</v>
      </c>
      <c r="N9" s="57">
        <v>0.03</v>
      </c>
      <c r="O9" s="55" t="s">
        <v>191</v>
      </c>
    </row>
    <row r="10" spans="1:18" x14ac:dyDescent="0.2">
      <c r="A10" s="111"/>
      <c r="B10" t="s">
        <v>6</v>
      </c>
      <c r="D10" s="33">
        <f>(Assumptions!E77*Assumptions!$B$23)*12</f>
        <v>124080</v>
      </c>
      <c r="E10" s="33">
        <f>(Assumptions!F77*Assumptions!$B$23)*12</f>
        <v>127802.40000000001</v>
      </c>
      <c r="F10" s="33">
        <f>(Assumptions!G77*Assumptions!$B$23)*12</f>
        <v>131636.47199999998</v>
      </c>
      <c r="G10" s="33">
        <f>(Assumptions!H77*Assumptions!$B$23)*12</f>
        <v>135585.56615999999</v>
      </c>
      <c r="H10" s="33">
        <f>(Assumptions!I77*Assumptions!$B$23)*12</f>
        <v>139653.1331448</v>
      </c>
      <c r="I10" s="33">
        <f>(Assumptions!J77*Assumptions!$B$23)*12</f>
        <v>143842.72713914397</v>
      </c>
      <c r="J10" s="33">
        <f>(Assumptions!K77*Assumptions!$B$23)*12</f>
        <v>148158.00895331829</v>
      </c>
      <c r="K10" s="33">
        <f>(Assumptions!L77*Assumptions!$B$23)*12</f>
        <v>152602.74922191782</v>
      </c>
      <c r="L10" s="33">
        <f>(Assumptions!M77*Assumptions!$B$23)*12</f>
        <v>157180.83169857538</v>
      </c>
      <c r="M10" s="73">
        <f>(Assumptions!N77*Assumptions!$B$23)*12</f>
        <v>161896.25664953265</v>
      </c>
      <c r="O10" s="30"/>
    </row>
    <row r="11" spans="1:18" x14ac:dyDescent="0.2">
      <c r="A11" s="111"/>
      <c r="B11" s="24" t="s">
        <v>133</v>
      </c>
      <c r="C11" s="55"/>
      <c r="D11" s="41">
        <f t="shared" ref="D11:M11" si="1">SUM(D7:D10)+$N$11</f>
        <v>1591920</v>
      </c>
      <c r="E11" s="41">
        <f t="shared" si="1"/>
        <v>1639677.6</v>
      </c>
      <c r="F11" s="41">
        <f t="shared" si="1"/>
        <v>1688867.9280000003</v>
      </c>
      <c r="G11" s="41">
        <f t="shared" si="1"/>
        <v>1739533.9658400002</v>
      </c>
      <c r="H11" s="41">
        <f t="shared" si="1"/>
        <v>1791719.9848152003</v>
      </c>
      <c r="I11" s="41">
        <f t="shared" si="1"/>
        <v>1845471.5843596563</v>
      </c>
      <c r="J11" s="41">
        <f t="shared" si="1"/>
        <v>1900835.731890446</v>
      </c>
      <c r="K11" s="41">
        <f t="shared" si="1"/>
        <v>1957860.8038471593</v>
      </c>
      <c r="L11" s="41">
        <f t="shared" si="1"/>
        <v>2016596.6279625746</v>
      </c>
      <c r="M11" s="133">
        <f t="shared" si="1"/>
        <v>2077094.5268014513</v>
      </c>
      <c r="N11" s="30"/>
    </row>
    <row r="12" spans="1:18" x14ac:dyDescent="0.2">
      <c r="A12" s="111"/>
      <c r="B12" s="132" t="s">
        <v>7</v>
      </c>
      <c r="C12" s="2"/>
      <c r="D12" s="33"/>
      <c r="E12" s="33"/>
      <c r="F12" s="33"/>
      <c r="G12" s="33"/>
      <c r="H12" s="33"/>
      <c r="I12" s="33"/>
      <c r="J12" s="33"/>
      <c r="K12" s="33"/>
      <c r="L12" s="33"/>
      <c r="M12" s="73"/>
      <c r="O12" s="30"/>
    </row>
    <row r="13" spans="1:18" x14ac:dyDescent="0.2">
      <c r="A13" s="111"/>
      <c r="B13" t="s">
        <v>8</v>
      </c>
      <c r="C13" s="24"/>
      <c r="D13" s="33">
        <f>Assumptions!C32*12</f>
        <v>252000</v>
      </c>
      <c r="E13" s="33">
        <f>Assumptions!D32*12</f>
        <v>257040</v>
      </c>
      <c r="F13" s="33">
        <f>Assumptions!E32*12</f>
        <v>262180.80000000005</v>
      </c>
      <c r="G13" s="33">
        <f>Assumptions!F32*12</f>
        <v>267424.41600000003</v>
      </c>
      <c r="H13" s="33">
        <f>Assumptions!G32*12</f>
        <v>272772.90431999997</v>
      </c>
      <c r="I13" s="33">
        <f>Assumptions!H32*12</f>
        <v>278228.36240640003</v>
      </c>
      <c r="J13" s="33">
        <f>Assumptions!I32*12</f>
        <v>283792.92965452804</v>
      </c>
      <c r="K13" s="33">
        <f>Assumptions!J32*12</f>
        <v>289468.78824761859</v>
      </c>
      <c r="L13" s="33">
        <f>Assumptions!K32*12</f>
        <v>295258.16401257098</v>
      </c>
      <c r="M13" s="73">
        <f>Assumptions!L32*12</f>
        <v>301163.32729282242</v>
      </c>
    </row>
    <row r="14" spans="1:18" x14ac:dyDescent="0.2">
      <c r="A14" s="111"/>
      <c r="B14" s="24" t="s">
        <v>9</v>
      </c>
      <c r="D14" s="33">
        <f>Assumptions!C33</f>
        <v>200000</v>
      </c>
      <c r="E14" s="33">
        <f>Assumptions!D33</f>
        <v>204000</v>
      </c>
      <c r="F14" s="33">
        <f>Assumptions!E33</f>
        <v>208080</v>
      </c>
      <c r="G14" s="33">
        <f>Assumptions!F33</f>
        <v>212241.6</v>
      </c>
      <c r="H14" s="33">
        <f>Assumptions!G33</f>
        <v>216486.432</v>
      </c>
      <c r="I14" s="33">
        <f>Assumptions!H33</f>
        <v>220816.16064000002</v>
      </c>
      <c r="J14" s="33">
        <f>Assumptions!I33</f>
        <v>225232.48385280001</v>
      </c>
      <c r="K14" s="33">
        <f>Assumptions!J33</f>
        <v>229737.13352985602</v>
      </c>
      <c r="L14" s="33">
        <f>Assumptions!K33</f>
        <v>234331.87620045315</v>
      </c>
      <c r="M14" s="73">
        <f>Assumptions!L33</f>
        <v>239018.51372446222</v>
      </c>
    </row>
    <row r="15" spans="1:18" x14ac:dyDescent="0.2">
      <c r="A15" s="111"/>
      <c r="B15" t="s">
        <v>10</v>
      </c>
      <c r="C15" s="2"/>
      <c r="D15" s="33">
        <f>Assumptions!C30</f>
        <v>718000</v>
      </c>
      <c r="E15" s="33">
        <f>Assumptions!D30</f>
        <v>725180</v>
      </c>
      <c r="F15" s="33">
        <f>Assumptions!E30</f>
        <v>732431.8</v>
      </c>
      <c r="G15" s="33">
        <f>Assumptions!F30</f>
        <v>739756.11800000002</v>
      </c>
      <c r="H15" s="33">
        <f>Assumptions!G30</f>
        <v>747153.67917999998</v>
      </c>
      <c r="I15" s="33">
        <f>Assumptions!H30</f>
        <v>754625.21597180003</v>
      </c>
      <c r="J15" s="33">
        <f>Assumptions!I30</f>
        <v>762171.46813151799</v>
      </c>
      <c r="K15" s="33">
        <f>Assumptions!J30</f>
        <v>769793.18281283323</v>
      </c>
      <c r="L15" s="33">
        <f>Assumptions!K30</f>
        <v>777491.11464096152</v>
      </c>
      <c r="M15" s="73">
        <f>Assumptions!L30</f>
        <v>785266.02578737109</v>
      </c>
    </row>
    <row r="16" spans="1:18" x14ac:dyDescent="0.2">
      <c r="A16" s="111"/>
      <c r="B16" t="s">
        <v>11</v>
      </c>
      <c r="D16" s="33">
        <f>+Assumptions!$B$34</f>
        <v>44000</v>
      </c>
      <c r="E16" s="33">
        <f>SUM(E7:E8)*Assumptions!$C$34</f>
        <v>47289.489341284541</v>
      </c>
      <c r="F16" s="33">
        <f>SUM(F7:F8)*Assumptions!$C$34</f>
        <v>48708.174021523075</v>
      </c>
      <c r="G16" s="33">
        <f>SUM(G7:G8)*Assumptions!$C$34</f>
        <v>50169.419242168769</v>
      </c>
      <c r="H16" s="33">
        <f>SUM(H7:H8)*Assumptions!$C$34</f>
        <v>51674.501819433826</v>
      </c>
      <c r="I16" s="33">
        <f>SUM(I7:I8)*Assumptions!$C$34</f>
        <v>53224.736874016853</v>
      </c>
      <c r="J16" s="33">
        <f>SUM(J7:J8)*Assumptions!$C$34</f>
        <v>54821.478980237363</v>
      </c>
      <c r="K16" s="33">
        <f>SUM(K7:K8)*Assumptions!$C$34</f>
        <v>56466.123349644484</v>
      </c>
      <c r="L16" s="33">
        <f>SUM(L7:L8)*Assumptions!$C$34</f>
        <v>58160.107050133825</v>
      </c>
      <c r="M16" s="73">
        <f>SUM(M7:M8)*Assumptions!$C$34</f>
        <v>59904.91026163783</v>
      </c>
      <c r="N16" s="57">
        <v>0.01</v>
      </c>
      <c r="O16" s="55" t="s">
        <v>191</v>
      </c>
    </row>
    <row r="17" spans="1:15" x14ac:dyDescent="0.2">
      <c r="A17" s="111"/>
      <c r="B17" s="24" t="s">
        <v>113</v>
      </c>
      <c r="D17" s="41">
        <f>+Assumptions!$B$35</f>
        <v>10000</v>
      </c>
      <c r="E17" s="41">
        <f>+Assumptions!$B$35</f>
        <v>10000</v>
      </c>
      <c r="F17" s="41">
        <f>+Assumptions!$B$35</f>
        <v>10000</v>
      </c>
      <c r="G17" s="41">
        <f>+Assumptions!$B$35</f>
        <v>10000</v>
      </c>
      <c r="H17" s="41">
        <f>+Assumptions!$B$35</f>
        <v>10000</v>
      </c>
      <c r="I17" s="41">
        <f>+Assumptions!$B$35</f>
        <v>10000</v>
      </c>
      <c r="J17" s="41">
        <f>+Assumptions!$B$35</f>
        <v>10000</v>
      </c>
      <c r="K17" s="41">
        <f>+Assumptions!$B$35</f>
        <v>10000</v>
      </c>
      <c r="L17" s="41">
        <f>+Assumptions!$B$35</f>
        <v>10000</v>
      </c>
      <c r="M17" s="133">
        <f>+Assumptions!$B$35</f>
        <v>10000</v>
      </c>
    </row>
    <row r="18" spans="1:15" x14ac:dyDescent="0.2">
      <c r="A18" s="111"/>
      <c r="B18" t="s">
        <v>12</v>
      </c>
      <c r="D18" s="42">
        <f t="shared" ref="D18:M18" si="2">SUM(D13:D17)+$N$18</f>
        <v>1224000</v>
      </c>
      <c r="E18" s="42">
        <f t="shared" si="2"/>
        <v>1243509.4893412846</v>
      </c>
      <c r="F18" s="42">
        <f t="shared" si="2"/>
        <v>1261400.7740215231</v>
      </c>
      <c r="G18" s="42">
        <f t="shared" si="2"/>
        <v>1279591.5532421689</v>
      </c>
      <c r="H18" s="42">
        <f t="shared" si="2"/>
        <v>1298087.5173194339</v>
      </c>
      <c r="I18" s="42">
        <f t="shared" si="2"/>
        <v>1316894.4758922169</v>
      </c>
      <c r="J18" s="42">
        <f t="shared" si="2"/>
        <v>1336018.3606190833</v>
      </c>
      <c r="K18" s="42">
        <f t="shared" si="2"/>
        <v>1355465.2279399524</v>
      </c>
      <c r="L18" s="42">
        <f t="shared" si="2"/>
        <v>1375241.2619041195</v>
      </c>
      <c r="M18" s="134">
        <f t="shared" si="2"/>
        <v>1395352.7770662934</v>
      </c>
      <c r="N18" s="30"/>
    </row>
    <row r="19" spans="1:15" x14ac:dyDescent="0.2">
      <c r="A19" s="111"/>
      <c r="B19" s="24" t="s">
        <v>132</v>
      </c>
      <c r="C19" s="2"/>
      <c r="D19" s="42">
        <f t="shared" ref="D19:M19" si="3">D11-D18</f>
        <v>367920</v>
      </c>
      <c r="E19" s="42">
        <f t="shared" si="3"/>
        <v>396168.11065871548</v>
      </c>
      <c r="F19" s="42">
        <f t="shared" si="3"/>
        <v>427467.15397847723</v>
      </c>
      <c r="G19" s="42">
        <f t="shared" si="3"/>
        <v>459942.41259783134</v>
      </c>
      <c r="H19" s="42">
        <f t="shared" si="3"/>
        <v>493632.46749576647</v>
      </c>
      <c r="I19" s="42">
        <f t="shared" si="3"/>
        <v>528577.10846743942</v>
      </c>
      <c r="J19" s="42">
        <f t="shared" si="3"/>
        <v>564817.37127136276</v>
      </c>
      <c r="K19" s="42">
        <f t="shared" si="3"/>
        <v>602395.57590720686</v>
      </c>
      <c r="L19" s="42">
        <f t="shared" si="3"/>
        <v>641355.36605845508</v>
      </c>
      <c r="M19" s="134">
        <f t="shared" si="3"/>
        <v>681741.74973515794</v>
      </c>
    </row>
    <row r="20" spans="1:15" x14ac:dyDescent="0.2">
      <c r="A20" s="111"/>
      <c r="D20" s="33"/>
      <c r="E20" s="33"/>
      <c r="F20" s="33"/>
      <c r="G20" s="33"/>
      <c r="H20" s="33"/>
      <c r="I20" s="33"/>
      <c r="J20" s="33"/>
      <c r="K20" s="33"/>
      <c r="L20" s="33"/>
      <c r="M20" s="73"/>
    </row>
    <row r="21" spans="1:15" x14ac:dyDescent="0.2">
      <c r="A21" s="111"/>
      <c r="B21" s="24" t="s">
        <v>115</v>
      </c>
      <c r="D21" s="33">
        <f>Assumptions!C42</f>
        <v>49000</v>
      </c>
      <c r="E21" s="33">
        <f>Assumptions!D42</f>
        <v>49000</v>
      </c>
      <c r="F21" s="33">
        <f>Assumptions!E42</f>
        <v>49000</v>
      </c>
      <c r="G21" s="33">
        <f>Assumptions!F42</f>
        <v>49000</v>
      </c>
      <c r="H21" s="33">
        <f>Assumptions!G42</f>
        <v>49000</v>
      </c>
      <c r="I21" s="33">
        <f>Assumptions!H42</f>
        <v>49000</v>
      </c>
      <c r="J21" s="33">
        <f>Assumptions!I42</f>
        <v>49000</v>
      </c>
      <c r="K21" s="33">
        <f>Assumptions!J42</f>
        <v>49000</v>
      </c>
      <c r="L21" s="33">
        <f>Assumptions!K42</f>
        <v>49000</v>
      </c>
      <c r="M21" s="73">
        <f>Assumptions!L42</f>
        <v>49000</v>
      </c>
    </row>
    <row r="22" spans="1:15" x14ac:dyDescent="0.2">
      <c r="A22" s="111"/>
      <c r="B22" s="24" t="s">
        <v>116</v>
      </c>
      <c r="D22" s="33">
        <f>+Assumptions!C48</f>
        <v>22311.428571428572</v>
      </c>
      <c r="E22" s="33">
        <f>+Assumptions!D48</f>
        <v>22311.428571428572</v>
      </c>
      <c r="F22" s="33">
        <f>+Assumptions!E48</f>
        <v>22311.428571428572</v>
      </c>
      <c r="G22" s="33">
        <f>+Assumptions!F48</f>
        <v>22311.428571428572</v>
      </c>
      <c r="H22" s="33">
        <f>+Assumptions!G48</f>
        <v>22311.428571428572</v>
      </c>
      <c r="I22" s="33">
        <f>+Assumptions!H48</f>
        <v>22311.428571428572</v>
      </c>
      <c r="J22" s="33">
        <f>+Assumptions!I48</f>
        <v>22311.428571428572</v>
      </c>
      <c r="K22" s="33">
        <f>+Assumptions!J48</f>
        <v>22311.428571428572</v>
      </c>
      <c r="L22" s="33">
        <f>+Assumptions!K48</f>
        <v>22311.428571428572</v>
      </c>
      <c r="M22" s="73">
        <f>+Assumptions!L48</f>
        <v>22311.428571428572</v>
      </c>
    </row>
    <row r="23" spans="1:15" x14ac:dyDescent="0.2">
      <c r="A23" s="111"/>
      <c r="B23" t="s">
        <v>13</v>
      </c>
      <c r="D23" s="33">
        <f>Mortgage!D14</f>
        <v>93724.976249642699</v>
      </c>
      <c r="E23" s="33">
        <f>Mortgage!D28</f>
        <v>92909.599020160909</v>
      </c>
      <c r="F23" s="33">
        <f>Mortgage!D42</f>
        <v>92026.545882770064</v>
      </c>
      <c r="G23" s="33">
        <f>Mortgage!D56</f>
        <v>91070.19977049093</v>
      </c>
      <c r="H23" s="33">
        <f>+Mortgage!D70</f>
        <v>90034.477402555349</v>
      </c>
      <c r="I23" s="33">
        <f>+Mortgage!D84</f>
        <v>88912.790588891614</v>
      </c>
      <c r="J23" s="33">
        <f>+Mortgage!D98</f>
        <v>87698.00432290131</v>
      </c>
      <c r="K23" s="33">
        <f>+Mortgage!D112</f>
        <v>86382.391395957296</v>
      </c>
      <c r="L23" s="33">
        <f>+Mortgage!D126</f>
        <v>84957.583244927315</v>
      </c>
      <c r="M23" s="73">
        <f>+Mortgage!D140</f>
        <v>83414.516720066531</v>
      </c>
    </row>
    <row r="24" spans="1:15" x14ac:dyDescent="0.2">
      <c r="A24" s="111"/>
      <c r="B24" s="24" t="s">
        <v>130</v>
      </c>
      <c r="D24" s="135">
        <f t="shared" ref="D24:M24" si="4">D48*$N$24</f>
        <v>112417.25728348509</v>
      </c>
      <c r="E24" s="135">
        <f t="shared" si="4"/>
        <v>95198.999013495966</v>
      </c>
      <c r="F24" s="135">
        <f t="shared" si="4"/>
        <v>73618.901204401511</v>
      </c>
      <c r="G24" s="135">
        <f t="shared" si="4"/>
        <v>47181.784688713546</v>
      </c>
      <c r="H24" s="135">
        <f t="shared" si="4"/>
        <v>15341.068325425837</v>
      </c>
      <c r="I24" s="135">
        <f t="shared" si="4"/>
        <v>31232.161595777889</v>
      </c>
      <c r="J24" s="135">
        <f t="shared" si="4"/>
        <v>2233.4841541125188</v>
      </c>
      <c r="K24" s="135">
        <f t="shared" si="4"/>
        <v>2702.1212122626616</v>
      </c>
      <c r="L24" s="135">
        <f t="shared" si="4"/>
        <v>3219.0929570832745</v>
      </c>
      <c r="M24" s="136">
        <f t="shared" si="4"/>
        <v>3788.7743090592362</v>
      </c>
      <c r="N24" s="23">
        <v>0.1</v>
      </c>
      <c r="O24" s="24" t="s">
        <v>131</v>
      </c>
    </row>
    <row r="25" spans="1:15" x14ac:dyDescent="0.2">
      <c r="A25" s="111"/>
      <c r="D25" s="33"/>
      <c r="E25" s="33"/>
      <c r="F25" s="33"/>
      <c r="G25" s="33"/>
      <c r="H25" s="33"/>
      <c r="I25" s="33"/>
      <c r="J25" s="33"/>
      <c r="K25" s="33"/>
      <c r="L25" s="33"/>
      <c r="M25" s="73"/>
    </row>
    <row r="26" spans="1:15" x14ac:dyDescent="0.2">
      <c r="A26" s="111"/>
      <c r="B26" t="s">
        <v>14</v>
      </c>
      <c r="D26" s="33">
        <f t="shared" ref="D26:M26" si="5">D19-SUM(D21:D24)</f>
        <v>90466.337895443663</v>
      </c>
      <c r="E26" s="33">
        <f t="shared" si="5"/>
        <v>136748.08405363001</v>
      </c>
      <c r="F26" s="33">
        <f t="shared" si="5"/>
        <v>190510.27831987708</v>
      </c>
      <c r="G26" s="33">
        <f t="shared" si="5"/>
        <v>250378.99956719828</v>
      </c>
      <c r="H26" s="33">
        <f t="shared" si="5"/>
        <v>316945.49319635669</v>
      </c>
      <c r="I26" s="33">
        <f t="shared" si="5"/>
        <v>337120.72771134134</v>
      </c>
      <c r="J26" s="33">
        <f t="shared" si="5"/>
        <v>403574.45422292035</v>
      </c>
      <c r="K26" s="33">
        <f t="shared" si="5"/>
        <v>441999.63472755835</v>
      </c>
      <c r="L26" s="33">
        <f t="shared" si="5"/>
        <v>481867.26128501591</v>
      </c>
      <c r="M26" s="73">
        <f t="shared" si="5"/>
        <v>523227.03013460361</v>
      </c>
    </row>
    <row r="27" spans="1:15" x14ac:dyDescent="0.2">
      <c r="A27" s="111"/>
      <c r="B27" t="s">
        <v>15</v>
      </c>
      <c r="D27" s="41">
        <f t="shared" ref="D27:M27" si="6">D26*$N$27</f>
        <v>16283.940821179858</v>
      </c>
      <c r="E27" s="41">
        <f t="shared" si="6"/>
        <v>24614.655129653402</v>
      </c>
      <c r="F27" s="41">
        <f t="shared" si="6"/>
        <v>34291.850097577873</v>
      </c>
      <c r="G27" s="41">
        <f t="shared" si="6"/>
        <v>45068.21992209569</v>
      </c>
      <c r="H27" s="41">
        <f t="shared" si="6"/>
        <v>57050.188775344206</v>
      </c>
      <c r="I27" s="41">
        <f t="shared" si="6"/>
        <v>60681.73098804144</v>
      </c>
      <c r="J27" s="41">
        <f t="shared" si="6"/>
        <v>72643.401760125664</v>
      </c>
      <c r="K27" s="41">
        <f t="shared" si="6"/>
        <v>79559.934250960505</v>
      </c>
      <c r="L27" s="41">
        <f t="shared" si="6"/>
        <v>86736.107031302861</v>
      </c>
      <c r="M27" s="133">
        <f t="shared" si="6"/>
        <v>94180.865424228643</v>
      </c>
      <c r="N27" s="44">
        <v>0.18</v>
      </c>
      <c r="O27" s="24" t="s">
        <v>134</v>
      </c>
    </row>
    <row r="28" spans="1:15" ht="13.5" thickBot="1" x14ac:dyDescent="0.25">
      <c r="A28" s="121"/>
      <c r="B28" s="137" t="s">
        <v>16</v>
      </c>
      <c r="C28" s="82"/>
      <c r="D28" s="138">
        <f t="shared" ref="D28:M28" si="7">D26-D27</f>
        <v>74182.397074263805</v>
      </c>
      <c r="E28" s="138">
        <f t="shared" si="7"/>
        <v>112133.42892397661</v>
      </c>
      <c r="F28" s="138">
        <f t="shared" si="7"/>
        <v>156218.4282222992</v>
      </c>
      <c r="G28" s="138">
        <f t="shared" si="7"/>
        <v>205310.77964510259</v>
      </c>
      <c r="H28" s="138">
        <f t="shared" si="7"/>
        <v>259895.30442101249</v>
      </c>
      <c r="I28" s="138">
        <f t="shared" si="7"/>
        <v>276438.9967232999</v>
      </c>
      <c r="J28" s="138">
        <f t="shared" si="7"/>
        <v>330931.0524627947</v>
      </c>
      <c r="K28" s="138">
        <f t="shared" si="7"/>
        <v>362439.70047659788</v>
      </c>
      <c r="L28" s="138">
        <f t="shared" si="7"/>
        <v>395131.15425371303</v>
      </c>
      <c r="M28" s="139">
        <f t="shared" si="7"/>
        <v>429046.16471037496</v>
      </c>
    </row>
    <row r="29" spans="1:15" ht="13.5" thickBot="1" x14ac:dyDescent="0.25"/>
    <row r="30" spans="1:15" x14ac:dyDescent="0.2">
      <c r="A30" s="108"/>
      <c r="B30" s="140" t="s">
        <v>17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5" x14ac:dyDescent="0.2">
      <c r="A31" s="111"/>
      <c r="B31" s="132" t="s">
        <v>18</v>
      </c>
      <c r="M31" s="68"/>
    </row>
    <row r="32" spans="1:15" x14ac:dyDescent="0.2">
      <c r="A32" s="111"/>
      <c r="B32" t="s">
        <v>19</v>
      </c>
      <c r="D32" s="33">
        <v>6000</v>
      </c>
      <c r="E32" s="33">
        <v>6000</v>
      </c>
      <c r="F32" s="33">
        <v>6000</v>
      </c>
      <c r="G32" s="33">
        <v>6000</v>
      </c>
      <c r="H32" s="33">
        <v>6000</v>
      </c>
      <c r="I32" s="33">
        <v>6000</v>
      </c>
      <c r="J32" s="33">
        <v>6000</v>
      </c>
      <c r="K32" s="33">
        <v>6000</v>
      </c>
      <c r="L32" s="33">
        <v>6000</v>
      </c>
      <c r="M32" s="73">
        <v>6000</v>
      </c>
    </row>
    <row r="33" spans="1:15" x14ac:dyDescent="0.2">
      <c r="A33" s="111"/>
      <c r="B33" t="s">
        <v>20</v>
      </c>
      <c r="D33" s="33"/>
      <c r="E33" s="33"/>
      <c r="F33" s="33"/>
      <c r="G33" s="33"/>
      <c r="H33" s="33"/>
      <c r="I33" s="33">
        <v>488020</v>
      </c>
      <c r="J33" s="33">
        <v>584774</v>
      </c>
      <c r="K33" s="33">
        <v>981152</v>
      </c>
      <c r="L33" s="33">
        <v>1409231</v>
      </c>
      <c r="M33" s="73">
        <v>1870160</v>
      </c>
    </row>
    <row r="34" spans="1:15" x14ac:dyDescent="0.2">
      <c r="A34" s="111"/>
      <c r="B34" t="s">
        <v>21</v>
      </c>
      <c r="D34" s="33">
        <f>(SUM(D7:D9)/365)*Assumptions!$B$50</f>
        <v>180966.57534246575</v>
      </c>
      <c r="E34" s="33">
        <f>(SUM(E7:E9)/365)*Assumptions!$B$50</f>
        <v>186395.57260273973</v>
      </c>
      <c r="F34" s="33">
        <f>(SUM(F7:F9)/365)*Assumptions!$B$50</f>
        <v>191987.43978082194</v>
      </c>
      <c r="G34" s="33">
        <f>(SUM(G7:G9)/365)*Assumptions!$B$50</f>
        <v>197747.0629742466</v>
      </c>
      <c r="H34" s="33">
        <f>(SUM(H7:H9)/365)*Assumptions!$B$50</f>
        <v>203679.47486347402</v>
      </c>
      <c r="I34" s="33">
        <f>(SUM(I7:I9)/365)*Assumptions!$B$50</f>
        <v>209789.85910937822</v>
      </c>
      <c r="J34" s="33">
        <f>(SUM(J7:J9)/365)*Assumptions!$B$50</f>
        <v>216083.55488265958</v>
      </c>
      <c r="K34" s="33">
        <f>(SUM(K7:K9)/365)*Assumptions!$B$50</f>
        <v>222566.06152913935</v>
      </c>
      <c r="L34" s="33">
        <f>(SUM(L7:L9)/365)*Assumptions!$B$50</f>
        <v>229243.0433750136</v>
      </c>
      <c r="M34" s="73">
        <f>(SUM(M7:M9)/365)*Assumptions!$B$50</f>
        <v>236120.33467626394</v>
      </c>
    </row>
    <row r="35" spans="1:15" x14ac:dyDescent="0.2">
      <c r="A35" s="111"/>
      <c r="B35" t="s">
        <v>122</v>
      </c>
      <c r="D35" s="33">
        <f>Assumptions!$B$44</f>
        <v>980000</v>
      </c>
      <c r="E35" s="33">
        <f>Assumptions!$B$44</f>
        <v>980000</v>
      </c>
      <c r="F35" s="33">
        <f>Assumptions!$B$44</f>
        <v>980000</v>
      </c>
      <c r="G35" s="33">
        <f>Assumptions!$B$44</f>
        <v>980000</v>
      </c>
      <c r="H35" s="33">
        <f>Assumptions!$B$44</f>
        <v>980000</v>
      </c>
      <c r="I35" s="33">
        <f>Assumptions!$B$44</f>
        <v>980000</v>
      </c>
      <c r="J35" s="33">
        <f>Assumptions!$B$44</f>
        <v>980000</v>
      </c>
      <c r="K35" s="33">
        <f>Assumptions!$B$44</f>
        <v>980000</v>
      </c>
      <c r="L35" s="33">
        <f>Assumptions!$B$44</f>
        <v>980000</v>
      </c>
      <c r="M35" s="73">
        <f>Assumptions!$B$44</f>
        <v>980000</v>
      </c>
    </row>
    <row r="36" spans="1:15" x14ac:dyDescent="0.2">
      <c r="A36" s="111"/>
      <c r="B36" t="s">
        <v>22</v>
      </c>
      <c r="D36" s="33">
        <f>Assumptions!$B$40</f>
        <v>1470000</v>
      </c>
      <c r="E36" s="33">
        <f>Assumptions!$B$40</f>
        <v>1470000</v>
      </c>
      <c r="F36" s="33">
        <f>Assumptions!$B$40</f>
        <v>1470000</v>
      </c>
      <c r="G36" s="33">
        <f>Assumptions!$B$40</f>
        <v>1470000</v>
      </c>
      <c r="H36" s="33">
        <f>Assumptions!$B$40</f>
        <v>1470000</v>
      </c>
      <c r="I36" s="33">
        <f>Assumptions!$B$40</f>
        <v>1470000</v>
      </c>
      <c r="J36" s="33">
        <f>Assumptions!$B$40</f>
        <v>1470000</v>
      </c>
      <c r="K36" s="33">
        <f>Assumptions!$B$40</f>
        <v>1470000</v>
      </c>
      <c r="L36" s="33">
        <f>Assumptions!$B$40</f>
        <v>1470000</v>
      </c>
      <c r="M36" s="73">
        <f>Assumptions!$B$40</f>
        <v>1470000</v>
      </c>
    </row>
    <row r="37" spans="1:15" x14ac:dyDescent="0.2">
      <c r="A37" s="111"/>
      <c r="B37" s="24" t="s">
        <v>114</v>
      </c>
      <c r="D37" s="33">
        <f>+Assumptions!$B$47</f>
        <v>156180</v>
      </c>
      <c r="E37" s="33">
        <f>+Assumptions!$B$47</f>
        <v>156180</v>
      </c>
      <c r="F37" s="33">
        <f>+Assumptions!$B$47</f>
        <v>156180</v>
      </c>
      <c r="G37" s="33">
        <f>+Assumptions!$B$47</f>
        <v>156180</v>
      </c>
      <c r="H37" s="33">
        <f>+Assumptions!$B$47</f>
        <v>156180</v>
      </c>
      <c r="I37" s="33">
        <f>+Assumptions!$B$47</f>
        <v>156180</v>
      </c>
      <c r="J37" s="33">
        <f>+Assumptions!$B$47</f>
        <v>156180</v>
      </c>
      <c r="K37" s="33">
        <f>+Assumptions!$B$47</f>
        <v>156180</v>
      </c>
      <c r="L37" s="33">
        <f>+Assumptions!$B$47</f>
        <v>156180</v>
      </c>
      <c r="M37" s="73">
        <f>+Assumptions!$B$47</f>
        <v>156180</v>
      </c>
      <c r="O37" s="30"/>
    </row>
    <row r="38" spans="1:15" x14ac:dyDescent="0.2">
      <c r="A38" s="111"/>
      <c r="B38" s="24" t="s">
        <v>117</v>
      </c>
      <c r="D38" s="33">
        <f>D21</f>
        <v>49000</v>
      </c>
      <c r="E38" s="33">
        <f t="shared" ref="E38:M38" si="8">D38+E21</f>
        <v>98000</v>
      </c>
      <c r="F38" s="33">
        <f t="shared" si="8"/>
        <v>147000</v>
      </c>
      <c r="G38" s="33">
        <f t="shared" si="8"/>
        <v>196000</v>
      </c>
      <c r="H38" s="33">
        <f t="shared" si="8"/>
        <v>245000</v>
      </c>
      <c r="I38" s="33">
        <f t="shared" si="8"/>
        <v>294000</v>
      </c>
      <c r="J38" s="33">
        <f t="shared" si="8"/>
        <v>343000</v>
      </c>
      <c r="K38" s="33">
        <f t="shared" si="8"/>
        <v>392000</v>
      </c>
      <c r="L38" s="33">
        <f t="shared" si="8"/>
        <v>441000</v>
      </c>
      <c r="M38" s="73">
        <f t="shared" si="8"/>
        <v>490000</v>
      </c>
    </row>
    <row r="39" spans="1:15" x14ac:dyDescent="0.2">
      <c r="A39" s="111"/>
      <c r="B39" s="24" t="s">
        <v>118</v>
      </c>
      <c r="D39" s="33">
        <f>+D22</f>
        <v>22311.428571428572</v>
      </c>
      <c r="E39" s="33">
        <f t="shared" ref="E39:J39" si="9">+D39+E22</f>
        <v>44622.857142857145</v>
      </c>
      <c r="F39" s="33">
        <f t="shared" si="9"/>
        <v>66934.28571428571</v>
      </c>
      <c r="G39" s="33">
        <f t="shared" si="9"/>
        <v>89245.71428571429</v>
      </c>
      <c r="H39" s="33">
        <f t="shared" si="9"/>
        <v>111557.14285714287</v>
      </c>
      <c r="I39" s="33">
        <f t="shared" si="9"/>
        <v>133868.57142857145</v>
      </c>
      <c r="J39" s="33">
        <f t="shared" si="9"/>
        <v>156180.00000000003</v>
      </c>
      <c r="K39" s="33">
        <f>J39</f>
        <v>156180.00000000003</v>
      </c>
      <c r="L39" s="33">
        <f>J39</f>
        <v>156180.00000000003</v>
      </c>
      <c r="M39" s="73">
        <f>J39</f>
        <v>156180.00000000003</v>
      </c>
    </row>
    <row r="40" spans="1:15" x14ac:dyDescent="0.2">
      <c r="A40" s="111"/>
      <c r="D40" s="41"/>
      <c r="E40" s="41"/>
      <c r="F40" s="41"/>
      <c r="G40" s="41"/>
      <c r="H40" s="41"/>
      <c r="I40" s="41"/>
      <c r="J40" s="41"/>
      <c r="K40" s="41"/>
      <c r="L40" s="41"/>
      <c r="M40" s="133"/>
    </row>
    <row r="41" spans="1:15" x14ac:dyDescent="0.2">
      <c r="A41" s="111"/>
      <c r="B41" s="132" t="s">
        <v>23</v>
      </c>
      <c r="D41" s="42">
        <f t="shared" ref="D41:M41" si="10">SUM(D32:D37)-SUM(D38:D39)</f>
        <v>2721835.146771037</v>
      </c>
      <c r="E41" s="42">
        <f t="shared" si="10"/>
        <v>2655952.7154598823</v>
      </c>
      <c r="F41" s="42">
        <f t="shared" si="10"/>
        <v>2590233.1540665361</v>
      </c>
      <c r="G41" s="42">
        <f t="shared" si="10"/>
        <v>2524681.3486885326</v>
      </c>
      <c r="H41" s="42">
        <f t="shared" si="10"/>
        <v>2459302.3320063315</v>
      </c>
      <c r="I41" s="42">
        <f t="shared" si="10"/>
        <v>2882121.2876808071</v>
      </c>
      <c r="J41" s="42">
        <f t="shared" si="10"/>
        <v>2913857.5548826596</v>
      </c>
      <c r="K41" s="42">
        <f t="shared" si="10"/>
        <v>3267718.0615291391</v>
      </c>
      <c r="L41" s="42">
        <f t="shared" si="10"/>
        <v>3653474.0433750134</v>
      </c>
      <c r="M41" s="134">
        <f t="shared" si="10"/>
        <v>4072280.3346762639</v>
      </c>
    </row>
    <row r="42" spans="1:15" x14ac:dyDescent="0.2">
      <c r="A42" s="111"/>
      <c r="D42" s="45"/>
      <c r="E42" s="45"/>
      <c r="F42" s="45"/>
      <c r="G42" s="45"/>
      <c r="M42" s="68"/>
    </row>
    <row r="43" spans="1:15" x14ac:dyDescent="0.2">
      <c r="A43" s="111"/>
      <c r="B43" s="132" t="s">
        <v>24</v>
      </c>
      <c r="D43" s="33"/>
      <c r="E43" s="33"/>
      <c r="F43" s="33"/>
      <c r="M43" s="68"/>
    </row>
    <row r="44" spans="1:15" x14ac:dyDescent="0.2">
      <c r="A44" s="111"/>
      <c r="B44" t="s">
        <v>25</v>
      </c>
      <c r="D44" s="33">
        <f>(SUM(D16:D17)/365)*Assumptions!$B$51</f>
        <v>4438.3561643835619</v>
      </c>
      <c r="E44" s="33">
        <f>(SUM(E16:E17)/365)*Assumptions!$B$51</f>
        <v>4708.7251513384554</v>
      </c>
      <c r="F44" s="33">
        <f>(SUM(F16:F17)/365)*Assumptions!$B$51</f>
        <v>4825.3293716320331</v>
      </c>
      <c r="G44" s="33">
        <f>(SUM(G16:G17)/365)*Assumptions!$B$51</f>
        <v>4945.4317185344198</v>
      </c>
      <c r="H44" s="33">
        <f>(SUM(H16:H17)/365)*Assumptions!$B$51</f>
        <v>5069.1371358438755</v>
      </c>
      <c r="I44" s="33">
        <f>(SUM(I16:I17)/365)*Assumptions!$B$51</f>
        <v>5196.5537156726186</v>
      </c>
      <c r="J44" s="33">
        <f>(SUM(J16:J17)/365)*Assumptions!$B$51</f>
        <v>5327.7927928962217</v>
      </c>
      <c r="K44" s="33">
        <f>(SUM(K16:K17)/365)*Assumptions!$B$51</f>
        <v>5462.9690424365326</v>
      </c>
      <c r="L44" s="33">
        <f>(SUM(L16:L17)/365)*Assumptions!$B$51</f>
        <v>5602.2005794630541</v>
      </c>
      <c r="M44" s="73">
        <f>(SUM(M16:M17)/365)*Assumptions!$B$51</f>
        <v>5745.6090626003688</v>
      </c>
    </row>
    <row r="45" spans="1:15" x14ac:dyDescent="0.2">
      <c r="A45" s="111"/>
      <c r="B45" t="s">
        <v>26</v>
      </c>
      <c r="D45" s="33">
        <f t="shared" ref="D45:M45" si="11">D27</f>
        <v>16283.940821179858</v>
      </c>
      <c r="E45" s="33">
        <f t="shared" si="11"/>
        <v>24614.655129653402</v>
      </c>
      <c r="F45" s="33">
        <f t="shared" si="11"/>
        <v>34291.850097577873</v>
      </c>
      <c r="G45" s="33">
        <f t="shared" si="11"/>
        <v>45068.21992209569</v>
      </c>
      <c r="H45" s="33">
        <f t="shared" si="11"/>
        <v>57050.188775344206</v>
      </c>
      <c r="I45" s="33">
        <f t="shared" si="11"/>
        <v>60681.73098804144</v>
      </c>
      <c r="J45" s="33">
        <f t="shared" si="11"/>
        <v>72643.401760125664</v>
      </c>
      <c r="K45" s="33">
        <f t="shared" si="11"/>
        <v>79559.934250960505</v>
      </c>
      <c r="L45" s="33">
        <f t="shared" si="11"/>
        <v>86736.107031302861</v>
      </c>
      <c r="M45" s="73">
        <f t="shared" si="11"/>
        <v>94180.865424228643</v>
      </c>
    </row>
    <row r="46" spans="1:15" ht="15" x14ac:dyDescent="0.25">
      <c r="A46" s="111"/>
      <c r="D46" s="33"/>
      <c r="E46" s="33"/>
      <c r="F46" s="33"/>
      <c r="G46" s="33"/>
      <c r="H46" s="33"/>
      <c r="I46" s="33"/>
      <c r="J46" s="33"/>
      <c r="K46" s="33"/>
      <c r="L46" s="33"/>
      <c r="M46" s="73"/>
      <c r="N46" s="24" t="s">
        <v>159</v>
      </c>
      <c r="O46" s="28"/>
    </row>
    <row r="47" spans="1:15" ht="15" x14ac:dyDescent="0.25">
      <c r="A47" s="111"/>
      <c r="B47" t="s">
        <v>27</v>
      </c>
      <c r="D47" s="33">
        <f>Mortgage!F13</f>
        <v>1166176.1195837851</v>
      </c>
      <c r="E47" s="33">
        <f>Mortgage!F27</f>
        <v>1155536.8619380882</v>
      </c>
      <c r="F47" s="33">
        <f>Mortgage!F41</f>
        <v>1144014.5511550012</v>
      </c>
      <c r="G47" s="33">
        <f>Mortgage!F55</f>
        <v>1131535.8942596344</v>
      </c>
      <c r="H47" s="33">
        <f>+Mortgage!F69</f>
        <v>1118021.5149963319</v>
      </c>
      <c r="I47" s="33">
        <f>+Mortgage!F83</f>
        <v>1103385.4489193661</v>
      </c>
      <c r="J47" s="33">
        <f>+Mortgage!F97</f>
        <v>1087534.5965764101</v>
      </c>
      <c r="K47" s="33">
        <f>+Mortgage!F111</f>
        <v>1070368.13130651</v>
      </c>
      <c r="L47" s="33">
        <f>+Mortgage!F125</f>
        <v>1051776.8578855798</v>
      </c>
      <c r="M47" s="73">
        <f>+Mortgage!F139</f>
        <v>1031642.5179397889</v>
      </c>
      <c r="N47" s="40">
        <f>AVERAGE(D47:M47)</f>
        <v>1105999.2494560496</v>
      </c>
      <c r="O47" s="28"/>
    </row>
    <row r="48" spans="1:15" ht="15" x14ac:dyDescent="0.25">
      <c r="A48" s="111"/>
      <c r="B48" t="s">
        <v>28</v>
      </c>
      <c r="D48" s="33">
        <v>1124172.5728348508</v>
      </c>
      <c r="E48" s="33">
        <v>951989.99013495957</v>
      </c>
      <c r="F48" s="33">
        <v>736189.01204401511</v>
      </c>
      <c r="G48" s="33">
        <v>471817.84688713541</v>
      </c>
      <c r="H48" s="33">
        <v>153410.68325425836</v>
      </c>
      <c r="I48" s="33">
        <v>312321.61595777888</v>
      </c>
      <c r="J48" s="33">
        <v>22334.841541125188</v>
      </c>
      <c r="K48" s="33">
        <v>27021.212122626614</v>
      </c>
      <c r="L48" s="33">
        <v>32190.929570832745</v>
      </c>
      <c r="M48" s="73">
        <v>37887.743090592361</v>
      </c>
      <c r="N48" s="40">
        <f>AVERAGE(D48:M48)</f>
        <v>386933.64474381751</v>
      </c>
      <c r="O48" s="28"/>
    </row>
    <row r="49" spans="1:15" ht="15" x14ac:dyDescent="0.25">
      <c r="A49" s="111"/>
      <c r="D49" s="33"/>
      <c r="E49" s="33"/>
      <c r="F49" s="33"/>
      <c r="G49" s="33"/>
      <c r="H49" s="33"/>
      <c r="I49" s="33"/>
      <c r="J49" s="33"/>
      <c r="K49" s="33"/>
      <c r="L49" s="33"/>
      <c r="M49" s="73"/>
      <c r="N49" s="48"/>
      <c r="O49" s="28" t="s">
        <v>128</v>
      </c>
    </row>
    <row r="50" spans="1:15" ht="15" x14ac:dyDescent="0.25">
      <c r="A50" s="111"/>
      <c r="B50" s="132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73"/>
      <c r="O50" s="28"/>
    </row>
    <row r="51" spans="1:15" ht="15" x14ac:dyDescent="0.25">
      <c r="A51" s="111"/>
      <c r="B51" t="s">
        <v>30</v>
      </c>
      <c r="D51" s="141">
        <f>50000+(Assumptions!$B$40*0.2)</f>
        <v>344000</v>
      </c>
      <c r="E51" s="141">
        <f>50000+(Assumptions!$B$40*0.2)</f>
        <v>344000</v>
      </c>
      <c r="F51" s="141">
        <f>50000+(Assumptions!$B$40*0.2)</f>
        <v>344000</v>
      </c>
      <c r="G51" s="141">
        <f>50000+(Assumptions!$B$40*0.2)</f>
        <v>344000</v>
      </c>
      <c r="H51" s="141">
        <f>50000+(Assumptions!$B$40*0.2)</f>
        <v>344000</v>
      </c>
      <c r="I51" s="141">
        <f>50000+(Assumptions!$B$40*0.2)</f>
        <v>344000</v>
      </c>
      <c r="J51" s="141">
        <f>50000+(Assumptions!$B$40*0.2)</f>
        <v>344000</v>
      </c>
      <c r="K51" s="141">
        <f>50000+(Assumptions!$B$40*0.2)</f>
        <v>344000</v>
      </c>
      <c r="L51" s="141">
        <f>50000+(Assumptions!$B$40*0.2)</f>
        <v>344000</v>
      </c>
      <c r="M51" s="142">
        <f>50000+(Assumptions!$B$40*0.2)</f>
        <v>344000</v>
      </c>
      <c r="N51" s="40">
        <f>AVERAGE(D51:M51)</f>
        <v>344000</v>
      </c>
      <c r="O51" s="31"/>
    </row>
    <row r="52" spans="1:15" ht="15" x14ac:dyDescent="0.25">
      <c r="A52" s="111"/>
      <c r="B52" t="s">
        <v>31</v>
      </c>
      <c r="D52" s="33">
        <f>D28</f>
        <v>74182.397074263805</v>
      </c>
      <c r="E52" s="33">
        <f t="shared" ref="E52:M52" si="12">D52+E28</f>
        <v>186315.82599824041</v>
      </c>
      <c r="F52" s="33">
        <f t="shared" si="12"/>
        <v>342534.25422053959</v>
      </c>
      <c r="G52" s="33">
        <f t="shared" si="12"/>
        <v>547845.03386564215</v>
      </c>
      <c r="H52" s="33">
        <f t="shared" si="12"/>
        <v>807740.33828665467</v>
      </c>
      <c r="I52" s="33">
        <f t="shared" si="12"/>
        <v>1084179.3350099546</v>
      </c>
      <c r="J52" s="33">
        <f t="shared" si="12"/>
        <v>1415110.3874727492</v>
      </c>
      <c r="K52" s="33">
        <f t="shared" si="12"/>
        <v>1777550.0879493472</v>
      </c>
      <c r="L52" s="33">
        <f t="shared" si="12"/>
        <v>2172681.2422030601</v>
      </c>
      <c r="M52" s="73">
        <f t="shared" si="12"/>
        <v>2601727.4069134351</v>
      </c>
      <c r="N52" s="40">
        <f>AVERAGE(D52:M52)</f>
        <v>1100986.6308993888</v>
      </c>
      <c r="O52" s="28" t="s">
        <v>129</v>
      </c>
    </row>
    <row r="53" spans="1:15" x14ac:dyDescent="0.2">
      <c r="A53" s="111"/>
      <c r="B53" t="s">
        <v>32</v>
      </c>
      <c r="D53" s="135">
        <f>Assumptions!$B$52*D28</f>
        <v>7418.2397074263808</v>
      </c>
      <c r="E53" s="33">
        <f>Assumptions!$B$52*E28</f>
        <v>11213.342892397661</v>
      </c>
      <c r="F53" s="33">
        <f>Assumptions!$B$52*F28</f>
        <v>15621.842822229921</v>
      </c>
      <c r="G53" s="33">
        <f>Assumptions!$B$52*G28</f>
        <v>20531.077964510259</v>
      </c>
      <c r="H53" s="33">
        <f>Assumptions!$B$52*H28</f>
        <v>25989.530442101252</v>
      </c>
      <c r="I53" s="33">
        <f>Assumptions!$B$52*I28</f>
        <v>27643.899672329993</v>
      </c>
      <c r="J53" s="33">
        <f>Assumptions!$B$52*J28</f>
        <v>33093.105246279469</v>
      </c>
      <c r="K53" s="33">
        <f>Assumptions!$B$52*K28</f>
        <v>36243.970047659786</v>
      </c>
      <c r="L53" s="33">
        <f>Assumptions!$B$52*L28</f>
        <v>39513.115425371303</v>
      </c>
      <c r="M53" s="73">
        <f>Assumptions!$B$52*M28</f>
        <v>42904.616471037501</v>
      </c>
      <c r="N53" s="30"/>
    </row>
    <row r="54" spans="1:15" x14ac:dyDescent="0.2">
      <c r="A54" s="111"/>
      <c r="D54" s="41"/>
      <c r="E54" s="41"/>
      <c r="F54" s="41"/>
      <c r="G54" s="41"/>
      <c r="H54" s="41"/>
      <c r="I54" s="41"/>
      <c r="J54" s="41"/>
      <c r="K54" s="41"/>
      <c r="L54" s="41"/>
      <c r="M54" s="133"/>
    </row>
    <row r="55" spans="1:15" ht="13.5" thickBot="1" x14ac:dyDescent="0.25">
      <c r="A55" s="121"/>
      <c r="B55" s="137" t="s">
        <v>33</v>
      </c>
      <c r="C55" s="82"/>
      <c r="D55" s="138">
        <f t="shared" ref="D55:M55" si="13">SUM(D44:D52)-D53</f>
        <v>2721835.146771037</v>
      </c>
      <c r="E55" s="138">
        <f t="shared" si="13"/>
        <v>2655952.7154598823</v>
      </c>
      <c r="F55" s="138">
        <f t="shared" si="13"/>
        <v>2590233.1540665361</v>
      </c>
      <c r="G55" s="138">
        <f t="shared" si="13"/>
        <v>2524681.3486885317</v>
      </c>
      <c r="H55" s="138">
        <f t="shared" si="13"/>
        <v>2459302.3320063315</v>
      </c>
      <c r="I55" s="138">
        <f t="shared" si="13"/>
        <v>2882120.7849184838</v>
      </c>
      <c r="J55" s="138">
        <f t="shared" si="13"/>
        <v>2913857.914897027</v>
      </c>
      <c r="K55" s="138">
        <f t="shared" si="13"/>
        <v>3267718.3646242213</v>
      </c>
      <c r="L55" s="138">
        <f t="shared" si="13"/>
        <v>3653474.2218448673</v>
      </c>
      <c r="M55" s="139">
        <f t="shared" si="13"/>
        <v>4072279.5259596081</v>
      </c>
    </row>
    <row r="56" spans="1:15" ht="13.5" thickBot="1" x14ac:dyDescent="0.25">
      <c r="B56" s="32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5" x14ac:dyDescent="0.2">
      <c r="A57" s="108"/>
      <c r="B57" s="143" t="s">
        <v>187</v>
      </c>
      <c r="C57" s="65"/>
      <c r="D57" s="144">
        <f t="shared" ref="D57:M57" si="14">D47/SUM(D47:D48)</f>
        <v>0.5091696838319798</v>
      </c>
      <c r="E57" s="144">
        <f t="shared" si="14"/>
        <v>0.54829045751016448</v>
      </c>
      <c r="F57" s="144">
        <f t="shared" si="14"/>
        <v>0.60845249607364416</v>
      </c>
      <c r="G57" s="144">
        <f t="shared" si="14"/>
        <v>0.70573066019125874</v>
      </c>
      <c r="H57" s="144">
        <f t="shared" si="14"/>
        <v>0.87934025623596623</v>
      </c>
      <c r="I57" s="144">
        <f t="shared" si="14"/>
        <v>0.77938824796012296</v>
      </c>
      <c r="J57" s="144">
        <f t="shared" si="14"/>
        <v>0.97987615410060513</v>
      </c>
      <c r="K57" s="144">
        <f t="shared" si="14"/>
        <v>0.97537682292577188</v>
      </c>
      <c r="L57" s="144">
        <f t="shared" si="14"/>
        <v>0.9703026880103417</v>
      </c>
      <c r="M57" s="145">
        <f t="shared" si="14"/>
        <v>0.96457534258629429</v>
      </c>
    </row>
    <row r="58" spans="1:15" x14ac:dyDescent="0.2">
      <c r="A58" s="111"/>
      <c r="B58" s="32" t="s">
        <v>188</v>
      </c>
      <c r="D58" s="34">
        <f t="shared" ref="D58:M58" si="15">D48/SUM(D47:D48)</f>
        <v>0.49083031616802025</v>
      </c>
      <c r="E58" s="34">
        <f t="shared" si="15"/>
        <v>0.45170954248983547</v>
      </c>
      <c r="F58" s="34">
        <f t="shared" si="15"/>
        <v>0.39154750392635584</v>
      </c>
      <c r="G58" s="34">
        <f t="shared" si="15"/>
        <v>0.29426933980874126</v>
      </c>
      <c r="H58" s="34">
        <f t="shared" si="15"/>
        <v>0.12065974376403373</v>
      </c>
      <c r="I58" s="34">
        <f t="shared" si="15"/>
        <v>0.22061175203987707</v>
      </c>
      <c r="J58" s="34">
        <f t="shared" si="15"/>
        <v>2.0123845899394813E-2</v>
      </c>
      <c r="K58" s="34">
        <f t="shared" si="15"/>
        <v>2.4623177074228165E-2</v>
      </c>
      <c r="L58" s="34">
        <f t="shared" si="15"/>
        <v>2.9697311989658342E-2</v>
      </c>
      <c r="M58" s="146">
        <f t="shared" si="15"/>
        <v>3.5424657413705582E-2</v>
      </c>
    </row>
    <row r="59" spans="1:15" x14ac:dyDescent="0.2">
      <c r="A59" s="111"/>
      <c r="B59" s="32" t="s">
        <v>173</v>
      </c>
      <c r="D59" s="35">
        <f>(+D57*'Average Forecast'!$I$1)+('Average Forecast'!D58*'Average Forecast'!$N$24)</f>
        <v>5.0452285326987284E-2</v>
      </c>
      <c r="E59" s="35">
        <f>(+E57*'Average Forecast'!$I$1)+('Average Forecast'!E58*'Average Forecast'!$N$24)</f>
        <v>4.8468289839792178E-2</v>
      </c>
      <c r="F59" s="35">
        <f>(+F57*'Average Forecast'!$I$1)+('Average Forecast'!F58*'Average Forecast'!$N$24)</f>
        <v>4.5444706279793329E-2</v>
      </c>
      <c r="G59" s="35">
        <f>(+G57*'Average Forecast'!$I$1)+('Average Forecast'!G58*'Average Forecast'!$N$24)</f>
        <v>4.086882847039261E-2</v>
      </c>
      <c r="H59" s="35">
        <f>(+H57*'Average Forecast'!$I$1)+('Average Forecast'!H58*'Average Forecast'!$N$24)</f>
        <v>3.3768143848586958E-2</v>
      </c>
      <c r="I59" s="35">
        <f>(+I57*'Average Forecast'!$I$1)+('Average Forecast'!I58*'Average Forecast'!$N$24)</f>
        <v>2.2061175203987708E-2</v>
      </c>
      <c r="J59" s="35">
        <f>(+J57*'Average Forecast'!$I$1)+('Average Forecast'!J58*'Average Forecast'!$N$24)</f>
        <v>2.0123845899394813E-3</v>
      </c>
      <c r="K59" s="35">
        <f>(+K57*'Average Forecast'!$I$1)+('Average Forecast'!K58*'Average Forecast'!$N$24)</f>
        <v>2.4623177074228168E-3</v>
      </c>
      <c r="L59" s="35">
        <f>(+L57*'Average Forecast'!$I$1)+('Average Forecast'!L58*'Average Forecast'!$N$24)</f>
        <v>2.9697311989658345E-3</v>
      </c>
      <c r="M59" s="147">
        <f>(+M57*'Average Forecast'!$I$1)+('Average Forecast'!M58*'Average Forecast'!$N$24)</f>
        <v>3.5424657413705585E-3</v>
      </c>
    </row>
    <row r="60" spans="1:15" ht="15" x14ac:dyDescent="0.25">
      <c r="A60" s="111"/>
      <c r="B60" s="32" t="s">
        <v>168</v>
      </c>
      <c r="D60" s="36">
        <v>1.24</v>
      </c>
      <c r="E60" s="36">
        <v>1.24</v>
      </c>
      <c r="F60" s="36">
        <v>1.24</v>
      </c>
      <c r="G60" s="36">
        <v>1.24</v>
      </c>
      <c r="H60" s="36">
        <v>1.24</v>
      </c>
      <c r="I60" s="36">
        <v>1.24</v>
      </c>
      <c r="J60" s="36">
        <v>1.24</v>
      </c>
      <c r="K60" s="36">
        <v>1.24</v>
      </c>
      <c r="L60" s="36">
        <v>1.24</v>
      </c>
      <c r="M60" s="148">
        <v>1.24</v>
      </c>
    </row>
    <row r="61" spans="1:15" x14ac:dyDescent="0.2">
      <c r="A61" s="111"/>
      <c r="B61" s="32" t="s">
        <v>189</v>
      </c>
      <c r="D61" s="38">
        <f t="shared" ref="D61:M61" si="16">SUM(D47:D48)/SUM(D47:D52)</f>
        <v>0.84560546537697023</v>
      </c>
      <c r="E61" s="38">
        <f t="shared" si="16"/>
        <v>0.79895850863024487</v>
      </c>
      <c r="F61" s="38">
        <f t="shared" si="16"/>
        <v>0.73252653638354848</v>
      </c>
      <c r="G61" s="38">
        <f t="shared" si="16"/>
        <v>0.64257555638580099</v>
      </c>
      <c r="H61" s="38">
        <f t="shared" si="16"/>
        <v>0.52469734576452765</v>
      </c>
      <c r="I61" s="38">
        <f t="shared" si="16"/>
        <v>0.497807178561474</v>
      </c>
      <c r="J61" s="38">
        <f t="shared" si="16"/>
        <v>0.38685160077386838</v>
      </c>
      <c r="K61" s="38">
        <f t="shared" si="16"/>
        <v>0.3409164312728894</v>
      </c>
      <c r="L61" s="38">
        <f t="shared" si="16"/>
        <v>0.30104788845774499</v>
      </c>
      <c r="M61" s="149">
        <f t="shared" si="16"/>
        <v>0.26636653223255774</v>
      </c>
    </row>
    <row r="62" spans="1:15" x14ac:dyDescent="0.2">
      <c r="A62" s="111"/>
      <c r="B62" s="32" t="s">
        <v>169</v>
      </c>
      <c r="D62" s="38">
        <f t="shared" ref="D62:M62" si="17">SUM(D51:D52)/SUM(D47:D52)</f>
        <v>0.15439453462302966</v>
      </c>
      <c r="E62" s="38">
        <f t="shared" si="17"/>
        <v>0.20104149136975502</v>
      </c>
      <c r="F62" s="38">
        <f t="shared" si="17"/>
        <v>0.26747346361645147</v>
      </c>
      <c r="G62" s="38">
        <f t="shared" si="17"/>
        <v>0.35742444361419895</v>
      </c>
      <c r="H62" s="38">
        <f t="shared" si="17"/>
        <v>0.47530265423547235</v>
      </c>
      <c r="I62" s="38">
        <f t="shared" si="17"/>
        <v>0.50219282143852595</v>
      </c>
      <c r="J62" s="38">
        <f t="shared" si="17"/>
        <v>0.61314839922613162</v>
      </c>
      <c r="K62" s="38">
        <f t="shared" si="17"/>
        <v>0.6590835687271106</v>
      </c>
      <c r="L62" s="38">
        <f t="shared" si="17"/>
        <v>0.69895211154225512</v>
      </c>
      <c r="M62" s="149">
        <f t="shared" si="17"/>
        <v>0.7336334677674422</v>
      </c>
    </row>
    <row r="63" spans="1:15" x14ac:dyDescent="0.2">
      <c r="A63" s="111"/>
      <c r="B63" s="32"/>
      <c r="D63" s="33"/>
      <c r="E63" s="33"/>
      <c r="F63" s="33"/>
      <c r="G63" s="33"/>
      <c r="H63" s="33"/>
      <c r="I63" s="33"/>
      <c r="J63" s="33"/>
      <c r="K63" s="33"/>
      <c r="L63" s="33"/>
      <c r="M63" s="73"/>
    </row>
    <row r="64" spans="1:15" ht="15" x14ac:dyDescent="0.25">
      <c r="A64" s="111"/>
      <c r="B64" s="32" t="s">
        <v>190</v>
      </c>
      <c r="D64" s="36">
        <f t="shared" ref="D64:M64" si="18">+D60*(1+(1-$N$27)*(D61/D62))</f>
        <v>6.8089253463189161</v>
      </c>
      <c r="E64" s="36">
        <f t="shared" si="18"/>
        <v>5.2808624410823928</v>
      </c>
      <c r="F64" s="36">
        <f t="shared" si="18"/>
        <v>4.0246986094398478</v>
      </c>
      <c r="G64" s="36">
        <f t="shared" si="18"/>
        <v>3.0679970421897771</v>
      </c>
      <c r="H64" s="36">
        <f t="shared" si="18"/>
        <v>2.3624685080531056</v>
      </c>
      <c r="I64" s="36">
        <f t="shared" si="18"/>
        <v>2.2479202998389889</v>
      </c>
      <c r="J64" s="36">
        <f t="shared" si="18"/>
        <v>1.8815261104217611</v>
      </c>
      <c r="K64" s="36">
        <f t="shared" si="18"/>
        <v>1.765948216229617</v>
      </c>
      <c r="L64" s="36">
        <f t="shared" si="18"/>
        <v>1.677949164082795</v>
      </c>
      <c r="M64" s="148">
        <f t="shared" si="18"/>
        <v>1.6091782093833265</v>
      </c>
    </row>
    <row r="65" spans="1:14" ht="15" x14ac:dyDescent="0.25">
      <c r="A65" s="111"/>
      <c r="B65" s="32" t="s">
        <v>170</v>
      </c>
      <c r="D65" s="49">
        <v>0.1002</v>
      </c>
      <c r="E65" s="49">
        <v>0.1002</v>
      </c>
      <c r="F65" s="49">
        <v>0.1002</v>
      </c>
      <c r="G65" s="49">
        <v>0.1002</v>
      </c>
      <c r="H65" s="49">
        <v>0.1002</v>
      </c>
      <c r="I65" s="49">
        <v>0.1002</v>
      </c>
      <c r="J65" s="49">
        <v>0.1002</v>
      </c>
      <c r="K65" s="49">
        <v>0.1002</v>
      </c>
      <c r="L65" s="49">
        <v>0.1002</v>
      </c>
      <c r="M65" s="150">
        <v>0.1002</v>
      </c>
    </row>
    <row r="66" spans="1:14" ht="15" x14ac:dyDescent="0.25">
      <c r="A66" s="111"/>
      <c r="B66" s="32" t="s">
        <v>171</v>
      </c>
      <c r="D66" s="49">
        <v>2.0799999999999999E-2</v>
      </c>
      <c r="E66" s="49">
        <v>2.0799999999999999E-2</v>
      </c>
      <c r="F66" s="49">
        <v>2.0799999999999999E-2</v>
      </c>
      <c r="G66" s="49">
        <v>2.0799999999999999E-2</v>
      </c>
      <c r="H66" s="49">
        <v>2.0799999999999999E-2</v>
      </c>
      <c r="I66" s="49">
        <v>2.0799999999999999E-2</v>
      </c>
      <c r="J66" s="49">
        <v>2.0799999999999999E-2</v>
      </c>
      <c r="K66" s="49">
        <v>2.0799999999999999E-2</v>
      </c>
      <c r="L66" s="49">
        <v>2.0799999999999999E-2</v>
      </c>
      <c r="M66" s="150">
        <v>2.0799999999999999E-2</v>
      </c>
    </row>
    <row r="67" spans="1:14" x14ac:dyDescent="0.2">
      <c r="A67" s="111"/>
      <c r="B67" s="32" t="s">
        <v>172</v>
      </c>
      <c r="D67" s="37">
        <f t="shared" ref="D67:M67" si="19">+D66+D64*(D65-D66)</f>
        <v>0.56142867249772199</v>
      </c>
      <c r="E67" s="37">
        <f t="shared" si="19"/>
        <v>0.44010047782194195</v>
      </c>
      <c r="F67" s="37">
        <f t="shared" si="19"/>
        <v>0.34036106958952389</v>
      </c>
      <c r="G67" s="37">
        <f t="shared" si="19"/>
        <v>0.26439896514986827</v>
      </c>
      <c r="H67" s="37">
        <f t="shared" si="19"/>
        <v>0.2083799995394166</v>
      </c>
      <c r="I67" s="37">
        <f t="shared" si="19"/>
        <v>0.19928487180721571</v>
      </c>
      <c r="J67" s="37">
        <f t="shared" si="19"/>
        <v>0.17019317316748783</v>
      </c>
      <c r="K67" s="37">
        <f t="shared" si="19"/>
        <v>0.16101628836863158</v>
      </c>
      <c r="L67" s="37">
        <f t="shared" si="19"/>
        <v>0.15402916362817393</v>
      </c>
      <c r="M67" s="151">
        <f t="shared" si="19"/>
        <v>0.14856874982503609</v>
      </c>
    </row>
    <row r="68" spans="1:14" x14ac:dyDescent="0.2">
      <c r="A68" s="111"/>
      <c r="B68" s="32"/>
      <c r="D68" s="33"/>
      <c r="E68" s="33"/>
      <c r="F68" s="33"/>
      <c r="G68" s="33"/>
      <c r="H68" s="33"/>
      <c r="I68" s="33"/>
      <c r="J68" s="33"/>
      <c r="K68" s="33"/>
      <c r="L68" s="33"/>
      <c r="M68" s="73"/>
    </row>
    <row r="69" spans="1:14" ht="13.5" thickBot="1" x14ac:dyDescent="0.25">
      <c r="A69" s="121"/>
      <c r="B69" s="137" t="s">
        <v>167</v>
      </c>
      <c r="C69" s="82"/>
      <c r="D69" s="152">
        <f t="shared" ref="D69:M69" si="20">D61*(1-$N$27)*D59+D62*D67</f>
        <v>0.1216649557491833</v>
      </c>
      <c r="E69" s="152">
        <f t="shared" si="20"/>
        <v>0.12023226151819724</v>
      </c>
      <c r="F69" s="152">
        <f t="shared" si="20"/>
        <v>0.11833490585955589</v>
      </c>
      <c r="G69" s="152">
        <f t="shared" si="20"/>
        <v>0.11603692736928434</v>
      </c>
      <c r="H69" s="152">
        <f t="shared" si="20"/>
        <v>0.11357237233864485</v>
      </c>
      <c r="I69" s="152">
        <f t="shared" si="20"/>
        <v>0.10908484537779954</v>
      </c>
      <c r="J69" s="152">
        <f t="shared" si="20"/>
        <v>0.10499203693085339</v>
      </c>
      <c r="K69" s="152">
        <f t="shared" si="20"/>
        <v>0.10681153450488044</v>
      </c>
      <c r="L69" s="152">
        <f t="shared" si="20"/>
        <v>0.10839211482852301</v>
      </c>
      <c r="M69" s="153">
        <f t="shared" si="20"/>
        <v>0.10976875447438164</v>
      </c>
    </row>
    <row r="70" spans="1:14" ht="13.5" thickBot="1" x14ac:dyDescent="0.25">
      <c r="B70" s="32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63" t="s">
        <v>135</v>
      </c>
      <c r="B71" s="64"/>
      <c r="C71" s="84">
        <v>0</v>
      </c>
      <c r="D71" s="84">
        <v>1</v>
      </c>
      <c r="E71" s="84">
        <v>2</v>
      </c>
      <c r="F71" s="84">
        <v>3</v>
      </c>
      <c r="G71" s="84">
        <v>4</v>
      </c>
      <c r="H71" s="84">
        <v>5</v>
      </c>
      <c r="I71" s="84">
        <v>6</v>
      </c>
      <c r="J71" s="84">
        <v>7</v>
      </c>
      <c r="K71" s="84">
        <v>8</v>
      </c>
      <c r="L71" s="84">
        <v>9</v>
      </c>
      <c r="M71" s="85">
        <v>10</v>
      </c>
    </row>
    <row r="72" spans="1:14" ht="15" x14ac:dyDescent="0.25">
      <c r="A72" s="100" t="s">
        <v>136</v>
      </c>
      <c r="B72" s="93"/>
      <c r="C72" s="94"/>
      <c r="D72" s="93"/>
      <c r="E72" s="93"/>
      <c r="F72" s="93"/>
      <c r="G72" s="93"/>
      <c r="H72" s="93"/>
      <c r="I72" s="93"/>
      <c r="J72" s="93"/>
      <c r="K72" s="8"/>
      <c r="L72" s="8"/>
      <c r="M72" s="101"/>
    </row>
    <row r="73" spans="1:14" ht="15" x14ac:dyDescent="0.25">
      <c r="A73" s="67"/>
      <c r="B73" s="46" t="s">
        <v>137</v>
      </c>
      <c r="C73" s="46"/>
      <c r="D73" s="52">
        <f t="shared" ref="D73:M73" si="21">D19</f>
        <v>367920</v>
      </c>
      <c r="E73" s="52">
        <f t="shared" si="21"/>
        <v>396168.11065871548</v>
      </c>
      <c r="F73" s="52">
        <f t="shared" si="21"/>
        <v>427467.15397847723</v>
      </c>
      <c r="G73" s="52">
        <f t="shared" si="21"/>
        <v>459942.41259783134</v>
      </c>
      <c r="H73" s="52">
        <f t="shared" si="21"/>
        <v>493632.46749576647</v>
      </c>
      <c r="I73" s="52">
        <f t="shared" si="21"/>
        <v>528577.10846743942</v>
      </c>
      <c r="J73" s="52">
        <f t="shared" si="21"/>
        <v>564817.37127136276</v>
      </c>
      <c r="K73" s="52">
        <f t="shared" si="21"/>
        <v>602395.57590720686</v>
      </c>
      <c r="L73" s="52">
        <f t="shared" si="21"/>
        <v>641355.36605845508</v>
      </c>
      <c r="M73" s="86">
        <f t="shared" si="21"/>
        <v>681741.74973515794</v>
      </c>
      <c r="N73" s="52"/>
    </row>
    <row r="74" spans="1:14" ht="15" x14ac:dyDescent="0.25">
      <c r="A74" s="67"/>
      <c r="B74" s="46" t="s">
        <v>138</v>
      </c>
      <c r="C74" s="46"/>
      <c r="D74" s="52">
        <f t="shared" ref="D74:M74" si="22">SUM(D21:D22)</f>
        <v>71311.42857142858</v>
      </c>
      <c r="E74" s="52">
        <f t="shared" si="22"/>
        <v>71311.42857142858</v>
      </c>
      <c r="F74" s="52">
        <f t="shared" si="22"/>
        <v>71311.42857142858</v>
      </c>
      <c r="G74" s="52">
        <f t="shared" si="22"/>
        <v>71311.42857142858</v>
      </c>
      <c r="H74" s="52">
        <f t="shared" si="22"/>
        <v>71311.42857142858</v>
      </c>
      <c r="I74" s="52">
        <f t="shared" si="22"/>
        <v>71311.42857142858</v>
      </c>
      <c r="J74" s="52">
        <f t="shared" si="22"/>
        <v>71311.42857142858</v>
      </c>
      <c r="K74" s="52">
        <f t="shared" si="22"/>
        <v>71311.42857142858</v>
      </c>
      <c r="L74" s="52">
        <f t="shared" si="22"/>
        <v>71311.42857142858</v>
      </c>
      <c r="M74" s="86">
        <f t="shared" si="22"/>
        <v>71311.42857142858</v>
      </c>
    </row>
    <row r="75" spans="1:14" ht="15" x14ac:dyDescent="0.25">
      <c r="A75" s="67"/>
      <c r="B75" s="46" t="s">
        <v>139</v>
      </c>
      <c r="C75" s="46"/>
      <c r="D75" s="52">
        <f t="shared" ref="D75:M75" si="23">D73-D74</f>
        <v>296608.57142857142</v>
      </c>
      <c r="E75" s="52">
        <f t="shared" si="23"/>
        <v>324856.6820872869</v>
      </c>
      <c r="F75" s="52">
        <f t="shared" si="23"/>
        <v>356155.72540704865</v>
      </c>
      <c r="G75" s="52">
        <f t="shared" si="23"/>
        <v>388630.98402640276</v>
      </c>
      <c r="H75" s="52">
        <f t="shared" si="23"/>
        <v>422321.03892433789</v>
      </c>
      <c r="I75" s="52">
        <f t="shared" si="23"/>
        <v>457265.67989601084</v>
      </c>
      <c r="J75" s="52">
        <f t="shared" si="23"/>
        <v>493505.94269993418</v>
      </c>
      <c r="K75" s="52">
        <f t="shared" si="23"/>
        <v>531084.14733577822</v>
      </c>
      <c r="L75" s="52">
        <f t="shared" si="23"/>
        <v>570043.93748702644</v>
      </c>
      <c r="M75" s="86">
        <f t="shared" si="23"/>
        <v>610430.3211637293</v>
      </c>
    </row>
    <row r="76" spans="1:14" ht="15" x14ac:dyDescent="0.25">
      <c r="A76" s="67"/>
      <c r="B76" s="46" t="s">
        <v>140</v>
      </c>
      <c r="C76" s="46"/>
      <c r="D76" s="52">
        <f t="shared" ref="D76:M76" si="24">IF(D75&lt;0,0,D75*$N$27)</f>
        <v>53389.542857142857</v>
      </c>
      <c r="E76" s="52">
        <f t="shared" si="24"/>
        <v>58474.202775711638</v>
      </c>
      <c r="F76" s="52">
        <f t="shared" si="24"/>
        <v>64108.030573268756</v>
      </c>
      <c r="G76" s="52">
        <f t="shared" si="24"/>
        <v>69953.577124752497</v>
      </c>
      <c r="H76" s="52">
        <f t="shared" si="24"/>
        <v>76017.787006380822</v>
      </c>
      <c r="I76" s="52">
        <f t="shared" si="24"/>
        <v>82307.822381281949</v>
      </c>
      <c r="J76" s="52">
        <f t="shared" si="24"/>
        <v>88831.069685988143</v>
      </c>
      <c r="K76" s="52">
        <f t="shared" si="24"/>
        <v>95595.146520440074</v>
      </c>
      <c r="L76" s="52">
        <f t="shared" si="24"/>
        <v>102607.90874766475</v>
      </c>
      <c r="M76" s="86">
        <f t="shared" si="24"/>
        <v>109877.45780947126</v>
      </c>
    </row>
    <row r="77" spans="1:14" ht="15" x14ac:dyDescent="0.25">
      <c r="A77" s="67"/>
      <c r="B77" s="46" t="s">
        <v>141</v>
      </c>
      <c r="C77" s="46"/>
      <c r="D77" s="70">
        <f t="shared" ref="D77:M77" si="25">D75-D76</f>
        <v>243219.02857142856</v>
      </c>
      <c r="E77" s="70">
        <f t="shared" si="25"/>
        <v>266382.47931157524</v>
      </c>
      <c r="F77" s="70">
        <f t="shared" si="25"/>
        <v>292047.69483377988</v>
      </c>
      <c r="G77" s="70">
        <f t="shared" si="25"/>
        <v>318677.40690165025</v>
      </c>
      <c r="H77" s="70">
        <f t="shared" si="25"/>
        <v>346303.2519179571</v>
      </c>
      <c r="I77" s="70">
        <f t="shared" si="25"/>
        <v>374957.85751472891</v>
      </c>
      <c r="J77" s="70">
        <f t="shared" si="25"/>
        <v>404674.87301394605</v>
      </c>
      <c r="K77" s="70">
        <f t="shared" si="25"/>
        <v>435489.00081533816</v>
      </c>
      <c r="L77" s="70">
        <f t="shared" si="25"/>
        <v>467436.02873936167</v>
      </c>
      <c r="M77" s="87">
        <f t="shared" si="25"/>
        <v>500552.86335425801</v>
      </c>
    </row>
    <row r="78" spans="1:14" ht="15" x14ac:dyDescent="0.25">
      <c r="A78" s="67"/>
      <c r="B78" s="46" t="s">
        <v>142</v>
      </c>
      <c r="C78" s="46"/>
      <c r="D78" s="52">
        <f t="shared" ref="D78:M78" si="26">D74</f>
        <v>71311.42857142858</v>
      </c>
      <c r="E78" s="52">
        <f t="shared" si="26"/>
        <v>71311.42857142858</v>
      </c>
      <c r="F78" s="52">
        <f t="shared" si="26"/>
        <v>71311.42857142858</v>
      </c>
      <c r="G78" s="52">
        <f t="shared" si="26"/>
        <v>71311.42857142858</v>
      </c>
      <c r="H78" s="52">
        <f t="shared" si="26"/>
        <v>71311.42857142858</v>
      </c>
      <c r="I78" s="52">
        <f t="shared" si="26"/>
        <v>71311.42857142858</v>
      </c>
      <c r="J78" s="52">
        <f t="shared" si="26"/>
        <v>71311.42857142858</v>
      </c>
      <c r="K78" s="52">
        <f t="shared" si="26"/>
        <v>71311.42857142858</v>
      </c>
      <c r="L78" s="52">
        <f t="shared" si="26"/>
        <v>71311.42857142858</v>
      </c>
      <c r="M78" s="86">
        <f t="shared" si="26"/>
        <v>71311.42857142858</v>
      </c>
    </row>
    <row r="79" spans="1:14" ht="15" x14ac:dyDescent="0.25">
      <c r="A79" s="102"/>
      <c r="B79" s="95" t="s">
        <v>136</v>
      </c>
      <c r="C79" s="95"/>
      <c r="D79" s="96">
        <f t="shared" ref="D79:M79" si="27">D77+D78</f>
        <v>314530.45714285714</v>
      </c>
      <c r="E79" s="96">
        <f t="shared" si="27"/>
        <v>337693.90788300382</v>
      </c>
      <c r="F79" s="96">
        <f t="shared" si="27"/>
        <v>363359.12340520846</v>
      </c>
      <c r="G79" s="96">
        <f t="shared" si="27"/>
        <v>389988.83547307883</v>
      </c>
      <c r="H79" s="96">
        <f t="shared" si="27"/>
        <v>417614.68048938568</v>
      </c>
      <c r="I79" s="96">
        <f t="shared" si="27"/>
        <v>446269.28608615749</v>
      </c>
      <c r="J79" s="96">
        <f t="shared" si="27"/>
        <v>475986.30158537463</v>
      </c>
      <c r="K79" s="96">
        <f t="shared" si="27"/>
        <v>506800.42938676674</v>
      </c>
      <c r="L79" s="96">
        <f t="shared" si="27"/>
        <v>538747.4573107902</v>
      </c>
      <c r="M79" s="103">
        <f t="shared" si="27"/>
        <v>571864.29192568664</v>
      </c>
    </row>
    <row r="80" spans="1:14" ht="15" x14ac:dyDescent="0.25">
      <c r="A80" s="100" t="s">
        <v>143</v>
      </c>
      <c r="B80" s="93"/>
      <c r="C80" s="93"/>
      <c r="D80" s="93"/>
      <c r="E80" s="93"/>
      <c r="F80" s="93"/>
      <c r="G80" s="93"/>
      <c r="H80" s="93"/>
      <c r="I80" s="93"/>
      <c r="J80" s="93"/>
      <c r="K80" s="8"/>
      <c r="L80" s="8"/>
      <c r="M80" s="101"/>
    </row>
    <row r="81" spans="1:15" ht="15" x14ac:dyDescent="0.25">
      <c r="A81" s="67"/>
      <c r="B81" s="46" t="s">
        <v>144</v>
      </c>
      <c r="C81" s="52">
        <f>-(D35+D36)</f>
        <v>-2450000</v>
      </c>
      <c r="D81" s="46"/>
      <c r="E81" s="46"/>
      <c r="F81" s="46"/>
      <c r="G81" s="46"/>
      <c r="H81" s="46"/>
      <c r="I81" s="46"/>
      <c r="J81" s="46"/>
      <c r="M81" s="68"/>
    </row>
    <row r="82" spans="1:15" ht="15" x14ac:dyDescent="0.25">
      <c r="A82" s="67"/>
      <c r="B82" s="46" t="s">
        <v>160</v>
      </c>
      <c r="C82" s="52">
        <f>-D37</f>
        <v>-156180</v>
      </c>
      <c r="D82" s="46"/>
      <c r="E82" s="46"/>
      <c r="F82" s="46"/>
      <c r="G82" s="46"/>
      <c r="H82" s="46"/>
      <c r="I82" s="46"/>
      <c r="J82" s="46"/>
      <c r="M82" s="68"/>
    </row>
    <row r="83" spans="1:15" ht="15" x14ac:dyDescent="0.25">
      <c r="A83" s="67"/>
      <c r="B83" s="46" t="s">
        <v>145</v>
      </c>
      <c r="C83" s="46"/>
      <c r="D83" s="46"/>
      <c r="E83" s="46"/>
      <c r="F83" s="46"/>
      <c r="H83" s="46"/>
      <c r="M83" s="86">
        <f>O83*O84</f>
        <v>2352000</v>
      </c>
      <c r="N83" s="46" t="s">
        <v>163</v>
      </c>
      <c r="O83" s="52">
        <f>(M35+M36-M38)</f>
        <v>1960000</v>
      </c>
    </row>
    <row r="84" spans="1:15" ht="15" x14ac:dyDescent="0.25">
      <c r="A84" s="67"/>
      <c r="B84" s="46" t="s">
        <v>161</v>
      </c>
      <c r="C84" s="46"/>
      <c r="D84" s="46"/>
      <c r="E84" s="46"/>
      <c r="F84" s="46"/>
      <c r="G84" s="52"/>
      <c r="H84" s="46"/>
      <c r="M84" s="88">
        <f>-O87*C82</f>
        <v>39045</v>
      </c>
      <c r="N84" s="46" t="s">
        <v>147</v>
      </c>
      <c r="O84" s="47">
        <v>1.2</v>
      </c>
    </row>
    <row r="85" spans="1:15" ht="15" x14ac:dyDescent="0.25">
      <c r="A85" s="67"/>
      <c r="B85" s="46" t="s">
        <v>146</v>
      </c>
      <c r="C85" s="46"/>
      <c r="D85" s="46"/>
      <c r="E85" s="46"/>
      <c r="F85" s="46"/>
      <c r="H85" s="46"/>
      <c r="M85" s="89">
        <f>-O85*N27</f>
        <v>-70560</v>
      </c>
      <c r="N85" s="46" t="s">
        <v>164</v>
      </c>
      <c r="O85" s="52">
        <f>M83-O83</f>
        <v>392000</v>
      </c>
    </row>
    <row r="86" spans="1:15" ht="15" x14ac:dyDescent="0.25">
      <c r="A86" s="102"/>
      <c r="B86" s="95" t="s">
        <v>162</v>
      </c>
      <c r="C86" s="95"/>
      <c r="D86" s="95"/>
      <c r="E86" s="95"/>
      <c r="F86" s="95"/>
      <c r="G86" s="97"/>
      <c r="H86" s="95"/>
      <c r="I86" s="10"/>
      <c r="J86" s="10"/>
      <c r="K86" s="10"/>
      <c r="L86" s="10"/>
      <c r="M86" s="104">
        <f>-O88*N27</f>
        <v>-7028.0999999999995</v>
      </c>
      <c r="N86" s="46" t="s">
        <v>165</v>
      </c>
      <c r="O86" s="48">
        <f>M37-M39</f>
        <v>0</v>
      </c>
    </row>
    <row r="87" spans="1:15" ht="15" x14ac:dyDescent="0.25">
      <c r="A87" s="100" t="s">
        <v>148</v>
      </c>
      <c r="B87" s="93"/>
      <c r="C87" s="93"/>
      <c r="D87" s="93"/>
      <c r="E87" s="93"/>
      <c r="F87" s="93"/>
      <c r="G87" s="93"/>
      <c r="H87" s="93"/>
      <c r="I87" s="8"/>
      <c r="J87" s="8"/>
      <c r="K87" s="8"/>
      <c r="L87" s="8"/>
      <c r="M87" s="101"/>
      <c r="N87" s="46" t="s">
        <v>147</v>
      </c>
      <c r="O87" s="47">
        <v>0.25</v>
      </c>
    </row>
    <row r="88" spans="1:15" ht="15" x14ac:dyDescent="0.25">
      <c r="A88" s="74" t="s">
        <v>149</v>
      </c>
      <c r="B88" s="75" t="s">
        <v>21</v>
      </c>
      <c r="C88" s="76"/>
      <c r="D88" s="52">
        <f t="shared" ref="D88:M88" si="28">-(D34-C34)</f>
        <v>-180966.57534246575</v>
      </c>
      <c r="E88" s="52">
        <f t="shared" si="28"/>
        <v>-5428.9972602739872</v>
      </c>
      <c r="F88" s="52">
        <f t="shared" si="28"/>
        <v>-5591.8671780822042</v>
      </c>
      <c r="G88" s="52">
        <f t="shared" si="28"/>
        <v>-5759.6231934246607</v>
      </c>
      <c r="H88" s="52">
        <f t="shared" si="28"/>
        <v>-5932.4118892274273</v>
      </c>
      <c r="I88" s="52">
        <f t="shared" si="28"/>
        <v>-6110.3842459041916</v>
      </c>
      <c r="J88" s="52">
        <f t="shared" si="28"/>
        <v>-6293.6957732813607</v>
      </c>
      <c r="K88" s="52">
        <f t="shared" si="28"/>
        <v>-6482.506646479771</v>
      </c>
      <c r="L88" s="52">
        <f t="shared" si="28"/>
        <v>-6676.981845874252</v>
      </c>
      <c r="M88" s="86">
        <f t="shared" si="28"/>
        <v>-6877.2913012503413</v>
      </c>
      <c r="N88" s="46" t="s">
        <v>166</v>
      </c>
      <c r="O88" s="53">
        <f>M84-O86</f>
        <v>39045</v>
      </c>
    </row>
    <row r="89" spans="1:15" ht="15" x14ac:dyDescent="0.25">
      <c r="A89" s="74" t="s">
        <v>149</v>
      </c>
      <c r="B89" s="75" t="s">
        <v>150</v>
      </c>
      <c r="C89" s="46"/>
      <c r="D89" s="52">
        <f>0</f>
        <v>0</v>
      </c>
      <c r="E89" s="52">
        <f>0</f>
        <v>0</v>
      </c>
      <c r="F89" s="52">
        <f>0</f>
        <v>0</v>
      </c>
      <c r="G89" s="52">
        <f>0</f>
        <v>0</v>
      </c>
      <c r="H89" s="52">
        <f>0</f>
        <v>0</v>
      </c>
      <c r="I89" s="52">
        <f>0</f>
        <v>0</v>
      </c>
      <c r="J89" s="52">
        <f>0</f>
        <v>0</v>
      </c>
      <c r="K89" s="52">
        <f>0</f>
        <v>0</v>
      </c>
      <c r="L89" s="52">
        <f>0</f>
        <v>0</v>
      </c>
      <c r="M89" s="86">
        <f>0</f>
        <v>0</v>
      </c>
    </row>
    <row r="90" spans="1:15" ht="15" x14ac:dyDescent="0.25">
      <c r="A90" s="74" t="s">
        <v>151</v>
      </c>
      <c r="B90" s="75" t="s">
        <v>25</v>
      </c>
      <c r="C90" s="46"/>
      <c r="D90" s="52">
        <f t="shared" ref="D90:M90" si="29">D44-C44</f>
        <v>4438.3561643835619</v>
      </c>
      <c r="E90" s="52">
        <f t="shared" si="29"/>
        <v>270.36898695489344</v>
      </c>
      <c r="F90" s="52">
        <f t="shared" si="29"/>
        <v>116.60422029357778</v>
      </c>
      <c r="G90" s="52">
        <f t="shared" si="29"/>
        <v>120.10234690238667</v>
      </c>
      <c r="H90" s="52">
        <f t="shared" si="29"/>
        <v>123.7054173094557</v>
      </c>
      <c r="I90" s="52">
        <f t="shared" si="29"/>
        <v>127.41657982874312</v>
      </c>
      <c r="J90" s="52">
        <f t="shared" si="29"/>
        <v>131.23907722360309</v>
      </c>
      <c r="K90" s="52">
        <f t="shared" si="29"/>
        <v>135.17624954031089</v>
      </c>
      <c r="L90" s="52">
        <f t="shared" si="29"/>
        <v>139.23153702652144</v>
      </c>
      <c r="M90" s="86">
        <f t="shared" si="29"/>
        <v>143.40848313731476</v>
      </c>
    </row>
    <row r="91" spans="1:15" ht="15" x14ac:dyDescent="0.25">
      <c r="A91" s="105" t="s">
        <v>151</v>
      </c>
      <c r="B91" s="98" t="s">
        <v>152</v>
      </c>
      <c r="C91" s="95"/>
      <c r="D91" s="99">
        <f t="shared" ref="D91:M91" si="30">D76-C76</f>
        <v>53389.542857142857</v>
      </c>
      <c r="E91" s="99">
        <f t="shared" si="30"/>
        <v>5084.659918568781</v>
      </c>
      <c r="F91" s="99">
        <f t="shared" si="30"/>
        <v>5633.8277975571182</v>
      </c>
      <c r="G91" s="99">
        <f t="shared" si="30"/>
        <v>5845.5465514837415</v>
      </c>
      <c r="H91" s="99">
        <f t="shared" si="30"/>
        <v>6064.2098816283251</v>
      </c>
      <c r="I91" s="99">
        <f t="shared" si="30"/>
        <v>6290.0353749011265</v>
      </c>
      <c r="J91" s="99">
        <f t="shared" si="30"/>
        <v>6523.247304706194</v>
      </c>
      <c r="K91" s="99">
        <f t="shared" si="30"/>
        <v>6764.0768344519311</v>
      </c>
      <c r="L91" s="99">
        <f t="shared" si="30"/>
        <v>7012.7622272246808</v>
      </c>
      <c r="M91" s="106">
        <f t="shared" si="30"/>
        <v>7269.5490618065087</v>
      </c>
      <c r="O91" s="30"/>
    </row>
    <row r="92" spans="1:15" ht="15" x14ac:dyDescent="0.25">
      <c r="A92" s="100" t="s">
        <v>153</v>
      </c>
      <c r="B92" s="93"/>
      <c r="C92" s="93"/>
      <c r="D92" s="93"/>
      <c r="E92" s="93"/>
      <c r="F92" s="93"/>
      <c r="G92" s="93"/>
      <c r="H92" s="93"/>
      <c r="I92" s="93"/>
      <c r="J92" s="93"/>
      <c r="K92" s="8"/>
      <c r="L92" s="8"/>
      <c r="M92" s="101"/>
      <c r="O92" s="30"/>
    </row>
    <row r="93" spans="1:15" ht="15" x14ac:dyDescent="0.25">
      <c r="A93" s="74" t="s">
        <v>151</v>
      </c>
      <c r="B93" s="75" t="s">
        <v>21</v>
      </c>
      <c r="C93" s="46"/>
      <c r="D93" s="46"/>
      <c r="E93" s="46"/>
      <c r="F93" s="46"/>
      <c r="H93" s="46"/>
      <c r="I93" s="46"/>
      <c r="J93" s="46"/>
      <c r="M93" s="86">
        <f>M34</f>
        <v>236120.33467626394</v>
      </c>
    </row>
    <row r="94" spans="1:15" ht="15" x14ac:dyDescent="0.25">
      <c r="A94" s="74" t="s">
        <v>151</v>
      </c>
      <c r="B94" s="75" t="s">
        <v>150</v>
      </c>
      <c r="C94" s="46"/>
      <c r="D94" s="46"/>
      <c r="E94" s="46"/>
      <c r="F94" s="46"/>
      <c r="H94" s="46"/>
      <c r="I94" s="46"/>
      <c r="J94" s="46"/>
      <c r="M94" s="86">
        <v>0</v>
      </c>
      <c r="O94" s="30"/>
    </row>
    <row r="95" spans="1:15" ht="15" x14ac:dyDescent="0.25">
      <c r="A95" s="67" t="s">
        <v>149</v>
      </c>
      <c r="B95" s="75" t="s">
        <v>25</v>
      </c>
      <c r="C95" s="46"/>
      <c r="D95" s="46"/>
      <c r="E95" s="46"/>
      <c r="F95" s="46"/>
      <c r="H95" s="46"/>
      <c r="I95" s="46"/>
      <c r="J95" s="46"/>
      <c r="M95" s="86">
        <f>-M44</f>
        <v>-5745.6090626003688</v>
      </c>
      <c r="O95" s="30"/>
    </row>
    <row r="96" spans="1:15" ht="15" x14ac:dyDescent="0.25">
      <c r="A96" s="107" t="s">
        <v>149</v>
      </c>
      <c r="B96" s="98" t="s">
        <v>152</v>
      </c>
      <c r="C96" s="95"/>
      <c r="D96" s="95"/>
      <c r="E96" s="95"/>
      <c r="F96" s="95"/>
      <c r="G96" s="10"/>
      <c r="H96" s="95"/>
      <c r="I96" s="95"/>
      <c r="J96" s="95"/>
      <c r="K96" s="10"/>
      <c r="L96" s="10"/>
      <c r="M96" s="106">
        <f>-M76</f>
        <v>-109877.45780947126</v>
      </c>
      <c r="O96" s="30"/>
    </row>
    <row r="97" spans="1:17" ht="15" x14ac:dyDescent="0.25">
      <c r="A97" s="67"/>
      <c r="B97" s="46"/>
      <c r="C97" s="46"/>
      <c r="D97" s="46"/>
      <c r="E97" s="46"/>
      <c r="F97" s="46"/>
      <c r="G97" s="46"/>
      <c r="H97" s="46"/>
      <c r="I97" s="46"/>
      <c r="J97" s="46"/>
      <c r="M97" s="68"/>
      <c r="O97" s="30"/>
    </row>
    <row r="98" spans="1:17" ht="15" x14ac:dyDescent="0.25">
      <c r="A98" s="69" t="s">
        <v>154</v>
      </c>
      <c r="B98" s="46"/>
      <c r="C98" s="72">
        <f t="shared" ref="C98:M98" si="31">SUM(C79:C96)</f>
        <v>-2606180</v>
      </c>
      <c r="D98" s="72">
        <f>SUM(D79:D96)</f>
        <v>191391.78082191781</v>
      </c>
      <c r="E98" s="72">
        <f t="shared" si="31"/>
        <v>337619.93952825351</v>
      </c>
      <c r="F98" s="72">
        <f t="shared" si="31"/>
        <v>363517.68824497692</v>
      </c>
      <c r="G98" s="72">
        <f t="shared" si="31"/>
        <v>390194.86117804027</v>
      </c>
      <c r="H98" s="72">
        <f t="shared" si="31"/>
        <v>417870.1838990961</v>
      </c>
      <c r="I98" s="72">
        <f t="shared" si="31"/>
        <v>446576.35379498312</v>
      </c>
      <c r="J98" s="72">
        <f t="shared" si="31"/>
        <v>476347.09219402302</v>
      </c>
      <c r="K98" s="72">
        <f t="shared" si="31"/>
        <v>507217.1758242792</v>
      </c>
      <c r="L98" s="72">
        <f t="shared" si="31"/>
        <v>539222.46922916709</v>
      </c>
      <c r="M98" s="89">
        <f t="shared" si="31"/>
        <v>3006354.125973572</v>
      </c>
      <c r="O98" s="30"/>
    </row>
    <row r="99" spans="1:17" ht="15" x14ac:dyDescent="0.25">
      <c r="A99" s="69" t="s">
        <v>155</v>
      </c>
      <c r="B99" s="46"/>
      <c r="C99" s="77">
        <f>IRR(C98:M98)</f>
        <v>0.14431461099665666</v>
      </c>
      <c r="D99" s="46"/>
      <c r="E99" s="46"/>
      <c r="F99" s="46"/>
      <c r="G99" s="46"/>
      <c r="H99" s="46"/>
      <c r="I99" s="46"/>
      <c r="J99" s="46"/>
      <c r="M99" s="68"/>
      <c r="O99" s="30"/>
    </row>
    <row r="100" spans="1:17" ht="15" x14ac:dyDescent="0.25">
      <c r="A100" s="67"/>
      <c r="B100" s="46"/>
      <c r="C100" s="46"/>
      <c r="D100" s="46"/>
      <c r="E100" s="46"/>
      <c r="F100" s="46"/>
      <c r="G100" s="46"/>
      <c r="H100" s="46"/>
      <c r="I100" s="46"/>
      <c r="J100" s="46"/>
      <c r="M100" s="68"/>
      <c r="O100" s="30"/>
    </row>
    <row r="101" spans="1:17" ht="15" x14ac:dyDescent="0.25">
      <c r="A101" s="69" t="s">
        <v>156</v>
      </c>
      <c r="B101" s="46"/>
      <c r="C101" s="72">
        <f>-PV('Average Forecast'!$C$103,C71,,C98)</f>
        <v>-2606180</v>
      </c>
      <c r="D101" s="72">
        <f t="shared" ref="D101:M101" si="32">-PV($C$103,D71,,D98)</f>
        <v>170631.86278658698</v>
      </c>
      <c r="E101" s="72">
        <f t="shared" si="32"/>
        <v>268350.11451940547</v>
      </c>
      <c r="F101" s="72">
        <f t="shared" si="32"/>
        <v>257594.20798164234</v>
      </c>
      <c r="G101" s="72">
        <f t="shared" si="32"/>
        <v>246506.82038877829</v>
      </c>
      <c r="H101" s="72">
        <f t="shared" si="32"/>
        <v>235356.19123285462</v>
      </c>
      <c r="I101" s="72">
        <f t="shared" si="32"/>
        <v>224241.92610116981</v>
      </c>
      <c r="J101" s="72">
        <f t="shared" si="32"/>
        <v>213246.27749106137</v>
      </c>
      <c r="K101" s="72">
        <f t="shared" si="32"/>
        <v>202436.46289227152</v>
      </c>
      <c r="L101" s="72">
        <f t="shared" si="32"/>
        <v>191866.70541847008</v>
      </c>
      <c r="M101" s="89">
        <f t="shared" si="32"/>
        <v>953693.05922954914</v>
      </c>
      <c r="O101" s="30"/>
    </row>
    <row r="102" spans="1:17" ht="15" x14ac:dyDescent="0.25">
      <c r="A102" s="69" t="s">
        <v>157</v>
      </c>
      <c r="B102" s="50"/>
      <c r="C102" s="71">
        <f>SUM(C101:M101)</f>
        <v>357743.62804178975</v>
      </c>
      <c r="D102" s="46"/>
      <c r="E102" s="46"/>
      <c r="F102" s="46"/>
      <c r="G102" s="46"/>
      <c r="H102" s="46"/>
      <c r="I102" s="46"/>
      <c r="J102" s="46"/>
      <c r="M102" s="68"/>
      <c r="O102" s="30"/>
    </row>
    <row r="103" spans="1:17" ht="15.75" thickBot="1" x14ac:dyDescent="0.3">
      <c r="A103" s="78" t="s">
        <v>158</v>
      </c>
      <c r="B103" s="79"/>
      <c r="C103" s="80">
        <f>D69</f>
        <v>0.1216649557491833</v>
      </c>
      <c r="D103" s="81"/>
      <c r="E103" s="81"/>
      <c r="F103" s="81"/>
      <c r="G103" s="81"/>
      <c r="H103" s="81"/>
      <c r="I103" s="81"/>
      <c r="J103" s="81"/>
      <c r="K103" s="82"/>
      <c r="L103" s="82"/>
      <c r="M103" s="90"/>
      <c r="O103" s="30"/>
    </row>
    <row r="104" spans="1:17" ht="13.5" thickBot="1" x14ac:dyDescent="0.25">
      <c r="C104" s="30"/>
    </row>
    <row r="105" spans="1:17" ht="15.75" x14ac:dyDescent="0.2">
      <c r="A105" s="124"/>
      <c r="B105" s="129" t="s">
        <v>178</v>
      </c>
      <c r="C105" s="127">
        <v>0</v>
      </c>
      <c r="D105" s="127">
        <v>1</v>
      </c>
      <c r="E105" s="127">
        <v>2</v>
      </c>
      <c r="F105" s="127">
        <v>3</v>
      </c>
      <c r="G105" s="127">
        <v>4</v>
      </c>
      <c r="H105" s="127">
        <v>5</v>
      </c>
      <c r="I105" s="127">
        <v>6</v>
      </c>
      <c r="J105" s="127">
        <v>7</v>
      </c>
      <c r="K105" s="127">
        <v>8</v>
      </c>
      <c r="L105" s="127">
        <v>9</v>
      </c>
      <c r="M105" s="162">
        <v>10</v>
      </c>
    </row>
    <row r="106" spans="1:17" ht="15.75" x14ac:dyDescent="0.2">
      <c r="A106" s="111"/>
      <c r="B106" s="112"/>
      <c r="M106" s="68"/>
    </row>
    <row r="107" spans="1:17" x14ac:dyDescent="0.2">
      <c r="A107" s="111"/>
      <c r="C107" s="113"/>
      <c r="D107" s="119">
        <f>D108/-$C$108</f>
        <v>7.3437667705959608E-2</v>
      </c>
      <c r="E107" s="119">
        <f t="shared" ref="E107:M107" si="33">E108/-$C$108</f>
        <v>0.12954590225090112</v>
      </c>
      <c r="F107" s="119">
        <f t="shared" si="33"/>
        <v>0.13948295522372856</v>
      </c>
      <c r="G107" s="119">
        <f t="shared" si="33"/>
        <v>0.1497190758804228</v>
      </c>
      <c r="H107" s="119">
        <f t="shared" si="33"/>
        <v>0.16033818995583424</v>
      </c>
      <c r="I107" s="119">
        <f t="shared" si="33"/>
        <v>0.17135284354687055</v>
      </c>
      <c r="J107" s="119">
        <f t="shared" si="33"/>
        <v>0.18277597564021789</v>
      </c>
      <c r="K107" s="119">
        <f t="shared" si="33"/>
        <v>0.19462093018298016</v>
      </c>
      <c r="L107" s="119">
        <f t="shared" si="33"/>
        <v>0.20690146852065747</v>
      </c>
      <c r="M107" s="120">
        <f t="shared" si="33"/>
        <v>1.1535481532256298</v>
      </c>
    </row>
    <row r="108" spans="1:17" ht="15.75" x14ac:dyDescent="0.2">
      <c r="A108" s="111"/>
      <c r="B108" s="112" t="s">
        <v>179</v>
      </c>
      <c r="C108" s="117">
        <f t="shared" ref="C108:M108" si="34">C98</f>
        <v>-2606180</v>
      </c>
      <c r="D108" s="117">
        <f t="shared" si="34"/>
        <v>191391.78082191781</v>
      </c>
      <c r="E108" s="117">
        <f t="shared" si="34"/>
        <v>337619.93952825351</v>
      </c>
      <c r="F108" s="117">
        <f t="shared" si="34"/>
        <v>363517.68824497692</v>
      </c>
      <c r="G108" s="117">
        <f t="shared" si="34"/>
        <v>390194.86117804027</v>
      </c>
      <c r="H108" s="117">
        <f t="shared" si="34"/>
        <v>417870.1838990961</v>
      </c>
      <c r="I108" s="117">
        <f t="shared" si="34"/>
        <v>446576.35379498312</v>
      </c>
      <c r="J108" s="117">
        <f t="shared" si="34"/>
        <v>476347.09219402302</v>
      </c>
      <c r="K108" s="117">
        <f t="shared" si="34"/>
        <v>507217.1758242792</v>
      </c>
      <c r="L108" s="117">
        <f t="shared" si="34"/>
        <v>539222.46922916709</v>
      </c>
      <c r="M108" s="118">
        <f t="shared" si="34"/>
        <v>3006354.125973572</v>
      </c>
    </row>
    <row r="109" spans="1:17" x14ac:dyDescent="0.2">
      <c r="A109" s="111"/>
      <c r="G109" s="113">
        <f>-2500000-1400000</f>
        <v>-3900000</v>
      </c>
      <c r="H109" s="156">
        <f>-$G$109*H107</f>
        <v>625318.94082775351</v>
      </c>
      <c r="I109" s="156">
        <f t="shared" ref="I109:M109" si="35">-$G$109*I107</f>
        <v>668276.0898327952</v>
      </c>
      <c r="J109" s="156">
        <f t="shared" si="35"/>
        <v>712826.30499684974</v>
      </c>
      <c r="K109" s="156">
        <f t="shared" si="35"/>
        <v>759021.62771362264</v>
      </c>
      <c r="L109" s="156">
        <f t="shared" si="35"/>
        <v>806915.72723056411</v>
      </c>
      <c r="M109" s="157">
        <f t="shared" si="35"/>
        <v>4498837.7975799562</v>
      </c>
    </row>
    <row r="110" spans="1:17" x14ac:dyDescent="0.2">
      <c r="A110" s="111"/>
      <c r="B110" s="55" t="s">
        <v>185</v>
      </c>
      <c r="C110" s="158">
        <f>SUM(C108:C109)</f>
        <v>-2606180</v>
      </c>
      <c r="D110" s="158">
        <f t="shared" ref="D110:M110" si="36">SUM(D108:D109)</f>
        <v>191391.78082191781</v>
      </c>
      <c r="E110" s="158">
        <f t="shared" si="36"/>
        <v>337619.93952825351</v>
      </c>
      <c r="F110" s="158">
        <f t="shared" si="36"/>
        <v>363517.68824497692</v>
      </c>
      <c r="G110" s="158">
        <f t="shared" si="36"/>
        <v>-3509805.1388219595</v>
      </c>
      <c r="H110" s="158">
        <f t="shared" si="36"/>
        <v>1043189.1247268496</v>
      </c>
      <c r="I110" s="158">
        <f t="shared" si="36"/>
        <v>1114852.4436277784</v>
      </c>
      <c r="J110" s="158">
        <f t="shared" si="36"/>
        <v>1189173.3971908728</v>
      </c>
      <c r="K110" s="158">
        <f t="shared" si="36"/>
        <v>1266238.803537902</v>
      </c>
      <c r="L110" s="158">
        <f t="shared" si="36"/>
        <v>1346138.1964597311</v>
      </c>
      <c r="M110" s="159">
        <f t="shared" si="36"/>
        <v>7505191.9235535283</v>
      </c>
    </row>
    <row r="111" spans="1:17" x14ac:dyDescent="0.2">
      <c r="A111" s="111"/>
      <c r="B111" s="2">
        <v>0.3</v>
      </c>
      <c r="D111" s="34"/>
      <c r="E111" s="34">
        <f>(E112-D112)/E112</f>
        <v>0.36740904897901511</v>
      </c>
      <c r="F111" s="34">
        <f t="shared" ref="F111:L111" si="37">(F112-E112)/F112</f>
        <v>-3.6406956739797915E-2</v>
      </c>
      <c r="G111" s="34">
        <f t="shared" si="37"/>
        <v>1.1155767084592225</v>
      </c>
      <c r="H111" s="34">
        <f t="shared" si="37"/>
        <v>4.7544621825982381</v>
      </c>
      <c r="I111" s="34">
        <f t="shared" si="37"/>
        <v>-4.417535911815676E-2</v>
      </c>
      <c r="J111" s="34">
        <f t="shared" si="37"/>
        <v>-4.6164513850530754E-2</v>
      </c>
      <c r="K111" s="34">
        <f t="shared" si="37"/>
        <v>-4.7990501570998462E-2</v>
      </c>
      <c r="L111" s="34">
        <f t="shared" si="37"/>
        <v>-4.9672332990510659E-2</v>
      </c>
      <c r="M111" s="68"/>
    </row>
    <row r="112" spans="1:17" x14ac:dyDescent="0.2">
      <c r="A112" s="111"/>
      <c r="B112" t="s">
        <v>176</v>
      </c>
      <c r="C112" s="61">
        <f>-PV('Average Forecast'!$C$103,C105,,C110)</f>
        <v>-2606180</v>
      </c>
      <c r="D112" s="61">
        <f>-PV('Average Forecast'!$C$103,D105,,D110)</f>
        <v>171512.39198043558</v>
      </c>
      <c r="E112" s="61">
        <f>-PV('Average Forecast'!$C$103,E105,,E110)</f>
        <v>271126.85014481976</v>
      </c>
      <c r="F112" s="61">
        <f>-PV('Average Forecast'!$C$103,F105,,F110)</f>
        <v>261602.6922452329</v>
      </c>
      <c r="G112" s="61">
        <f>-PV('Average Forecast'!$C$103,G105,,G110)</f>
        <v>-2263455.1176678562</v>
      </c>
      <c r="H112" s="61">
        <f>-PV('Average Forecast'!$C$103,H105,,H110)</f>
        <v>602870.66631243972</v>
      </c>
      <c r="I112" s="61">
        <f>-PV('Average Forecast'!$C$103,I105,,I110)</f>
        <v>577365.34486083395</v>
      </c>
      <c r="J112" s="61">
        <f>-PV('Average Forecast'!$C$103,J105,,J110)</f>
        <v>551887.71671844739</v>
      </c>
      <c r="K112" s="61">
        <f>-PV('Average Forecast'!$C$103,K105,,K110)</f>
        <v>526615.18963305082</v>
      </c>
      <c r="L112" s="61">
        <f>-PV('Average Forecast'!$C$103,L105,,L110)</f>
        <v>501694.83664747747</v>
      </c>
      <c r="M112" s="160">
        <f>-PV('Average Forecast'!$C$103,M105,,M110)</f>
        <v>2506594.0641504256</v>
      </c>
      <c r="P112" s="55"/>
      <c r="Q112" s="56"/>
    </row>
    <row r="113" spans="1:17" x14ac:dyDescent="0.2">
      <c r="A113" s="111"/>
      <c r="M113" s="68"/>
      <c r="P113" s="55"/>
      <c r="Q113" s="56"/>
    </row>
    <row r="114" spans="1:17" ht="13.5" thickBot="1" x14ac:dyDescent="0.25">
      <c r="A114" s="121"/>
      <c r="B114" s="163" t="s">
        <v>177</v>
      </c>
      <c r="C114" s="161">
        <f>SUM(C112:M112)</f>
        <v>1101634.6350253075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90"/>
    </row>
    <row r="115" spans="1:17" ht="12.75" customHeight="1" x14ac:dyDescent="0.2"/>
    <row r="116" spans="1:17" ht="12.75" customHeight="1" x14ac:dyDescent="0.2"/>
    <row r="117" spans="1:17" ht="12.75" customHeight="1" x14ac:dyDescent="0.2"/>
    <row r="118" spans="1:17" ht="12.75" customHeight="1" x14ac:dyDescent="0.2"/>
    <row r="119" spans="1:17" ht="12.75" customHeight="1" x14ac:dyDescent="0.2"/>
    <row r="120" spans="1:17" ht="12.75" customHeight="1" x14ac:dyDescent="0.2"/>
    <row r="121" spans="1:17" ht="12.75" customHeight="1" x14ac:dyDescent="0.2"/>
    <row r="122" spans="1:17" ht="12.75" customHeight="1" x14ac:dyDescent="0.2"/>
    <row r="123" spans="1:17" ht="12.75" customHeight="1" x14ac:dyDescent="0.2"/>
    <row r="124" spans="1:17" ht="12.75" customHeight="1" x14ac:dyDescent="0.2"/>
    <row r="125" spans="1:17" ht="12.75" customHeight="1" x14ac:dyDescent="0.2"/>
    <row r="126" spans="1:17" ht="12.75" customHeight="1" x14ac:dyDescent="0.2"/>
    <row r="127" spans="1:17" ht="12.75" customHeight="1" x14ac:dyDescent="0.2"/>
    <row r="128" spans="1:17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</sheetData>
  <mergeCells count="1">
    <mergeCell ref="A2:M2"/>
  </mergeCells>
  <phoneticPr fontId="2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4"/>
  <sheetViews>
    <sheetView zoomScale="80" zoomScaleNormal="80" workbookViewId="0">
      <selection activeCell="B11" sqref="B11"/>
    </sheetView>
  </sheetViews>
  <sheetFormatPr defaultRowHeight="12.75" x14ac:dyDescent="0.2"/>
  <cols>
    <col min="1" max="1" width="2.140625" customWidth="1"/>
    <col min="2" max="2" width="52.7109375" bestFit="1" customWidth="1"/>
    <col min="3" max="3" width="15.140625" bestFit="1" customWidth="1"/>
    <col min="4" max="11" width="13" bestFit="1" customWidth="1"/>
    <col min="12" max="12" width="12" bestFit="1" customWidth="1"/>
    <col min="13" max="13" width="12.28515625" bestFit="1" customWidth="1"/>
    <col min="14" max="15" width="13.140625" customWidth="1"/>
  </cols>
  <sheetData>
    <row r="1" spans="1:15" ht="10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18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5" ht="10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ht="13.5" thickBot="1" x14ac:dyDescent="0.25">
      <c r="D4" s="154">
        <v>2013</v>
      </c>
      <c r="E4" s="154">
        <v>2014</v>
      </c>
      <c r="F4" s="154">
        <v>2015</v>
      </c>
      <c r="G4" s="154">
        <v>2016</v>
      </c>
      <c r="H4" s="154">
        <v>2017</v>
      </c>
      <c r="I4" s="154">
        <v>2018</v>
      </c>
      <c r="J4" s="154">
        <v>2019</v>
      </c>
      <c r="K4" s="154">
        <v>2020</v>
      </c>
      <c r="L4" s="154">
        <v>2021</v>
      </c>
      <c r="M4" s="154">
        <v>2022</v>
      </c>
    </row>
    <row r="5" spans="1:15" x14ac:dyDescent="0.2">
      <c r="A5" s="108"/>
      <c r="B5" s="140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5" x14ac:dyDescent="0.2">
      <c r="A6" s="111"/>
      <c r="B6" s="132" t="s">
        <v>2</v>
      </c>
      <c r="M6" s="68"/>
    </row>
    <row r="7" spans="1:15" x14ac:dyDescent="0.2">
      <c r="A7" s="111"/>
      <c r="B7" t="s">
        <v>3</v>
      </c>
      <c r="D7" s="33">
        <f>(((Assumptions!$B$24*Assumptions!$B$18)*12)+((Assumptions!$B$25*Assumptions!$B$19)*12))+((Assumptions!$B$26*Assumptions!$D$20)*12)</f>
        <v>149280</v>
      </c>
      <c r="E7" s="33">
        <f>D7+(D7*Assumptions!$B$27)</f>
        <v>153758.39999999999</v>
      </c>
      <c r="F7" s="33">
        <f>E7+(E7*Assumptions!$B$27)</f>
        <v>158371.152</v>
      </c>
      <c r="G7" s="33">
        <f>F7+(F7*Assumptions!$B$27)</f>
        <v>163122.28656000001</v>
      </c>
      <c r="H7" s="33">
        <f>G7+(G7*Assumptions!$B$27)</f>
        <v>168015.95515680002</v>
      </c>
      <c r="I7" s="33">
        <f>H7+(H7*Assumptions!$B$27)</f>
        <v>173056.43381150402</v>
      </c>
      <c r="J7" s="33">
        <f>I7+(I7*Assumptions!$B$27)</f>
        <v>178248.12682584915</v>
      </c>
      <c r="K7" s="33">
        <f>J7+(J7*Assumptions!$B$27)</f>
        <v>183595.57063062463</v>
      </c>
      <c r="L7" s="33">
        <f>K7+(K7*Assumptions!$B$27)</f>
        <v>189103.43774954337</v>
      </c>
      <c r="M7" s="73">
        <f>L7+(L7*Assumptions!$B$27)</f>
        <v>194776.54088202969</v>
      </c>
    </row>
    <row r="8" spans="1:15" x14ac:dyDescent="0.2">
      <c r="A8" s="111"/>
      <c r="B8" t="s">
        <v>4</v>
      </c>
      <c r="D8" s="33">
        <f>(Assumptions!C14*Assumptions!$B$23)*12</f>
        <v>1017840</v>
      </c>
      <c r="E8" s="33">
        <f>(Assumptions!D14*Assumptions!$B$23)*12</f>
        <v>1048375.2000000001</v>
      </c>
      <c r="F8" s="33">
        <f>(Assumptions!E14*Assumptions!$B$23)*12</f>
        <v>1079826.4560000002</v>
      </c>
      <c r="G8" s="33">
        <f>(Assumptions!F14*Assumptions!$B$23)*12</f>
        <v>1112221.2496800004</v>
      </c>
      <c r="H8" s="33">
        <f>(Assumptions!G14*Assumptions!$B$23)*12</f>
        <v>1145587.8871704</v>
      </c>
      <c r="I8" s="33">
        <f>(Assumptions!H14*Assumptions!$B$23)*12</f>
        <v>1179955.5237855124</v>
      </c>
      <c r="J8" s="33">
        <f>(Assumptions!I14*Assumptions!$B$23)*12</f>
        <v>1215354.1894990779</v>
      </c>
      <c r="K8" s="33">
        <f>(Assumptions!J14*Assumptions!$B$23)*12</f>
        <v>1251814.8151840502</v>
      </c>
      <c r="L8" s="33">
        <f>(Assumptions!K14*Assumptions!$B$23)*12</f>
        <v>1289369.2596395719</v>
      </c>
      <c r="M8" s="73">
        <f>(Assumptions!L14*Assumptions!$B$23)*12</f>
        <v>1328050.3374287589</v>
      </c>
      <c r="O8" s="30"/>
    </row>
    <row r="9" spans="1:15" x14ac:dyDescent="0.2">
      <c r="A9" s="111"/>
      <c r="B9" t="s">
        <v>5</v>
      </c>
      <c r="D9" s="33">
        <v>100000</v>
      </c>
      <c r="E9" s="33">
        <f t="shared" ref="E9:M9" si="0">D9*(1+$N$9)</f>
        <v>102000</v>
      </c>
      <c r="F9" s="33">
        <f t="shared" si="0"/>
        <v>104040</v>
      </c>
      <c r="G9" s="33">
        <f t="shared" si="0"/>
        <v>106120.8</v>
      </c>
      <c r="H9" s="33">
        <f t="shared" si="0"/>
        <v>108243.216</v>
      </c>
      <c r="I9" s="33">
        <f t="shared" si="0"/>
        <v>110408.08032000001</v>
      </c>
      <c r="J9" s="33">
        <f t="shared" si="0"/>
        <v>112616.24192640001</v>
      </c>
      <c r="K9" s="33">
        <f t="shared" si="0"/>
        <v>114868.56676492801</v>
      </c>
      <c r="L9" s="33">
        <f t="shared" si="0"/>
        <v>117165.93810022657</v>
      </c>
      <c r="M9" s="73">
        <f t="shared" si="0"/>
        <v>119509.25686223111</v>
      </c>
      <c r="N9" s="57">
        <v>0.02</v>
      </c>
      <c r="O9" s="55" t="s">
        <v>191</v>
      </c>
    </row>
    <row r="10" spans="1:15" x14ac:dyDescent="0.2">
      <c r="A10" s="111"/>
      <c r="B10" t="s">
        <v>6</v>
      </c>
      <c r="D10" s="33">
        <f>(Assumptions!E77*Assumptions!$B$23)*12</f>
        <v>124080</v>
      </c>
      <c r="E10" s="33">
        <f>(Assumptions!F77*Assumptions!$B$23)*12</f>
        <v>127802.40000000001</v>
      </c>
      <c r="F10" s="33">
        <f>(Assumptions!G77*Assumptions!$B$23)*12</f>
        <v>131636.47199999998</v>
      </c>
      <c r="G10" s="33">
        <f>(Assumptions!H77*Assumptions!$B$23)*12</f>
        <v>135585.56615999999</v>
      </c>
      <c r="H10" s="33">
        <f>(Assumptions!I77*Assumptions!$B$23)*12</f>
        <v>139653.1331448</v>
      </c>
      <c r="I10" s="33">
        <f>(Assumptions!J77*Assumptions!$B$23)*12</f>
        <v>143842.72713914397</v>
      </c>
      <c r="J10" s="33">
        <f>(Assumptions!K77*Assumptions!$B$23)*12</f>
        <v>148158.00895331829</v>
      </c>
      <c r="K10" s="33">
        <f>(Assumptions!L77*Assumptions!$B$23)*12</f>
        <v>152602.74922191782</v>
      </c>
      <c r="L10" s="33">
        <f>(Assumptions!M77*Assumptions!$B$23)*12</f>
        <v>157180.83169857538</v>
      </c>
      <c r="M10" s="73">
        <f>(Assumptions!N77*Assumptions!$B$23)*12</f>
        <v>161896.25664953265</v>
      </c>
      <c r="O10" s="30"/>
    </row>
    <row r="11" spans="1:15" x14ac:dyDescent="0.2">
      <c r="A11" s="111"/>
      <c r="B11" s="24" t="s">
        <v>133</v>
      </c>
      <c r="D11" s="41">
        <f t="shared" ref="D11:M11" si="1">SUM(D7:D10)+$N$11</f>
        <v>1391200</v>
      </c>
      <c r="E11" s="41">
        <f t="shared" si="1"/>
        <v>1431936</v>
      </c>
      <c r="F11" s="41">
        <f t="shared" si="1"/>
        <v>1473874.0800000003</v>
      </c>
      <c r="G11" s="41">
        <f t="shared" si="1"/>
        <v>1517049.9024000003</v>
      </c>
      <c r="H11" s="41">
        <f t="shared" si="1"/>
        <v>1561500.1914720002</v>
      </c>
      <c r="I11" s="41">
        <f t="shared" si="1"/>
        <v>1607262.7650561603</v>
      </c>
      <c r="J11" s="41">
        <f t="shared" si="1"/>
        <v>1654376.5672046451</v>
      </c>
      <c r="K11" s="41">
        <f t="shared" si="1"/>
        <v>1702881.7018015208</v>
      </c>
      <c r="L11" s="41">
        <f t="shared" si="1"/>
        <v>1752819.4671879171</v>
      </c>
      <c r="M11" s="133">
        <f t="shared" si="1"/>
        <v>1804232.3918225521</v>
      </c>
      <c r="N11" s="30"/>
    </row>
    <row r="12" spans="1:15" x14ac:dyDescent="0.2">
      <c r="A12" s="111"/>
      <c r="B12" s="132" t="s">
        <v>7</v>
      </c>
      <c r="C12" s="2"/>
      <c r="D12" s="33"/>
      <c r="E12" s="33"/>
      <c r="F12" s="33"/>
      <c r="G12" s="33"/>
      <c r="H12" s="33"/>
      <c r="I12" s="33"/>
      <c r="J12" s="33"/>
      <c r="K12" s="33"/>
      <c r="L12" s="33"/>
      <c r="M12" s="73"/>
      <c r="O12" s="30"/>
    </row>
    <row r="13" spans="1:15" x14ac:dyDescent="0.2">
      <c r="A13" s="111"/>
      <c r="B13" t="s">
        <v>8</v>
      </c>
      <c r="C13" s="24"/>
      <c r="D13" s="33">
        <f>Assumptions!C32*12</f>
        <v>252000</v>
      </c>
      <c r="E13" s="33">
        <f>Assumptions!D32*12</f>
        <v>257040</v>
      </c>
      <c r="F13" s="33">
        <f>Assumptions!E32*12</f>
        <v>262180.80000000005</v>
      </c>
      <c r="G13" s="33">
        <f>Assumptions!F32*12</f>
        <v>267424.41600000003</v>
      </c>
      <c r="H13" s="33">
        <f>Assumptions!G32*12</f>
        <v>272772.90431999997</v>
      </c>
      <c r="I13" s="33">
        <f>Assumptions!H32*12</f>
        <v>278228.36240640003</v>
      </c>
      <c r="J13" s="33">
        <f>Assumptions!I32*12</f>
        <v>283792.92965452804</v>
      </c>
      <c r="K13" s="33">
        <f>Assumptions!J32*12</f>
        <v>289468.78824761859</v>
      </c>
      <c r="L13" s="33">
        <f>Assumptions!K32*12</f>
        <v>295258.16401257098</v>
      </c>
      <c r="M13" s="73">
        <f>Assumptions!L32*12</f>
        <v>301163.32729282242</v>
      </c>
    </row>
    <row r="14" spans="1:15" x14ac:dyDescent="0.2">
      <c r="A14" s="111"/>
      <c r="B14" s="24" t="s">
        <v>9</v>
      </c>
      <c r="D14" s="33">
        <f>Assumptions!C33</f>
        <v>200000</v>
      </c>
      <c r="E14" s="33">
        <f>Assumptions!D33</f>
        <v>204000</v>
      </c>
      <c r="F14" s="33">
        <f>Assumptions!E33</f>
        <v>208080</v>
      </c>
      <c r="G14" s="33">
        <f>Assumptions!F33</f>
        <v>212241.6</v>
      </c>
      <c r="H14" s="33">
        <f>Assumptions!G33</f>
        <v>216486.432</v>
      </c>
      <c r="I14" s="33">
        <f>Assumptions!H33</f>
        <v>220816.16064000002</v>
      </c>
      <c r="J14" s="33">
        <f>Assumptions!I33</f>
        <v>225232.48385280001</v>
      </c>
      <c r="K14" s="33">
        <f>Assumptions!J33</f>
        <v>229737.13352985602</v>
      </c>
      <c r="L14" s="33">
        <f>Assumptions!K33</f>
        <v>234331.87620045315</v>
      </c>
      <c r="M14" s="73">
        <f>Assumptions!L33</f>
        <v>239018.51372446222</v>
      </c>
    </row>
    <row r="15" spans="1:15" x14ac:dyDescent="0.2">
      <c r="A15" s="111"/>
      <c r="B15" t="s">
        <v>10</v>
      </c>
      <c r="C15" s="2"/>
      <c r="D15" s="33">
        <f>Assumptions!C30</f>
        <v>718000</v>
      </c>
      <c r="E15" s="33">
        <f>Assumptions!D30</f>
        <v>725180</v>
      </c>
      <c r="F15" s="33">
        <f>Assumptions!E30</f>
        <v>732431.8</v>
      </c>
      <c r="G15" s="33">
        <f>Assumptions!F30</f>
        <v>739756.11800000002</v>
      </c>
      <c r="H15" s="33">
        <f>Assumptions!G30</f>
        <v>747153.67917999998</v>
      </c>
      <c r="I15" s="33">
        <f>Assumptions!H30</f>
        <v>754625.21597180003</v>
      </c>
      <c r="J15" s="33">
        <f>Assumptions!I30</f>
        <v>762171.46813151799</v>
      </c>
      <c r="K15" s="33">
        <f>Assumptions!J30</f>
        <v>769793.18281283323</v>
      </c>
      <c r="L15" s="33">
        <f>Assumptions!K30</f>
        <v>777491.11464096152</v>
      </c>
      <c r="M15" s="73">
        <f>Assumptions!L30</f>
        <v>785266.02578737109</v>
      </c>
    </row>
    <row r="16" spans="1:15" x14ac:dyDescent="0.2">
      <c r="A16" s="111"/>
      <c r="B16" t="s">
        <v>11</v>
      </c>
      <c r="D16" s="33">
        <f>+Assumptions!$B$34</f>
        <v>44000</v>
      </c>
      <c r="E16" s="33">
        <f>SUM(E7:E8)*Assumptions!$C$34</f>
        <v>45320.000000000007</v>
      </c>
      <c r="F16" s="33">
        <f>SUM(F7:F8)*Assumptions!$C$34</f>
        <v>46679.600000000013</v>
      </c>
      <c r="G16" s="33">
        <f>SUM(G7:G8)*Assumptions!$C$34</f>
        <v>48079.988000000012</v>
      </c>
      <c r="H16" s="33">
        <f>SUM(H7:H8)*Assumptions!$C$34</f>
        <v>49522.387640000008</v>
      </c>
      <c r="I16" s="33">
        <f>SUM(I7:I8)*Assumptions!$C$34</f>
        <v>51008.059269200021</v>
      </c>
      <c r="J16" s="33">
        <f>SUM(J7:J8)*Assumptions!$C$34</f>
        <v>52538.301047276022</v>
      </c>
      <c r="K16" s="33">
        <f>SUM(K7:K8)*Assumptions!$C$34</f>
        <v>54114.45007869431</v>
      </c>
      <c r="L16" s="33">
        <f>SUM(L7:L8)*Assumptions!$C$34</f>
        <v>55737.883581055146</v>
      </c>
      <c r="M16" s="73">
        <f>SUM(M7:M8)*Assumptions!$C$34</f>
        <v>57410.020088486788</v>
      </c>
    </row>
    <row r="17" spans="1:17" x14ac:dyDescent="0.2">
      <c r="A17" s="111"/>
      <c r="B17" s="24" t="s">
        <v>113</v>
      </c>
      <c r="D17" s="41">
        <f>+Assumptions!$B$35</f>
        <v>10000</v>
      </c>
      <c r="E17" s="41">
        <f>+Assumptions!$B$35</f>
        <v>10000</v>
      </c>
      <c r="F17" s="41">
        <f>+Assumptions!$B$35</f>
        <v>10000</v>
      </c>
      <c r="G17" s="41">
        <f>+Assumptions!$B$35</f>
        <v>10000</v>
      </c>
      <c r="H17" s="41">
        <f>+Assumptions!$B$35</f>
        <v>10000</v>
      </c>
      <c r="I17" s="41">
        <f>+Assumptions!$B$35</f>
        <v>10000</v>
      </c>
      <c r="J17" s="41">
        <f>+Assumptions!$B$35</f>
        <v>10000</v>
      </c>
      <c r="K17" s="41">
        <f>+Assumptions!$B$35</f>
        <v>10000</v>
      </c>
      <c r="L17" s="41">
        <f>+Assumptions!$B$35</f>
        <v>10000</v>
      </c>
      <c r="M17" s="133">
        <f>+Assumptions!$B$35</f>
        <v>10000</v>
      </c>
    </row>
    <row r="18" spans="1:17" x14ac:dyDescent="0.2">
      <c r="A18" s="111"/>
      <c r="B18" t="s">
        <v>12</v>
      </c>
      <c r="D18" s="42">
        <f t="shared" ref="D18:M18" si="2">SUM(D13:D17)+$N$18</f>
        <v>1224000</v>
      </c>
      <c r="E18" s="42">
        <f t="shared" si="2"/>
        <v>1241540</v>
      </c>
      <c r="F18" s="42">
        <f t="shared" si="2"/>
        <v>1259372.2000000002</v>
      </c>
      <c r="G18" s="42">
        <f t="shared" si="2"/>
        <v>1277502.122</v>
      </c>
      <c r="H18" s="42">
        <f t="shared" si="2"/>
        <v>1295935.4031400001</v>
      </c>
      <c r="I18" s="42">
        <f t="shared" si="2"/>
        <v>1314677.7982874</v>
      </c>
      <c r="J18" s="42">
        <f t="shared" si="2"/>
        <v>1333735.1826861219</v>
      </c>
      <c r="K18" s="42">
        <f t="shared" si="2"/>
        <v>1353113.5546690023</v>
      </c>
      <c r="L18" s="42">
        <f t="shared" si="2"/>
        <v>1372819.0384350407</v>
      </c>
      <c r="M18" s="134">
        <f t="shared" si="2"/>
        <v>1392857.8868931425</v>
      </c>
      <c r="N18" s="30"/>
    </row>
    <row r="19" spans="1:17" x14ac:dyDescent="0.2">
      <c r="A19" s="111"/>
      <c r="B19" s="24" t="s">
        <v>132</v>
      </c>
      <c r="C19" s="2"/>
      <c r="D19" s="42">
        <f t="shared" ref="D19:M19" si="3">D11-D18</f>
        <v>167200</v>
      </c>
      <c r="E19" s="42">
        <f t="shared" si="3"/>
        <v>190396</v>
      </c>
      <c r="F19" s="42">
        <f t="shared" si="3"/>
        <v>214501.88000000012</v>
      </c>
      <c r="G19" s="42">
        <f t="shared" si="3"/>
        <v>239547.78040000028</v>
      </c>
      <c r="H19" s="42">
        <f t="shared" si="3"/>
        <v>265564.78833200014</v>
      </c>
      <c r="I19" s="42">
        <f t="shared" si="3"/>
        <v>292584.96676876023</v>
      </c>
      <c r="J19" s="42">
        <f t="shared" si="3"/>
        <v>320641.38451852323</v>
      </c>
      <c r="K19" s="42">
        <f t="shared" si="3"/>
        <v>349768.14713251847</v>
      </c>
      <c r="L19" s="42">
        <f t="shared" si="3"/>
        <v>380000.42875287635</v>
      </c>
      <c r="M19" s="134">
        <f t="shared" si="3"/>
        <v>411374.5049294096</v>
      </c>
    </row>
    <row r="20" spans="1:17" x14ac:dyDescent="0.2">
      <c r="A20" s="111"/>
      <c r="D20" s="33"/>
      <c r="E20" s="33"/>
      <c r="F20" s="33"/>
      <c r="G20" s="33"/>
      <c r="H20" s="33"/>
      <c r="I20" s="33"/>
      <c r="J20" s="33"/>
      <c r="K20" s="33"/>
      <c r="L20" s="33"/>
      <c r="M20" s="73"/>
    </row>
    <row r="21" spans="1:17" x14ac:dyDescent="0.2">
      <c r="A21" s="111"/>
      <c r="B21" s="24" t="s">
        <v>115</v>
      </c>
      <c r="D21" s="33">
        <f>Assumptions!C42</f>
        <v>49000</v>
      </c>
      <c r="E21" s="33">
        <f>Assumptions!D42</f>
        <v>49000</v>
      </c>
      <c r="F21" s="33">
        <f>Assumptions!E42</f>
        <v>49000</v>
      </c>
      <c r="G21" s="33">
        <f>Assumptions!F42</f>
        <v>49000</v>
      </c>
      <c r="H21" s="33">
        <f>Assumptions!G42</f>
        <v>49000</v>
      </c>
      <c r="I21" s="33">
        <f>Assumptions!H42</f>
        <v>49000</v>
      </c>
      <c r="J21" s="33">
        <f>Assumptions!I42</f>
        <v>49000</v>
      </c>
      <c r="K21" s="33">
        <f>Assumptions!J42</f>
        <v>49000</v>
      </c>
      <c r="L21" s="33">
        <f>Assumptions!K42</f>
        <v>49000</v>
      </c>
      <c r="M21" s="73">
        <f>Assumptions!L42</f>
        <v>49000</v>
      </c>
    </row>
    <row r="22" spans="1:17" x14ac:dyDescent="0.2">
      <c r="A22" s="111"/>
      <c r="B22" s="24" t="s">
        <v>116</v>
      </c>
      <c r="D22" s="33">
        <f>+Assumptions!C48</f>
        <v>22311.428571428572</v>
      </c>
      <c r="E22" s="33">
        <f>+Assumptions!D48</f>
        <v>22311.428571428572</v>
      </c>
      <c r="F22" s="33">
        <f>+Assumptions!E48</f>
        <v>22311.428571428572</v>
      </c>
      <c r="G22" s="33">
        <f>+Assumptions!F48</f>
        <v>22311.428571428572</v>
      </c>
      <c r="H22" s="33">
        <f>+Assumptions!G48</f>
        <v>22311.428571428572</v>
      </c>
      <c r="I22" s="33">
        <f>+Assumptions!H48</f>
        <v>22311.428571428572</v>
      </c>
      <c r="J22" s="33">
        <f>+Assumptions!I48</f>
        <v>22311.428571428572</v>
      </c>
      <c r="K22" s="33">
        <f>+Assumptions!J48</f>
        <v>22311.428571428572</v>
      </c>
      <c r="L22" s="33">
        <f>+Assumptions!K48</f>
        <v>22311.428571428572</v>
      </c>
      <c r="M22" s="73">
        <f>+Assumptions!L48</f>
        <v>22311.428571428572</v>
      </c>
    </row>
    <row r="23" spans="1:17" x14ac:dyDescent="0.2">
      <c r="A23" s="111"/>
      <c r="B23" t="s">
        <v>13</v>
      </c>
      <c r="D23" s="33">
        <f>Mortgage!D14</f>
        <v>93724.976249642699</v>
      </c>
      <c r="E23" s="33">
        <f>Mortgage!D28</f>
        <v>92909.599020160909</v>
      </c>
      <c r="F23" s="33">
        <f>Mortgage!D42</f>
        <v>92026.545882770064</v>
      </c>
      <c r="G23" s="33">
        <f>Mortgage!D56</f>
        <v>91070.19977049093</v>
      </c>
      <c r="H23" s="33">
        <f>+Mortgage!D70</f>
        <v>90034.477402555349</v>
      </c>
      <c r="I23" s="33">
        <f>+Mortgage!D84</f>
        <v>88912.790588891614</v>
      </c>
      <c r="J23" s="33">
        <f>+Mortgage!D98</f>
        <v>87698.00432290131</v>
      </c>
      <c r="K23" s="33">
        <f>+Mortgage!D112</f>
        <v>86382.391395957296</v>
      </c>
      <c r="L23" s="33">
        <f>+Mortgage!D126</f>
        <v>84957.583244927315</v>
      </c>
      <c r="M23" s="73">
        <f>+Mortgage!D140</f>
        <v>83414.516720066531</v>
      </c>
    </row>
    <row r="24" spans="1:17" x14ac:dyDescent="0.2">
      <c r="A24" s="111"/>
      <c r="B24" s="24" t="s">
        <v>130</v>
      </c>
      <c r="D24" s="135">
        <f t="shared" ref="D24:M24" si="4">D48*$N$24</f>
        <v>130044.44539801076</v>
      </c>
      <c r="E24" s="135">
        <f t="shared" si="4"/>
        <v>132329.19559323211</v>
      </c>
      <c r="F24" s="135">
        <f t="shared" si="4"/>
        <v>132771.40113731433</v>
      </c>
      <c r="G24" s="135">
        <f t="shared" si="4"/>
        <v>131135.16170916928</v>
      </c>
      <c r="H24" s="135">
        <f t="shared" si="4"/>
        <v>127161.92324471159</v>
      </c>
      <c r="I24" s="135">
        <f t="shared" si="4"/>
        <v>120568.47233225009</v>
      </c>
      <c r="J24" s="135">
        <f t="shared" si="4"/>
        <v>111044.75780020362</v>
      </c>
      <c r="K24" s="135">
        <f t="shared" si="4"/>
        <v>100709.40726695057</v>
      </c>
      <c r="L24" s="135">
        <f t="shared" si="4"/>
        <v>86943.354055045507</v>
      </c>
      <c r="M24" s="136">
        <f t="shared" si="4"/>
        <v>69358.921907613636</v>
      </c>
      <c r="N24" s="23">
        <v>0.1</v>
      </c>
      <c r="O24" s="24" t="s">
        <v>131</v>
      </c>
    </row>
    <row r="25" spans="1:17" ht="13.5" x14ac:dyDescent="0.2">
      <c r="A25" s="111"/>
      <c r="D25" s="33"/>
      <c r="E25" s="33"/>
      <c r="F25" s="33"/>
      <c r="G25" s="33"/>
      <c r="H25" s="33"/>
      <c r="I25" s="33"/>
      <c r="J25" s="33"/>
      <c r="K25" s="33"/>
      <c r="L25" s="33"/>
      <c r="M25" s="73"/>
      <c r="Q25" s="43"/>
    </row>
    <row r="26" spans="1:17" ht="13.5" x14ac:dyDescent="0.2">
      <c r="A26" s="111"/>
      <c r="B26" t="s">
        <v>14</v>
      </c>
      <c r="D26" s="33">
        <f t="shared" ref="D26:M26" si="5">D19-SUM(D21:D24)</f>
        <v>-127880.85021908203</v>
      </c>
      <c r="E26" s="33">
        <f t="shared" si="5"/>
        <v>-106154.2231848216</v>
      </c>
      <c r="F26" s="33">
        <f t="shared" si="5"/>
        <v>-81607.495591512881</v>
      </c>
      <c r="G26" s="33">
        <f t="shared" si="5"/>
        <v>-53969.009651088505</v>
      </c>
      <c r="H26" s="33">
        <f t="shared" si="5"/>
        <v>-22943.04088669538</v>
      </c>
      <c r="I26" s="33">
        <f t="shared" si="5"/>
        <v>11792.275276189961</v>
      </c>
      <c r="J26" s="33">
        <f t="shared" si="5"/>
        <v>50587.193823989714</v>
      </c>
      <c r="K26" s="33">
        <f t="shared" si="5"/>
        <v>91364.919898182037</v>
      </c>
      <c r="L26" s="33">
        <f t="shared" si="5"/>
        <v>136788.06288147497</v>
      </c>
      <c r="M26" s="73">
        <f t="shared" si="5"/>
        <v>187289.63773030083</v>
      </c>
      <c r="Q26" s="43"/>
    </row>
    <row r="27" spans="1:17" ht="13.5" x14ac:dyDescent="0.2">
      <c r="A27" s="111"/>
      <c r="B27" t="s">
        <v>15</v>
      </c>
      <c r="D27" s="41">
        <f t="shared" ref="D27:M27" si="6">D26*$N$27</f>
        <v>-28773.191299293456</v>
      </c>
      <c r="E27" s="41">
        <f t="shared" si="6"/>
        <v>-23884.700216584861</v>
      </c>
      <c r="F27" s="41">
        <f t="shared" si="6"/>
        <v>-18361.686508090399</v>
      </c>
      <c r="G27" s="41">
        <f t="shared" si="6"/>
        <v>-12143.027171494914</v>
      </c>
      <c r="H27" s="41">
        <f t="shared" si="6"/>
        <v>-5162.1841995064606</v>
      </c>
      <c r="I27" s="41">
        <f t="shared" si="6"/>
        <v>2653.2619371427413</v>
      </c>
      <c r="J27" s="41">
        <f t="shared" si="6"/>
        <v>11382.118610397685</v>
      </c>
      <c r="K27" s="41">
        <f t="shared" si="6"/>
        <v>20557.10697709096</v>
      </c>
      <c r="L27" s="41">
        <f t="shared" si="6"/>
        <v>30777.314148331869</v>
      </c>
      <c r="M27" s="133">
        <f t="shared" si="6"/>
        <v>42140.168489317686</v>
      </c>
      <c r="N27" s="44">
        <v>0.22500000000000001</v>
      </c>
      <c r="O27" s="24" t="s">
        <v>134</v>
      </c>
      <c r="Q27" s="43"/>
    </row>
    <row r="28" spans="1:17" ht="14.25" thickBot="1" x14ac:dyDescent="0.25">
      <c r="A28" s="121"/>
      <c r="B28" s="137" t="s">
        <v>16</v>
      </c>
      <c r="C28" s="82"/>
      <c r="D28" s="138">
        <f t="shared" ref="D28:M28" si="7">D26-D27</f>
        <v>-99107.658919788577</v>
      </c>
      <c r="E28" s="138">
        <f t="shared" si="7"/>
        <v>-82269.522968236735</v>
      </c>
      <c r="F28" s="138">
        <f t="shared" si="7"/>
        <v>-63245.809083422486</v>
      </c>
      <c r="G28" s="138">
        <f t="shared" si="7"/>
        <v>-41825.982479593593</v>
      </c>
      <c r="H28" s="138">
        <f t="shared" si="7"/>
        <v>-17780.85668718892</v>
      </c>
      <c r="I28" s="138">
        <f t="shared" si="7"/>
        <v>9139.0133390472201</v>
      </c>
      <c r="J28" s="138">
        <f t="shared" si="7"/>
        <v>39205.075213592027</v>
      </c>
      <c r="K28" s="138">
        <f t="shared" si="7"/>
        <v>70807.81292109107</v>
      </c>
      <c r="L28" s="138">
        <f t="shared" si="7"/>
        <v>106010.74873314309</v>
      </c>
      <c r="M28" s="139">
        <f t="shared" si="7"/>
        <v>145149.46924098313</v>
      </c>
      <c r="Q28" s="43"/>
    </row>
    <row r="29" spans="1:17" ht="14.25" thickBot="1" x14ac:dyDescent="0.25">
      <c r="Q29" s="43"/>
    </row>
    <row r="30" spans="1:17" x14ac:dyDescent="0.2">
      <c r="A30" s="108"/>
      <c r="B30" s="140" t="s">
        <v>17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7" x14ac:dyDescent="0.2">
      <c r="A31" s="111"/>
      <c r="B31" s="132" t="s">
        <v>18</v>
      </c>
      <c r="M31" s="68"/>
    </row>
    <row r="32" spans="1:17" x14ac:dyDescent="0.2">
      <c r="A32" s="111"/>
      <c r="B32" t="s">
        <v>19</v>
      </c>
      <c r="D32" s="33">
        <v>6000</v>
      </c>
      <c r="E32" s="33">
        <v>6000</v>
      </c>
      <c r="F32" s="33">
        <v>6000</v>
      </c>
      <c r="G32" s="33">
        <v>6000</v>
      </c>
      <c r="H32" s="33">
        <v>6000</v>
      </c>
      <c r="I32" s="33">
        <v>6000</v>
      </c>
      <c r="J32" s="33">
        <v>6000</v>
      </c>
      <c r="K32" s="33">
        <v>6000</v>
      </c>
      <c r="L32" s="33">
        <v>6000</v>
      </c>
      <c r="M32" s="73">
        <v>6000</v>
      </c>
    </row>
    <row r="33" spans="1:18" x14ac:dyDescent="0.2">
      <c r="A33" s="111"/>
      <c r="B33" t="s">
        <v>20</v>
      </c>
      <c r="D33" s="33"/>
      <c r="E33" s="33"/>
      <c r="F33" s="33"/>
      <c r="G33" s="33"/>
      <c r="H33" s="33"/>
      <c r="I33" s="33"/>
      <c r="J33" s="33"/>
      <c r="K33" s="33"/>
      <c r="L33" s="33"/>
      <c r="M33" s="73"/>
    </row>
    <row r="34" spans="1:18" x14ac:dyDescent="0.2">
      <c r="A34" s="111"/>
      <c r="B34" t="s">
        <v>21</v>
      </c>
      <c r="D34" s="33">
        <f>(SUM(D7:D9)/365)*Assumptions!$B$50</f>
        <v>156220.27397260274</v>
      </c>
      <c r="E34" s="33">
        <f>(SUM(E7:E9)/365)*Assumptions!$B$50</f>
        <v>160783.59452054795</v>
      </c>
      <c r="F34" s="33">
        <f>(SUM(F7:F9)/365)*Assumptions!$B$50</f>
        <v>165481.34893150689</v>
      </c>
      <c r="G34" s="33">
        <f>(SUM(G7:G9)/365)*Assumptions!$B$50</f>
        <v>170317.52090630142</v>
      </c>
      <c r="H34" s="33">
        <f>(SUM(H7:H9)/365)*Assumptions!$B$50</f>
        <v>175296.21267047673</v>
      </c>
      <c r="I34" s="33">
        <f>(SUM(I7:I9)/365)*Assumptions!$B$50</f>
        <v>180421.64851031709</v>
      </c>
      <c r="J34" s="33">
        <f>(SUM(J7:J9)/365)*Assumptions!$B$50</f>
        <v>185698.17841454715</v>
      </c>
      <c r="K34" s="33">
        <f>(SUM(K7:K9)/365)*Assumptions!$B$50</f>
        <v>191130.28182488252</v>
      </c>
      <c r="L34" s="33">
        <f>(SUM(L7:L9)/365)*Assumptions!$B$50</f>
        <v>196722.57149868598</v>
      </c>
      <c r="M34" s="73">
        <f>(SUM(M7:M9)/365)*Assumptions!$B$50</f>
        <v>202479.79748708458</v>
      </c>
    </row>
    <row r="35" spans="1:18" x14ac:dyDescent="0.2">
      <c r="A35" s="111"/>
      <c r="B35" t="s">
        <v>122</v>
      </c>
      <c r="D35" s="33">
        <f>Assumptions!$B$44</f>
        <v>980000</v>
      </c>
      <c r="E35" s="33">
        <f>Assumptions!$B$44</f>
        <v>980000</v>
      </c>
      <c r="F35" s="33">
        <f>Assumptions!$B$44</f>
        <v>980000</v>
      </c>
      <c r="G35" s="33">
        <f>Assumptions!$B$44</f>
        <v>980000</v>
      </c>
      <c r="H35" s="33">
        <f>Assumptions!$B$44</f>
        <v>980000</v>
      </c>
      <c r="I35" s="33">
        <f>Assumptions!$B$44</f>
        <v>980000</v>
      </c>
      <c r="J35" s="33">
        <f>Assumptions!$B$44</f>
        <v>980000</v>
      </c>
      <c r="K35" s="33">
        <f>Assumptions!$B$44</f>
        <v>980000</v>
      </c>
      <c r="L35" s="33">
        <f>Assumptions!$B$44</f>
        <v>980000</v>
      </c>
      <c r="M35" s="73">
        <f>Assumptions!$B$44</f>
        <v>980000</v>
      </c>
    </row>
    <row r="36" spans="1:18" x14ac:dyDescent="0.2">
      <c r="A36" s="111"/>
      <c r="B36" t="s">
        <v>22</v>
      </c>
      <c r="D36" s="33">
        <f>Assumptions!$B$40</f>
        <v>1470000</v>
      </c>
      <c r="E36" s="33">
        <f>Assumptions!$B$40</f>
        <v>1470000</v>
      </c>
      <c r="F36" s="33">
        <f>Assumptions!$B$40</f>
        <v>1470000</v>
      </c>
      <c r="G36" s="33">
        <f>Assumptions!$B$40</f>
        <v>1470000</v>
      </c>
      <c r="H36" s="33">
        <f>Assumptions!$B$40</f>
        <v>1470000</v>
      </c>
      <c r="I36" s="33">
        <f>Assumptions!$B$40</f>
        <v>1470000</v>
      </c>
      <c r="J36" s="33">
        <f>Assumptions!$B$40</f>
        <v>1470000</v>
      </c>
      <c r="K36" s="33">
        <f>Assumptions!$B$40</f>
        <v>1470000</v>
      </c>
      <c r="L36" s="33">
        <f>Assumptions!$B$40</f>
        <v>1470000</v>
      </c>
      <c r="M36" s="73">
        <f>Assumptions!$B$40</f>
        <v>1470000</v>
      </c>
    </row>
    <row r="37" spans="1:18" x14ac:dyDescent="0.2">
      <c r="A37" s="111"/>
      <c r="B37" s="24" t="s">
        <v>114</v>
      </c>
      <c r="D37" s="33">
        <f>+Assumptions!$B$47</f>
        <v>156180</v>
      </c>
      <c r="E37" s="33">
        <f>+Assumptions!$B$47</f>
        <v>156180</v>
      </c>
      <c r="F37" s="33">
        <f>+Assumptions!$B$47</f>
        <v>156180</v>
      </c>
      <c r="G37" s="33">
        <f>+Assumptions!$B$47</f>
        <v>156180</v>
      </c>
      <c r="H37" s="33">
        <f>+Assumptions!$B$47</f>
        <v>156180</v>
      </c>
      <c r="I37" s="33">
        <f>+Assumptions!$B$47</f>
        <v>156180</v>
      </c>
      <c r="J37" s="33">
        <f>+Assumptions!$B$47</f>
        <v>156180</v>
      </c>
      <c r="K37" s="33">
        <f>+Assumptions!$B$47</f>
        <v>156180</v>
      </c>
      <c r="L37" s="33">
        <f>+Assumptions!$B$47</f>
        <v>156180</v>
      </c>
      <c r="M37" s="73">
        <f>+Assumptions!$B$47</f>
        <v>156180</v>
      </c>
      <c r="O37" s="30"/>
    </row>
    <row r="38" spans="1:18" x14ac:dyDescent="0.2">
      <c r="A38" s="111"/>
      <c r="B38" s="24" t="s">
        <v>117</v>
      </c>
      <c r="D38" s="33">
        <f>D21</f>
        <v>49000</v>
      </c>
      <c r="E38" s="33">
        <f t="shared" ref="E38:M38" si="8">D38+E21</f>
        <v>98000</v>
      </c>
      <c r="F38" s="33">
        <f t="shared" si="8"/>
        <v>147000</v>
      </c>
      <c r="G38" s="33">
        <f t="shared" si="8"/>
        <v>196000</v>
      </c>
      <c r="H38" s="33">
        <f t="shared" si="8"/>
        <v>245000</v>
      </c>
      <c r="I38" s="33">
        <f t="shared" si="8"/>
        <v>294000</v>
      </c>
      <c r="J38" s="33">
        <f t="shared" si="8"/>
        <v>343000</v>
      </c>
      <c r="K38" s="33">
        <f t="shared" si="8"/>
        <v>392000</v>
      </c>
      <c r="L38" s="33">
        <f t="shared" si="8"/>
        <v>441000</v>
      </c>
      <c r="M38" s="73">
        <f t="shared" si="8"/>
        <v>490000</v>
      </c>
    </row>
    <row r="39" spans="1:18" x14ac:dyDescent="0.2">
      <c r="A39" s="111"/>
      <c r="B39" s="24" t="s">
        <v>118</v>
      </c>
      <c r="D39" s="33">
        <f>+D22</f>
        <v>22311.428571428572</v>
      </c>
      <c r="E39" s="33">
        <f t="shared" ref="E39:J39" si="9">+D39+E22</f>
        <v>44622.857142857145</v>
      </c>
      <c r="F39" s="33">
        <f t="shared" si="9"/>
        <v>66934.28571428571</v>
      </c>
      <c r="G39" s="33">
        <f t="shared" si="9"/>
        <v>89245.71428571429</v>
      </c>
      <c r="H39" s="33">
        <f t="shared" si="9"/>
        <v>111557.14285714287</v>
      </c>
      <c r="I39" s="33">
        <f t="shared" si="9"/>
        <v>133868.57142857145</v>
      </c>
      <c r="J39" s="33">
        <f t="shared" si="9"/>
        <v>156180.00000000003</v>
      </c>
      <c r="K39" s="33">
        <f>J39</f>
        <v>156180.00000000003</v>
      </c>
      <c r="L39" s="33">
        <f>J39</f>
        <v>156180.00000000003</v>
      </c>
      <c r="M39" s="73">
        <f>J39</f>
        <v>156180.00000000003</v>
      </c>
    </row>
    <row r="40" spans="1:18" x14ac:dyDescent="0.2">
      <c r="A40" s="111"/>
      <c r="D40" s="41"/>
      <c r="E40" s="41"/>
      <c r="F40" s="41"/>
      <c r="G40" s="41"/>
      <c r="H40" s="41"/>
      <c r="I40" s="41"/>
      <c r="J40" s="41"/>
      <c r="K40" s="41"/>
      <c r="L40" s="41"/>
      <c r="M40" s="133"/>
    </row>
    <row r="41" spans="1:18" x14ac:dyDescent="0.2">
      <c r="A41" s="111"/>
      <c r="B41" s="132" t="s">
        <v>23</v>
      </c>
      <c r="D41" s="42">
        <f t="shared" ref="D41:M41" si="10">SUM(D32:D37)-SUM(D38:D39)</f>
        <v>2697088.8454011739</v>
      </c>
      <c r="E41" s="42">
        <f t="shared" si="10"/>
        <v>2630340.7373776906</v>
      </c>
      <c r="F41" s="42">
        <f t="shared" si="10"/>
        <v>2563727.0632172213</v>
      </c>
      <c r="G41" s="42">
        <f t="shared" si="10"/>
        <v>2497251.8066205867</v>
      </c>
      <c r="H41" s="42">
        <f t="shared" si="10"/>
        <v>2430919.0698133339</v>
      </c>
      <c r="I41" s="42">
        <f t="shared" si="10"/>
        <v>2364733.077081746</v>
      </c>
      <c r="J41" s="42">
        <f t="shared" si="10"/>
        <v>2298698.1784145469</v>
      </c>
      <c r="K41" s="42">
        <f t="shared" si="10"/>
        <v>2255130.2818248826</v>
      </c>
      <c r="L41" s="42">
        <f t="shared" si="10"/>
        <v>2211722.571498686</v>
      </c>
      <c r="M41" s="134">
        <f t="shared" si="10"/>
        <v>2168479.7974870848</v>
      </c>
    </row>
    <row r="42" spans="1:18" x14ac:dyDescent="0.2">
      <c r="A42" s="111"/>
      <c r="D42" s="45"/>
      <c r="E42" s="45"/>
      <c r="F42" s="45"/>
      <c r="G42" s="45"/>
      <c r="M42" s="68"/>
    </row>
    <row r="43" spans="1:18" x14ac:dyDescent="0.2">
      <c r="A43" s="111"/>
      <c r="B43" s="132" t="s">
        <v>24</v>
      </c>
      <c r="D43" s="33"/>
      <c r="E43" s="33"/>
      <c r="F43" s="33"/>
      <c r="M43" s="68"/>
    </row>
    <row r="44" spans="1:18" x14ac:dyDescent="0.2">
      <c r="A44" s="111"/>
      <c r="B44" t="s">
        <v>25</v>
      </c>
      <c r="D44" s="33">
        <f>(SUM(D16:D17)/365)*Assumptions!$B$51</f>
        <v>4438.3561643835619</v>
      </c>
      <c r="E44" s="33">
        <f>(SUM(E16:E17)/365)*Assumptions!$B$51</f>
        <v>4546.8493150684935</v>
      </c>
      <c r="F44" s="33">
        <f>(SUM(F16:F17)/365)*Assumptions!$B$51</f>
        <v>4658.5972602739739</v>
      </c>
      <c r="G44" s="33">
        <f>(SUM(G16:G17)/365)*Assumptions!$B$51</f>
        <v>4773.6976438356178</v>
      </c>
      <c r="H44" s="33">
        <f>(SUM(H16:H17)/365)*Assumptions!$B$51</f>
        <v>4892.2510389041099</v>
      </c>
      <c r="I44" s="33">
        <f>(SUM(I16:I17)/365)*Assumptions!$B$51</f>
        <v>5014.3610358246597</v>
      </c>
      <c r="J44" s="33">
        <f>(SUM(J16:J17)/365)*Assumptions!$B$51</f>
        <v>5140.134332652824</v>
      </c>
      <c r="K44" s="33">
        <f>(SUM(K16:K17)/365)*Assumptions!$B$51</f>
        <v>5269.6808283858336</v>
      </c>
      <c r="L44" s="33">
        <f>(SUM(L16:L17)/365)*Assumptions!$B$51</f>
        <v>5403.1137189908341</v>
      </c>
      <c r="M44" s="73">
        <f>(SUM(M16:M17)/365)*Assumptions!$B$51</f>
        <v>5540.549596313982</v>
      </c>
    </row>
    <row r="45" spans="1:18" x14ac:dyDescent="0.2">
      <c r="A45" s="111"/>
      <c r="B45" t="s">
        <v>26</v>
      </c>
      <c r="D45" s="33">
        <f t="shared" ref="D45:M45" si="11">D27</f>
        <v>-28773.191299293456</v>
      </c>
      <c r="E45" s="33">
        <f t="shared" si="11"/>
        <v>-23884.700216584861</v>
      </c>
      <c r="F45" s="33">
        <f t="shared" si="11"/>
        <v>-18361.686508090399</v>
      </c>
      <c r="G45" s="33">
        <f t="shared" si="11"/>
        <v>-12143.027171494914</v>
      </c>
      <c r="H45" s="33">
        <f t="shared" si="11"/>
        <v>-5162.1841995064606</v>
      </c>
      <c r="I45" s="33">
        <f t="shared" si="11"/>
        <v>2653.2619371427413</v>
      </c>
      <c r="J45" s="33">
        <f t="shared" si="11"/>
        <v>11382.118610397685</v>
      </c>
      <c r="K45" s="33">
        <f t="shared" si="11"/>
        <v>20557.10697709096</v>
      </c>
      <c r="L45" s="33">
        <f t="shared" si="11"/>
        <v>30777.314148331869</v>
      </c>
      <c r="M45" s="73">
        <f t="shared" si="11"/>
        <v>42140.168489317686</v>
      </c>
    </row>
    <row r="46" spans="1:18" ht="15" x14ac:dyDescent="0.25">
      <c r="A46" s="111"/>
      <c r="D46" s="33"/>
      <c r="E46" s="33"/>
      <c r="F46" s="33"/>
      <c r="G46" s="33"/>
      <c r="H46" s="33"/>
      <c r="I46" s="33"/>
      <c r="J46" s="33"/>
      <c r="K46" s="33"/>
      <c r="L46" s="33"/>
      <c r="M46" s="73"/>
      <c r="N46" s="24" t="s">
        <v>159</v>
      </c>
      <c r="O46" s="28"/>
      <c r="P46" s="46" t="s">
        <v>105</v>
      </c>
      <c r="Q46" s="46" t="s">
        <v>126</v>
      </c>
      <c r="R46" s="46" t="s">
        <v>127</v>
      </c>
    </row>
    <row r="47" spans="1:18" ht="15" x14ac:dyDescent="0.25">
      <c r="A47" s="111"/>
      <c r="B47" t="s">
        <v>27</v>
      </c>
      <c r="D47" s="33">
        <f>Mortgage!F13</f>
        <v>1166176.1195837851</v>
      </c>
      <c r="E47" s="33">
        <f>Mortgage!F27</f>
        <v>1155536.8619380882</v>
      </c>
      <c r="F47" s="33">
        <f>Mortgage!F41</f>
        <v>1144014.5511550012</v>
      </c>
      <c r="G47" s="33">
        <f>Mortgage!F55</f>
        <v>1131535.8942596344</v>
      </c>
      <c r="H47" s="33">
        <f>+Mortgage!F69</f>
        <v>1118021.5149963319</v>
      </c>
      <c r="I47" s="33">
        <f>+Mortgage!F83</f>
        <v>1103385.4489193661</v>
      </c>
      <c r="J47" s="33">
        <f>+Mortgage!F97</f>
        <v>1087534.5965764101</v>
      </c>
      <c r="K47" s="33">
        <f>+Mortgage!F111</f>
        <v>1070368.13130651</v>
      </c>
      <c r="L47" s="33">
        <f>+Mortgage!F125</f>
        <v>1051776.8578855798</v>
      </c>
      <c r="M47" s="73">
        <f>+Mortgage!F139</f>
        <v>1031642.5179397889</v>
      </c>
      <c r="N47" s="40">
        <f>AVERAGE(D47:M47)</f>
        <v>1105999.2494560496</v>
      </c>
      <c r="O47" s="28"/>
      <c r="P47" s="47">
        <f>Mortgage!AU1</f>
        <v>0</v>
      </c>
      <c r="Q47" s="38">
        <f>N47/SUM(N47:N48)</f>
        <v>0.49197804105010456</v>
      </c>
      <c r="R47" s="46"/>
    </row>
    <row r="48" spans="1:18" ht="15" x14ac:dyDescent="0.25">
      <c r="A48" s="111"/>
      <c r="B48" t="s">
        <v>28</v>
      </c>
      <c r="D48" s="33">
        <v>1300444.4539801076</v>
      </c>
      <c r="E48" s="33">
        <v>1323291.955932321</v>
      </c>
      <c r="F48" s="33">
        <v>1327714.0113731432</v>
      </c>
      <c r="G48" s="33">
        <v>1311351.6170916928</v>
      </c>
      <c r="H48" s="33">
        <v>1271619.2324471159</v>
      </c>
      <c r="I48" s="33">
        <v>1205684.7233225009</v>
      </c>
      <c r="J48" s="33">
        <v>1110447.5780020361</v>
      </c>
      <c r="K48" s="33">
        <v>1007094.0726695056</v>
      </c>
      <c r="L48" s="33">
        <v>869433.54055045499</v>
      </c>
      <c r="M48" s="73">
        <v>693589.21907613636</v>
      </c>
      <c r="N48" s="40">
        <f>AVERAGE(D48:M48)</f>
        <v>1142067.0404445014</v>
      </c>
      <c r="O48" s="28"/>
      <c r="P48" s="47">
        <f>N24</f>
        <v>0.1</v>
      </c>
      <c r="Q48" s="38">
        <f>N48/SUM(N47:N48)</f>
        <v>0.50802195894989544</v>
      </c>
    </row>
    <row r="49" spans="1:18" ht="15" x14ac:dyDescent="0.25">
      <c r="A49" s="111"/>
      <c r="D49" s="33"/>
      <c r="E49" s="33"/>
      <c r="F49" s="33"/>
      <c r="G49" s="33"/>
      <c r="H49" s="33"/>
      <c r="I49" s="33"/>
      <c r="J49" s="33"/>
      <c r="K49" s="33"/>
      <c r="L49" s="33"/>
      <c r="M49" s="73"/>
      <c r="N49" s="48"/>
      <c r="O49" s="28" t="s">
        <v>128</v>
      </c>
      <c r="P49" s="46"/>
      <c r="Q49" s="46"/>
    </row>
    <row r="50" spans="1:18" ht="15" x14ac:dyDescent="0.25">
      <c r="A50" s="111"/>
      <c r="B50" s="132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73"/>
      <c r="O50" s="28"/>
      <c r="P50" s="49"/>
      <c r="Q50" s="46"/>
      <c r="R50" s="46"/>
    </row>
    <row r="51" spans="1:18" ht="15" x14ac:dyDescent="0.25">
      <c r="A51" s="111"/>
      <c r="B51" t="s">
        <v>30</v>
      </c>
      <c r="D51" s="141">
        <f>50000+(Assumptions!$B$40*0.2)</f>
        <v>344000</v>
      </c>
      <c r="E51" s="141">
        <f>50000+(Assumptions!$B$40*0.2)</f>
        <v>344000</v>
      </c>
      <c r="F51" s="141">
        <f>50000+(Assumptions!$B$40*0.2)</f>
        <v>344000</v>
      </c>
      <c r="G51" s="141">
        <f>50000+(Assumptions!$B$40*0.2)</f>
        <v>344000</v>
      </c>
      <c r="H51" s="141">
        <f>50000+(Assumptions!$B$40*0.2)</f>
        <v>344000</v>
      </c>
      <c r="I51" s="141">
        <f>50000+(Assumptions!$B$40*0.2)</f>
        <v>344000</v>
      </c>
      <c r="J51" s="141">
        <f>50000+(Assumptions!$B$40*0.2)</f>
        <v>344000</v>
      </c>
      <c r="K51" s="141">
        <f>50000+(Assumptions!$B$40*0.2)</f>
        <v>344000</v>
      </c>
      <c r="L51" s="141">
        <f>50000+(Assumptions!$B$40*0.2)</f>
        <v>344000</v>
      </c>
      <c r="M51" s="142">
        <f>50000+(Assumptions!$B$40*0.2)</f>
        <v>344000</v>
      </c>
      <c r="N51" s="40">
        <f>AVERAGE(D51:M51)</f>
        <v>344000</v>
      </c>
      <c r="O51" s="31"/>
      <c r="P51" s="49"/>
      <c r="Q51" s="46"/>
      <c r="R51" s="46"/>
    </row>
    <row r="52" spans="1:18" ht="15" x14ac:dyDescent="0.25">
      <c r="A52" s="111"/>
      <c r="B52" t="s">
        <v>31</v>
      </c>
      <c r="D52" s="33">
        <f>D28</f>
        <v>-99107.658919788577</v>
      </c>
      <c r="E52" s="33">
        <f t="shared" ref="E52:M52" si="12">D52+E28</f>
        <v>-181377.18188802531</v>
      </c>
      <c r="F52" s="33">
        <f t="shared" si="12"/>
        <v>-244622.99097144778</v>
      </c>
      <c r="G52" s="33">
        <f t="shared" si="12"/>
        <v>-286448.97345104138</v>
      </c>
      <c r="H52" s="33">
        <f t="shared" si="12"/>
        <v>-304229.83013823029</v>
      </c>
      <c r="I52" s="33">
        <f t="shared" si="12"/>
        <v>-295090.81679918309</v>
      </c>
      <c r="J52" s="33">
        <f t="shared" si="12"/>
        <v>-255885.74158559105</v>
      </c>
      <c r="K52" s="33">
        <f t="shared" si="12"/>
        <v>-185077.92866449998</v>
      </c>
      <c r="L52" s="33">
        <f t="shared" si="12"/>
        <v>-79067.179931356892</v>
      </c>
      <c r="M52" s="73">
        <f t="shared" si="12"/>
        <v>66082.289309626241</v>
      </c>
      <c r="N52" s="40">
        <f>AVERAGE(D52:M52)</f>
        <v>-186482.60130395382</v>
      </c>
      <c r="O52" s="28" t="s">
        <v>129</v>
      </c>
      <c r="P52" s="46"/>
      <c r="Q52" s="46"/>
    </row>
    <row r="53" spans="1:18" x14ac:dyDescent="0.2">
      <c r="A53" s="111"/>
      <c r="B53" t="s">
        <v>32</v>
      </c>
      <c r="D53" s="135">
        <f>Assumptions!$B$52*D28</f>
        <v>-9910.7658919788591</v>
      </c>
      <c r="E53" s="33">
        <f>Assumptions!$B$52*E28</f>
        <v>-8226.9522968236743</v>
      </c>
      <c r="F53" s="33">
        <f>Assumptions!$B$52*F28</f>
        <v>-6324.5809083422491</v>
      </c>
      <c r="G53" s="33">
        <f>Assumptions!$B$52*G28</f>
        <v>-4182.5982479593595</v>
      </c>
      <c r="H53" s="33">
        <f>Assumptions!$B$52*H28</f>
        <v>-1778.0856687188921</v>
      </c>
      <c r="I53" s="33">
        <f>Assumptions!$B$52*I28</f>
        <v>913.90133390472204</v>
      </c>
      <c r="J53" s="33">
        <f>Assumptions!$B$52*J28</f>
        <v>3920.5075213592027</v>
      </c>
      <c r="K53" s="33">
        <f>Assumptions!$B$52*K28</f>
        <v>7080.7812921091072</v>
      </c>
      <c r="L53" s="33">
        <f>Assumptions!$B$52*L28</f>
        <v>10601.07487331431</v>
      </c>
      <c r="M53" s="73">
        <f>Assumptions!$B$52*M28</f>
        <v>14514.946924098314</v>
      </c>
      <c r="N53" s="30"/>
    </row>
    <row r="54" spans="1:18" x14ac:dyDescent="0.2">
      <c r="A54" s="111"/>
      <c r="D54" s="41"/>
      <c r="E54" s="41"/>
      <c r="F54" s="41"/>
      <c r="G54" s="41"/>
      <c r="H54" s="41"/>
      <c r="I54" s="41"/>
      <c r="J54" s="41"/>
      <c r="K54" s="41"/>
      <c r="L54" s="41"/>
      <c r="M54" s="133"/>
    </row>
    <row r="55" spans="1:18" ht="13.5" thickBot="1" x14ac:dyDescent="0.25">
      <c r="A55" s="121"/>
      <c r="B55" s="137" t="s">
        <v>33</v>
      </c>
      <c r="C55" s="82"/>
      <c r="D55" s="138">
        <f t="shared" ref="D55:M55" si="13">SUM(D44:D52)-D53</f>
        <v>2697088.8454011735</v>
      </c>
      <c r="E55" s="138">
        <f t="shared" si="13"/>
        <v>2630340.7373776915</v>
      </c>
      <c r="F55" s="138">
        <f t="shared" si="13"/>
        <v>2563727.0632172222</v>
      </c>
      <c r="G55" s="138">
        <f t="shared" si="13"/>
        <v>2497251.8066205857</v>
      </c>
      <c r="H55" s="138">
        <f t="shared" si="13"/>
        <v>2430919.0698133344</v>
      </c>
      <c r="I55" s="138">
        <f t="shared" si="13"/>
        <v>2364733.0770817469</v>
      </c>
      <c r="J55" s="138">
        <f t="shared" si="13"/>
        <v>2298698.1784145469</v>
      </c>
      <c r="K55" s="138">
        <f t="shared" si="13"/>
        <v>2255130.2818248831</v>
      </c>
      <c r="L55" s="138">
        <f t="shared" si="13"/>
        <v>2211722.571498686</v>
      </c>
      <c r="M55" s="139">
        <f t="shared" si="13"/>
        <v>2168479.7974870852</v>
      </c>
    </row>
    <row r="56" spans="1:18" ht="13.5" thickBot="1" x14ac:dyDescent="0.25">
      <c r="B56" s="32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8" x14ac:dyDescent="0.2">
      <c r="A57" s="108"/>
      <c r="B57" s="143" t="s">
        <v>187</v>
      </c>
      <c r="C57" s="65"/>
      <c r="D57" s="144">
        <f t="shared" ref="D57:M57" si="14">D47/SUM(D47:D48)</f>
        <v>0.47278293714174191</v>
      </c>
      <c r="E57" s="144">
        <f t="shared" si="14"/>
        <v>0.46616242864677659</v>
      </c>
      <c r="F57" s="144">
        <f t="shared" si="14"/>
        <v>0.46283987995222059</v>
      </c>
      <c r="G57" s="144">
        <f t="shared" si="14"/>
        <v>0.46319606981563588</v>
      </c>
      <c r="H57" s="144">
        <f t="shared" si="14"/>
        <v>0.46786175545108394</v>
      </c>
      <c r="I57" s="144">
        <f t="shared" si="14"/>
        <v>0.47784838338113111</v>
      </c>
      <c r="J57" s="144">
        <f t="shared" si="14"/>
        <v>0.49478772355603379</v>
      </c>
      <c r="K57" s="144">
        <f t="shared" si="14"/>
        <v>0.51522869068710497</v>
      </c>
      <c r="L57" s="144">
        <f t="shared" si="14"/>
        <v>0.54745532230190974</v>
      </c>
      <c r="M57" s="145">
        <f t="shared" si="14"/>
        <v>0.59797330167609009</v>
      </c>
    </row>
    <row r="58" spans="1:18" x14ac:dyDescent="0.2">
      <c r="A58" s="111"/>
      <c r="B58" s="32" t="s">
        <v>188</v>
      </c>
      <c r="D58" s="34">
        <f t="shared" ref="D58:M58" si="15">D48/SUM(D47:D48)</f>
        <v>0.5272170628582582</v>
      </c>
      <c r="E58" s="34">
        <f t="shared" si="15"/>
        <v>0.53383757135322341</v>
      </c>
      <c r="F58" s="34">
        <f t="shared" si="15"/>
        <v>0.53716012004777935</v>
      </c>
      <c r="G58" s="34">
        <f t="shared" si="15"/>
        <v>0.53680393018436401</v>
      </c>
      <c r="H58" s="34">
        <f t="shared" si="15"/>
        <v>0.53213824454891601</v>
      </c>
      <c r="I58" s="34">
        <f t="shared" si="15"/>
        <v>0.52215161661886889</v>
      </c>
      <c r="J58" s="34">
        <f t="shared" si="15"/>
        <v>0.50521227644396627</v>
      </c>
      <c r="K58" s="34">
        <f t="shared" si="15"/>
        <v>0.48477130931289503</v>
      </c>
      <c r="L58" s="34">
        <f t="shared" si="15"/>
        <v>0.45254467769809026</v>
      </c>
      <c r="M58" s="146">
        <f t="shared" si="15"/>
        <v>0.4020266983239098</v>
      </c>
    </row>
    <row r="59" spans="1:18" x14ac:dyDescent="0.2">
      <c r="A59" s="111"/>
      <c r="B59" s="32" t="s">
        <v>173</v>
      </c>
      <c r="D59" s="35">
        <f>(+D57*'Average Forecast'!$I$1)+('Average Forecast'!D58*'Average Forecast'!$N$24)</f>
        <v>5.0452285326987284E-2</v>
      </c>
      <c r="E59" s="35">
        <f>(+E57*'Average Forecast'!$I$1)+('Average Forecast'!E58*'Average Forecast'!$N$24)</f>
        <v>4.8468289839792178E-2</v>
      </c>
      <c r="F59" s="35">
        <f>(+F57*'Average Forecast'!$I$1)+('Average Forecast'!F58*'Average Forecast'!$N$24)</f>
        <v>4.5444706279793329E-2</v>
      </c>
      <c r="G59" s="35">
        <f>(+G57*'Average Forecast'!$I$1)+('Average Forecast'!G58*'Average Forecast'!$N$24)</f>
        <v>4.086882847039261E-2</v>
      </c>
      <c r="H59" s="35">
        <f>(+H57*'Average Forecast'!$I$1)+('Average Forecast'!H58*'Average Forecast'!$N$24)</f>
        <v>3.3768143848586958E-2</v>
      </c>
      <c r="I59" s="35">
        <f>(+I57*'Average Forecast'!$I$1)+('Average Forecast'!I58*'Average Forecast'!$N$24)</f>
        <v>2.2061175203987708E-2</v>
      </c>
      <c r="J59" s="35">
        <f>(+J57*'Average Forecast'!$I$1)+('Average Forecast'!J58*'Average Forecast'!$N$24)</f>
        <v>2.0123845899394813E-3</v>
      </c>
      <c r="K59" s="35">
        <f>(+K57*'Average Forecast'!$I$1)+('Average Forecast'!K58*'Average Forecast'!$N$24)</f>
        <v>2.4623177074228168E-3</v>
      </c>
      <c r="L59" s="35">
        <f>(+L57*'Average Forecast'!$I$1)+('Average Forecast'!L58*'Average Forecast'!$N$24)</f>
        <v>2.9697311989658345E-3</v>
      </c>
      <c r="M59" s="147">
        <f>(+M57*'Average Forecast'!$I$1)+('Average Forecast'!M58*'Average Forecast'!$N$24)</f>
        <v>3.5424657413705585E-3</v>
      </c>
    </row>
    <row r="60" spans="1:18" ht="15" x14ac:dyDescent="0.25">
      <c r="A60" s="111"/>
      <c r="B60" s="32" t="s">
        <v>168</v>
      </c>
      <c r="D60" s="36">
        <v>1.24</v>
      </c>
      <c r="E60" s="36">
        <v>1.24</v>
      </c>
      <c r="F60" s="36">
        <v>1.24</v>
      </c>
      <c r="G60" s="36">
        <v>1.24</v>
      </c>
      <c r="H60" s="36">
        <v>1.24</v>
      </c>
      <c r="I60" s="36">
        <v>1.24</v>
      </c>
      <c r="J60" s="36">
        <v>1.24</v>
      </c>
      <c r="K60" s="36">
        <v>1.24</v>
      </c>
      <c r="L60" s="36">
        <v>1.24</v>
      </c>
      <c r="M60" s="148">
        <v>1.24</v>
      </c>
    </row>
    <row r="61" spans="1:18" x14ac:dyDescent="0.2">
      <c r="A61" s="111"/>
      <c r="B61" s="32" t="s">
        <v>189</v>
      </c>
      <c r="D61" s="38">
        <f t="shared" ref="D61:M61" si="16">SUM(D47:D48)/SUM(D47:D52)</f>
        <v>0.90968424315531815</v>
      </c>
      <c r="E61" s="38">
        <f t="shared" si="16"/>
        <v>0.93843430033066133</v>
      </c>
      <c r="F61" s="38">
        <f t="shared" si="16"/>
        <v>0.96134853032565926</v>
      </c>
      <c r="G61" s="38">
        <f t="shared" si="16"/>
        <v>0.97698362680120654</v>
      </c>
      <c r="H61" s="38">
        <f t="shared" si="16"/>
        <v>0.98362970645333059</v>
      </c>
      <c r="I61" s="38">
        <f t="shared" si="16"/>
        <v>0.97925801042832505</v>
      </c>
      <c r="J61" s="38">
        <f t="shared" si="16"/>
        <v>0.96145645601701335</v>
      </c>
      <c r="K61" s="38">
        <f t="shared" si="16"/>
        <v>0.928937940992559</v>
      </c>
      <c r="L61" s="38">
        <f t="shared" si="16"/>
        <v>0.87881268810473578</v>
      </c>
      <c r="M61" s="149">
        <f t="shared" si="16"/>
        <v>0.80795223360411483</v>
      </c>
    </row>
    <row r="62" spans="1:18" x14ac:dyDescent="0.2">
      <c r="A62" s="111"/>
      <c r="B62" s="32" t="s">
        <v>169</v>
      </c>
      <c r="D62" s="38">
        <f t="shared" ref="D62:M62" si="17">SUM(D51:D52)/SUM(D47:D52)</f>
        <v>9.0315756844681835E-2</v>
      </c>
      <c r="E62" s="38">
        <f t="shared" si="17"/>
        <v>6.1565699669338649E-2</v>
      </c>
      <c r="F62" s="38">
        <f t="shared" si="17"/>
        <v>3.8651469674340758E-2</v>
      </c>
      <c r="G62" s="38">
        <f t="shared" si="17"/>
        <v>2.301637319879353E-2</v>
      </c>
      <c r="H62" s="38">
        <f t="shared" si="17"/>
        <v>1.6370293546669367E-2</v>
      </c>
      <c r="I62" s="38">
        <f t="shared" si="17"/>
        <v>2.0741989571674925E-2</v>
      </c>
      <c r="J62" s="38">
        <f t="shared" si="17"/>
        <v>3.8543543982986629E-2</v>
      </c>
      <c r="K62" s="38">
        <f t="shared" si="17"/>
        <v>7.1062059007440961E-2</v>
      </c>
      <c r="L62" s="38">
        <f t="shared" si="17"/>
        <v>0.12118731189526417</v>
      </c>
      <c r="M62" s="149">
        <f t="shared" si="17"/>
        <v>0.192047766395885</v>
      </c>
    </row>
    <row r="63" spans="1:18" x14ac:dyDescent="0.2">
      <c r="A63" s="111"/>
      <c r="B63" s="32"/>
      <c r="D63" s="33"/>
      <c r="E63" s="33"/>
      <c r="F63" s="33"/>
      <c r="G63" s="33"/>
      <c r="H63" s="33"/>
      <c r="I63" s="33"/>
      <c r="J63" s="33"/>
      <c r="K63" s="33"/>
      <c r="L63" s="33"/>
      <c r="M63" s="73"/>
    </row>
    <row r="64" spans="1:18" ht="15" x14ac:dyDescent="0.25">
      <c r="A64" s="111"/>
      <c r="B64" s="32" t="s">
        <v>190</v>
      </c>
      <c r="D64" s="36">
        <f t="shared" ref="D64:M64" si="18">+D60*(1+(1-$N$27)*(D61/D62))</f>
        <v>10.919446734589785</v>
      </c>
      <c r="E64" s="36">
        <f t="shared" si="18"/>
        <v>15.888340999313023</v>
      </c>
      <c r="F64" s="36">
        <f t="shared" si="18"/>
        <v>25.142220159464504</v>
      </c>
      <c r="G64" s="36">
        <f t="shared" si="18"/>
        <v>42.031885726165306</v>
      </c>
      <c r="H64" s="36">
        <f t="shared" si="18"/>
        <v>58.982895398107942</v>
      </c>
      <c r="I64" s="36">
        <f t="shared" si="18"/>
        <v>46.610138904453649</v>
      </c>
      <c r="J64" s="36">
        <f t="shared" si="18"/>
        <v>25.211839606658682</v>
      </c>
      <c r="K64" s="36">
        <f t="shared" si="18"/>
        <v>13.802390870216312</v>
      </c>
      <c r="L64" s="36">
        <f t="shared" si="18"/>
        <v>8.2088730615507153</v>
      </c>
      <c r="M64" s="148">
        <f t="shared" si="18"/>
        <v>5.2829634307384019</v>
      </c>
    </row>
    <row r="65" spans="1:14" ht="15" x14ac:dyDescent="0.25">
      <c r="A65" s="111"/>
      <c r="B65" s="32" t="s">
        <v>170</v>
      </c>
      <c r="D65" s="49">
        <v>0.1002</v>
      </c>
      <c r="E65" s="49">
        <v>0.1002</v>
      </c>
      <c r="F65" s="49">
        <v>0.1002</v>
      </c>
      <c r="G65" s="49">
        <v>0.1002</v>
      </c>
      <c r="H65" s="49">
        <v>0.1002</v>
      </c>
      <c r="I65" s="49">
        <v>0.1002</v>
      </c>
      <c r="J65" s="49">
        <v>0.1002</v>
      </c>
      <c r="K65" s="49">
        <v>0.1002</v>
      </c>
      <c r="L65" s="49">
        <v>0.1002</v>
      </c>
      <c r="M65" s="150">
        <v>0.1002</v>
      </c>
    </row>
    <row r="66" spans="1:14" ht="15" x14ac:dyDescent="0.25">
      <c r="A66" s="111"/>
      <c r="B66" s="32" t="s">
        <v>171</v>
      </c>
      <c r="D66" s="49">
        <v>2.0799999999999999E-2</v>
      </c>
      <c r="E66" s="49">
        <v>2.0799999999999999E-2</v>
      </c>
      <c r="F66" s="49">
        <v>2.0799999999999999E-2</v>
      </c>
      <c r="G66" s="49">
        <v>2.0799999999999999E-2</v>
      </c>
      <c r="H66" s="49">
        <v>2.0799999999999999E-2</v>
      </c>
      <c r="I66" s="49">
        <v>2.0799999999999999E-2</v>
      </c>
      <c r="J66" s="49">
        <v>2.0799999999999999E-2</v>
      </c>
      <c r="K66" s="49">
        <v>2.0799999999999999E-2</v>
      </c>
      <c r="L66" s="49">
        <v>2.0799999999999999E-2</v>
      </c>
      <c r="M66" s="150">
        <v>2.0799999999999999E-2</v>
      </c>
    </row>
    <row r="67" spans="1:14" x14ac:dyDescent="0.2">
      <c r="A67" s="111"/>
      <c r="B67" s="32" t="s">
        <v>172</v>
      </c>
      <c r="D67" s="37">
        <f t="shared" ref="D67:M67" si="19">+D66+D64*(D65-D66)</f>
        <v>0.88780407072642897</v>
      </c>
      <c r="E67" s="37">
        <f t="shared" si="19"/>
        <v>1.2823342753454539</v>
      </c>
      <c r="F67" s="37">
        <f t="shared" si="19"/>
        <v>2.0170922806614815</v>
      </c>
      <c r="G67" s="37">
        <f t="shared" si="19"/>
        <v>3.358131726657525</v>
      </c>
      <c r="H67" s="37">
        <f t="shared" si="19"/>
        <v>4.7040418946097713</v>
      </c>
      <c r="I67" s="37">
        <f t="shared" si="19"/>
        <v>3.7216450290136196</v>
      </c>
      <c r="J67" s="37">
        <f t="shared" si="19"/>
        <v>2.0226200647686992</v>
      </c>
      <c r="K67" s="37">
        <f t="shared" si="19"/>
        <v>1.1167098350951752</v>
      </c>
      <c r="L67" s="37">
        <f t="shared" si="19"/>
        <v>0.67258452108712685</v>
      </c>
      <c r="M67" s="151">
        <f t="shared" si="19"/>
        <v>0.44026729640062912</v>
      </c>
    </row>
    <row r="68" spans="1:14" x14ac:dyDescent="0.2">
      <c r="A68" s="111"/>
      <c r="B68" s="32"/>
      <c r="D68" s="33"/>
      <c r="E68" s="33"/>
      <c r="F68" s="33"/>
      <c r="G68" s="33"/>
      <c r="H68" s="33"/>
      <c r="I68" s="33"/>
      <c r="J68" s="33"/>
      <c r="K68" s="33"/>
      <c r="L68" s="33"/>
      <c r="M68" s="73"/>
    </row>
    <row r="69" spans="1:14" ht="13.5" thickBot="1" x14ac:dyDescent="0.25">
      <c r="A69" s="121"/>
      <c r="B69" s="137" t="s">
        <v>167</v>
      </c>
      <c r="C69" s="82"/>
      <c r="D69" s="152">
        <f t="shared" ref="D69:M69" si="20">D61*(1-$N$27)*D59+D62*D67</f>
        <v>0.11575182454712774</v>
      </c>
      <c r="E69" s="152">
        <f t="shared" si="20"/>
        <v>0.11419814376123975</v>
      </c>
      <c r="F69" s="152">
        <f t="shared" si="20"/>
        <v>0.11182193735103353</v>
      </c>
      <c r="G69" s="152">
        <f t="shared" si="20"/>
        <v>0.10823634967460194</v>
      </c>
      <c r="H69" s="152">
        <f t="shared" si="20"/>
        <v>0.10274844247206874</v>
      </c>
      <c r="I69" s="152">
        <f t="shared" si="20"/>
        <v>9.3937098848201298E-2</v>
      </c>
      <c r="J69" s="152">
        <f t="shared" si="20"/>
        <v>7.9458431048173142E-2</v>
      </c>
      <c r="K69" s="152">
        <f t="shared" si="20"/>
        <v>8.1128388960155229E-2</v>
      </c>
      <c r="L69" s="152">
        <f t="shared" si="20"/>
        <v>8.3531334162794069E-2</v>
      </c>
      <c r="M69" s="153">
        <f t="shared" si="20"/>
        <v>8.6770511799755839E-2</v>
      </c>
    </row>
    <row r="70" spans="1:14" ht="13.5" thickBot="1" x14ac:dyDescent="0.25"/>
    <row r="71" spans="1:14" ht="15" x14ac:dyDescent="0.25">
      <c r="A71" s="63" t="s">
        <v>135</v>
      </c>
      <c r="B71" s="83"/>
      <c r="C71" s="64"/>
      <c r="D71" s="64"/>
      <c r="E71" s="64"/>
      <c r="F71" s="64"/>
      <c r="G71" s="64"/>
      <c r="H71" s="64"/>
      <c r="I71" s="64"/>
      <c r="J71" s="64"/>
      <c r="K71" s="65"/>
      <c r="L71" s="65"/>
      <c r="M71" s="66"/>
    </row>
    <row r="72" spans="1:14" ht="15" x14ac:dyDescent="0.25">
      <c r="A72" s="102"/>
      <c r="B72" s="95"/>
      <c r="C72" s="51">
        <v>0</v>
      </c>
      <c r="D72" s="51">
        <v>1</v>
      </c>
      <c r="E72" s="51">
        <v>2</v>
      </c>
      <c r="F72" s="51">
        <v>3</v>
      </c>
      <c r="G72" s="51">
        <v>4</v>
      </c>
      <c r="H72" s="51">
        <v>5</v>
      </c>
      <c r="I72" s="51">
        <v>6</v>
      </c>
      <c r="J72" s="51">
        <v>7</v>
      </c>
      <c r="K72" s="51">
        <v>8</v>
      </c>
      <c r="L72" s="51">
        <v>9</v>
      </c>
      <c r="M72" s="155">
        <v>10</v>
      </c>
    </row>
    <row r="73" spans="1:14" ht="15" x14ac:dyDescent="0.25">
      <c r="A73" s="69" t="s">
        <v>136</v>
      </c>
      <c r="B73" s="46"/>
      <c r="C73" s="94"/>
      <c r="D73" s="93"/>
      <c r="E73" s="93"/>
      <c r="F73" s="93"/>
      <c r="G73" s="93"/>
      <c r="H73" s="93"/>
      <c r="I73" s="93"/>
      <c r="J73" s="93"/>
      <c r="K73" s="8"/>
      <c r="L73" s="8"/>
      <c r="M73" s="101"/>
    </row>
    <row r="74" spans="1:14" ht="15" x14ac:dyDescent="0.25">
      <c r="A74" s="67"/>
      <c r="B74" s="46" t="s">
        <v>137</v>
      </c>
      <c r="C74" s="46"/>
      <c r="D74" s="52">
        <f t="shared" ref="D74:M74" si="21">D19</f>
        <v>167200</v>
      </c>
      <c r="E74" s="52">
        <f t="shared" si="21"/>
        <v>190396</v>
      </c>
      <c r="F74" s="52">
        <f t="shared" si="21"/>
        <v>214501.88000000012</v>
      </c>
      <c r="G74" s="52">
        <f t="shared" si="21"/>
        <v>239547.78040000028</v>
      </c>
      <c r="H74" s="52">
        <f t="shared" si="21"/>
        <v>265564.78833200014</v>
      </c>
      <c r="I74" s="52">
        <f t="shared" si="21"/>
        <v>292584.96676876023</v>
      </c>
      <c r="J74" s="52">
        <f t="shared" si="21"/>
        <v>320641.38451852323</v>
      </c>
      <c r="K74" s="52">
        <f t="shared" si="21"/>
        <v>349768.14713251847</v>
      </c>
      <c r="L74" s="52">
        <f t="shared" si="21"/>
        <v>380000.42875287635</v>
      </c>
      <c r="M74" s="86">
        <f t="shared" si="21"/>
        <v>411374.5049294096</v>
      </c>
      <c r="N74" s="52"/>
    </row>
    <row r="75" spans="1:14" ht="15" x14ac:dyDescent="0.25">
      <c r="A75" s="67"/>
      <c r="B75" s="46" t="s">
        <v>138</v>
      </c>
      <c r="C75" s="46"/>
      <c r="D75" s="52">
        <f t="shared" ref="D75:M75" si="22">SUM(D21:D22)</f>
        <v>71311.42857142858</v>
      </c>
      <c r="E75" s="52">
        <f t="shared" si="22"/>
        <v>71311.42857142858</v>
      </c>
      <c r="F75" s="52">
        <f t="shared" si="22"/>
        <v>71311.42857142858</v>
      </c>
      <c r="G75" s="52">
        <f t="shared" si="22"/>
        <v>71311.42857142858</v>
      </c>
      <c r="H75" s="52">
        <f t="shared" si="22"/>
        <v>71311.42857142858</v>
      </c>
      <c r="I75" s="52">
        <f t="shared" si="22"/>
        <v>71311.42857142858</v>
      </c>
      <c r="J75" s="52">
        <f t="shared" si="22"/>
        <v>71311.42857142858</v>
      </c>
      <c r="K75" s="52">
        <f t="shared" si="22"/>
        <v>71311.42857142858</v>
      </c>
      <c r="L75" s="52">
        <f t="shared" si="22"/>
        <v>71311.42857142858</v>
      </c>
      <c r="M75" s="86">
        <f t="shared" si="22"/>
        <v>71311.42857142858</v>
      </c>
    </row>
    <row r="76" spans="1:14" ht="15" x14ac:dyDescent="0.25">
      <c r="A76" s="67"/>
      <c r="B76" s="46" t="s">
        <v>139</v>
      </c>
      <c r="C76" s="46"/>
      <c r="D76" s="52">
        <f t="shared" ref="D76:M76" si="23">D74-D75</f>
        <v>95888.57142857142</v>
      </c>
      <c r="E76" s="52">
        <f t="shared" si="23"/>
        <v>119084.57142857142</v>
      </c>
      <c r="F76" s="52">
        <f t="shared" si="23"/>
        <v>143190.45142857154</v>
      </c>
      <c r="G76" s="52">
        <f t="shared" si="23"/>
        <v>168236.3518285717</v>
      </c>
      <c r="H76" s="52">
        <f t="shared" si="23"/>
        <v>194253.35976057156</v>
      </c>
      <c r="I76" s="52">
        <f t="shared" si="23"/>
        <v>221273.53819733165</v>
      </c>
      <c r="J76" s="52">
        <f t="shared" si="23"/>
        <v>249329.95594709466</v>
      </c>
      <c r="K76" s="52">
        <f t="shared" si="23"/>
        <v>278456.71856108989</v>
      </c>
      <c r="L76" s="52">
        <f t="shared" si="23"/>
        <v>308689.00018144777</v>
      </c>
      <c r="M76" s="86">
        <f t="shared" si="23"/>
        <v>340063.07635798102</v>
      </c>
    </row>
    <row r="77" spans="1:14" ht="15" x14ac:dyDescent="0.25">
      <c r="A77" s="67"/>
      <c r="B77" s="46" t="s">
        <v>140</v>
      </c>
      <c r="C77" s="46"/>
      <c r="D77" s="52">
        <f t="shared" ref="D77:M77" si="24">IF(D76&lt;0,0,D76*$N$27)</f>
        <v>21574.928571428569</v>
      </c>
      <c r="E77" s="52">
        <f t="shared" si="24"/>
        <v>26794.028571428571</v>
      </c>
      <c r="F77" s="52">
        <f t="shared" si="24"/>
        <v>32217.851571428597</v>
      </c>
      <c r="G77" s="52">
        <f t="shared" si="24"/>
        <v>37853.179161428634</v>
      </c>
      <c r="H77" s="52">
        <f t="shared" si="24"/>
        <v>43707.0059461286</v>
      </c>
      <c r="I77" s="52">
        <f t="shared" si="24"/>
        <v>49786.546094399622</v>
      </c>
      <c r="J77" s="52">
        <f t="shared" si="24"/>
        <v>56099.240088096296</v>
      </c>
      <c r="K77" s="52">
        <f t="shared" si="24"/>
        <v>62652.761676245223</v>
      </c>
      <c r="L77" s="52">
        <f t="shared" si="24"/>
        <v>69455.025040825756</v>
      </c>
      <c r="M77" s="86">
        <f t="shared" si="24"/>
        <v>76514.192180545724</v>
      </c>
    </row>
    <row r="78" spans="1:14" ht="15" x14ac:dyDescent="0.25">
      <c r="A78" s="67"/>
      <c r="B78" s="46" t="s">
        <v>141</v>
      </c>
      <c r="C78" s="46"/>
      <c r="D78" s="70">
        <f t="shared" ref="D78:M78" si="25">D76-D77</f>
        <v>74313.642857142855</v>
      </c>
      <c r="E78" s="70">
        <f t="shared" si="25"/>
        <v>92290.542857142849</v>
      </c>
      <c r="F78" s="70">
        <f t="shared" si="25"/>
        <v>110972.59985714295</v>
      </c>
      <c r="G78" s="70">
        <f t="shared" si="25"/>
        <v>130383.17266714307</v>
      </c>
      <c r="H78" s="70">
        <f t="shared" si="25"/>
        <v>150546.35381444296</v>
      </c>
      <c r="I78" s="70">
        <f t="shared" si="25"/>
        <v>171486.99210293204</v>
      </c>
      <c r="J78" s="70">
        <f t="shared" si="25"/>
        <v>193230.71585899836</v>
      </c>
      <c r="K78" s="70">
        <f t="shared" si="25"/>
        <v>215803.95688484467</v>
      </c>
      <c r="L78" s="70">
        <f t="shared" si="25"/>
        <v>239233.975140622</v>
      </c>
      <c r="M78" s="87">
        <f t="shared" si="25"/>
        <v>263548.88417743531</v>
      </c>
    </row>
    <row r="79" spans="1:14" ht="15" x14ac:dyDescent="0.25">
      <c r="A79" s="67"/>
      <c r="B79" s="46" t="s">
        <v>142</v>
      </c>
      <c r="C79" s="46"/>
      <c r="D79" s="52">
        <f t="shared" ref="D79:M79" si="26">D75</f>
        <v>71311.42857142858</v>
      </c>
      <c r="E79" s="52">
        <f t="shared" si="26"/>
        <v>71311.42857142858</v>
      </c>
      <c r="F79" s="52">
        <f t="shared" si="26"/>
        <v>71311.42857142858</v>
      </c>
      <c r="G79" s="52">
        <f t="shared" si="26"/>
        <v>71311.42857142858</v>
      </c>
      <c r="H79" s="52">
        <f t="shared" si="26"/>
        <v>71311.42857142858</v>
      </c>
      <c r="I79" s="52">
        <f t="shared" si="26"/>
        <v>71311.42857142858</v>
      </c>
      <c r="J79" s="52">
        <f t="shared" si="26"/>
        <v>71311.42857142858</v>
      </c>
      <c r="K79" s="52">
        <f t="shared" si="26"/>
        <v>71311.42857142858</v>
      </c>
      <c r="L79" s="52">
        <f t="shared" si="26"/>
        <v>71311.42857142858</v>
      </c>
      <c r="M79" s="86">
        <f t="shared" si="26"/>
        <v>71311.42857142858</v>
      </c>
    </row>
    <row r="80" spans="1:14" ht="15" x14ac:dyDescent="0.25">
      <c r="A80" s="102"/>
      <c r="B80" s="95" t="s">
        <v>136</v>
      </c>
      <c r="C80" s="95"/>
      <c r="D80" s="96">
        <f t="shared" ref="D80:M80" si="27">D78+D79</f>
        <v>145625.07142857142</v>
      </c>
      <c r="E80" s="96">
        <f t="shared" si="27"/>
        <v>163601.97142857144</v>
      </c>
      <c r="F80" s="96">
        <f t="shared" si="27"/>
        <v>182284.02842857153</v>
      </c>
      <c r="G80" s="96">
        <f t="shared" si="27"/>
        <v>201694.60123857163</v>
      </c>
      <c r="H80" s="96">
        <f t="shared" si="27"/>
        <v>221857.78238587154</v>
      </c>
      <c r="I80" s="96">
        <f t="shared" si="27"/>
        <v>242798.42067436062</v>
      </c>
      <c r="J80" s="96">
        <f t="shared" si="27"/>
        <v>264542.14443042694</v>
      </c>
      <c r="K80" s="96">
        <f t="shared" si="27"/>
        <v>287115.38545627322</v>
      </c>
      <c r="L80" s="96">
        <f t="shared" si="27"/>
        <v>310545.40371205058</v>
      </c>
      <c r="M80" s="103">
        <f t="shared" si="27"/>
        <v>334860.31274886389</v>
      </c>
    </row>
    <row r="81" spans="1:15" ht="15" x14ac:dyDescent="0.25">
      <c r="A81" s="100" t="s">
        <v>143</v>
      </c>
      <c r="B81" s="46"/>
      <c r="C81" s="93"/>
      <c r="D81" s="93"/>
      <c r="E81" s="93"/>
      <c r="F81" s="93"/>
      <c r="G81" s="93"/>
      <c r="H81" s="93"/>
      <c r="I81" s="93"/>
      <c r="J81" s="93"/>
      <c r="K81" s="8"/>
      <c r="L81" s="8"/>
      <c r="M81" s="101"/>
    </row>
    <row r="82" spans="1:15" ht="15" x14ac:dyDescent="0.25">
      <c r="A82" s="67"/>
      <c r="B82" s="46" t="s">
        <v>144</v>
      </c>
      <c r="C82" s="52">
        <f>-(D35+D36)</f>
        <v>-2450000</v>
      </c>
      <c r="D82" s="46"/>
      <c r="E82" s="46"/>
      <c r="F82" s="46"/>
      <c r="G82" s="46"/>
      <c r="H82" s="46"/>
      <c r="I82" s="46"/>
      <c r="J82" s="46"/>
      <c r="M82" s="68"/>
    </row>
    <row r="83" spans="1:15" ht="15" x14ac:dyDescent="0.25">
      <c r="A83" s="67"/>
      <c r="B83" s="46" t="s">
        <v>160</v>
      </c>
      <c r="C83" s="52">
        <f>-D37</f>
        <v>-156180</v>
      </c>
      <c r="D83" s="46"/>
      <c r="E83" s="46"/>
      <c r="F83" s="46"/>
      <c r="G83" s="46"/>
      <c r="H83" s="46"/>
      <c r="I83" s="46"/>
      <c r="J83" s="46"/>
      <c r="M83" s="68"/>
    </row>
    <row r="84" spans="1:15" ht="15" x14ac:dyDescent="0.25">
      <c r="A84" s="67"/>
      <c r="B84" s="46" t="s">
        <v>145</v>
      </c>
      <c r="C84" s="46"/>
      <c r="D84" s="46"/>
      <c r="E84" s="46"/>
      <c r="F84" s="46"/>
      <c r="H84" s="46"/>
      <c r="M84" s="86">
        <f>O84*O85</f>
        <v>2352000</v>
      </c>
      <c r="N84" s="46" t="s">
        <v>163</v>
      </c>
      <c r="O84" s="52">
        <f>(M35+M36-M38)</f>
        <v>1960000</v>
      </c>
    </row>
    <row r="85" spans="1:15" ht="15" x14ac:dyDescent="0.25">
      <c r="A85" s="67"/>
      <c r="B85" s="46" t="s">
        <v>161</v>
      </c>
      <c r="C85" s="46"/>
      <c r="D85" s="46"/>
      <c r="E85" s="46"/>
      <c r="F85" s="46"/>
      <c r="G85" s="52"/>
      <c r="H85" s="46"/>
      <c r="M85" s="88">
        <f>-O88*C83</f>
        <v>39045</v>
      </c>
      <c r="N85" s="46" t="s">
        <v>147</v>
      </c>
      <c r="O85" s="47">
        <v>1.2</v>
      </c>
    </row>
    <row r="86" spans="1:15" ht="15" x14ac:dyDescent="0.25">
      <c r="A86" s="67"/>
      <c r="B86" s="46" t="s">
        <v>146</v>
      </c>
      <c r="C86" s="46"/>
      <c r="D86" s="46"/>
      <c r="E86" s="46"/>
      <c r="F86" s="46"/>
      <c r="H86" s="46"/>
      <c r="M86" s="89">
        <f>-O86*N27</f>
        <v>-88200</v>
      </c>
      <c r="N86" s="46" t="s">
        <v>164</v>
      </c>
      <c r="O86" s="52">
        <f>M84-O84</f>
        <v>392000</v>
      </c>
    </row>
    <row r="87" spans="1:15" ht="15" x14ac:dyDescent="0.25">
      <c r="A87" s="102"/>
      <c r="B87" s="95" t="s">
        <v>162</v>
      </c>
      <c r="C87" s="95"/>
      <c r="D87" s="95"/>
      <c r="E87" s="95"/>
      <c r="F87" s="95"/>
      <c r="G87" s="97"/>
      <c r="H87" s="95"/>
      <c r="I87" s="10"/>
      <c r="J87" s="10"/>
      <c r="K87" s="10"/>
      <c r="L87" s="10"/>
      <c r="M87" s="104">
        <f>-O89*N27</f>
        <v>-8785.125</v>
      </c>
      <c r="N87" s="46" t="s">
        <v>165</v>
      </c>
      <c r="O87" s="48">
        <f>M37-M39</f>
        <v>0</v>
      </c>
    </row>
    <row r="88" spans="1:15" ht="15" x14ac:dyDescent="0.25">
      <c r="A88" s="100" t="s">
        <v>148</v>
      </c>
      <c r="B88" s="46"/>
      <c r="C88" s="93"/>
      <c r="D88" s="93"/>
      <c r="E88" s="93"/>
      <c r="F88" s="93"/>
      <c r="G88" s="93"/>
      <c r="H88" s="93"/>
      <c r="I88" s="8"/>
      <c r="J88" s="8"/>
      <c r="K88" s="8"/>
      <c r="L88" s="8"/>
      <c r="M88" s="101"/>
      <c r="N88" s="46" t="s">
        <v>147</v>
      </c>
      <c r="O88" s="47">
        <v>0.25</v>
      </c>
    </row>
    <row r="89" spans="1:15" ht="15" x14ac:dyDescent="0.25">
      <c r="A89" s="74" t="s">
        <v>149</v>
      </c>
      <c r="B89" s="75" t="s">
        <v>21</v>
      </c>
      <c r="C89" s="76"/>
      <c r="D89" s="52">
        <f t="shared" ref="D89:M89" si="28">-(D34-C34)</f>
        <v>-156220.27397260274</v>
      </c>
      <c r="E89" s="52">
        <f t="shared" si="28"/>
        <v>-4563.3205479452154</v>
      </c>
      <c r="F89" s="52">
        <f t="shared" si="28"/>
        <v>-4697.7544109589362</v>
      </c>
      <c r="G89" s="52">
        <f t="shared" si="28"/>
        <v>-4836.1719747945317</v>
      </c>
      <c r="H89" s="52">
        <f t="shared" si="28"/>
        <v>-4978.6917641753098</v>
      </c>
      <c r="I89" s="52">
        <f t="shared" si="28"/>
        <v>-5125.4358398403565</v>
      </c>
      <c r="J89" s="52">
        <f t="shared" si="28"/>
        <v>-5276.5299042300612</v>
      </c>
      <c r="K89" s="52">
        <f t="shared" si="28"/>
        <v>-5432.1034103353741</v>
      </c>
      <c r="L89" s="52">
        <f t="shared" si="28"/>
        <v>-5592.2896738034615</v>
      </c>
      <c r="M89" s="86">
        <f t="shared" si="28"/>
        <v>-5757.2259883985971</v>
      </c>
      <c r="N89" s="46" t="s">
        <v>166</v>
      </c>
      <c r="O89" s="53">
        <f>M85-O87</f>
        <v>39045</v>
      </c>
    </row>
    <row r="90" spans="1:15" ht="15" x14ac:dyDescent="0.25">
      <c r="A90" s="74" t="s">
        <v>149</v>
      </c>
      <c r="B90" s="75" t="s">
        <v>150</v>
      </c>
      <c r="C90" s="46"/>
      <c r="D90" s="52">
        <f>0</f>
        <v>0</v>
      </c>
      <c r="E90" s="52">
        <f>0</f>
        <v>0</v>
      </c>
      <c r="F90" s="52">
        <f>0</f>
        <v>0</v>
      </c>
      <c r="G90" s="52">
        <f>0</f>
        <v>0</v>
      </c>
      <c r="H90" s="52">
        <f>0</f>
        <v>0</v>
      </c>
      <c r="I90" s="52">
        <f>0</f>
        <v>0</v>
      </c>
      <c r="J90" s="52">
        <f>0</f>
        <v>0</v>
      </c>
      <c r="K90" s="52">
        <f>0</f>
        <v>0</v>
      </c>
      <c r="L90" s="52">
        <f>0</f>
        <v>0</v>
      </c>
      <c r="M90" s="86">
        <f>0</f>
        <v>0</v>
      </c>
    </row>
    <row r="91" spans="1:15" ht="15" x14ac:dyDescent="0.25">
      <c r="A91" s="74" t="s">
        <v>151</v>
      </c>
      <c r="B91" s="75" t="s">
        <v>25</v>
      </c>
      <c r="C91" s="46"/>
      <c r="D91" s="52">
        <f t="shared" ref="D91:M91" si="29">D44-C44</f>
        <v>4438.3561643835619</v>
      </c>
      <c r="E91" s="52">
        <f t="shared" si="29"/>
        <v>108.49315068493161</v>
      </c>
      <c r="F91" s="52">
        <f t="shared" si="29"/>
        <v>111.74794520548039</v>
      </c>
      <c r="G91" s="52">
        <f t="shared" si="29"/>
        <v>115.10038356164387</v>
      </c>
      <c r="H91" s="52">
        <f t="shared" si="29"/>
        <v>118.55339506849214</v>
      </c>
      <c r="I91" s="52">
        <f t="shared" si="29"/>
        <v>122.10999692054975</v>
      </c>
      <c r="J91" s="52">
        <f t="shared" si="29"/>
        <v>125.77329682816435</v>
      </c>
      <c r="K91" s="52">
        <f t="shared" si="29"/>
        <v>129.54649573300958</v>
      </c>
      <c r="L91" s="52">
        <f t="shared" si="29"/>
        <v>133.43289060500047</v>
      </c>
      <c r="M91" s="86">
        <f t="shared" si="29"/>
        <v>137.43587732314791</v>
      </c>
    </row>
    <row r="92" spans="1:15" ht="15" x14ac:dyDescent="0.25">
      <c r="A92" s="105" t="s">
        <v>151</v>
      </c>
      <c r="B92" s="98" t="s">
        <v>152</v>
      </c>
      <c r="C92" s="95"/>
      <c r="D92" s="99">
        <f t="shared" ref="D92:M92" si="30">D77-C77</f>
        <v>21574.928571428569</v>
      </c>
      <c r="E92" s="99">
        <f t="shared" si="30"/>
        <v>5219.1000000000022</v>
      </c>
      <c r="F92" s="99">
        <f t="shared" si="30"/>
        <v>5423.8230000000258</v>
      </c>
      <c r="G92" s="99">
        <f t="shared" si="30"/>
        <v>5635.3275900000372</v>
      </c>
      <c r="H92" s="99">
        <f t="shared" si="30"/>
        <v>5853.8267846999661</v>
      </c>
      <c r="I92" s="99">
        <f t="shared" si="30"/>
        <v>6079.5401482710222</v>
      </c>
      <c r="J92" s="99">
        <f t="shared" si="30"/>
        <v>6312.6939936966737</v>
      </c>
      <c r="K92" s="99">
        <f t="shared" si="30"/>
        <v>6553.5215881489275</v>
      </c>
      <c r="L92" s="99">
        <f t="shared" si="30"/>
        <v>6802.2633645805327</v>
      </c>
      <c r="M92" s="106">
        <f t="shared" si="30"/>
        <v>7059.167139719968</v>
      </c>
      <c r="O92" s="30"/>
    </row>
    <row r="93" spans="1:15" ht="15" x14ac:dyDescent="0.25">
      <c r="A93" s="69" t="s">
        <v>153</v>
      </c>
      <c r="B93" s="46"/>
      <c r="C93" s="46"/>
      <c r="D93" s="46"/>
      <c r="E93" s="46"/>
      <c r="F93" s="46"/>
      <c r="G93" s="46"/>
      <c r="H93" s="46"/>
      <c r="I93" s="46"/>
      <c r="J93" s="46"/>
      <c r="M93" s="68"/>
      <c r="O93" s="30"/>
    </row>
    <row r="94" spans="1:15" ht="15" x14ac:dyDescent="0.25">
      <c r="A94" s="74" t="s">
        <v>151</v>
      </c>
      <c r="B94" s="75" t="s">
        <v>21</v>
      </c>
      <c r="C94" s="46"/>
      <c r="D94" s="46"/>
      <c r="E94" s="46"/>
      <c r="F94" s="46"/>
      <c r="H94" s="46"/>
      <c r="I94" s="46"/>
      <c r="J94" s="46"/>
      <c r="M94" s="86">
        <f>M34</f>
        <v>202479.79748708458</v>
      </c>
    </row>
    <row r="95" spans="1:15" ht="15" x14ac:dyDescent="0.25">
      <c r="A95" s="74" t="s">
        <v>151</v>
      </c>
      <c r="B95" s="75" t="s">
        <v>150</v>
      </c>
      <c r="C95" s="46"/>
      <c r="D95" s="46"/>
      <c r="E95" s="46"/>
      <c r="F95" s="46"/>
      <c r="H95" s="46"/>
      <c r="I95" s="46"/>
      <c r="J95" s="46"/>
      <c r="M95" s="86">
        <v>0</v>
      </c>
      <c r="O95" s="30"/>
    </row>
    <row r="96" spans="1:15" ht="15" x14ac:dyDescent="0.25">
      <c r="A96" s="67" t="s">
        <v>149</v>
      </c>
      <c r="B96" s="75" t="s">
        <v>25</v>
      </c>
      <c r="C96" s="46"/>
      <c r="D96" s="46"/>
      <c r="E96" s="46"/>
      <c r="F96" s="46"/>
      <c r="H96" s="46"/>
      <c r="I96" s="46"/>
      <c r="J96" s="46"/>
      <c r="M96" s="86">
        <f>-M44</f>
        <v>-5540.549596313982</v>
      </c>
      <c r="O96" s="30"/>
    </row>
    <row r="97" spans="1:17" ht="15.75" thickBot="1" x14ac:dyDescent="0.3">
      <c r="A97" s="78" t="s">
        <v>149</v>
      </c>
      <c r="B97" s="91" t="s">
        <v>152</v>
      </c>
      <c r="C97" s="81"/>
      <c r="D97" s="81"/>
      <c r="E97" s="81"/>
      <c r="F97" s="81"/>
      <c r="G97" s="82"/>
      <c r="H97" s="81"/>
      <c r="I97" s="81"/>
      <c r="J97" s="81"/>
      <c r="K97" s="82"/>
      <c r="L97" s="82"/>
      <c r="M97" s="92">
        <f>-M77</f>
        <v>-76514.192180545724</v>
      </c>
      <c r="O97" s="30"/>
    </row>
    <row r="98" spans="1:17" ht="15.75" thickBot="1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O98" s="30"/>
    </row>
    <row r="99" spans="1:17" ht="15" x14ac:dyDescent="0.25">
      <c r="A99" s="63" t="s">
        <v>154</v>
      </c>
      <c r="B99" s="64"/>
      <c r="C99" s="164">
        <f t="shared" ref="C99:M99" si="31">SUM(C80:C97)</f>
        <v>-2606180</v>
      </c>
      <c r="D99" s="164">
        <f t="shared" si="31"/>
        <v>15418.082191780815</v>
      </c>
      <c r="E99" s="164">
        <f t="shared" si="31"/>
        <v>164366.24403131116</v>
      </c>
      <c r="F99" s="164">
        <f t="shared" si="31"/>
        <v>183121.84496281811</v>
      </c>
      <c r="G99" s="164">
        <f t="shared" si="31"/>
        <v>202608.85723733879</v>
      </c>
      <c r="H99" s="164">
        <f t="shared" si="31"/>
        <v>222851.47080146469</v>
      </c>
      <c r="I99" s="164">
        <f t="shared" si="31"/>
        <v>243874.63497971182</v>
      </c>
      <c r="J99" s="164">
        <f t="shared" si="31"/>
        <v>265704.08181672171</v>
      </c>
      <c r="K99" s="164">
        <f t="shared" si="31"/>
        <v>288366.35012981982</v>
      </c>
      <c r="L99" s="164">
        <f t="shared" si="31"/>
        <v>311888.81029343267</v>
      </c>
      <c r="M99" s="165">
        <f t="shared" si="31"/>
        <v>2750784.6204877337</v>
      </c>
      <c r="O99" s="30"/>
    </row>
    <row r="100" spans="1:17" ht="15" x14ac:dyDescent="0.25">
      <c r="A100" s="69" t="s">
        <v>155</v>
      </c>
      <c r="B100" s="46"/>
      <c r="C100" s="77">
        <f>IRR(C99:M99)</f>
        <v>7.4047965969135987E-2</v>
      </c>
      <c r="D100" s="46"/>
      <c r="E100" s="46"/>
      <c r="F100" s="46"/>
      <c r="G100" s="46"/>
      <c r="H100" s="46"/>
      <c r="I100" s="46"/>
      <c r="J100" s="46"/>
      <c r="M100" s="68"/>
      <c r="O100" s="30"/>
    </row>
    <row r="101" spans="1:17" ht="15" x14ac:dyDescent="0.25">
      <c r="A101" s="67"/>
      <c r="B101" s="46"/>
      <c r="C101" s="46"/>
      <c r="D101" s="46"/>
      <c r="E101" s="46"/>
      <c r="F101" s="46"/>
      <c r="G101" s="46"/>
      <c r="H101" s="46"/>
      <c r="I101" s="46"/>
      <c r="J101" s="46"/>
      <c r="M101" s="68"/>
      <c r="O101" s="30"/>
    </row>
    <row r="102" spans="1:17" ht="15" x14ac:dyDescent="0.25">
      <c r="A102" s="69" t="s">
        <v>156</v>
      </c>
      <c r="B102" s="46"/>
      <c r="C102" s="72">
        <f>-PV('Average Forecast'!$C$103,C72,,C99)</f>
        <v>-2606180</v>
      </c>
      <c r="D102" s="72">
        <f t="shared" ref="D102:M102" si="32">-PV($C$104,D72,,D99)</f>
        <v>13818.558798269369</v>
      </c>
      <c r="E102" s="72">
        <f t="shared" si="32"/>
        <v>132031.45817237347</v>
      </c>
      <c r="F102" s="72">
        <f t="shared" si="32"/>
        <v>131837.00795369595</v>
      </c>
      <c r="G102" s="72">
        <f t="shared" si="32"/>
        <v>130733.83593272703</v>
      </c>
      <c r="H102" s="72">
        <f t="shared" si="32"/>
        <v>128877.61078133922</v>
      </c>
      <c r="I102" s="72">
        <f t="shared" si="32"/>
        <v>126404.05266780414</v>
      </c>
      <c r="J102" s="72">
        <f t="shared" si="32"/>
        <v>123431.20997245738</v>
      </c>
      <c r="K102" s="72">
        <f t="shared" si="32"/>
        <v>120061.49171592292</v>
      </c>
      <c r="L102" s="72">
        <f t="shared" si="32"/>
        <v>116383.48094050538</v>
      </c>
      <c r="M102" s="89">
        <f t="shared" si="32"/>
        <v>919984.54279826232</v>
      </c>
      <c r="O102" s="30"/>
    </row>
    <row r="103" spans="1:17" ht="15" x14ac:dyDescent="0.25">
      <c r="A103" s="69" t="s">
        <v>157</v>
      </c>
      <c r="B103" s="50"/>
      <c r="C103" s="71">
        <f>SUM(C102:M102)</f>
        <v>-662616.75026664301</v>
      </c>
      <c r="D103" s="46"/>
      <c r="E103" s="46"/>
      <c r="F103" s="46"/>
      <c r="G103" s="46"/>
      <c r="H103" s="46"/>
      <c r="I103" s="46"/>
      <c r="J103" s="46"/>
      <c r="M103" s="68"/>
      <c r="O103" s="30"/>
    </row>
    <row r="104" spans="1:17" ht="15.75" thickBot="1" x14ac:dyDescent="0.3">
      <c r="A104" s="78" t="s">
        <v>158</v>
      </c>
      <c r="B104" s="79"/>
      <c r="C104" s="80">
        <f>D69</f>
        <v>0.11575182454712774</v>
      </c>
      <c r="D104" s="81"/>
      <c r="E104" s="81"/>
      <c r="F104" s="81"/>
      <c r="G104" s="81"/>
      <c r="H104" s="81"/>
      <c r="I104" s="81"/>
      <c r="J104" s="81"/>
      <c r="K104" s="82"/>
      <c r="L104" s="82"/>
      <c r="M104" s="90"/>
      <c r="O104" s="30"/>
    </row>
    <row r="105" spans="1:17" ht="13.5" thickBot="1" x14ac:dyDescent="0.25">
      <c r="O105" s="30"/>
    </row>
    <row r="106" spans="1:17" ht="15.75" x14ac:dyDescent="0.2">
      <c r="A106" s="108"/>
      <c r="B106" s="167" t="s">
        <v>174</v>
      </c>
      <c r="C106" s="65">
        <v>0</v>
      </c>
      <c r="D106" s="109">
        <v>1</v>
      </c>
      <c r="E106" s="109">
        <v>2</v>
      </c>
      <c r="F106" s="109">
        <v>3</v>
      </c>
      <c r="G106" s="109">
        <v>4</v>
      </c>
      <c r="H106" s="109">
        <v>5</v>
      </c>
      <c r="I106" s="109">
        <v>6</v>
      </c>
      <c r="J106" s="109">
        <v>7</v>
      </c>
      <c r="K106" s="109">
        <v>8</v>
      </c>
      <c r="L106" s="65">
        <v>9</v>
      </c>
      <c r="M106" s="110">
        <v>10</v>
      </c>
    </row>
    <row r="107" spans="1:17" ht="15.75" x14ac:dyDescent="0.2">
      <c r="A107" s="111"/>
      <c r="B107" s="112"/>
      <c r="D107" s="113"/>
      <c r="E107" s="113"/>
      <c r="F107" s="113"/>
      <c r="G107" s="113"/>
      <c r="H107" s="113"/>
      <c r="I107" s="113"/>
      <c r="J107" s="113"/>
      <c r="K107" s="113"/>
      <c r="M107" s="114"/>
    </row>
    <row r="108" spans="1:17" x14ac:dyDescent="0.2">
      <c r="A108" s="111"/>
      <c r="D108" s="113"/>
      <c r="E108" s="113"/>
      <c r="F108" s="113"/>
      <c r="G108" s="113"/>
      <c r="H108" s="113"/>
      <c r="I108" s="113"/>
      <c r="J108" s="113"/>
      <c r="K108" s="113"/>
      <c r="L108" s="113"/>
      <c r="M108" s="114"/>
    </row>
    <row r="109" spans="1:17" ht="15.75" x14ac:dyDescent="0.2">
      <c r="A109" s="111"/>
      <c r="B109" s="112" t="s">
        <v>175</v>
      </c>
      <c r="C109" s="166">
        <f t="shared" ref="C109:M109" si="33">C99</f>
        <v>-2606180</v>
      </c>
      <c r="D109" s="117">
        <f t="shared" si="33"/>
        <v>15418.082191780815</v>
      </c>
      <c r="E109" s="117">
        <f t="shared" si="33"/>
        <v>164366.24403131116</v>
      </c>
      <c r="F109" s="117">
        <f t="shared" si="33"/>
        <v>183121.84496281811</v>
      </c>
      <c r="G109" s="117">
        <f t="shared" si="33"/>
        <v>202608.85723733879</v>
      </c>
      <c r="H109" s="117">
        <f t="shared" si="33"/>
        <v>222851.47080146469</v>
      </c>
      <c r="I109" s="117">
        <f t="shared" si="33"/>
        <v>243874.63497971182</v>
      </c>
      <c r="J109" s="117">
        <f t="shared" si="33"/>
        <v>265704.08181672171</v>
      </c>
      <c r="K109" s="117">
        <f t="shared" si="33"/>
        <v>288366.35012981982</v>
      </c>
      <c r="L109" s="117">
        <f t="shared" si="33"/>
        <v>311888.81029343267</v>
      </c>
      <c r="M109" s="118">
        <f t="shared" si="33"/>
        <v>2750784.6204877337</v>
      </c>
    </row>
    <row r="110" spans="1:17" x14ac:dyDescent="0.2">
      <c r="A110" s="111"/>
      <c r="D110" s="113"/>
      <c r="E110" s="113"/>
      <c r="F110" s="113"/>
      <c r="G110" s="113"/>
      <c r="H110" s="113"/>
      <c r="I110" s="113"/>
      <c r="J110" s="113"/>
      <c r="K110" s="113"/>
      <c r="L110" s="113"/>
      <c r="M110" s="114"/>
    </row>
    <row r="111" spans="1:17" x14ac:dyDescent="0.2">
      <c r="A111" s="111"/>
      <c r="B111" s="2">
        <v>0.2</v>
      </c>
      <c r="D111" s="119">
        <f>(D112-C112)/D112</f>
        <v>189.59998629715255</v>
      </c>
      <c r="E111" s="119">
        <f>(E112-D112)/E112</f>
        <v>0.89533889127976929</v>
      </c>
      <c r="F111" s="119">
        <f t="shared" ref="F111:M111" si="34">(F112-E112)/F112</f>
        <v>-1.4749289421511745E-3</v>
      </c>
      <c r="G111" s="119">
        <f t="shared" si="34"/>
        <v>-8.4383053025124475E-3</v>
      </c>
      <c r="H111" s="119">
        <f t="shared" si="34"/>
        <v>-1.4403007164193845E-2</v>
      </c>
      <c r="I111" s="119">
        <f t="shared" si="34"/>
        <v>-1.9568661457680544E-2</v>
      </c>
      <c r="J111" s="119">
        <f t="shared" si="34"/>
        <v>-2.4085016228959609E-2</v>
      </c>
      <c r="K111" s="119">
        <f t="shared" si="34"/>
        <v>-2.8066603274491495E-2</v>
      </c>
      <c r="L111" s="119">
        <f t="shared" si="34"/>
        <v>-3.160251562932475E-2</v>
      </c>
      <c r="M111" s="120">
        <f t="shared" si="34"/>
        <v>0.87349409090449637</v>
      </c>
    </row>
    <row r="112" spans="1:17" x14ac:dyDescent="0.2">
      <c r="A112" s="111"/>
      <c r="B112" t="s">
        <v>176</v>
      </c>
      <c r="C112" s="61">
        <f>-PV('Average Forecast'!$C$103,C106,,C109)</f>
        <v>-2606180</v>
      </c>
      <c r="D112" s="113">
        <f t="shared" ref="D112:M112" si="35">-PV($C$104,D106,,D109)</f>
        <v>13818.558798269369</v>
      </c>
      <c r="E112" s="113">
        <f t="shared" si="35"/>
        <v>132031.45817237347</v>
      </c>
      <c r="F112" s="113">
        <f t="shared" si="35"/>
        <v>131837.00795369595</v>
      </c>
      <c r="G112" s="113">
        <f t="shared" si="35"/>
        <v>130733.83593272703</v>
      </c>
      <c r="H112" s="113">
        <f t="shared" si="35"/>
        <v>128877.61078133922</v>
      </c>
      <c r="I112" s="113">
        <f t="shared" si="35"/>
        <v>126404.05266780414</v>
      </c>
      <c r="J112" s="113">
        <f t="shared" si="35"/>
        <v>123431.20997245738</v>
      </c>
      <c r="K112" s="113">
        <f t="shared" si="35"/>
        <v>120061.49171592292</v>
      </c>
      <c r="L112" s="113">
        <f t="shared" si="35"/>
        <v>116383.48094050538</v>
      </c>
      <c r="M112" s="114">
        <f t="shared" si="35"/>
        <v>919984.54279826232</v>
      </c>
      <c r="P112" s="55"/>
      <c r="Q112" s="56"/>
    </row>
    <row r="113" spans="1:17" x14ac:dyDescent="0.2">
      <c r="A113" s="111"/>
      <c r="D113" s="113"/>
      <c r="E113" s="113"/>
      <c r="F113" s="113"/>
      <c r="G113" s="113"/>
      <c r="H113" s="113"/>
      <c r="I113" s="113"/>
      <c r="J113" s="113"/>
      <c r="K113" s="113"/>
      <c r="L113" s="113"/>
      <c r="M113" s="114"/>
      <c r="P113" s="55"/>
      <c r="Q113" s="56"/>
    </row>
    <row r="114" spans="1:17" ht="13.5" thickBot="1" x14ac:dyDescent="0.25">
      <c r="A114" s="121"/>
      <c r="B114" s="82" t="s">
        <v>177</v>
      </c>
      <c r="C114" s="161">
        <f>SUM(C112:M112)</f>
        <v>-662616.75026664301</v>
      </c>
      <c r="D114" s="122"/>
      <c r="E114" s="82"/>
      <c r="F114" s="122"/>
      <c r="G114" s="122"/>
      <c r="H114" s="122"/>
      <c r="I114" s="122"/>
      <c r="J114" s="122"/>
      <c r="K114" s="122"/>
      <c r="L114" s="122"/>
      <c r="M114" s="123"/>
    </row>
    <row r="115" spans="1:17" ht="14.25" customHeigh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</row>
    <row r="116" spans="1:17" ht="14.25" customHeigh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</row>
    <row r="117" spans="1:17" ht="14.25" customHeigh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</row>
    <row r="118" spans="1:17" ht="14.25" customHeigh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</row>
    <row r="119" spans="1:17" ht="14.25" customHeight="1" x14ac:dyDescent="0.2">
      <c r="E119" s="54"/>
      <c r="F119" s="54"/>
      <c r="G119" s="54"/>
      <c r="H119" s="54"/>
      <c r="I119" s="54"/>
      <c r="J119" s="54"/>
      <c r="K119" s="54"/>
      <c r="L119" s="54"/>
      <c r="M119" s="54"/>
    </row>
    <row r="120" spans="1:17" ht="14.25" customHeight="1" x14ac:dyDescent="0.2"/>
    <row r="121" spans="1:17" ht="14.25" customHeight="1" x14ac:dyDescent="0.2"/>
    <row r="122" spans="1:17" ht="14.25" customHeight="1" x14ac:dyDescent="0.2"/>
    <row r="123" spans="1:17" ht="14.25" customHeight="1" x14ac:dyDescent="0.2"/>
    <row r="124" spans="1:17" ht="14.25" customHeight="1" x14ac:dyDescent="0.2"/>
    <row r="125" spans="1:17" ht="14.25" customHeight="1" x14ac:dyDescent="0.2"/>
    <row r="126" spans="1:17" ht="14.25" customHeight="1" x14ac:dyDescent="0.2"/>
    <row r="127" spans="1:17" ht="14.25" customHeight="1" x14ac:dyDescent="0.2"/>
    <row r="128" spans="1:17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</sheetData>
  <mergeCells count="1">
    <mergeCell ref="A2:M2"/>
  </mergeCells>
  <phoneticPr fontId="2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7"/>
  <sheetViews>
    <sheetView zoomScale="80" zoomScaleNormal="80" workbookViewId="0">
      <selection activeCell="C47" sqref="C47"/>
    </sheetView>
  </sheetViews>
  <sheetFormatPr defaultColWidth="17.140625" defaultRowHeight="12.75" customHeight="1" x14ac:dyDescent="0.2"/>
  <cols>
    <col min="1" max="1" width="32.28515625" customWidth="1"/>
    <col min="2" max="2" width="13.7109375" customWidth="1"/>
    <col min="6" max="6" width="17.7109375" customWidth="1"/>
    <col min="7" max="7" width="16.5703125" bestFit="1" customWidth="1"/>
    <col min="8" max="8" width="25.5703125" customWidth="1"/>
    <col min="11" max="11" width="20" customWidth="1"/>
  </cols>
  <sheetData>
    <row r="1" spans="1:14" ht="12.75" customHeight="1" x14ac:dyDescent="0.2">
      <c r="A1" s="177" t="s">
        <v>34</v>
      </c>
      <c r="B1" s="177"/>
      <c r="C1" s="12">
        <v>2013</v>
      </c>
      <c r="D1" s="12">
        <v>2014</v>
      </c>
      <c r="E1" s="12">
        <v>2015</v>
      </c>
      <c r="F1" s="12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  <c r="L1" s="12">
        <v>2022</v>
      </c>
      <c r="M1" s="12">
        <v>2023</v>
      </c>
      <c r="N1" t="s">
        <v>35</v>
      </c>
    </row>
    <row r="2" spans="1:14" ht="12.75" customHeight="1" x14ac:dyDescent="0.2">
      <c r="A2" s="13" t="s">
        <v>37</v>
      </c>
      <c r="B2" s="8"/>
      <c r="C2" s="8"/>
      <c r="D2" s="8"/>
      <c r="E2" s="8"/>
      <c r="F2" s="8"/>
    </row>
    <row r="3" spans="1:14" ht="12.75" customHeight="1" x14ac:dyDescent="0.2">
      <c r="A3" t="s">
        <v>39</v>
      </c>
      <c r="B3" s="2">
        <f>B9/B13</f>
        <v>0.42735042735042733</v>
      </c>
      <c r="C3" s="11">
        <v>56</v>
      </c>
    </row>
    <row r="4" spans="1:14" ht="12.75" customHeight="1" x14ac:dyDescent="0.2">
      <c r="A4" t="s">
        <v>42</v>
      </c>
      <c r="B4" s="2">
        <f>B10/B13</f>
        <v>0.33048433048433046</v>
      </c>
      <c r="C4" s="11">
        <v>46</v>
      </c>
    </row>
    <row r="5" spans="1:14" ht="12.75" customHeight="1" x14ac:dyDescent="0.2">
      <c r="A5" t="s">
        <v>44</v>
      </c>
      <c r="B5" s="2">
        <f>B11/B13</f>
        <v>0.14529914529914531</v>
      </c>
      <c r="C5" s="11">
        <v>36</v>
      </c>
    </row>
    <row r="6" spans="1:14" ht="12.75" customHeight="1" x14ac:dyDescent="0.2">
      <c r="A6" t="s">
        <v>47</v>
      </c>
      <c r="B6" s="2">
        <f>B12/B13</f>
        <v>9.686609686609686E-2</v>
      </c>
      <c r="C6" s="11">
        <v>26</v>
      </c>
    </row>
    <row r="8" spans="1:14" ht="12.75" customHeight="1" x14ac:dyDescent="0.2">
      <c r="A8" s="9" t="s">
        <v>51</v>
      </c>
      <c r="B8" s="1" t="s">
        <v>52</v>
      </c>
      <c r="C8" s="7">
        <v>0.95</v>
      </c>
    </row>
    <row r="9" spans="1:14" ht="12.75" customHeight="1" x14ac:dyDescent="0.2">
      <c r="A9" t="s">
        <v>55</v>
      </c>
      <c r="B9">
        <v>300</v>
      </c>
      <c r="C9" s="6">
        <f>(B9*$C$8)*C3</f>
        <v>15960</v>
      </c>
    </row>
    <row r="10" spans="1:14" ht="12.75" customHeight="1" x14ac:dyDescent="0.2">
      <c r="A10" t="s">
        <v>57</v>
      </c>
      <c r="B10">
        <v>232</v>
      </c>
      <c r="C10" s="6">
        <f>(B10*$C$8)*C4</f>
        <v>10138.4</v>
      </c>
    </row>
    <row r="11" spans="1:14" ht="12.75" customHeight="1" x14ac:dyDescent="0.2">
      <c r="A11" t="s">
        <v>59</v>
      </c>
      <c r="B11">
        <v>102</v>
      </c>
      <c r="C11" s="6">
        <f>(B11*$C$8)*C5</f>
        <v>3488.3999999999996</v>
      </c>
    </row>
    <row r="12" spans="1:14" ht="12.75" customHeight="1" x14ac:dyDescent="0.2">
      <c r="A12" t="s">
        <v>61</v>
      </c>
      <c r="B12" s="10">
        <v>68</v>
      </c>
      <c r="C12" s="5">
        <f>(B12*$C$8)*C6</f>
        <v>1679.6</v>
      </c>
    </row>
    <row r="13" spans="1:14" ht="12.75" customHeight="1" x14ac:dyDescent="0.2">
      <c r="A13" t="s">
        <v>62</v>
      </c>
      <c r="B13" s="8">
        <v>702</v>
      </c>
      <c r="C13" s="3">
        <f>SUM(C9:C12)</f>
        <v>31266.400000000001</v>
      </c>
    </row>
    <row r="14" spans="1:14" ht="12.75" customHeight="1" x14ac:dyDescent="0.2">
      <c r="A14" t="s">
        <v>66</v>
      </c>
      <c r="B14" s="11"/>
      <c r="C14" s="6">
        <v>4241</v>
      </c>
      <c r="D14" s="6">
        <f>C14*(1+$N$14)</f>
        <v>4368.2300000000005</v>
      </c>
      <c r="E14" s="6">
        <f>D14*(1+$N$14)</f>
        <v>4499.2769000000008</v>
      </c>
      <c r="F14" s="6">
        <f>E14*(1+$N$14)</f>
        <v>4634.2552070000011</v>
      </c>
      <c r="G14" s="6">
        <f t="shared" ref="G14:M14" si="0">F14*(1+$N$14)</f>
        <v>4773.2828632100009</v>
      </c>
      <c r="H14" s="6">
        <f t="shared" si="0"/>
        <v>4916.4813491063014</v>
      </c>
      <c r="I14" s="6">
        <f t="shared" si="0"/>
        <v>5063.975789579491</v>
      </c>
      <c r="J14" s="6">
        <f t="shared" si="0"/>
        <v>5215.8950632668757</v>
      </c>
      <c r="K14" s="6">
        <f t="shared" si="0"/>
        <v>5372.371915164882</v>
      </c>
      <c r="L14" s="6">
        <f t="shared" si="0"/>
        <v>5533.5430726198283</v>
      </c>
      <c r="M14" s="6">
        <f t="shared" si="0"/>
        <v>5699.5493647984231</v>
      </c>
      <c r="N14" s="23">
        <v>0.03</v>
      </c>
    </row>
    <row r="15" spans="1:14" ht="12.75" customHeight="1" x14ac:dyDescent="0.2">
      <c r="B15" s="1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3"/>
    </row>
    <row r="16" spans="1:14" ht="12.75" customHeight="1" x14ac:dyDescent="0.2">
      <c r="A16" s="26" t="s">
        <v>123</v>
      </c>
      <c r="B16" s="26"/>
      <c r="C16" s="26"/>
    </row>
    <row r="17" spans="1:14" ht="12.75" customHeight="1" x14ac:dyDescent="0.2">
      <c r="A17" t="s">
        <v>75</v>
      </c>
    </row>
    <row r="18" spans="1:14" ht="12.75" customHeight="1" x14ac:dyDescent="0.2">
      <c r="A18" t="s">
        <v>76</v>
      </c>
      <c r="B18">
        <v>325</v>
      </c>
      <c r="C18" t="s">
        <v>77</v>
      </c>
      <c r="D18">
        <v>135</v>
      </c>
      <c r="E18" t="s">
        <v>78</v>
      </c>
    </row>
    <row r="19" spans="1:14" ht="12.75" customHeight="1" x14ac:dyDescent="0.2">
      <c r="A19" t="s">
        <v>79</v>
      </c>
      <c r="B19">
        <v>170</v>
      </c>
      <c r="C19" t="s">
        <v>77</v>
      </c>
      <c r="D19">
        <v>85</v>
      </c>
      <c r="E19" t="s">
        <v>78</v>
      </c>
    </row>
    <row r="20" spans="1:14" ht="12.75" customHeight="1" x14ac:dyDescent="0.2">
      <c r="D20" s="11">
        <f>AVERAGE(D18:D19)</f>
        <v>110</v>
      </c>
      <c r="E20" t="s">
        <v>80</v>
      </c>
    </row>
    <row r="21" spans="1:14" ht="12.75" customHeight="1" x14ac:dyDescent="0.2">
      <c r="A21" t="s">
        <v>81</v>
      </c>
      <c r="B21" s="2">
        <v>0.95</v>
      </c>
    </row>
    <row r="23" spans="1:14" x14ac:dyDescent="0.2">
      <c r="A23" t="s">
        <v>82</v>
      </c>
      <c r="B23">
        <v>20</v>
      </c>
      <c r="C23" t="s">
        <v>83</v>
      </c>
    </row>
    <row r="24" spans="1:14" ht="25.5" x14ac:dyDescent="0.2">
      <c r="A24" t="s">
        <v>84</v>
      </c>
      <c r="B24">
        <v>20</v>
      </c>
      <c r="C24" t="s">
        <v>83</v>
      </c>
    </row>
    <row r="25" spans="1:14" ht="25.5" x14ac:dyDescent="0.2">
      <c r="A25" t="s">
        <v>85</v>
      </c>
      <c r="B25">
        <v>22</v>
      </c>
      <c r="C25" t="s">
        <v>83</v>
      </c>
    </row>
    <row r="26" spans="1:14" x14ac:dyDescent="0.2">
      <c r="A26" t="s">
        <v>86</v>
      </c>
      <c r="B26">
        <v>20</v>
      </c>
      <c r="C26" t="s">
        <v>87</v>
      </c>
    </row>
    <row r="27" spans="1:14" ht="12.75" customHeight="1" x14ac:dyDescent="0.2">
      <c r="A27" t="s">
        <v>112</v>
      </c>
      <c r="B27" s="23">
        <v>0.03</v>
      </c>
    </row>
    <row r="28" spans="1:14" x14ac:dyDescent="0.2">
      <c r="A28" t="s">
        <v>88</v>
      </c>
      <c r="B28">
        <v>35</v>
      </c>
    </row>
    <row r="29" spans="1:14" x14ac:dyDescent="0.2">
      <c r="A29" t="s">
        <v>89</v>
      </c>
      <c r="B29">
        <v>3</v>
      </c>
    </row>
    <row r="30" spans="1:14" x14ac:dyDescent="0.2">
      <c r="A30" t="s">
        <v>90</v>
      </c>
      <c r="C30" s="6">
        <v>718000</v>
      </c>
      <c r="D30" s="6">
        <f>C30*(1+$N$30)</f>
        <v>725180</v>
      </c>
      <c r="E30" s="6">
        <f>D30*(1+$N$30)</f>
        <v>732431.8</v>
      </c>
      <c r="F30" s="6">
        <f>E30*(1+$N$30)</f>
        <v>739756.11800000002</v>
      </c>
      <c r="G30" s="6">
        <f t="shared" ref="G30:M30" si="1">F30*(1+$N$30)</f>
        <v>747153.67917999998</v>
      </c>
      <c r="H30" s="6">
        <f t="shared" si="1"/>
        <v>754625.21597180003</v>
      </c>
      <c r="I30" s="6">
        <f t="shared" si="1"/>
        <v>762171.46813151799</v>
      </c>
      <c r="J30" s="6">
        <f t="shared" si="1"/>
        <v>769793.18281283323</v>
      </c>
      <c r="K30" s="6">
        <f t="shared" si="1"/>
        <v>777491.11464096152</v>
      </c>
      <c r="L30" s="6">
        <f t="shared" si="1"/>
        <v>785266.02578737109</v>
      </c>
      <c r="M30" s="6">
        <f t="shared" si="1"/>
        <v>793118.6860452448</v>
      </c>
      <c r="N30">
        <v>0.01</v>
      </c>
    </row>
    <row r="31" spans="1:14" x14ac:dyDescent="0.2">
      <c r="A31" t="s">
        <v>91</v>
      </c>
      <c r="C31" s="6">
        <v>10</v>
      </c>
      <c r="D31" s="11">
        <f>C31*(1+$N$31)</f>
        <v>10.199999999999999</v>
      </c>
      <c r="E31" s="11">
        <f>D31*(1+$N$31)</f>
        <v>10.404</v>
      </c>
      <c r="F31" s="11">
        <f>E31*(1+$N$31)</f>
        <v>10.612080000000001</v>
      </c>
      <c r="G31" s="11">
        <f t="shared" ref="G31:M31" si="2">F31*(1+$N$31)</f>
        <v>10.824321600000001</v>
      </c>
      <c r="H31" s="11">
        <f t="shared" si="2"/>
        <v>11.040808032000001</v>
      </c>
      <c r="I31" s="11">
        <f t="shared" si="2"/>
        <v>11.261624192640001</v>
      </c>
      <c r="J31" s="11">
        <f t="shared" si="2"/>
        <v>11.486856676492801</v>
      </c>
      <c r="K31" s="11">
        <f t="shared" si="2"/>
        <v>11.716593810022657</v>
      </c>
      <c r="L31" s="11">
        <f t="shared" si="2"/>
        <v>11.95092568622311</v>
      </c>
      <c r="M31" s="11">
        <f t="shared" si="2"/>
        <v>12.189944199947572</v>
      </c>
      <c r="N31">
        <v>0.02</v>
      </c>
    </row>
    <row r="32" spans="1:14" x14ac:dyDescent="0.2">
      <c r="A32" t="s">
        <v>92</v>
      </c>
      <c r="C32" s="6">
        <f>((C31*$B$29)*$B$23)*$B$28</f>
        <v>21000</v>
      </c>
      <c r="D32" s="6">
        <f>((D31*$B$29)*$B$23)*$B$28</f>
        <v>21420</v>
      </c>
      <c r="E32" s="6">
        <f>((E31*$B$29)*$B$23)*$B$28</f>
        <v>21848.400000000001</v>
      </c>
      <c r="F32" s="6">
        <f>((F31*$B$29)*$B$23)*$B$28</f>
        <v>22285.368000000002</v>
      </c>
      <c r="G32" s="6">
        <f t="shared" ref="G32:M32" si="3">((G31*$B$29)*$B$23)*$B$28</f>
        <v>22731.075359999999</v>
      </c>
      <c r="H32" s="6">
        <f t="shared" si="3"/>
        <v>23185.696867200004</v>
      </c>
      <c r="I32" s="6">
        <f t="shared" si="3"/>
        <v>23649.410804544004</v>
      </c>
      <c r="J32" s="6">
        <f t="shared" si="3"/>
        <v>24122.399020634883</v>
      </c>
      <c r="K32" s="6">
        <f t="shared" si="3"/>
        <v>24604.847001047579</v>
      </c>
      <c r="L32" s="6">
        <f t="shared" si="3"/>
        <v>25096.943941068534</v>
      </c>
      <c r="M32" s="6">
        <f t="shared" si="3"/>
        <v>25598.882819889895</v>
      </c>
    </row>
    <row r="33" spans="1:14" x14ac:dyDescent="0.2">
      <c r="A33" t="s">
        <v>9</v>
      </c>
      <c r="C33" s="6">
        <v>200000</v>
      </c>
      <c r="D33" s="6">
        <f>C33*(1+$N$31)</f>
        <v>204000</v>
      </c>
      <c r="E33" s="6">
        <f>D33*(1+$N$31)</f>
        <v>208080</v>
      </c>
      <c r="F33" s="6">
        <f>E33*(1+$N$31)</f>
        <v>212241.6</v>
      </c>
      <c r="G33" s="6">
        <f t="shared" ref="G33:M33" si="4">F33*(1+$N$31)</f>
        <v>216486.432</v>
      </c>
      <c r="H33" s="6">
        <f t="shared" si="4"/>
        <v>220816.16064000002</v>
      </c>
      <c r="I33" s="6">
        <f t="shared" si="4"/>
        <v>225232.48385280001</v>
      </c>
      <c r="J33" s="6">
        <f t="shared" si="4"/>
        <v>229737.13352985602</v>
      </c>
      <c r="K33" s="6">
        <f t="shared" si="4"/>
        <v>234331.87620045315</v>
      </c>
      <c r="L33" s="6">
        <f t="shared" si="4"/>
        <v>239018.51372446222</v>
      </c>
      <c r="M33" s="6">
        <f t="shared" si="4"/>
        <v>243798.88399895147</v>
      </c>
      <c r="N33">
        <v>0.05</v>
      </c>
    </row>
    <row r="34" spans="1:14" x14ac:dyDescent="0.2">
      <c r="A34" s="24" t="s">
        <v>121</v>
      </c>
      <c r="B34" s="22">
        <v>44000</v>
      </c>
      <c r="C34" s="27">
        <f>B34/SUM('Average Forecast'!D7:D8)</f>
        <v>3.7699636712591682E-2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4" x14ac:dyDescent="0.2">
      <c r="A35" s="24" t="s">
        <v>113</v>
      </c>
      <c r="B35" s="22">
        <v>10000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7" spans="1:14" x14ac:dyDescent="0.2">
      <c r="A37" t="s">
        <v>93</v>
      </c>
      <c r="B37" s="29">
        <v>0.22500000000000001</v>
      </c>
    </row>
    <row r="38" spans="1:14" ht="12.75" customHeight="1" x14ac:dyDescent="0.2">
      <c r="A38" t="s">
        <v>111</v>
      </c>
      <c r="B38" s="2">
        <v>0.123</v>
      </c>
    </row>
    <row r="40" spans="1:14" x14ac:dyDescent="0.2">
      <c r="A40" t="s">
        <v>94</v>
      </c>
      <c r="B40" s="11">
        <f>(B64*B41)-B44+C40</f>
        <v>1470000</v>
      </c>
      <c r="C40" s="30">
        <v>0</v>
      </c>
    </row>
    <row r="41" spans="1:14" x14ac:dyDescent="0.2">
      <c r="A41" t="s">
        <v>95</v>
      </c>
      <c r="B41">
        <v>100</v>
      </c>
    </row>
    <row r="42" spans="1:14" x14ac:dyDescent="0.2">
      <c r="A42" t="s">
        <v>96</v>
      </c>
      <c r="C42" s="6">
        <f>B40/30</f>
        <v>49000</v>
      </c>
      <c r="D42" s="6">
        <f>C42</f>
        <v>49000</v>
      </c>
      <c r="E42" s="6">
        <f>D42</f>
        <v>49000</v>
      </c>
      <c r="F42" s="6">
        <f>E42</f>
        <v>49000</v>
      </c>
      <c r="G42" s="6">
        <f t="shared" ref="G42:M42" si="5">F42</f>
        <v>49000</v>
      </c>
      <c r="H42" s="6">
        <f t="shared" si="5"/>
        <v>49000</v>
      </c>
      <c r="I42" s="6">
        <f t="shared" si="5"/>
        <v>49000</v>
      </c>
      <c r="J42" s="6">
        <f t="shared" si="5"/>
        <v>49000</v>
      </c>
      <c r="K42" s="6">
        <f t="shared" si="5"/>
        <v>49000</v>
      </c>
      <c r="L42" s="6">
        <f t="shared" si="5"/>
        <v>49000</v>
      </c>
      <c r="M42" s="6">
        <f t="shared" si="5"/>
        <v>49000</v>
      </c>
    </row>
    <row r="43" spans="1:14" x14ac:dyDescent="0.2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4" x14ac:dyDescent="0.2">
      <c r="A44" s="24" t="s">
        <v>124</v>
      </c>
      <c r="B44">
        <f>B45*B64</f>
        <v>980000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4" x14ac:dyDescent="0.2">
      <c r="A45" s="24" t="s">
        <v>125</v>
      </c>
      <c r="B45">
        <v>40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7" spans="1:14" ht="12.75" customHeight="1" x14ac:dyDescent="0.2">
      <c r="A47" s="24" t="s">
        <v>119</v>
      </c>
      <c r="B47" s="22">
        <f>+C75+C76+C47+100000</f>
        <v>156180</v>
      </c>
      <c r="C47" s="30">
        <v>0</v>
      </c>
    </row>
    <row r="48" spans="1:14" ht="12.75" customHeight="1" x14ac:dyDescent="0.2">
      <c r="A48" t="s">
        <v>96</v>
      </c>
      <c r="C48" s="22">
        <f>+$B$47/7</f>
        <v>22311.428571428572</v>
      </c>
      <c r="D48" s="22">
        <f t="shared" ref="D48:M48" si="6">+$B$47/7</f>
        <v>22311.428571428572</v>
      </c>
      <c r="E48" s="22">
        <f t="shared" si="6"/>
        <v>22311.428571428572</v>
      </c>
      <c r="F48" s="22">
        <f t="shared" si="6"/>
        <v>22311.428571428572</v>
      </c>
      <c r="G48" s="22">
        <f t="shared" si="6"/>
        <v>22311.428571428572</v>
      </c>
      <c r="H48" s="22">
        <f t="shared" si="6"/>
        <v>22311.428571428572</v>
      </c>
      <c r="I48" s="22">
        <f t="shared" si="6"/>
        <v>22311.428571428572</v>
      </c>
      <c r="J48" s="22">
        <f t="shared" si="6"/>
        <v>22311.428571428572</v>
      </c>
      <c r="K48" s="22">
        <f t="shared" si="6"/>
        <v>22311.428571428572</v>
      </c>
      <c r="L48" s="22">
        <f t="shared" si="6"/>
        <v>22311.428571428572</v>
      </c>
      <c r="M48" s="22">
        <f t="shared" si="6"/>
        <v>22311.428571428572</v>
      </c>
    </row>
    <row r="50" spans="1:15" x14ac:dyDescent="0.2">
      <c r="A50" t="s">
        <v>97</v>
      </c>
      <c r="B50">
        <v>45</v>
      </c>
    </row>
    <row r="51" spans="1:15" x14ac:dyDescent="0.2">
      <c r="A51" t="s">
        <v>98</v>
      </c>
      <c r="B51">
        <v>30</v>
      </c>
    </row>
    <row r="52" spans="1:15" x14ac:dyDescent="0.2">
      <c r="A52" t="s">
        <v>99</v>
      </c>
      <c r="B52">
        <v>0.1</v>
      </c>
    </row>
    <row r="54" spans="1:15" ht="12.75" customHeight="1" x14ac:dyDescent="0.2">
      <c r="A54" t="s">
        <v>36</v>
      </c>
    </row>
    <row r="55" spans="1:15" ht="12.75" customHeight="1" x14ac:dyDescent="0.2">
      <c r="A55" t="s">
        <v>38</v>
      </c>
      <c r="B55">
        <v>1928</v>
      </c>
    </row>
    <row r="56" spans="1:15" ht="12.75" customHeight="1" x14ac:dyDescent="0.2">
      <c r="A56" t="s">
        <v>40</v>
      </c>
      <c r="B56">
        <v>0.46</v>
      </c>
      <c r="C56" t="s">
        <v>41</v>
      </c>
    </row>
    <row r="57" spans="1:15" ht="12.75" customHeight="1" x14ac:dyDescent="0.2">
      <c r="A57" t="s">
        <v>43</v>
      </c>
      <c r="B57">
        <v>2005</v>
      </c>
    </row>
    <row r="58" spans="1:15" ht="12.75" customHeight="1" x14ac:dyDescent="0.2">
      <c r="A58" t="s">
        <v>45</v>
      </c>
      <c r="B58">
        <v>730</v>
      </c>
      <c r="C58" t="s">
        <v>46</v>
      </c>
    </row>
    <row r="59" spans="1:15" ht="12.75" customHeight="1" x14ac:dyDescent="0.2">
      <c r="D59" t="s">
        <v>48</v>
      </c>
    </row>
    <row r="60" spans="1:15" ht="12.75" customHeight="1" x14ac:dyDescent="0.2">
      <c r="A60" t="s">
        <v>49</v>
      </c>
      <c r="D60" t="s">
        <v>50</v>
      </c>
      <c r="E60">
        <v>2013</v>
      </c>
      <c r="F60">
        <v>2014</v>
      </c>
      <c r="G60">
        <v>2015</v>
      </c>
      <c r="H60">
        <v>2016</v>
      </c>
      <c r="I60">
        <v>2017</v>
      </c>
      <c r="J60">
        <v>2018</v>
      </c>
      <c r="K60">
        <v>2019</v>
      </c>
      <c r="L60">
        <v>2020</v>
      </c>
      <c r="M60">
        <v>2021</v>
      </c>
      <c r="N60">
        <v>2022</v>
      </c>
      <c r="O60">
        <v>2023</v>
      </c>
    </row>
    <row r="61" spans="1:15" ht="12.75" customHeight="1" x14ac:dyDescent="0.2">
      <c r="A61" t="s">
        <v>53</v>
      </c>
      <c r="B61">
        <v>3000</v>
      </c>
      <c r="C61" t="s">
        <v>54</v>
      </c>
      <c r="D61" s="2">
        <f>B61/B64</f>
        <v>0.12244897959183673</v>
      </c>
      <c r="E61" s="11">
        <f>$D$61*E64</f>
        <v>634.22510700862597</v>
      </c>
      <c r="F61" s="11">
        <f>$D$61*F64</f>
        <v>653.25186021888476</v>
      </c>
      <c r="G61" s="11">
        <f>$D$61*G64</f>
        <v>672.84941602545132</v>
      </c>
      <c r="H61" s="11">
        <f>$D$61*H64</f>
        <v>693.03489850621486</v>
      </c>
      <c r="I61" s="11">
        <f t="shared" ref="I61:O61" si="7">$D$61*I64</f>
        <v>713.82594546140137</v>
      </c>
      <c r="J61" s="11">
        <f t="shared" si="7"/>
        <v>735.24072382524344</v>
      </c>
      <c r="K61" s="11">
        <f t="shared" si="7"/>
        <v>757.29794554000091</v>
      </c>
      <c r="L61" s="11">
        <f t="shared" si="7"/>
        <v>780.01688390620086</v>
      </c>
      <c r="M61" s="11">
        <f t="shared" si="7"/>
        <v>803.41739042338691</v>
      </c>
      <c r="N61" s="11">
        <f t="shared" si="7"/>
        <v>827.51991213608846</v>
      </c>
      <c r="O61" s="11">
        <f t="shared" si="7"/>
        <v>852.34550950017103</v>
      </c>
    </row>
    <row r="62" spans="1:15" ht="12.75" customHeight="1" x14ac:dyDescent="0.2">
      <c r="A62" t="s">
        <v>56</v>
      </c>
      <c r="B62">
        <v>1500</v>
      </c>
      <c r="C62" t="s">
        <v>54</v>
      </c>
      <c r="D62" s="2">
        <f>B62/B64</f>
        <v>6.1224489795918366E-2</v>
      </c>
      <c r="E62" s="11">
        <f>$D$62*E64</f>
        <v>317.11255350431298</v>
      </c>
      <c r="F62" s="11">
        <f>$D$62*F64</f>
        <v>326.62593010944238</v>
      </c>
      <c r="G62" s="11">
        <f>$D$62*G64</f>
        <v>336.42470801272566</v>
      </c>
      <c r="H62" s="11">
        <f>$D$62*H64</f>
        <v>346.51744925310743</v>
      </c>
      <c r="I62" s="11">
        <f t="shared" ref="I62:O62" si="8">$D$62*I64</f>
        <v>356.91297273070069</v>
      </c>
      <c r="J62" s="11">
        <f t="shared" si="8"/>
        <v>367.62036191262172</v>
      </c>
      <c r="K62" s="11">
        <f t="shared" si="8"/>
        <v>378.64897277000046</v>
      </c>
      <c r="L62" s="11">
        <f t="shared" si="8"/>
        <v>390.00844195310043</v>
      </c>
      <c r="M62" s="11">
        <f t="shared" si="8"/>
        <v>401.70869521169345</v>
      </c>
      <c r="N62" s="11">
        <f t="shared" si="8"/>
        <v>413.75995606804423</v>
      </c>
      <c r="O62" s="11">
        <f t="shared" si="8"/>
        <v>426.17275475008552</v>
      </c>
    </row>
    <row r="63" spans="1:15" ht="12.75" customHeight="1" x14ac:dyDescent="0.2">
      <c r="A63" t="s">
        <v>58</v>
      </c>
      <c r="B63">
        <v>20000</v>
      </c>
      <c r="C63" t="s">
        <v>54</v>
      </c>
      <c r="D63" s="2">
        <f>B63/B64</f>
        <v>0.81632653061224492</v>
      </c>
      <c r="E63" s="6">
        <f>C14</f>
        <v>4241</v>
      </c>
      <c r="F63" s="6">
        <f>D14</f>
        <v>4368.2300000000005</v>
      </c>
      <c r="G63" s="6">
        <f>E14</f>
        <v>4499.2769000000008</v>
      </c>
      <c r="H63" s="6">
        <f>F14</f>
        <v>4634.2552070000011</v>
      </c>
      <c r="I63" s="6">
        <f t="shared" ref="I63:O63" si="9">G14</f>
        <v>4773.2828632100009</v>
      </c>
      <c r="J63" s="6">
        <f t="shared" si="9"/>
        <v>4916.4813491063014</v>
      </c>
      <c r="K63" s="6">
        <f t="shared" si="9"/>
        <v>5063.975789579491</v>
      </c>
      <c r="L63" s="6">
        <f t="shared" si="9"/>
        <v>5215.8950632668757</v>
      </c>
      <c r="M63" s="6">
        <f t="shared" si="9"/>
        <v>5372.371915164882</v>
      </c>
      <c r="N63" s="6">
        <f t="shared" si="9"/>
        <v>5533.5430726198283</v>
      </c>
      <c r="O63" s="6">
        <f t="shared" si="9"/>
        <v>5699.5493647984231</v>
      </c>
    </row>
    <row r="64" spans="1:15" ht="12.75" customHeight="1" x14ac:dyDescent="0.2">
      <c r="A64" t="s">
        <v>60</v>
      </c>
      <c r="B64">
        <f>SUM(B61:B63)</f>
        <v>24500</v>
      </c>
      <c r="C64" t="s">
        <v>54</v>
      </c>
      <c r="D64" s="2">
        <f>SUM(D61:D63)</f>
        <v>1</v>
      </c>
      <c r="E64" s="11">
        <f>E63+E65</f>
        <v>5179.5050405704451</v>
      </c>
      <c r="F64" s="11">
        <f>F63+F65</f>
        <v>5334.8901917875592</v>
      </c>
      <c r="G64" s="11">
        <f>G63+G65</f>
        <v>5494.9368975411862</v>
      </c>
      <c r="H64" s="11">
        <f>H63+H65</f>
        <v>5659.7850044674215</v>
      </c>
      <c r="I64" s="11">
        <f t="shared" ref="I64:O64" si="10">I63+I65</f>
        <v>5829.5785546014449</v>
      </c>
      <c r="J64" s="11">
        <f t="shared" si="10"/>
        <v>6004.4659112394884</v>
      </c>
      <c r="K64" s="11">
        <f t="shared" si="10"/>
        <v>6184.5998885766739</v>
      </c>
      <c r="L64" s="11">
        <f t="shared" si="10"/>
        <v>6370.137885233974</v>
      </c>
      <c r="M64" s="11">
        <f t="shared" si="10"/>
        <v>6561.242021790993</v>
      </c>
      <c r="N64" s="11">
        <f t="shared" si="10"/>
        <v>6758.0792824447226</v>
      </c>
      <c r="O64" s="11">
        <f t="shared" si="10"/>
        <v>6960.8216609180636</v>
      </c>
    </row>
    <row r="65" spans="1:16" ht="12.75" customHeight="1" x14ac:dyDescent="0.2">
      <c r="E65" s="11">
        <f>(($D$61+$D$62)*E63)/0.83</f>
        <v>938.50504057044498</v>
      </c>
      <c r="F65" s="11">
        <f>(($D$61+$D$62)*F63)/0.83</f>
        <v>966.66019178755846</v>
      </c>
      <c r="G65" s="11">
        <f>(($D$61+$D$62)*G63)/0.83</f>
        <v>995.65999754118536</v>
      </c>
      <c r="H65" s="11">
        <f>(($D$61+$D$62)*H63)/0.83</f>
        <v>1025.5297974674208</v>
      </c>
      <c r="I65" s="11">
        <f t="shared" ref="I65:O65" si="11">(($D$61+$D$62)*I63)/0.83</f>
        <v>1056.2956913914436</v>
      </c>
      <c r="J65" s="11">
        <f t="shared" si="11"/>
        <v>1087.984562133187</v>
      </c>
      <c r="K65" s="11">
        <f t="shared" si="11"/>
        <v>1120.6240989971827</v>
      </c>
      <c r="L65" s="11">
        <f t="shared" si="11"/>
        <v>1154.2428219670981</v>
      </c>
      <c r="M65" s="11">
        <f t="shared" si="11"/>
        <v>1188.870106626111</v>
      </c>
      <c r="N65" s="11">
        <f t="shared" si="11"/>
        <v>1224.5362098248943</v>
      </c>
      <c r="O65" s="11">
        <f t="shared" si="11"/>
        <v>1261.2722961196409</v>
      </c>
    </row>
    <row r="66" spans="1:16" ht="12.75" customHeight="1" x14ac:dyDescent="0.2">
      <c r="A66" t="s">
        <v>63</v>
      </c>
      <c r="B66" s="4" t="s">
        <v>64</v>
      </c>
      <c r="C66" s="4" t="s">
        <v>65</v>
      </c>
    </row>
    <row r="67" spans="1:16" ht="12.75" customHeight="1" x14ac:dyDescent="0.2">
      <c r="A67" t="s">
        <v>67</v>
      </c>
      <c r="B67">
        <f>5*25</f>
        <v>125</v>
      </c>
      <c r="C67">
        <f>30*25</f>
        <v>750</v>
      </c>
    </row>
    <row r="68" spans="1:16" ht="12.75" customHeight="1" x14ac:dyDescent="0.2">
      <c r="A68" t="s">
        <v>68</v>
      </c>
      <c r="B68">
        <f>5*27</f>
        <v>135</v>
      </c>
      <c r="C68">
        <f>30*27</f>
        <v>810</v>
      </c>
    </row>
    <row r="69" spans="1:16" ht="12.75" customHeight="1" x14ac:dyDescent="0.2">
      <c r="A69" t="s">
        <v>69</v>
      </c>
      <c r="B69">
        <v>200</v>
      </c>
      <c r="C69">
        <v>4000</v>
      </c>
    </row>
    <row r="70" spans="1:16" ht="12.75" customHeight="1" x14ac:dyDescent="0.2">
      <c r="A70" t="s">
        <v>70</v>
      </c>
    </row>
    <row r="71" spans="1:16" ht="12.75" customHeight="1" x14ac:dyDescent="0.2">
      <c r="A71" t="s">
        <v>71</v>
      </c>
      <c r="B71">
        <v>20</v>
      </c>
      <c r="C71">
        <v>170</v>
      </c>
    </row>
    <row r="72" spans="1:16" ht="12.75" customHeight="1" x14ac:dyDescent="0.2">
      <c r="A72" t="s">
        <v>72</v>
      </c>
      <c r="B72">
        <v>15</v>
      </c>
      <c r="C72">
        <v>160</v>
      </c>
    </row>
    <row r="73" spans="1:16" ht="12.75" customHeight="1" x14ac:dyDescent="0.2">
      <c r="A73" t="s">
        <v>73</v>
      </c>
      <c r="B73">
        <v>12</v>
      </c>
      <c r="C73">
        <v>150</v>
      </c>
    </row>
    <row r="74" spans="1:16" ht="12.75" customHeight="1" x14ac:dyDescent="0.2">
      <c r="A74" t="s">
        <v>74</v>
      </c>
      <c r="B74">
        <v>10</v>
      </c>
      <c r="C74">
        <v>140</v>
      </c>
    </row>
    <row r="75" spans="1:16" ht="12.75" customHeight="1" x14ac:dyDescent="0.2">
      <c r="B75">
        <f>SUM(B67:B74)</f>
        <v>517</v>
      </c>
      <c r="C75">
        <f>SUM(C67:C74)</f>
        <v>6180</v>
      </c>
    </row>
    <row r="76" spans="1:16" ht="12.75" customHeight="1" x14ac:dyDescent="0.2">
      <c r="A76" s="24" t="s">
        <v>120</v>
      </c>
      <c r="C76">
        <v>50000</v>
      </c>
    </row>
    <row r="77" spans="1:16" ht="12.75" customHeight="1" x14ac:dyDescent="0.2">
      <c r="A77" s="24"/>
      <c r="E77">
        <v>517</v>
      </c>
      <c r="F77" s="25">
        <f>E77+(E77*$P$77)</f>
        <v>532.51</v>
      </c>
      <c r="G77" s="25">
        <f t="shared" ref="G77:O77" si="12">F77+(F77*$P$77)</f>
        <v>548.48529999999994</v>
      </c>
      <c r="H77" s="25">
        <f t="shared" si="12"/>
        <v>564.93985899999996</v>
      </c>
      <c r="I77" s="25">
        <f t="shared" si="12"/>
        <v>581.88805476999994</v>
      </c>
      <c r="J77" s="25">
        <f t="shared" si="12"/>
        <v>599.34469641309988</v>
      </c>
      <c r="K77" s="25">
        <f t="shared" si="12"/>
        <v>617.32503730549286</v>
      </c>
      <c r="L77" s="25">
        <f t="shared" si="12"/>
        <v>635.84478842465762</v>
      </c>
      <c r="M77" s="25">
        <f t="shared" si="12"/>
        <v>654.9201320773974</v>
      </c>
      <c r="N77" s="25">
        <f t="shared" si="12"/>
        <v>674.56773603971931</v>
      </c>
      <c r="O77" s="25">
        <f t="shared" si="12"/>
        <v>694.80476812091092</v>
      </c>
      <c r="P77" s="23">
        <v>0.03</v>
      </c>
    </row>
  </sheetData>
  <mergeCells count="1">
    <mergeCell ref="A1:B1"/>
  </mergeCells>
  <phoneticPr fontId="2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4"/>
  <sheetViews>
    <sheetView workbookViewId="0">
      <selection activeCell="I16" sqref="I16"/>
    </sheetView>
  </sheetViews>
  <sheetFormatPr defaultRowHeight="12.75" x14ac:dyDescent="0.2"/>
  <cols>
    <col min="2" max="2" width="12" customWidth="1"/>
    <col min="3" max="3" width="11.42578125" customWidth="1"/>
    <col min="4" max="4" width="13.140625" customWidth="1"/>
    <col min="5" max="5" width="11.140625" customWidth="1"/>
    <col min="6" max="6" width="11.28515625" customWidth="1"/>
    <col min="9" max="9" width="14" bestFit="1" customWidth="1"/>
  </cols>
  <sheetData>
    <row r="1" spans="1:9" x14ac:dyDescent="0.2">
      <c r="A1" s="14"/>
      <c r="B1" s="14" t="s">
        <v>100</v>
      </c>
      <c r="C1" s="14" t="s">
        <v>101</v>
      </c>
      <c r="D1" s="14" t="s">
        <v>102</v>
      </c>
      <c r="E1" s="14" t="s">
        <v>103</v>
      </c>
      <c r="F1" s="14" t="s">
        <v>104</v>
      </c>
      <c r="G1" s="14"/>
      <c r="H1" s="168" t="s">
        <v>105</v>
      </c>
      <c r="I1" s="169">
        <v>0.08</v>
      </c>
    </row>
    <row r="2" spans="1:9" x14ac:dyDescent="0.2">
      <c r="A2" s="15">
        <v>41275</v>
      </c>
      <c r="B2" s="18">
        <f>I6</f>
        <v>1176000</v>
      </c>
      <c r="C2" s="18">
        <f>+E2-D2</f>
        <v>789.0713888214641</v>
      </c>
      <c r="D2" s="18">
        <f>B2*$I$2</f>
        <v>7840.0000000000009</v>
      </c>
      <c r="E2" s="18">
        <f>-$I$8</f>
        <v>8629.071388821465</v>
      </c>
      <c r="F2" s="18">
        <f>+B2-C2</f>
        <v>1175210.9286111786</v>
      </c>
      <c r="G2" s="14"/>
      <c r="H2" s="170" t="s">
        <v>106</v>
      </c>
      <c r="I2" s="171">
        <f>I1/12</f>
        <v>6.6666666666666671E-3</v>
      </c>
    </row>
    <row r="3" spans="1:9" x14ac:dyDescent="0.2">
      <c r="A3" s="15">
        <v>41306</v>
      </c>
      <c r="B3" s="19">
        <f>+F2</f>
        <v>1175210.9286111786</v>
      </c>
      <c r="C3" s="18">
        <f t="shared" ref="C3:C13" si="0">+E3-D3</f>
        <v>794.33186474694048</v>
      </c>
      <c r="D3" s="18">
        <f t="shared" ref="D3:D13" si="1">B3*$I$2</f>
        <v>7834.7395240745245</v>
      </c>
      <c r="E3" s="18">
        <f t="shared" ref="E3:E13" si="2">-$I$8</f>
        <v>8629.071388821465</v>
      </c>
      <c r="F3" s="18">
        <f t="shared" ref="F3:F13" si="3">+B3-C3</f>
        <v>1174416.5967464317</v>
      </c>
      <c r="G3" s="14"/>
      <c r="H3" s="170" t="s">
        <v>107</v>
      </c>
      <c r="I3" s="172">
        <v>0</v>
      </c>
    </row>
    <row r="4" spans="1:9" x14ac:dyDescent="0.2">
      <c r="A4" s="15">
        <v>41334</v>
      </c>
      <c r="B4" s="19">
        <f t="shared" ref="B4:B13" si="4">+F3</f>
        <v>1174416.5967464317</v>
      </c>
      <c r="C4" s="18">
        <f t="shared" si="0"/>
        <v>799.62741051192006</v>
      </c>
      <c r="D4" s="18">
        <f t="shared" si="1"/>
        <v>7829.4439783095449</v>
      </c>
      <c r="E4" s="18">
        <f t="shared" si="2"/>
        <v>8629.071388821465</v>
      </c>
      <c r="F4" s="18">
        <f t="shared" si="3"/>
        <v>1173616.9693359197</v>
      </c>
      <c r="G4" s="14"/>
      <c r="H4" s="170" t="s">
        <v>108</v>
      </c>
      <c r="I4" s="172">
        <f>30*12</f>
        <v>360</v>
      </c>
    </row>
    <row r="5" spans="1:9" x14ac:dyDescent="0.2">
      <c r="A5" s="15">
        <v>41365</v>
      </c>
      <c r="B5" s="19">
        <f t="shared" si="4"/>
        <v>1173616.9693359197</v>
      </c>
      <c r="C5" s="18">
        <f t="shared" si="0"/>
        <v>804.95825991533275</v>
      </c>
      <c r="D5" s="18">
        <f t="shared" si="1"/>
        <v>7824.1131289061323</v>
      </c>
      <c r="E5" s="18">
        <f t="shared" si="2"/>
        <v>8629.071388821465</v>
      </c>
      <c r="F5" s="18">
        <f t="shared" si="3"/>
        <v>1172812.0110760045</v>
      </c>
      <c r="G5" s="14"/>
      <c r="H5" s="170" t="s">
        <v>109</v>
      </c>
      <c r="I5" s="172">
        <v>0</v>
      </c>
    </row>
    <row r="6" spans="1:9" x14ac:dyDescent="0.2">
      <c r="A6" s="15">
        <v>41395</v>
      </c>
      <c r="B6" s="19">
        <f t="shared" si="4"/>
        <v>1172812.0110760045</v>
      </c>
      <c r="C6" s="18">
        <f t="shared" si="0"/>
        <v>810.32464831476773</v>
      </c>
      <c r="D6" s="18">
        <f t="shared" si="1"/>
        <v>7818.7467405066973</v>
      </c>
      <c r="E6" s="18">
        <f t="shared" si="2"/>
        <v>8629.071388821465</v>
      </c>
      <c r="F6" s="18">
        <f t="shared" si="3"/>
        <v>1172001.6864276896</v>
      </c>
      <c r="G6" s="14"/>
      <c r="H6" s="170" t="s">
        <v>110</v>
      </c>
      <c r="I6" s="173">
        <f>Assumptions!B40*0.8</f>
        <v>1176000</v>
      </c>
    </row>
    <row r="7" spans="1:9" x14ac:dyDescent="0.2">
      <c r="A7" s="15">
        <v>41426</v>
      </c>
      <c r="B7" s="19">
        <f t="shared" si="4"/>
        <v>1172001.6864276896</v>
      </c>
      <c r="C7" s="18">
        <f t="shared" si="0"/>
        <v>815.72681263686718</v>
      </c>
      <c r="D7" s="18">
        <f t="shared" si="1"/>
        <v>7813.3445761845978</v>
      </c>
      <c r="E7" s="18">
        <f t="shared" si="2"/>
        <v>8629.071388821465</v>
      </c>
      <c r="F7" s="18">
        <f t="shared" si="3"/>
        <v>1171185.9596150527</v>
      </c>
      <c r="G7" s="14"/>
      <c r="H7" s="170"/>
      <c r="I7" s="172"/>
    </row>
    <row r="8" spans="1:9" ht="13.5" thickBot="1" x14ac:dyDescent="0.25">
      <c r="A8" s="15">
        <v>41456</v>
      </c>
      <c r="B8" s="19">
        <f t="shared" si="4"/>
        <v>1171185.9596150527</v>
      </c>
      <c r="C8" s="18">
        <f t="shared" si="0"/>
        <v>821.16499138777999</v>
      </c>
      <c r="D8" s="18">
        <f t="shared" si="1"/>
        <v>7807.906397433685</v>
      </c>
      <c r="E8" s="18">
        <f t="shared" si="2"/>
        <v>8629.071388821465</v>
      </c>
      <c r="F8" s="18">
        <f t="shared" si="3"/>
        <v>1170364.7946236648</v>
      </c>
      <c r="G8" s="14"/>
      <c r="H8" s="174" t="s">
        <v>103</v>
      </c>
      <c r="I8" s="175">
        <f>PMT(I2,I4,I6,I3,I5)</f>
        <v>-8629.071388821465</v>
      </c>
    </row>
    <row r="9" spans="1:9" x14ac:dyDescent="0.2">
      <c r="A9" s="15">
        <v>41487</v>
      </c>
      <c r="B9" s="19">
        <f t="shared" si="4"/>
        <v>1170364.7946236648</v>
      </c>
      <c r="C9" s="18">
        <f t="shared" si="0"/>
        <v>826.63942466369917</v>
      </c>
      <c r="D9" s="18">
        <f t="shared" si="1"/>
        <v>7802.4319641577658</v>
      </c>
      <c r="E9" s="18">
        <f t="shared" si="2"/>
        <v>8629.071388821465</v>
      </c>
      <c r="F9" s="18">
        <f t="shared" si="3"/>
        <v>1169538.1551990011</v>
      </c>
      <c r="G9" s="14"/>
      <c r="H9" s="14"/>
      <c r="I9" s="14"/>
    </row>
    <row r="10" spans="1:9" x14ac:dyDescent="0.2">
      <c r="A10" s="15">
        <v>41518</v>
      </c>
      <c r="B10" s="19">
        <f t="shared" si="4"/>
        <v>1169538.1551990011</v>
      </c>
      <c r="C10" s="18">
        <f t="shared" si="0"/>
        <v>832.15035416145747</v>
      </c>
      <c r="D10" s="18">
        <f t="shared" si="1"/>
        <v>7796.9210346600075</v>
      </c>
      <c r="E10" s="18">
        <f t="shared" si="2"/>
        <v>8629.071388821465</v>
      </c>
      <c r="F10" s="18">
        <f t="shared" si="3"/>
        <v>1168706.0048448397</v>
      </c>
      <c r="G10" s="14"/>
      <c r="H10" s="14"/>
      <c r="I10" s="14"/>
    </row>
    <row r="11" spans="1:9" x14ac:dyDescent="0.2">
      <c r="A11" s="15">
        <v>41548</v>
      </c>
      <c r="B11" s="19">
        <f t="shared" si="4"/>
        <v>1168706.0048448397</v>
      </c>
      <c r="C11" s="18">
        <f t="shared" si="0"/>
        <v>837.69802318920028</v>
      </c>
      <c r="D11" s="18">
        <f t="shared" si="1"/>
        <v>7791.3733656322647</v>
      </c>
      <c r="E11" s="18">
        <f t="shared" si="2"/>
        <v>8629.071388821465</v>
      </c>
      <c r="F11" s="18">
        <f t="shared" si="3"/>
        <v>1167868.3068216506</v>
      </c>
      <c r="G11" s="14"/>
      <c r="H11" s="14"/>
      <c r="I11" s="14"/>
    </row>
    <row r="12" spans="1:9" x14ac:dyDescent="0.2">
      <c r="A12" s="15">
        <v>41579</v>
      </c>
      <c r="B12" s="19">
        <f t="shared" si="4"/>
        <v>1167868.3068216506</v>
      </c>
      <c r="C12" s="18">
        <f t="shared" si="0"/>
        <v>843.2826766771268</v>
      </c>
      <c r="D12" s="18">
        <f t="shared" si="1"/>
        <v>7785.7887121443382</v>
      </c>
      <c r="E12" s="18">
        <f t="shared" si="2"/>
        <v>8629.071388821465</v>
      </c>
      <c r="F12" s="18">
        <f t="shared" si="3"/>
        <v>1167025.0241449734</v>
      </c>
      <c r="G12" s="14"/>
      <c r="H12" s="14"/>
      <c r="I12" s="14"/>
    </row>
    <row r="13" spans="1:9" ht="15" x14ac:dyDescent="0.25">
      <c r="A13" s="15">
        <v>41609</v>
      </c>
      <c r="B13" s="19">
        <f t="shared" si="4"/>
        <v>1167025.0241449734</v>
      </c>
      <c r="C13" s="18">
        <f t="shared" si="0"/>
        <v>848.90456118830843</v>
      </c>
      <c r="D13" s="18">
        <f t="shared" si="1"/>
        <v>7780.1668276331566</v>
      </c>
      <c r="E13" s="18">
        <f t="shared" si="2"/>
        <v>8629.071388821465</v>
      </c>
      <c r="F13" s="20">
        <f t="shared" si="3"/>
        <v>1166176.1195837851</v>
      </c>
      <c r="G13" s="14"/>
      <c r="H13" s="14"/>
      <c r="I13" s="14"/>
    </row>
    <row r="14" spans="1:9" ht="15" x14ac:dyDescent="0.25">
      <c r="A14" s="16" t="s">
        <v>62</v>
      </c>
      <c r="B14" s="19"/>
      <c r="C14" s="21">
        <f>SUM(C2:C13)</f>
        <v>9823.8804162148645</v>
      </c>
      <c r="D14" s="21">
        <f>SUM(D2:D13)</f>
        <v>93724.976249642699</v>
      </c>
      <c r="E14" s="19"/>
      <c r="F14" s="19"/>
      <c r="G14" s="14"/>
      <c r="H14" s="14"/>
      <c r="I14" s="14"/>
    </row>
    <row r="15" spans="1:9" x14ac:dyDescent="0.2">
      <c r="A15" s="14"/>
      <c r="B15" s="19"/>
      <c r="C15" s="19"/>
      <c r="D15" s="19"/>
      <c r="E15" s="19"/>
      <c r="F15" s="19"/>
      <c r="G15" s="14"/>
      <c r="H15" s="14"/>
      <c r="I15" s="14"/>
    </row>
    <row r="16" spans="1:9" x14ac:dyDescent="0.2">
      <c r="A16" s="15">
        <v>41640</v>
      </c>
      <c r="B16" s="19">
        <f>F13</f>
        <v>1166176.1195837851</v>
      </c>
      <c r="C16" s="19">
        <f>+E16-D16</f>
        <v>854.56392492956365</v>
      </c>
      <c r="D16" s="19">
        <f>B16*$I$2</f>
        <v>7774.5074638919014</v>
      </c>
      <c r="E16" s="19">
        <f>-$I$8</f>
        <v>8629.071388821465</v>
      </c>
      <c r="F16" s="19">
        <f>B16-C16</f>
        <v>1165321.5556588555</v>
      </c>
      <c r="G16" s="14"/>
      <c r="H16" s="14"/>
      <c r="I16" s="14"/>
    </row>
    <row r="17" spans="1:9" x14ac:dyDescent="0.2">
      <c r="A17" s="15">
        <v>41671</v>
      </c>
      <c r="B17" s="19">
        <f>+F16</f>
        <v>1165321.5556588555</v>
      </c>
      <c r="C17" s="19">
        <f t="shared" ref="C17:C27" si="5">+E17-D17</f>
        <v>860.26101776242831</v>
      </c>
      <c r="D17" s="19">
        <f t="shared" ref="D17:D27" si="6">B17*$I$2</f>
        <v>7768.8103710590367</v>
      </c>
      <c r="E17" s="19">
        <f t="shared" ref="E17:E27" si="7">-$I$8</f>
        <v>8629.071388821465</v>
      </c>
      <c r="F17" s="19">
        <f t="shared" ref="F17:F27" si="8">B17-C17</f>
        <v>1164461.2946410931</v>
      </c>
      <c r="G17" s="14"/>
      <c r="H17" s="14"/>
      <c r="I17" s="14"/>
    </row>
    <row r="18" spans="1:9" x14ac:dyDescent="0.2">
      <c r="A18" s="15">
        <v>41699</v>
      </c>
      <c r="B18" s="19">
        <f t="shared" ref="B18:B27" si="9">+F17</f>
        <v>1164461.2946410931</v>
      </c>
      <c r="C18" s="19">
        <f t="shared" si="5"/>
        <v>865.99609121417689</v>
      </c>
      <c r="D18" s="19">
        <f t="shared" si="6"/>
        <v>7763.0752976072881</v>
      </c>
      <c r="E18" s="19">
        <f t="shared" si="7"/>
        <v>8629.071388821465</v>
      </c>
      <c r="F18" s="19">
        <f t="shared" si="8"/>
        <v>1163595.2985498789</v>
      </c>
      <c r="G18" s="14"/>
      <c r="H18" s="14"/>
      <c r="I18" s="14"/>
    </row>
    <row r="19" spans="1:9" x14ac:dyDescent="0.2">
      <c r="A19" s="15">
        <v>41730</v>
      </c>
      <c r="B19" s="19">
        <f t="shared" si="9"/>
        <v>1163595.2985498789</v>
      </c>
      <c r="C19" s="19">
        <f t="shared" si="5"/>
        <v>871.76939848893835</v>
      </c>
      <c r="D19" s="19">
        <f t="shared" si="6"/>
        <v>7757.3019903325267</v>
      </c>
      <c r="E19" s="19">
        <f t="shared" si="7"/>
        <v>8629.071388821465</v>
      </c>
      <c r="F19" s="19">
        <f t="shared" si="8"/>
        <v>1162723.5291513898</v>
      </c>
      <c r="G19" s="14"/>
      <c r="H19" s="14"/>
      <c r="I19" s="14"/>
    </row>
    <row r="20" spans="1:9" x14ac:dyDescent="0.2">
      <c r="A20" s="15">
        <v>41760</v>
      </c>
      <c r="B20" s="19">
        <f t="shared" si="9"/>
        <v>1162723.5291513898</v>
      </c>
      <c r="C20" s="19">
        <f t="shared" si="5"/>
        <v>877.58119447886565</v>
      </c>
      <c r="D20" s="19">
        <f t="shared" si="6"/>
        <v>7751.4901943425994</v>
      </c>
      <c r="E20" s="19">
        <f t="shared" si="7"/>
        <v>8629.071388821465</v>
      </c>
      <c r="F20" s="19">
        <f t="shared" si="8"/>
        <v>1161845.9479569111</v>
      </c>
      <c r="G20" s="14"/>
      <c r="H20" s="14"/>
      <c r="I20" s="14"/>
    </row>
    <row r="21" spans="1:9" x14ac:dyDescent="0.2">
      <c r="A21" s="15">
        <v>41791</v>
      </c>
      <c r="B21" s="19">
        <f t="shared" si="9"/>
        <v>1161845.9479569111</v>
      </c>
      <c r="C21" s="19">
        <f t="shared" si="5"/>
        <v>883.43173577539073</v>
      </c>
      <c r="D21" s="19">
        <f t="shared" si="6"/>
        <v>7745.6396530460743</v>
      </c>
      <c r="E21" s="19">
        <f t="shared" si="7"/>
        <v>8629.071388821465</v>
      </c>
      <c r="F21" s="19">
        <f t="shared" si="8"/>
        <v>1160962.5162211356</v>
      </c>
      <c r="G21" s="14"/>
      <c r="H21" s="14"/>
      <c r="I21" s="14"/>
    </row>
    <row r="22" spans="1:9" x14ac:dyDescent="0.2">
      <c r="A22" s="15">
        <v>41821</v>
      </c>
      <c r="B22" s="19">
        <f t="shared" si="9"/>
        <v>1160962.5162211356</v>
      </c>
      <c r="C22" s="19">
        <f t="shared" si="5"/>
        <v>889.32128068056045</v>
      </c>
      <c r="D22" s="19">
        <f t="shared" si="6"/>
        <v>7739.7501081409046</v>
      </c>
      <c r="E22" s="19">
        <f t="shared" si="7"/>
        <v>8629.071388821465</v>
      </c>
      <c r="F22" s="19">
        <f t="shared" si="8"/>
        <v>1160073.194940455</v>
      </c>
      <c r="G22" s="14"/>
      <c r="H22" s="14"/>
      <c r="I22" s="14"/>
    </row>
    <row r="23" spans="1:9" x14ac:dyDescent="0.2">
      <c r="A23" s="15">
        <v>41852</v>
      </c>
      <c r="B23" s="19">
        <f t="shared" si="9"/>
        <v>1160073.194940455</v>
      </c>
      <c r="C23" s="19">
        <f t="shared" si="5"/>
        <v>895.25008921843073</v>
      </c>
      <c r="D23" s="19">
        <f t="shared" si="6"/>
        <v>7733.8212996030343</v>
      </c>
      <c r="E23" s="19">
        <f t="shared" si="7"/>
        <v>8629.071388821465</v>
      </c>
      <c r="F23" s="19">
        <f t="shared" si="8"/>
        <v>1159177.9448512367</v>
      </c>
      <c r="G23" s="14"/>
      <c r="H23" s="14"/>
      <c r="I23" s="14"/>
    </row>
    <row r="24" spans="1:9" x14ac:dyDescent="0.2">
      <c r="A24" s="15">
        <v>41883</v>
      </c>
      <c r="B24" s="19">
        <f t="shared" si="9"/>
        <v>1159177.9448512367</v>
      </c>
      <c r="C24" s="19">
        <f t="shared" si="5"/>
        <v>901.2184231465535</v>
      </c>
      <c r="D24" s="19">
        <f t="shared" si="6"/>
        <v>7727.8529656749115</v>
      </c>
      <c r="E24" s="19">
        <f t="shared" si="7"/>
        <v>8629.071388821465</v>
      </c>
      <c r="F24" s="19">
        <f t="shared" si="8"/>
        <v>1158276.7264280901</v>
      </c>
      <c r="G24" s="14"/>
      <c r="H24" s="14"/>
      <c r="I24" s="14"/>
    </row>
    <row r="25" spans="1:9" x14ac:dyDescent="0.2">
      <c r="A25" s="15">
        <v>41913</v>
      </c>
      <c r="B25" s="19">
        <f t="shared" si="9"/>
        <v>1158276.7264280901</v>
      </c>
      <c r="C25" s="19">
        <f t="shared" si="5"/>
        <v>907.22654596753</v>
      </c>
      <c r="D25" s="19">
        <f t="shared" si="6"/>
        <v>7721.844842853935</v>
      </c>
      <c r="E25" s="19">
        <f t="shared" si="7"/>
        <v>8629.071388821465</v>
      </c>
      <c r="F25" s="19">
        <f t="shared" si="8"/>
        <v>1157369.4998821225</v>
      </c>
      <c r="G25" s="14"/>
      <c r="H25" s="14"/>
      <c r="I25" s="14"/>
    </row>
    <row r="26" spans="1:9" x14ac:dyDescent="0.2">
      <c r="A26" s="15">
        <v>41944</v>
      </c>
      <c r="B26" s="19">
        <f t="shared" si="9"/>
        <v>1157369.4998821225</v>
      </c>
      <c r="C26" s="19">
        <f t="shared" si="5"/>
        <v>913.27472294064773</v>
      </c>
      <c r="D26" s="19">
        <f t="shared" si="6"/>
        <v>7715.7966658808173</v>
      </c>
      <c r="E26" s="19">
        <f t="shared" si="7"/>
        <v>8629.071388821465</v>
      </c>
      <c r="F26" s="19">
        <f t="shared" si="8"/>
        <v>1156456.2251591817</v>
      </c>
      <c r="G26" s="14"/>
      <c r="H26" s="14"/>
      <c r="I26" s="14"/>
    </row>
    <row r="27" spans="1:9" ht="15" x14ac:dyDescent="0.25">
      <c r="A27" s="15">
        <v>41974</v>
      </c>
      <c r="B27" s="19">
        <f t="shared" si="9"/>
        <v>1156456.2251591817</v>
      </c>
      <c r="C27" s="19">
        <f t="shared" si="5"/>
        <v>919.36322109358662</v>
      </c>
      <c r="D27" s="19">
        <f t="shared" si="6"/>
        <v>7709.7081677278784</v>
      </c>
      <c r="E27" s="19">
        <f t="shared" si="7"/>
        <v>8629.071388821465</v>
      </c>
      <c r="F27" s="21">
        <f t="shared" si="8"/>
        <v>1155536.8619380882</v>
      </c>
      <c r="G27" s="14"/>
      <c r="H27" s="14"/>
      <c r="I27" s="14"/>
    </row>
    <row r="28" spans="1:9" ht="15" x14ac:dyDescent="0.25">
      <c r="A28" s="16" t="s">
        <v>62</v>
      </c>
      <c r="B28" s="21"/>
      <c r="C28" s="21">
        <f>SUM(C16:C27)</f>
        <v>10639.257645696674</v>
      </c>
      <c r="D28" s="21">
        <f>SUM(D16:D27)</f>
        <v>92909.599020160909</v>
      </c>
      <c r="E28" s="19"/>
      <c r="F28" s="19"/>
      <c r="G28" s="14"/>
      <c r="H28" s="14"/>
      <c r="I28" s="14"/>
    </row>
    <row r="29" spans="1:9" x14ac:dyDescent="0.2">
      <c r="A29" s="14"/>
      <c r="B29" s="19"/>
      <c r="C29" s="19"/>
      <c r="D29" s="19"/>
      <c r="E29" s="19"/>
      <c r="F29" s="19"/>
      <c r="G29" s="14"/>
      <c r="H29" s="14"/>
      <c r="I29" s="14"/>
    </row>
    <row r="30" spans="1:9" x14ac:dyDescent="0.2">
      <c r="A30" s="15">
        <v>42005</v>
      </c>
      <c r="B30" s="19">
        <f>F27</f>
        <v>1155536.8619380882</v>
      </c>
      <c r="C30" s="19">
        <f>+E30-D30</f>
        <v>925.49230923420964</v>
      </c>
      <c r="D30" s="19">
        <f>B30*$I$2</f>
        <v>7703.5790795872554</v>
      </c>
      <c r="E30" s="19">
        <f>-$I$8</f>
        <v>8629.071388821465</v>
      </c>
      <c r="F30" s="19">
        <f>B30-C30</f>
        <v>1154611.3696288541</v>
      </c>
      <c r="G30" s="14"/>
      <c r="H30" s="14"/>
      <c r="I30" s="14"/>
    </row>
    <row r="31" spans="1:9" x14ac:dyDescent="0.2">
      <c r="A31" s="15">
        <v>42036</v>
      </c>
      <c r="B31" s="18">
        <f>+F30</f>
        <v>1154611.3696288541</v>
      </c>
      <c r="C31" s="19">
        <f t="shared" ref="C31:C41" si="10">+E31-D31</f>
        <v>931.66225796243725</v>
      </c>
      <c r="D31" s="19">
        <f t="shared" ref="D31:D41" si="11">B31*$I$2</f>
        <v>7697.4091308590278</v>
      </c>
      <c r="E31" s="19">
        <f t="shared" ref="E31:E41" si="12">-$I$8</f>
        <v>8629.071388821465</v>
      </c>
      <c r="F31" s="19">
        <f t="shared" ref="F31:F41" si="13">B31-C31</f>
        <v>1153679.7073708917</v>
      </c>
      <c r="G31" s="14"/>
      <c r="H31" s="14"/>
      <c r="I31" s="14"/>
    </row>
    <row r="32" spans="1:9" x14ac:dyDescent="0.2">
      <c r="A32" s="15">
        <v>42064</v>
      </c>
      <c r="B32" s="18">
        <f t="shared" ref="B32:B41" si="14">+F31</f>
        <v>1153679.7073708917</v>
      </c>
      <c r="C32" s="19">
        <f t="shared" si="10"/>
        <v>937.87333968218627</v>
      </c>
      <c r="D32" s="19">
        <f t="shared" si="11"/>
        <v>7691.1980491392787</v>
      </c>
      <c r="E32" s="19">
        <f t="shared" si="12"/>
        <v>8629.071388821465</v>
      </c>
      <c r="F32" s="19">
        <f t="shared" si="13"/>
        <v>1152741.8340312096</v>
      </c>
      <c r="G32" s="14"/>
      <c r="H32" s="14"/>
      <c r="I32" s="14"/>
    </row>
    <row r="33" spans="1:9" x14ac:dyDescent="0.2">
      <c r="A33" s="15">
        <v>42095</v>
      </c>
      <c r="B33" s="18">
        <f t="shared" si="14"/>
        <v>1152741.8340312096</v>
      </c>
      <c r="C33" s="19">
        <f t="shared" si="10"/>
        <v>944.1258286134007</v>
      </c>
      <c r="D33" s="19">
        <f t="shared" si="11"/>
        <v>7684.9455602080643</v>
      </c>
      <c r="E33" s="19">
        <f t="shared" si="12"/>
        <v>8629.071388821465</v>
      </c>
      <c r="F33" s="19">
        <f t="shared" si="13"/>
        <v>1151797.7082025963</v>
      </c>
      <c r="G33" s="14"/>
      <c r="H33" s="14"/>
      <c r="I33" s="14"/>
    </row>
    <row r="34" spans="1:9" x14ac:dyDescent="0.2">
      <c r="A34" s="15">
        <v>42125</v>
      </c>
      <c r="B34" s="18">
        <f t="shared" si="14"/>
        <v>1151797.7082025963</v>
      </c>
      <c r="C34" s="19">
        <f t="shared" si="10"/>
        <v>950.42000080415619</v>
      </c>
      <c r="D34" s="19">
        <f t="shared" si="11"/>
        <v>7678.6513880173088</v>
      </c>
      <c r="E34" s="19">
        <f t="shared" si="12"/>
        <v>8629.071388821465</v>
      </c>
      <c r="F34" s="19">
        <f t="shared" si="13"/>
        <v>1150847.2882017922</v>
      </c>
      <c r="G34" s="14"/>
      <c r="H34" s="14"/>
      <c r="I34" s="14"/>
    </row>
    <row r="35" spans="1:9" x14ac:dyDescent="0.2">
      <c r="A35" s="15">
        <v>42156</v>
      </c>
      <c r="B35" s="18">
        <f t="shared" si="14"/>
        <v>1150847.2882017922</v>
      </c>
      <c r="C35" s="19">
        <f t="shared" si="10"/>
        <v>956.75613414284999</v>
      </c>
      <c r="D35" s="19">
        <f t="shared" si="11"/>
        <v>7672.315254678615</v>
      </c>
      <c r="E35" s="19">
        <f t="shared" si="12"/>
        <v>8629.071388821465</v>
      </c>
      <c r="F35" s="19">
        <f t="shared" si="13"/>
        <v>1149890.5320676493</v>
      </c>
      <c r="G35" s="14"/>
      <c r="H35" s="14"/>
      <c r="I35" s="14"/>
    </row>
    <row r="36" spans="1:9" x14ac:dyDescent="0.2">
      <c r="A36" s="15">
        <v>42186</v>
      </c>
      <c r="B36" s="18">
        <f t="shared" si="14"/>
        <v>1149890.5320676493</v>
      </c>
      <c r="C36" s="19">
        <f t="shared" si="10"/>
        <v>963.13450837046912</v>
      </c>
      <c r="D36" s="19">
        <f t="shared" si="11"/>
        <v>7665.9368804509959</v>
      </c>
      <c r="E36" s="19">
        <f t="shared" si="12"/>
        <v>8629.071388821465</v>
      </c>
      <c r="F36" s="19">
        <f t="shared" si="13"/>
        <v>1148927.3975592789</v>
      </c>
      <c r="G36" s="14"/>
      <c r="H36" s="14"/>
      <c r="I36" s="14"/>
    </row>
    <row r="37" spans="1:9" x14ac:dyDescent="0.2">
      <c r="A37" s="15">
        <v>42217</v>
      </c>
      <c r="B37" s="18">
        <f t="shared" si="14"/>
        <v>1148927.3975592789</v>
      </c>
      <c r="C37" s="19">
        <f t="shared" si="10"/>
        <v>969.5554050929386</v>
      </c>
      <c r="D37" s="19">
        <f t="shared" si="11"/>
        <v>7659.5159837285264</v>
      </c>
      <c r="E37" s="19">
        <f t="shared" si="12"/>
        <v>8629.071388821465</v>
      </c>
      <c r="F37" s="19">
        <f t="shared" si="13"/>
        <v>1147957.842154186</v>
      </c>
      <c r="G37" s="14"/>
      <c r="H37" s="14"/>
      <c r="I37" s="14"/>
    </row>
    <row r="38" spans="1:9" x14ac:dyDescent="0.2">
      <c r="A38" s="15">
        <v>42248</v>
      </c>
      <c r="B38" s="18">
        <f t="shared" si="14"/>
        <v>1147957.842154186</v>
      </c>
      <c r="C38" s="19">
        <f t="shared" si="10"/>
        <v>976.01910779355785</v>
      </c>
      <c r="D38" s="19">
        <f t="shared" si="11"/>
        <v>7653.0522810279072</v>
      </c>
      <c r="E38" s="19">
        <f t="shared" si="12"/>
        <v>8629.071388821465</v>
      </c>
      <c r="F38" s="19">
        <f t="shared" si="13"/>
        <v>1146981.8230463925</v>
      </c>
      <c r="G38" s="14"/>
      <c r="H38" s="14"/>
      <c r="I38" s="14"/>
    </row>
    <row r="39" spans="1:9" x14ac:dyDescent="0.2">
      <c r="A39" s="15">
        <v>42278</v>
      </c>
      <c r="B39" s="18">
        <f t="shared" si="14"/>
        <v>1146981.8230463925</v>
      </c>
      <c r="C39" s="19">
        <f t="shared" si="10"/>
        <v>982.52590184551445</v>
      </c>
      <c r="D39" s="19">
        <f t="shared" si="11"/>
        <v>7646.5454869759506</v>
      </c>
      <c r="E39" s="19">
        <f t="shared" si="12"/>
        <v>8629.071388821465</v>
      </c>
      <c r="F39" s="19">
        <f t="shared" si="13"/>
        <v>1145999.2971445471</v>
      </c>
      <c r="G39" s="14"/>
      <c r="H39" s="14"/>
      <c r="I39" s="14"/>
    </row>
    <row r="40" spans="1:9" x14ac:dyDescent="0.2">
      <c r="A40" s="15">
        <v>42309</v>
      </c>
      <c r="B40" s="18">
        <f t="shared" si="14"/>
        <v>1145999.2971445471</v>
      </c>
      <c r="C40" s="19">
        <f t="shared" si="10"/>
        <v>989.07607452448337</v>
      </c>
      <c r="D40" s="19">
        <f t="shared" si="11"/>
        <v>7639.9953142969816</v>
      </c>
      <c r="E40" s="19">
        <f t="shared" si="12"/>
        <v>8629.071388821465</v>
      </c>
      <c r="F40" s="19">
        <f t="shared" si="13"/>
        <v>1145010.2210700226</v>
      </c>
      <c r="G40" s="14"/>
      <c r="H40" s="14"/>
      <c r="I40" s="14"/>
    </row>
    <row r="41" spans="1:9" ht="15" x14ac:dyDescent="0.25">
      <c r="A41" s="15">
        <v>42339</v>
      </c>
      <c r="B41" s="18">
        <f t="shared" si="14"/>
        <v>1145010.2210700226</v>
      </c>
      <c r="C41" s="19">
        <f t="shared" si="10"/>
        <v>995.66991502131441</v>
      </c>
      <c r="D41" s="19">
        <f t="shared" si="11"/>
        <v>7633.4014738001506</v>
      </c>
      <c r="E41" s="19">
        <f t="shared" si="12"/>
        <v>8629.071388821465</v>
      </c>
      <c r="F41" s="21">
        <f t="shared" si="13"/>
        <v>1144014.5511550012</v>
      </c>
      <c r="G41" s="14"/>
      <c r="H41" s="14"/>
      <c r="I41" s="14"/>
    </row>
    <row r="42" spans="1:9" ht="15" x14ac:dyDescent="0.25">
      <c r="A42" s="16" t="s">
        <v>62</v>
      </c>
      <c r="B42" s="21"/>
      <c r="C42" s="21">
        <f>SUM(C30:C41)</f>
        <v>11522.310783087516</v>
      </c>
      <c r="D42" s="21">
        <f>SUM(D30:D41)</f>
        <v>92026.545882770064</v>
      </c>
      <c r="E42" s="21"/>
      <c r="F42" s="19"/>
      <c r="G42" s="14"/>
      <c r="H42" s="14"/>
      <c r="I42" s="14"/>
    </row>
    <row r="43" spans="1:9" x14ac:dyDescent="0.2">
      <c r="A43" s="14"/>
      <c r="B43" s="19"/>
      <c r="C43" s="19"/>
      <c r="D43" s="19"/>
      <c r="E43" s="19"/>
      <c r="F43" s="19"/>
      <c r="G43" s="14"/>
      <c r="H43" s="14"/>
      <c r="I43" s="14"/>
    </row>
    <row r="44" spans="1:9" x14ac:dyDescent="0.2">
      <c r="A44" s="15">
        <v>42370</v>
      </c>
      <c r="B44" s="19">
        <f>F41</f>
        <v>1144014.5511550012</v>
      </c>
      <c r="C44" s="19">
        <f>+E44-D44</f>
        <v>1002.3077144547906</v>
      </c>
      <c r="D44" s="19">
        <f>B44*$I$2</f>
        <v>7626.7636743666744</v>
      </c>
      <c r="E44" s="19">
        <f>-$I$8</f>
        <v>8629.071388821465</v>
      </c>
      <c r="F44" s="19">
        <f>B44-C44</f>
        <v>1143012.2434405463</v>
      </c>
      <c r="G44" s="14"/>
      <c r="H44" s="14"/>
      <c r="I44" s="14"/>
    </row>
    <row r="45" spans="1:9" x14ac:dyDescent="0.2">
      <c r="A45" s="15">
        <v>42401</v>
      </c>
      <c r="B45" s="19">
        <f>+F44</f>
        <v>1143012.2434405463</v>
      </c>
      <c r="C45" s="19">
        <f t="shared" ref="C45:C55" si="15">+E45-D45</f>
        <v>1008.9897658844893</v>
      </c>
      <c r="D45" s="19">
        <f t="shared" ref="D45:D55" si="16">B45*$I$2</f>
        <v>7620.0816229369757</v>
      </c>
      <c r="E45" s="19">
        <f t="shared" ref="E45:E55" si="17">-$I$8</f>
        <v>8629.071388821465</v>
      </c>
      <c r="F45" s="19">
        <f t="shared" ref="F45:F55" si="18">B45-C45</f>
        <v>1142003.2536746617</v>
      </c>
      <c r="G45" s="14"/>
      <c r="H45" s="14"/>
      <c r="I45" s="14"/>
    </row>
    <row r="46" spans="1:9" x14ac:dyDescent="0.2">
      <c r="A46" s="15">
        <v>42430</v>
      </c>
      <c r="B46" s="19">
        <f t="shared" ref="B46:B55" si="19">+F45</f>
        <v>1142003.2536746617</v>
      </c>
      <c r="C46" s="19">
        <f t="shared" si="15"/>
        <v>1015.71636432372</v>
      </c>
      <c r="D46" s="19">
        <f t="shared" si="16"/>
        <v>7613.355024497745</v>
      </c>
      <c r="E46" s="19">
        <f t="shared" si="17"/>
        <v>8629.071388821465</v>
      </c>
      <c r="F46" s="19">
        <f t="shared" si="18"/>
        <v>1140987.5373103381</v>
      </c>
      <c r="G46" s="14"/>
      <c r="H46" s="14"/>
      <c r="I46" s="14"/>
    </row>
    <row r="47" spans="1:9" x14ac:dyDescent="0.2">
      <c r="A47" s="15">
        <v>42461</v>
      </c>
      <c r="B47" s="19">
        <f t="shared" si="19"/>
        <v>1140987.5373103381</v>
      </c>
      <c r="C47" s="19">
        <f t="shared" si="15"/>
        <v>1022.4878067525442</v>
      </c>
      <c r="D47" s="19">
        <f t="shared" si="16"/>
        <v>7606.5835820689208</v>
      </c>
      <c r="E47" s="19">
        <f t="shared" si="17"/>
        <v>8629.071388821465</v>
      </c>
      <c r="F47" s="19">
        <f t="shared" si="18"/>
        <v>1139965.0495035856</v>
      </c>
      <c r="G47" s="14"/>
      <c r="H47" s="14"/>
      <c r="I47" s="14"/>
    </row>
    <row r="48" spans="1:9" x14ac:dyDescent="0.2">
      <c r="A48" s="15">
        <v>42491</v>
      </c>
      <c r="B48" s="19">
        <f t="shared" si="19"/>
        <v>1139965.0495035856</v>
      </c>
      <c r="C48" s="19">
        <f t="shared" si="15"/>
        <v>1029.3043921308945</v>
      </c>
      <c r="D48" s="19">
        <f t="shared" si="16"/>
        <v>7599.7669966905705</v>
      </c>
      <c r="E48" s="19">
        <f t="shared" si="17"/>
        <v>8629.071388821465</v>
      </c>
      <c r="F48" s="19">
        <f t="shared" si="18"/>
        <v>1138935.7451114547</v>
      </c>
      <c r="G48" s="14"/>
      <c r="H48" s="14"/>
      <c r="I48" s="14"/>
    </row>
    <row r="49" spans="1:9" x14ac:dyDescent="0.2">
      <c r="A49" s="15">
        <v>42522</v>
      </c>
      <c r="B49" s="19">
        <f t="shared" si="19"/>
        <v>1138935.7451114547</v>
      </c>
      <c r="C49" s="19">
        <f t="shared" si="15"/>
        <v>1036.1664214117664</v>
      </c>
      <c r="D49" s="19">
        <f t="shared" si="16"/>
        <v>7592.9049674096987</v>
      </c>
      <c r="E49" s="19">
        <f t="shared" si="17"/>
        <v>8629.071388821465</v>
      </c>
      <c r="F49" s="19">
        <f t="shared" si="18"/>
        <v>1137899.578690043</v>
      </c>
      <c r="G49" s="14"/>
      <c r="H49" s="14"/>
      <c r="I49" s="14"/>
    </row>
    <row r="50" spans="1:9" x14ac:dyDescent="0.2">
      <c r="A50" s="15">
        <v>42552</v>
      </c>
      <c r="B50" s="19">
        <f t="shared" si="19"/>
        <v>1137899.578690043</v>
      </c>
      <c r="C50" s="19">
        <f t="shared" si="15"/>
        <v>1043.0741975545116</v>
      </c>
      <c r="D50" s="19">
        <f t="shared" si="16"/>
        <v>7585.9971912669535</v>
      </c>
      <c r="E50" s="19">
        <f t="shared" si="17"/>
        <v>8629.071388821465</v>
      </c>
      <c r="F50" s="19">
        <f t="shared" si="18"/>
        <v>1136856.5044924885</v>
      </c>
      <c r="G50" s="14"/>
      <c r="H50" s="14"/>
      <c r="I50" s="14"/>
    </row>
    <row r="51" spans="1:9" x14ac:dyDescent="0.2">
      <c r="A51" s="15">
        <v>42583</v>
      </c>
      <c r="B51" s="19">
        <f t="shared" si="19"/>
        <v>1136856.5044924885</v>
      </c>
      <c r="C51" s="19">
        <f t="shared" si="15"/>
        <v>1050.0280255382086</v>
      </c>
      <c r="D51" s="19">
        <f t="shared" si="16"/>
        <v>7579.0433632832564</v>
      </c>
      <c r="E51" s="19">
        <f t="shared" si="17"/>
        <v>8629.071388821465</v>
      </c>
      <c r="F51" s="19">
        <f t="shared" si="18"/>
        <v>1135806.4764669503</v>
      </c>
      <c r="G51" s="14"/>
      <c r="H51" s="14"/>
      <c r="I51" s="14"/>
    </row>
    <row r="52" spans="1:9" x14ac:dyDescent="0.2">
      <c r="A52" s="15">
        <v>42614</v>
      </c>
      <c r="B52" s="19">
        <f t="shared" si="19"/>
        <v>1135806.4764669503</v>
      </c>
      <c r="C52" s="19">
        <f t="shared" si="15"/>
        <v>1057.0282123751294</v>
      </c>
      <c r="D52" s="19">
        <f t="shared" si="16"/>
        <v>7572.0431764463356</v>
      </c>
      <c r="E52" s="19">
        <f t="shared" si="17"/>
        <v>8629.071388821465</v>
      </c>
      <c r="F52" s="19">
        <f t="shared" si="18"/>
        <v>1134749.448254575</v>
      </c>
      <c r="G52" s="14"/>
      <c r="H52" s="14"/>
      <c r="I52" s="14"/>
    </row>
    <row r="53" spans="1:9" x14ac:dyDescent="0.2">
      <c r="A53" s="15">
        <v>42644</v>
      </c>
      <c r="B53" s="19">
        <f t="shared" si="19"/>
        <v>1134749.448254575</v>
      </c>
      <c r="C53" s="19">
        <f t="shared" si="15"/>
        <v>1064.0750671242977</v>
      </c>
      <c r="D53" s="19">
        <f t="shared" si="16"/>
        <v>7564.9963216971673</v>
      </c>
      <c r="E53" s="19">
        <f t="shared" si="17"/>
        <v>8629.071388821465</v>
      </c>
      <c r="F53" s="19">
        <f t="shared" si="18"/>
        <v>1133685.3731874507</v>
      </c>
      <c r="G53" s="14"/>
      <c r="H53" s="14"/>
      <c r="I53" s="14"/>
    </row>
    <row r="54" spans="1:9" x14ac:dyDescent="0.2">
      <c r="A54" s="15">
        <v>42675</v>
      </c>
      <c r="B54" s="19">
        <f t="shared" si="19"/>
        <v>1133685.3731874507</v>
      </c>
      <c r="C54" s="19">
        <f t="shared" si="15"/>
        <v>1071.168900905127</v>
      </c>
      <c r="D54" s="19">
        <f t="shared" si="16"/>
        <v>7557.902487916338</v>
      </c>
      <c r="E54" s="19">
        <f t="shared" si="17"/>
        <v>8629.071388821465</v>
      </c>
      <c r="F54" s="19">
        <f t="shared" si="18"/>
        <v>1132614.2042865455</v>
      </c>
      <c r="G54" s="14"/>
      <c r="H54" s="14"/>
      <c r="I54" s="14"/>
    </row>
    <row r="55" spans="1:9" ht="15" x14ac:dyDescent="0.25">
      <c r="A55" s="15">
        <v>42705</v>
      </c>
      <c r="B55" s="19">
        <f t="shared" si="19"/>
        <v>1132614.2042865455</v>
      </c>
      <c r="C55" s="19">
        <f t="shared" si="15"/>
        <v>1078.310026911161</v>
      </c>
      <c r="D55" s="19">
        <f t="shared" si="16"/>
        <v>7550.761361910304</v>
      </c>
      <c r="E55" s="19">
        <f t="shared" si="17"/>
        <v>8629.071388821465</v>
      </c>
      <c r="F55" s="21">
        <f t="shared" si="18"/>
        <v>1131535.8942596344</v>
      </c>
      <c r="G55" s="14"/>
      <c r="H55" s="14"/>
      <c r="I55" s="14"/>
    </row>
    <row r="56" spans="1:9" ht="15" x14ac:dyDescent="0.25">
      <c r="A56" s="16" t="s">
        <v>62</v>
      </c>
      <c r="B56" s="16"/>
      <c r="C56" s="17">
        <f>SUM(C44:C55)</f>
        <v>12478.656895366639</v>
      </c>
      <c r="D56" s="17">
        <f>SUM(D44:D55)</f>
        <v>91070.19977049093</v>
      </c>
      <c r="E56" s="14"/>
      <c r="F56" s="14"/>
      <c r="G56" s="14"/>
      <c r="H56" s="14"/>
      <c r="I56" s="14"/>
    </row>
    <row r="58" spans="1:9" x14ac:dyDescent="0.2">
      <c r="A58" s="15">
        <v>42736</v>
      </c>
      <c r="B58" s="19">
        <f>F55</f>
        <v>1131535.8942596344</v>
      </c>
      <c r="C58" s="19">
        <f>+E58-D58</f>
        <v>1085.4987604239013</v>
      </c>
      <c r="D58" s="19">
        <f>B58*$I$2</f>
        <v>7543.5726283975637</v>
      </c>
      <c r="E58" s="19">
        <f>-$I$8</f>
        <v>8629.071388821465</v>
      </c>
      <c r="F58" s="19">
        <f>B58-C58</f>
        <v>1130450.3954992106</v>
      </c>
    </row>
    <row r="59" spans="1:9" x14ac:dyDescent="0.2">
      <c r="A59" s="15">
        <v>42767</v>
      </c>
      <c r="B59" s="19">
        <f>+F58</f>
        <v>1130450.3954992106</v>
      </c>
      <c r="C59" s="19">
        <f t="shared" ref="C59:C69" si="20">+E59-D59</f>
        <v>1092.7354188267273</v>
      </c>
      <c r="D59" s="19">
        <f t="shared" ref="D59:D69" si="21">B59*$I$2</f>
        <v>7536.3359699947378</v>
      </c>
      <c r="E59" s="19">
        <f t="shared" ref="E59:E69" si="22">-$I$8</f>
        <v>8629.071388821465</v>
      </c>
      <c r="F59" s="19">
        <f t="shared" ref="F59:F69" si="23">B59-C59</f>
        <v>1129357.6600803838</v>
      </c>
    </row>
    <row r="60" spans="1:9" x14ac:dyDescent="0.2">
      <c r="A60" s="15">
        <v>42795</v>
      </c>
      <c r="B60" s="19">
        <f t="shared" ref="B60:B69" si="24">+F59</f>
        <v>1129357.6600803838</v>
      </c>
      <c r="C60" s="19">
        <f t="shared" si="20"/>
        <v>1100.0203216189057</v>
      </c>
      <c r="D60" s="19">
        <f t="shared" si="21"/>
        <v>7529.0510672025594</v>
      </c>
      <c r="E60" s="19">
        <f t="shared" si="22"/>
        <v>8629.071388821465</v>
      </c>
      <c r="F60" s="19">
        <f t="shared" si="23"/>
        <v>1128257.6397587648</v>
      </c>
    </row>
    <row r="61" spans="1:9" x14ac:dyDescent="0.2">
      <c r="A61" s="15">
        <v>42826</v>
      </c>
      <c r="B61" s="19">
        <f t="shared" si="24"/>
        <v>1128257.6397587648</v>
      </c>
      <c r="C61" s="19">
        <f t="shared" si="20"/>
        <v>1107.3537904296991</v>
      </c>
      <c r="D61" s="19">
        <f t="shared" si="21"/>
        <v>7521.7175983917659</v>
      </c>
      <c r="E61" s="19">
        <f t="shared" si="22"/>
        <v>8629.071388821465</v>
      </c>
      <c r="F61" s="19">
        <f t="shared" si="23"/>
        <v>1127150.2859683351</v>
      </c>
    </row>
    <row r="62" spans="1:9" x14ac:dyDescent="0.2">
      <c r="A62" s="15">
        <v>42856</v>
      </c>
      <c r="B62" s="19">
        <f t="shared" si="24"/>
        <v>1127150.2859683351</v>
      </c>
      <c r="C62" s="19">
        <f t="shared" si="20"/>
        <v>1114.7361490325638</v>
      </c>
      <c r="D62" s="19">
        <f t="shared" si="21"/>
        <v>7514.3352397889012</v>
      </c>
      <c r="E62" s="19">
        <f t="shared" si="22"/>
        <v>8629.071388821465</v>
      </c>
      <c r="F62" s="19">
        <f t="shared" si="23"/>
        <v>1126035.5498193025</v>
      </c>
    </row>
    <row r="63" spans="1:9" x14ac:dyDescent="0.2">
      <c r="A63" s="15">
        <v>42887</v>
      </c>
      <c r="B63" s="19">
        <f t="shared" si="24"/>
        <v>1126035.5498193025</v>
      </c>
      <c r="C63" s="19">
        <f t="shared" si="20"/>
        <v>1122.1677233594473</v>
      </c>
      <c r="D63" s="19">
        <f t="shared" si="21"/>
        <v>7506.9036654620177</v>
      </c>
      <c r="E63" s="19">
        <f t="shared" si="22"/>
        <v>8629.071388821465</v>
      </c>
      <c r="F63" s="19">
        <f t="shared" si="23"/>
        <v>1124913.382095943</v>
      </c>
    </row>
    <row r="64" spans="1:9" x14ac:dyDescent="0.2">
      <c r="A64" s="15">
        <v>42917</v>
      </c>
      <c r="B64" s="19">
        <f t="shared" si="24"/>
        <v>1124913.382095943</v>
      </c>
      <c r="C64" s="19">
        <f t="shared" si="20"/>
        <v>1129.648841515178</v>
      </c>
      <c r="D64" s="19">
        <f t="shared" si="21"/>
        <v>7499.422547306287</v>
      </c>
      <c r="E64" s="19">
        <f t="shared" si="22"/>
        <v>8629.071388821465</v>
      </c>
      <c r="F64" s="19">
        <f t="shared" si="23"/>
        <v>1123783.7332544278</v>
      </c>
    </row>
    <row r="65" spans="1:6" x14ac:dyDescent="0.2">
      <c r="A65" s="15">
        <v>42948</v>
      </c>
      <c r="B65" s="19">
        <f t="shared" si="24"/>
        <v>1123783.7332544278</v>
      </c>
      <c r="C65" s="19">
        <f t="shared" si="20"/>
        <v>1137.1798337919463</v>
      </c>
      <c r="D65" s="19">
        <f t="shared" si="21"/>
        <v>7491.8915550295187</v>
      </c>
      <c r="E65" s="19">
        <f t="shared" si="22"/>
        <v>8629.071388821465</v>
      </c>
      <c r="F65" s="19">
        <f t="shared" si="23"/>
        <v>1122646.5534206359</v>
      </c>
    </row>
    <row r="66" spans="1:6" x14ac:dyDescent="0.2">
      <c r="A66" s="15">
        <v>42979</v>
      </c>
      <c r="B66" s="19">
        <f t="shared" si="24"/>
        <v>1122646.5534206359</v>
      </c>
      <c r="C66" s="19">
        <f t="shared" si="20"/>
        <v>1144.7610326838922</v>
      </c>
      <c r="D66" s="19">
        <f t="shared" si="21"/>
        <v>7484.3103561375729</v>
      </c>
      <c r="E66" s="19">
        <f t="shared" si="22"/>
        <v>8629.071388821465</v>
      </c>
      <c r="F66" s="19">
        <f t="shared" si="23"/>
        <v>1121501.7923879519</v>
      </c>
    </row>
    <row r="67" spans="1:6" x14ac:dyDescent="0.2">
      <c r="A67" s="15">
        <v>43009</v>
      </c>
      <c r="B67" s="19">
        <f t="shared" si="24"/>
        <v>1121501.7923879519</v>
      </c>
      <c r="C67" s="19">
        <f t="shared" si="20"/>
        <v>1152.3927729017851</v>
      </c>
      <c r="D67" s="19">
        <f t="shared" si="21"/>
        <v>7476.6786159196799</v>
      </c>
      <c r="E67" s="19">
        <f t="shared" si="22"/>
        <v>8629.071388821465</v>
      </c>
      <c r="F67" s="19">
        <f t="shared" si="23"/>
        <v>1120349.3996150501</v>
      </c>
    </row>
    <row r="68" spans="1:6" x14ac:dyDescent="0.2">
      <c r="A68" s="15">
        <v>43040</v>
      </c>
      <c r="B68" s="19">
        <f t="shared" si="24"/>
        <v>1120349.3996150501</v>
      </c>
      <c r="C68" s="19">
        <f t="shared" si="20"/>
        <v>1160.075391387797</v>
      </c>
      <c r="D68" s="19">
        <f t="shared" si="21"/>
        <v>7468.995997433668</v>
      </c>
      <c r="E68" s="19">
        <f t="shared" si="22"/>
        <v>8629.071388821465</v>
      </c>
      <c r="F68" s="19">
        <f t="shared" si="23"/>
        <v>1119189.3242236623</v>
      </c>
    </row>
    <row r="69" spans="1:6" ht="15" x14ac:dyDescent="0.25">
      <c r="A69" s="15">
        <v>43070</v>
      </c>
      <c r="B69" s="19">
        <f t="shared" si="24"/>
        <v>1119189.3242236623</v>
      </c>
      <c r="C69" s="19">
        <f t="shared" si="20"/>
        <v>1167.8092273303828</v>
      </c>
      <c r="D69" s="19">
        <f t="shared" si="21"/>
        <v>7461.2621614910822</v>
      </c>
      <c r="E69" s="19">
        <f t="shared" si="22"/>
        <v>8629.071388821465</v>
      </c>
      <c r="F69" s="21">
        <f t="shared" si="23"/>
        <v>1118021.5149963319</v>
      </c>
    </row>
    <row r="70" spans="1:6" ht="15" x14ac:dyDescent="0.25">
      <c r="A70" s="16" t="s">
        <v>62</v>
      </c>
      <c r="B70" s="16"/>
      <c r="C70" s="17">
        <f>SUM(C58:C69)</f>
        <v>13514.379263302226</v>
      </c>
      <c r="D70" s="17">
        <f>SUM(D58:D69)</f>
        <v>90034.477402555349</v>
      </c>
      <c r="E70" s="14"/>
      <c r="F70" s="14"/>
    </row>
    <row r="72" spans="1:6" x14ac:dyDescent="0.2">
      <c r="A72" s="15">
        <v>43101</v>
      </c>
      <c r="B72" s="19">
        <f>F69</f>
        <v>1118021.5149963319</v>
      </c>
      <c r="C72" s="19">
        <f>+E72-D72</f>
        <v>1175.5946221792519</v>
      </c>
      <c r="D72" s="19">
        <f>B72*$I$2</f>
        <v>7453.4767666422131</v>
      </c>
      <c r="E72" s="19">
        <f>-$I$8</f>
        <v>8629.071388821465</v>
      </c>
      <c r="F72" s="19">
        <f>B72-C72</f>
        <v>1116845.9203741527</v>
      </c>
    </row>
    <row r="73" spans="1:6" x14ac:dyDescent="0.2">
      <c r="A73" s="15">
        <v>43132</v>
      </c>
      <c r="B73" s="19">
        <f>+F72</f>
        <v>1116845.9203741527</v>
      </c>
      <c r="C73" s="19">
        <f t="shared" ref="C73:C83" si="25">+E73-D73</f>
        <v>1183.4319196604465</v>
      </c>
      <c r="D73" s="19">
        <f t="shared" ref="D73:D83" si="26">B73*$I$2</f>
        <v>7445.6394691610185</v>
      </c>
      <c r="E73" s="19">
        <f t="shared" ref="E73:E83" si="27">-$I$8</f>
        <v>8629.071388821465</v>
      </c>
      <c r="F73" s="19">
        <f t="shared" ref="F73:F83" si="28">B73-C73</f>
        <v>1115662.4884544923</v>
      </c>
    </row>
    <row r="74" spans="1:6" x14ac:dyDescent="0.2">
      <c r="A74" s="15">
        <v>43160</v>
      </c>
      <c r="B74" s="19">
        <f t="shared" ref="B74:B83" si="29">+F73</f>
        <v>1115662.4884544923</v>
      </c>
      <c r="C74" s="19">
        <f t="shared" si="25"/>
        <v>1191.3214657915159</v>
      </c>
      <c r="D74" s="19">
        <f t="shared" si="26"/>
        <v>7437.7499230299491</v>
      </c>
      <c r="E74" s="19">
        <f t="shared" si="27"/>
        <v>8629.071388821465</v>
      </c>
      <c r="F74" s="19">
        <f t="shared" si="28"/>
        <v>1114471.1669887009</v>
      </c>
    </row>
    <row r="75" spans="1:6" x14ac:dyDescent="0.2">
      <c r="A75" s="15">
        <v>43191</v>
      </c>
      <c r="B75" s="19">
        <f t="shared" si="29"/>
        <v>1114471.1669887009</v>
      </c>
      <c r="C75" s="19">
        <f t="shared" si="25"/>
        <v>1199.263608896792</v>
      </c>
      <c r="D75" s="19">
        <f t="shared" si="26"/>
        <v>7429.807779924673</v>
      </c>
      <c r="E75" s="19">
        <f t="shared" si="27"/>
        <v>8629.071388821465</v>
      </c>
      <c r="F75" s="19">
        <f t="shared" si="28"/>
        <v>1113271.903379804</v>
      </c>
    </row>
    <row r="76" spans="1:6" x14ac:dyDescent="0.2">
      <c r="A76" s="15">
        <v>43221</v>
      </c>
      <c r="B76" s="19">
        <f t="shared" si="29"/>
        <v>1113271.903379804</v>
      </c>
      <c r="C76" s="19">
        <f t="shared" si="25"/>
        <v>1207.258699622771</v>
      </c>
      <c r="D76" s="19">
        <f t="shared" si="26"/>
        <v>7421.812689198694</v>
      </c>
      <c r="E76" s="19">
        <f t="shared" si="27"/>
        <v>8629.071388821465</v>
      </c>
      <c r="F76" s="19">
        <f t="shared" si="28"/>
        <v>1112064.6446801813</v>
      </c>
    </row>
    <row r="77" spans="1:6" x14ac:dyDescent="0.2">
      <c r="A77" s="15">
        <v>43252</v>
      </c>
      <c r="B77" s="19">
        <f t="shared" si="29"/>
        <v>1112064.6446801813</v>
      </c>
      <c r="C77" s="19">
        <f t="shared" si="25"/>
        <v>1215.3070909535891</v>
      </c>
      <c r="D77" s="19">
        <f t="shared" si="26"/>
        <v>7413.7642978678759</v>
      </c>
      <c r="E77" s="19">
        <f t="shared" si="27"/>
        <v>8629.071388821465</v>
      </c>
      <c r="F77" s="19">
        <f t="shared" si="28"/>
        <v>1110849.3375892276</v>
      </c>
    </row>
    <row r="78" spans="1:6" x14ac:dyDescent="0.2">
      <c r="A78" s="15">
        <v>43282</v>
      </c>
      <c r="B78" s="19">
        <f t="shared" si="29"/>
        <v>1110849.3375892276</v>
      </c>
      <c r="C78" s="19">
        <f t="shared" si="25"/>
        <v>1223.4091382266142</v>
      </c>
      <c r="D78" s="19">
        <f t="shared" si="26"/>
        <v>7405.6622505948508</v>
      </c>
      <c r="E78" s="19">
        <f t="shared" si="27"/>
        <v>8629.071388821465</v>
      </c>
      <c r="F78" s="19">
        <f t="shared" si="28"/>
        <v>1109625.9284510009</v>
      </c>
    </row>
    <row r="79" spans="1:6" x14ac:dyDescent="0.2">
      <c r="A79" s="15">
        <v>43313</v>
      </c>
      <c r="B79" s="19">
        <f t="shared" si="29"/>
        <v>1109625.9284510009</v>
      </c>
      <c r="C79" s="19">
        <f t="shared" si="25"/>
        <v>1231.5651991481245</v>
      </c>
      <c r="D79" s="19">
        <f t="shared" si="26"/>
        <v>7397.5061896733405</v>
      </c>
      <c r="E79" s="19">
        <f t="shared" si="27"/>
        <v>8629.071388821465</v>
      </c>
      <c r="F79" s="19">
        <f t="shared" si="28"/>
        <v>1108394.3632518528</v>
      </c>
    </row>
    <row r="80" spans="1:6" x14ac:dyDescent="0.2">
      <c r="A80" s="15">
        <v>43344</v>
      </c>
      <c r="B80" s="19">
        <f t="shared" si="29"/>
        <v>1108394.3632518528</v>
      </c>
      <c r="C80" s="19">
        <f t="shared" si="25"/>
        <v>1239.7756338091122</v>
      </c>
      <c r="D80" s="19">
        <f t="shared" si="26"/>
        <v>7389.2957550123529</v>
      </c>
      <c r="E80" s="19">
        <f t="shared" si="27"/>
        <v>8629.071388821465</v>
      </c>
      <c r="F80" s="19">
        <f t="shared" si="28"/>
        <v>1107154.5876180436</v>
      </c>
    </row>
    <row r="81" spans="1:6" x14ac:dyDescent="0.2">
      <c r="A81" s="15">
        <v>43374</v>
      </c>
      <c r="B81" s="19">
        <f t="shared" si="29"/>
        <v>1107154.5876180436</v>
      </c>
      <c r="C81" s="19">
        <f t="shared" si="25"/>
        <v>1248.0408047011733</v>
      </c>
      <c r="D81" s="19">
        <f t="shared" si="26"/>
        <v>7381.0305841202917</v>
      </c>
      <c r="E81" s="19">
        <f t="shared" si="27"/>
        <v>8629.071388821465</v>
      </c>
      <c r="F81" s="19">
        <f t="shared" si="28"/>
        <v>1105906.5468133425</v>
      </c>
    </row>
    <row r="82" spans="1:6" x14ac:dyDescent="0.2">
      <c r="A82" s="15">
        <v>43405</v>
      </c>
      <c r="B82" s="19">
        <f t="shared" si="29"/>
        <v>1105906.5468133425</v>
      </c>
      <c r="C82" s="19">
        <f t="shared" si="25"/>
        <v>1256.3610767325144</v>
      </c>
      <c r="D82" s="19">
        <f t="shared" si="26"/>
        <v>7372.7103120889506</v>
      </c>
      <c r="E82" s="19">
        <f t="shared" si="27"/>
        <v>8629.071388821465</v>
      </c>
      <c r="F82" s="19">
        <f t="shared" si="28"/>
        <v>1104650.1857366101</v>
      </c>
    </row>
    <row r="83" spans="1:6" ht="15" x14ac:dyDescent="0.25">
      <c r="A83" s="15">
        <v>43435</v>
      </c>
      <c r="B83" s="19">
        <f t="shared" si="29"/>
        <v>1104650.1857366101</v>
      </c>
      <c r="C83" s="19">
        <f t="shared" si="25"/>
        <v>1264.7368172440638</v>
      </c>
      <c r="D83" s="19">
        <f t="shared" si="26"/>
        <v>7364.3345715774012</v>
      </c>
      <c r="E83" s="19">
        <f t="shared" si="27"/>
        <v>8629.071388821465</v>
      </c>
      <c r="F83" s="21">
        <f t="shared" si="28"/>
        <v>1103385.4489193661</v>
      </c>
    </row>
    <row r="84" spans="1:6" ht="15" x14ac:dyDescent="0.25">
      <c r="A84" s="16" t="s">
        <v>62</v>
      </c>
      <c r="B84" s="16"/>
      <c r="C84" s="17">
        <f>SUM(C72:C83)</f>
        <v>14636.066076965972</v>
      </c>
      <c r="D84" s="17">
        <f>SUM(D72:D83)</f>
        <v>88912.790588891614</v>
      </c>
      <c r="E84" s="14"/>
      <c r="F84" s="14"/>
    </row>
    <row r="86" spans="1:6" x14ac:dyDescent="0.2">
      <c r="A86" s="15">
        <v>43466</v>
      </c>
      <c r="B86" s="19">
        <f>F83</f>
        <v>1103385.4489193661</v>
      </c>
      <c r="C86" s="19">
        <f>+E86-D86</f>
        <v>1273.1683960256905</v>
      </c>
      <c r="D86" s="19">
        <f>B86*$I$2</f>
        <v>7355.9029927957745</v>
      </c>
      <c r="E86" s="19">
        <f>-$I$8</f>
        <v>8629.071388821465</v>
      </c>
      <c r="F86" s="19">
        <f>B86-C86</f>
        <v>1102112.2805233405</v>
      </c>
    </row>
    <row r="87" spans="1:6" x14ac:dyDescent="0.2">
      <c r="A87" s="15">
        <v>43497</v>
      </c>
      <c r="B87" s="19">
        <f>+F86</f>
        <v>1102112.2805233405</v>
      </c>
      <c r="C87" s="19">
        <f t="shared" ref="C87:C97" si="30">+E87-D87</f>
        <v>1281.6561853325284</v>
      </c>
      <c r="D87" s="19">
        <f t="shared" ref="D87:D97" si="31">B87*$I$2</f>
        <v>7347.4152034889366</v>
      </c>
      <c r="E87" s="19">
        <f t="shared" ref="E87:E97" si="32">-$I$8</f>
        <v>8629.071388821465</v>
      </c>
      <c r="F87" s="19">
        <f t="shared" ref="F87:F97" si="33">B87-C87</f>
        <v>1100830.624338008</v>
      </c>
    </row>
    <row r="88" spans="1:6" x14ac:dyDescent="0.2">
      <c r="A88" s="15">
        <v>43525</v>
      </c>
      <c r="B88" s="19">
        <f t="shared" ref="B88:B97" si="34">+F87</f>
        <v>1100830.624338008</v>
      </c>
      <c r="C88" s="19">
        <f t="shared" si="30"/>
        <v>1290.200559901411</v>
      </c>
      <c r="D88" s="19">
        <f t="shared" si="31"/>
        <v>7338.870828920054</v>
      </c>
      <c r="E88" s="19">
        <f t="shared" si="32"/>
        <v>8629.071388821465</v>
      </c>
      <c r="F88" s="19">
        <f t="shared" si="33"/>
        <v>1099540.4237781067</v>
      </c>
    </row>
    <row r="89" spans="1:6" x14ac:dyDescent="0.2">
      <c r="A89" s="15">
        <v>43556</v>
      </c>
      <c r="B89" s="19">
        <f t="shared" si="34"/>
        <v>1099540.4237781067</v>
      </c>
      <c r="C89" s="19">
        <f t="shared" si="30"/>
        <v>1298.8018969674204</v>
      </c>
      <c r="D89" s="19">
        <f t="shared" si="31"/>
        <v>7330.2694918540446</v>
      </c>
      <c r="E89" s="19">
        <f t="shared" si="32"/>
        <v>8629.071388821465</v>
      </c>
      <c r="F89" s="19">
        <f t="shared" si="33"/>
        <v>1098241.6218811392</v>
      </c>
    </row>
    <row r="90" spans="1:6" x14ac:dyDescent="0.2">
      <c r="A90" s="15">
        <v>43586</v>
      </c>
      <c r="B90" s="19">
        <f t="shared" si="34"/>
        <v>1098241.6218811392</v>
      </c>
      <c r="C90" s="19">
        <f t="shared" si="30"/>
        <v>1307.4605762805368</v>
      </c>
      <c r="D90" s="19">
        <f t="shared" si="31"/>
        <v>7321.6108125409282</v>
      </c>
      <c r="E90" s="19">
        <f t="shared" si="32"/>
        <v>8629.071388821465</v>
      </c>
      <c r="F90" s="19">
        <f t="shared" si="33"/>
        <v>1096934.1613048587</v>
      </c>
    </row>
    <row r="91" spans="1:6" x14ac:dyDescent="0.2">
      <c r="A91" s="15">
        <v>43617</v>
      </c>
      <c r="B91" s="19">
        <f t="shared" si="34"/>
        <v>1096934.1613048587</v>
      </c>
      <c r="C91" s="19">
        <f t="shared" si="30"/>
        <v>1316.1769801224063</v>
      </c>
      <c r="D91" s="19">
        <f t="shared" si="31"/>
        <v>7312.8944086990587</v>
      </c>
      <c r="E91" s="19">
        <f t="shared" si="32"/>
        <v>8629.071388821465</v>
      </c>
      <c r="F91" s="19">
        <f t="shared" si="33"/>
        <v>1095617.9843247363</v>
      </c>
    </row>
    <row r="92" spans="1:6" x14ac:dyDescent="0.2">
      <c r="A92" s="15">
        <v>43647</v>
      </c>
      <c r="B92" s="19">
        <f t="shared" si="34"/>
        <v>1095617.9843247363</v>
      </c>
      <c r="C92" s="19">
        <f t="shared" si="30"/>
        <v>1324.9514933232222</v>
      </c>
      <c r="D92" s="19">
        <f t="shared" si="31"/>
        <v>7304.1198954982428</v>
      </c>
      <c r="E92" s="19">
        <f t="shared" si="32"/>
        <v>8629.071388821465</v>
      </c>
      <c r="F92" s="19">
        <f t="shared" si="33"/>
        <v>1094293.032831413</v>
      </c>
    </row>
    <row r="93" spans="1:6" x14ac:dyDescent="0.2">
      <c r="A93" s="15">
        <v>43678</v>
      </c>
      <c r="B93" s="19">
        <f t="shared" si="34"/>
        <v>1094293.032831413</v>
      </c>
      <c r="C93" s="19">
        <f t="shared" si="30"/>
        <v>1333.7845032787118</v>
      </c>
      <c r="D93" s="19">
        <f t="shared" si="31"/>
        <v>7295.2868855427532</v>
      </c>
      <c r="E93" s="19">
        <f t="shared" si="32"/>
        <v>8629.071388821465</v>
      </c>
      <c r="F93" s="19">
        <f t="shared" si="33"/>
        <v>1092959.2483281342</v>
      </c>
    </row>
    <row r="94" spans="1:6" x14ac:dyDescent="0.2">
      <c r="A94" s="15">
        <v>43709</v>
      </c>
      <c r="B94" s="19">
        <f t="shared" si="34"/>
        <v>1092959.2483281342</v>
      </c>
      <c r="C94" s="19">
        <f t="shared" si="30"/>
        <v>1342.6763999672366</v>
      </c>
      <c r="D94" s="19">
        <f t="shared" si="31"/>
        <v>7286.3949888542284</v>
      </c>
      <c r="E94" s="19">
        <f t="shared" si="32"/>
        <v>8629.071388821465</v>
      </c>
      <c r="F94" s="19">
        <f t="shared" si="33"/>
        <v>1091616.571928167</v>
      </c>
    </row>
    <row r="95" spans="1:6" x14ac:dyDescent="0.2">
      <c r="A95" s="15">
        <v>43739</v>
      </c>
      <c r="B95" s="19">
        <f t="shared" si="34"/>
        <v>1091616.571928167</v>
      </c>
      <c r="C95" s="19">
        <f t="shared" si="30"/>
        <v>1351.6275759670179</v>
      </c>
      <c r="D95" s="19">
        <f t="shared" si="31"/>
        <v>7277.4438128544471</v>
      </c>
      <c r="E95" s="19">
        <f t="shared" si="32"/>
        <v>8629.071388821465</v>
      </c>
      <c r="F95" s="19">
        <f t="shared" si="33"/>
        <v>1090264.9443522</v>
      </c>
    </row>
    <row r="96" spans="1:6" x14ac:dyDescent="0.2">
      <c r="A96" s="15">
        <v>43770</v>
      </c>
      <c r="B96" s="19">
        <f t="shared" si="34"/>
        <v>1090264.9443522</v>
      </c>
      <c r="C96" s="19">
        <f t="shared" si="30"/>
        <v>1360.6384264734643</v>
      </c>
      <c r="D96" s="19">
        <f t="shared" si="31"/>
        <v>7268.4329623480007</v>
      </c>
      <c r="E96" s="19">
        <f t="shared" si="32"/>
        <v>8629.071388821465</v>
      </c>
      <c r="F96" s="19">
        <f t="shared" si="33"/>
        <v>1088904.3059257267</v>
      </c>
    </row>
    <row r="97" spans="1:6" ht="15" x14ac:dyDescent="0.25">
      <c r="A97" s="15">
        <v>43800</v>
      </c>
      <c r="B97" s="19">
        <f t="shared" si="34"/>
        <v>1088904.3059257267</v>
      </c>
      <c r="C97" s="19">
        <f t="shared" si="30"/>
        <v>1369.7093493166203</v>
      </c>
      <c r="D97" s="19">
        <f t="shared" si="31"/>
        <v>7259.3620395048447</v>
      </c>
      <c r="E97" s="19">
        <f t="shared" si="32"/>
        <v>8629.071388821465</v>
      </c>
      <c r="F97" s="21">
        <f t="shared" si="33"/>
        <v>1087534.5965764101</v>
      </c>
    </row>
    <row r="98" spans="1:6" ht="15" x14ac:dyDescent="0.25">
      <c r="A98" s="16" t="s">
        <v>62</v>
      </c>
      <c r="B98" s="16"/>
      <c r="C98" s="17">
        <f>SUM(C86:C97)</f>
        <v>15850.852342956267</v>
      </c>
      <c r="D98" s="17">
        <f>SUM(D86:D97)</f>
        <v>87698.00432290131</v>
      </c>
      <c r="E98" s="14"/>
      <c r="F98" s="14"/>
    </row>
    <row r="100" spans="1:6" x14ac:dyDescent="0.2">
      <c r="A100" s="15">
        <v>43831</v>
      </c>
      <c r="B100" s="19">
        <f>F97</f>
        <v>1087534.5965764101</v>
      </c>
      <c r="C100" s="19">
        <f>+E100-D100</f>
        <v>1378.8407449787301</v>
      </c>
      <c r="D100" s="19">
        <f>B100*$I$2</f>
        <v>7250.2306438427349</v>
      </c>
      <c r="E100" s="19">
        <f>-$I$8</f>
        <v>8629.071388821465</v>
      </c>
      <c r="F100" s="19">
        <f>B100-C100</f>
        <v>1086155.7558314314</v>
      </c>
    </row>
    <row r="101" spans="1:6" x14ac:dyDescent="0.2">
      <c r="A101" s="15">
        <v>43862</v>
      </c>
      <c r="B101" s="19">
        <f>+F100</f>
        <v>1086155.7558314314</v>
      </c>
      <c r="C101" s="19">
        <f t="shared" ref="C101:C111" si="35">+E101-D101</f>
        <v>1388.033016611922</v>
      </c>
      <c r="D101" s="19">
        <f t="shared" ref="D101:D111" si="36">B101*$I$2</f>
        <v>7241.038372209543</v>
      </c>
      <c r="E101" s="19">
        <f t="shared" ref="E101:E111" si="37">-$I$8</f>
        <v>8629.071388821465</v>
      </c>
      <c r="F101" s="19">
        <f t="shared" ref="F101:F111" si="38">B101-C101</f>
        <v>1084767.7228148195</v>
      </c>
    </row>
    <row r="102" spans="1:6" x14ac:dyDescent="0.2">
      <c r="A102" s="15">
        <v>43891</v>
      </c>
      <c r="B102" s="19">
        <f t="shared" ref="B102:B111" si="39">+F101</f>
        <v>1084767.7228148195</v>
      </c>
      <c r="C102" s="19">
        <f t="shared" si="35"/>
        <v>1397.2865700560005</v>
      </c>
      <c r="D102" s="19">
        <f t="shared" si="36"/>
        <v>7231.7848187654645</v>
      </c>
      <c r="E102" s="19">
        <f t="shared" si="37"/>
        <v>8629.071388821465</v>
      </c>
      <c r="F102" s="19">
        <f t="shared" si="38"/>
        <v>1083370.4362447634</v>
      </c>
    </row>
    <row r="103" spans="1:6" x14ac:dyDescent="0.2">
      <c r="A103" s="15">
        <v>43922</v>
      </c>
      <c r="B103" s="19">
        <f t="shared" si="39"/>
        <v>1083370.4362447634</v>
      </c>
      <c r="C103" s="19">
        <f t="shared" si="35"/>
        <v>1406.601813856375</v>
      </c>
      <c r="D103" s="19">
        <f t="shared" si="36"/>
        <v>7222.46957496509</v>
      </c>
      <c r="E103" s="19">
        <f t="shared" si="37"/>
        <v>8629.071388821465</v>
      </c>
      <c r="F103" s="19">
        <f t="shared" si="38"/>
        <v>1081963.8344309072</v>
      </c>
    </row>
    <row r="104" spans="1:6" x14ac:dyDescent="0.2">
      <c r="A104" s="15">
        <v>43952</v>
      </c>
      <c r="B104" s="19">
        <f t="shared" si="39"/>
        <v>1081963.8344309072</v>
      </c>
      <c r="C104" s="19">
        <f t="shared" si="35"/>
        <v>1415.9791592820839</v>
      </c>
      <c r="D104" s="19">
        <f t="shared" si="36"/>
        <v>7213.0922295393812</v>
      </c>
      <c r="E104" s="19">
        <f t="shared" si="37"/>
        <v>8629.071388821465</v>
      </c>
      <c r="F104" s="19">
        <f t="shared" si="38"/>
        <v>1080547.8552716251</v>
      </c>
    </row>
    <row r="105" spans="1:6" x14ac:dyDescent="0.2">
      <c r="A105" s="15">
        <v>43983</v>
      </c>
      <c r="B105" s="19">
        <f t="shared" si="39"/>
        <v>1080547.8552716251</v>
      </c>
      <c r="C105" s="19">
        <f t="shared" si="35"/>
        <v>1425.4190203439639</v>
      </c>
      <c r="D105" s="19">
        <f t="shared" si="36"/>
        <v>7203.6523684775011</v>
      </c>
      <c r="E105" s="19">
        <f t="shared" si="37"/>
        <v>8629.071388821465</v>
      </c>
      <c r="F105" s="19">
        <f t="shared" si="38"/>
        <v>1079122.4362512811</v>
      </c>
    </row>
    <row r="106" spans="1:6" x14ac:dyDescent="0.2">
      <c r="A106" s="15">
        <v>44013</v>
      </c>
      <c r="B106" s="19">
        <f t="shared" si="39"/>
        <v>1079122.4362512811</v>
      </c>
      <c r="C106" s="19">
        <f t="shared" si="35"/>
        <v>1434.9218138129245</v>
      </c>
      <c r="D106" s="19">
        <f t="shared" si="36"/>
        <v>7194.1495750085405</v>
      </c>
      <c r="E106" s="19">
        <f t="shared" si="37"/>
        <v>8629.071388821465</v>
      </c>
      <c r="F106" s="19">
        <f t="shared" si="38"/>
        <v>1077687.514437468</v>
      </c>
    </row>
    <row r="107" spans="1:6" x14ac:dyDescent="0.2">
      <c r="A107" s="15">
        <v>44044</v>
      </c>
      <c r="B107" s="19">
        <f t="shared" si="39"/>
        <v>1077687.514437468</v>
      </c>
      <c r="C107" s="19">
        <f t="shared" si="35"/>
        <v>1444.487959238344</v>
      </c>
      <c r="D107" s="19">
        <f t="shared" si="36"/>
        <v>7184.583429583121</v>
      </c>
      <c r="E107" s="19">
        <f t="shared" si="37"/>
        <v>8629.071388821465</v>
      </c>
      <c r="F107" s="19">
        <f t="shared" si="38"/>
        <v>1076243.0264782298</v>
      </c>
    </row>
    <row r="108" spans="1:6" x14ac:dyDescent="0.2">
      <c r="A108" s="15">
        <v>44075</v>
      </c>
      <c r="B108" s="19">
        <f t="shared" si="39"/>
        <v>1076243.0264782298</v>
      </c>
      <c r="C108" s="19">
        <f t="shared" si="35"/>
        <v>1454.1178789665992</v>
      </c>
      <c r="D108" s="19">
        <f t="shared" si="36"/>
        <v>7174.9535098548658</v>
      </c>
      <c r="E108" s="19">
        <f t="shared" si="37"/>
        <v>8629.071388821465</v>
      </c>
      <c r="F108" s="19">
        <f t="shared" si="38"/>
        <v>1074788.9085992633</v>
      </c>
    </row>
    <row r="109" spans="1:6" x14ac:dyDescent="0.2">
      <c r="A109" s="15">
        <v>44105</v>
      </c>
      <c r="B109" s="19">
        <f t="shared" si="39"/>
        <v>1074788.9085992633</v>
      </c>
      <c r="C109" s="19">
        <f t="shared" si="35"/>
        <v>1463.8119981597092</v>
      </c>
      <c r="D109" s="19">
        <f t="shared" si="36"/>
        <v>7165.2593906617558</v>
      </c>
      <c r="E109" s="19">
        <f t="shared" si="37"/>
        <v>8629.071388821465</v>
      </c>
      <c r="F109" s="19">
        <f t="shared" si="38"/>
        <v>1073325.0966011037</v>
      </c>
    </row>
    <row r="110" spans="1:6" x14ac:dyDescent="0.2">
      <c r="A110" s="15">
        <v>44136</v>
      </c>
      <c r="B110" s="19">
        <f t="shared" si="39"/>
        <v>1073325.0966011037</v>
      </c>
      <c r="C110" s="19">
        <f t="shared" si="35"/>
        <v>1473.5707448141065</v>
      </c>
      <c r="D110" s="19">
        <f t="shared" si="36"/>
        <v>7155.5006440073585</v>
      </c>
      <c r="E110" s="19">
        <f t="shared" si="37"/>
        <v>8629.071388821465</v>
      </c>
      <c r="F110" s="19">
        <f t="shared" si="38"/>
        <v>1071851.5258562895</v>
      </c>
    </row>
    <row r="111" spans="1:6" ht="15" x14ac:dyDescent="0.25">
      <c r="A111" s="15">
        <v>44166</v>
      </c>
      <c r="B111" s="19">
        <f t="shared" si="39"/>
        <v>1071851.5258562895</v>
      </c>
      <c r="C111" s="19">
        <f t="shared" si="35"/>
        <v>1483.3945497795339</v>
      </c>
      <c r="D111" s="19">
        <f t="shared" si="36"/>
        <v>7145.6768390419311</v>
      </c>
      <c r="E111" s="19">
        <f t="shared" si="37"/>
        <v>8629.071388821465</v>
      </c>
      <c r="F111" s="21">
        <f t="shared" si="38"/>
        <v>1070368.13130651</v>
      </c>
    </row>
    <row r="112" spans="1:6" ht="15" x14ac:dyDescent="0.25">
      <c r="A112" s="16" t="s">
        <v>62</v>
      </c>
      <c r="B112" s="16"/>
      <c r="C112" s="17">
        <f>SUM(C100:C111)</f>
        <v>17166.465269900298</v>
      </c>
      <c r="D112" s="17">
        <f>SUM(D100:D111)</f>
        <v>86382.391395957296</v>
      </c>
      <c r="E112" s="14"/>
      <c r="F112" s="14"/>
    </row>
    <row r="114" spans="1:6" x14ac:dyDescent="0.2">
      <c r="A114" s="15">
        <v>44197</v>
      </c>
      <c r="B114" s="19">
        <f>F111</f>
        <v>1070368.13130651</v>
      </c>
      <c r="C114" s="19">
        <f>+E114-D114</f>
        <v>1493.2838467780648</v>
      </c>
      <c r="D114" s="19">
        <f>B114*$I$2</f>
        <v>7135.7875420434002</v>
      </c>
      <c r="E114" s="19">
        <f>-$I$8</f>
        <v>8629.071388821465</v>
      </c>
      <c r="F114" s="19">
        <f>B114-C114</f>
        <v>1068874.8474597319</v>
      </c>
    </row>
    <row r="115" spans="1:6" x14ac:dyDescent="0.2">
      <c r="A115" s="15">
        <v>44228</v>
      </c>
      <c r="B115" s="19">
        <f>+F114</f>
        <v>1068874.8474597319</v>
      </c>
      <c r="C115" s="19">
        <f t="shared" ref="C115:C125" si="40">+E115-D115</f>
        <v>1503.2390724232519</v>
      </c>
      <c r="D115" s="19">
        <f t="shared" ref="D115:D125" si="41">B115*$I$2</f>
        <v>7125.8323163982132</v>
      </c>
      <c r="E115" s="19">
        <f t="shared" ref="E115:E125" si="42">-$I$8</f>
        <v>8629.071388821465</v>
      </c>
      <c r="F115" s="19">
        <f t="shared" ref="F115:F125" si="43">B115-C115</f>
        <v>1067371.6083873087</v>
      </c>
    </row>
    <row r="116" spans="1:6" x14ac:dyDescent="0.2">
      <c r="A116" s="15">
        <v>44256</v>
      </c>
      <c r="B116" s="19">
        <f t="shared" ref="B116:B125" si="44">+F115</f>
        <v>1067371.6083873087</v>
      </c>
      <c r="C116" s="19">
        <f t="shared" si="40"/>
        <v>1513.2606662394064</v>
      </c>
      <c r="D116" s="19">
        <f t="shared" si="41"/>
        <v>7115.8107225820586</v>
      </c>
      <c r="E116" s="19">
        <f t="shared" si="42"/>
        <v>8629.071388821465</v>
      </c>
      <c r="F116" s="19">
        <f t="shared" si="43"/>
        <v>1065858.3477210694</v>
      </c>
    </row>
    <row r="117" spans="1:6" x14ac:dyDescent="0.2">
      <c r="A117" s="15">
        <v>44287</v>
      </c>
      <c r="B117" s="19">
        <f t="shared" si="44"/>
        <v>1065858.3477210694</v>
      </c>
      <c r="C117" s="19">
        <f t="shared" si="40"/>
        <v>1523.3490706810026</v>
      </c>
      <c r="D117" s="19">
        <f t="shared" si="41"/>
        <v>7105.7223181404624</v>
      </c>
      <c r="E117" s="19">
        <f t="shared" si="42"/>
        <v>8629.071388821465</v>
      </c>
      <c r="F117" s="19">
        <f t="shared" si="43"/>
        <v>1064334.9986503883</v>
      </c>
    </row>
    <row r="118" spans="1:6" x14ac:dyDescent="0.2">
      <c r="A118" s="15">
        <v>44317</v>
      </c>
      <c r="B118" s="19">
        <f t="shared" si="44"/>
        <v>1064334.9986503883</v>
      </c>
      <c r="C118" s="19">
        <f t="shared" si="40"/>
        <v>1533.5047311522094</v>
      </c>
      <c r="D118" s="19">
        <f t="shared" si="41"/>
        <v>7095.5666576692556</v>
      </c>
      <c r="E118" s="19">
        <f t="shared" si="42"/>
        <v>8629.071388821465</v>
      </c>
      <c r="F118" s="19">
        <f t="shared" si="43"/>
        <v>1062801.4939192361</v>
      </c>
    </row>
    <row r="119" spans="1:6" x14ac:dyDescent="0.2">
      <c r="A119" s="15">
        <v>44348</v>
      </c>
      <c r="B119" s="19">
        <f t="shared" si="44"/>
        <v>1062801.4939192361</v>
      </c>
      <c r="C119" s="19">
        <f t="shared" si="40"/>
        <v>1543.7280960265571</v>
      </c>
      <c r="D119" s="19">
        <f t="shared" si="41"/>
        <v>7085.3432927949079</v>
      </c>
      <c r="E119" s="19">
        <f t="shared" si="42"/>
        <v>8629.071388821465</v>
      </c>
      <c r="F119" s="19">
        <f t="shared" si="43"/>
        <v>1061257.7658232097</v>
      </c>
    </row>
    <row r="120" spans="1:6" x14ac:dyDescent="0.2">
      <c r="A120" s="15">
        <v>44378</v>
      </c>
      <c r="B120" s="19">
        <f t="shared" si="44"/>
        <v>1061257.7658232097</v>
      </c>
      <c r="C120" s="19">
        <f t="shared" si="40"/>
        <v>1554.0196166667338</v>
      </c>
      <c r="D120" s="19">
        <f t="shared" si="41"/>
        <v>7075.0517721547312</v>
      </c>
      <c r="E120" s="19">
        <f t="shared" si="42"/>
        <v>8629.071388821465</v>
      </c>
      <c r="F120" s="19">
        <f t="shared" si="43"/>
        <v>1059703.7462065429</v>
      </c>
    </row>
    <row r="121" spans="1:6" x14ac:dyDescent="0.2">
      <c r="A121" s="15">
        <v>44409</v>
      </c>
      <c r="B121" s="19">
        <f t="shared" si="44"/>
        <v>1059703.7462065429</v>
      </c>
      <c r="C121" s="19">
        <f t="shared" si="40"/>
        <v>1564.3797474445118</v>
      </c>
      <c r="D121" s="19">
        <f t="shared" si="41"/>
        <v>7064.6916413769532</v>
      </c>
      <c r="E121" s="19">
        <f t="shared" si="42"/>
        <v>8629.071388821465</v>
      </c>
      <c r="F121" s="19">
        <f t="shared" si="43"/>
        <v>1058139.3664590984</v>
      </c>
    </row>
    <row r="122" spans="1:6" x14ac:dyDescent="0.2">
      <c r="A122" s="15">
        <v>44440</v>
      </c>
      <c r="B122" s="19">
        <f t="shared" si="44"/>
        <v>1058139.3664590984</v>
      </c>
      <c r="C122" s="19">
        <f t="shared" si="40"/>
        <v>1574.8089457608085</v>
      </c>
      <c r="D122" s="19">
        <f t="shared" si="41"/>
        <v>7054.2624430606566</v>
      </c>
      <c r="E122" s="19">
        <f t="shared" si="42"/>
        <v>8629.071388821465</v>
      </c>
      <c r="F122" s="19">
        <f t="shared" si="43"/>
        <v>1056564.5575133376</v>
      </c>
    </row>
    <row r="123" spans="1:6" x14ac:dyDescent="0.2">
      <c r="A123" s="15">
        <v>44470</v>
      </c>
      <c r="B123" s="19">
        <f t="shared" si="44"/>
        <v>1056564.5575133376</v>
      </c>
      <c r="C123" s="19">
        <f t="shared" si="40"/>
        <v>1585.307672065881</v>
      </c>
      <c r="D123" s="19">
        <f t="shared" si="41"/>
        <v>7043.763716755584</v>
      </c>
      <c r="E123" s="19">
        <f t="shared" si="42"/>
        <v>8629.071388821465</v>
      </c>
      <c r="F123" s="19">
        <f t="shared" si="43"/>
        <v>1054979.2498412717</v>
      </c>
    </row>
    <row r="124" spans="1:6" x14ac:dyDescent="0.2">
      <c r="A124" s="15">
        <v>44501</v>
      </c>
      <c r="B124" s="19">
        <f t="shared" si="44"/>
        <v>1054979.2498412717</v>
      </c>
      <c r="C124" s="19">
        <f t="shared" si="40"/>
        <v>1595.8763898796533</v>
      </c>
      <c r="D124" s="19">
        <f t="shared" si="41"/>
        <v>7033.1949989418117</v>
      </c>
      <c r="E124" s="19">
        <f t="shared" si="42"/>
        <v>8629.071388821465</v>
      </c>
      <c r="F124" s="19">
        <f t="shared" si="43"/>
        <v>1053383.3734513919</v>
      </c>
    </row>
    <row r="125" spans="1:6" ht="15" x14ac:dyDescent="0.25">
      <c r="A125" s="15">
        <v>44531</v>
      </c>
      <c r="B125" s="19">
        <f t="shared" si="44"/>
        <v>1053383.3734513919</v>
      </c>
      <c r="C125" s="19">
        <f t="shared" si="40"/>
        <v>1606.5155658121848</v>
      </c>
      <c r="D125" s="19">
        <f t="shared" si="41"/>
        <v>7022.5558230092802</v>
      </c>
      <c r="E125" s="19">
        <f t="shared" si="42"/>
        <v>8629.071388821465</v>
      </c>
      <c r="F125" s="21">
        <f t="shared" si="43"/>
        <v>1051776.8578855798</v>
      </c>
    </row>
    <row r="126" spans="1:6" ht="15" x14ac:dyDescent="0.25">
      <c r="A126" s="16" t="s">
        <v>62</v>
      </c>
      <c r="B126" s="16"/>
      <c r="C126" s="17">
        <f>SUM(C114:C125)</f>
        <v>18591.273420930262</v>
      </c>
      <c r="D126" s="17">
        <f>SUM(D114:D125)</f>
        <v>84957.583244927315</v>
      </c>
      <c r="E126" s="14"/>
      <c r="F126" s="14"/>
    </row>
    <row r="128" spans="1:6" x14ac:dyDescent="0.2">
      <c r="A128" s="15">
        <v>44562</v>
      </c>
      <c r="B128" s="19">
        <f>F125</f>
        <v>1051776.8578855798</v>
      </c>
      <c r="C128" s="19">
        <f>+E128-D128</f>
        <v>1617.2256695842661</v>
      </c>
      <c r="D128" s="19">
        <f>B128*$I$2</f>
        <v>7011.8457192371989</v>
      </c>
      <c r="E128" s="19">
        <f>-$I$8</f>
        <v>8629.071388821465</v>
      </c>
      <c r="F128" s="19">
        <f>B128-C128</f>
        <v>1050159.6322159956</v>
      </c>
    </row>
    <row r="129" spans="1:6" x14ac:dyDescent="0.2">
      <c r="A129" s="15">
        <v>44593</v>
      </c>
      <c r="B129" s="19">
        <f>+F128</f>
        <v>1050159.6322159956</v>
      </c>
      <c r="C129" s="19">
        <f t="shared" ref="C129:C139" si="45">+E129-D129</f>
        <v>1628.0071740481608</v>
      </c>
      <c r="D129" s="19">
        <f t="shared" ref="D129:D139" si="46">B129*$I$2</f>
        <v>7001.0642147733042</v>
      </c>
      <c r="E129" s="19">
        <f t="shared" ref="E129:E139" si="47">-$I$8</f>
        <v>8629.071388821465</v>
      </c>
      <c r="F129" s="19">
        <f t="shared" ref="F129:F139" si="48">B129-C129</f>
        <v>1048531.6250419475</v>
      </c>
    </row>
    <row r="130" spans="1:6" x14ac:dyDescent="0.2">
      <c r="A130" s="15">
        <v>44621</v>
      </c>
      <c r="B130" s="19">
        <f t="shared" ref="B130:B139" si="49">+F129</f>
        <v>1048531.6250419475</v>
      </c>
      <c r="C130" s="19">
        <f t="shared" si="45"/>
        <v>1638.8605552084819</v>
      </c>
      <c r="D130" s="19">
        <f t="shared" si="46"/>
        <v>6990.2108336129832</v>
      </c>
      <c r="E130" s="19">
        <f t="shared" si="47"/>
        <v>8629.071388821465</v>
      </c>
      <c r="F130" s="19">
        <f t="shared" si="48"/>
        <v>1046892.7644867389</v>
      </c>
    </row>
    <row r="131" spans="1:6" x14ac:dyDescent="0.2">
      <c r="A131" s="15">
        <v>44652</v>
      </c>
      <c r="B131" s="19">
        <f t="shared" si="49"/>
        <v>1046892.7644867389</v>
      </c>
      <c r="C131" s="19">
        <f t="shared" si="45"/>
        <v>1649.786292243205</v>
      </c>
      <c r="D131" s="19">
        <f t="shared" si="46"/>
        <v>6979.28509657826</v>
      </c>
      <c r="E131" s="19">
        <f t="shared" si="47"/>
        <v>8629.071388821465</v>
      </c>
      <c r="F131" s="19">
        <f t="shared" si="48"/>
        <v>1045242.9781944958</v>
      </c>
    </row>
    <row r="132" spans="1:6" x14ac:dyDescent="0.2">
      <c r="A132" s="15">
        <v>44682</v>
      </c>
      <c r="B132" s="19">
        <f t="shared" si="49"/>
        <v>1045242.9781944958</v>
      </c>
      <c r="C132" s="19">
        <f t="shared" si="45"/>
        <v>1660.784867524826</v>
      </c>
      <c r="D132" s="19">
        <f t="shared" si="46"/>
        <v>6968.286521296639</v>
      </c>
      <c r="E132" s="19">
        <f t="shared" si="47"/>
        <v>8629.071388821465</v>
      </c>
      <c r="F132" s="19">
        <f t="shared" si="48"/>
        <v>1043582.1933269709</v>
      </c>
    </row>
    <row r="133" spans="1:6" x14ac:dyDescent="0.2">
      <c r="A133" s="15">
        <v>44713</v>
      </c>
      <c r="B133" s="19">
        <f t="shared" si="49"/>
        <v>1043582.1933269709</v>
      </c>
      <c r="C133" s="19">
        <f t="shared" si="45"/>
        <v>1671.8567666416584</v>
      </c>
      <c r="D133" s="19">
        <f t="shared" si="46"/>
        <v>6957.2146221798066</v>
      </c>
      <c r="E133" s="19">
        <f t="shared" si="47"/>
        <v>8629.071388821465</v>
      </c>
      <c r="F133" s="19">
        <f t="shared" si="48"/>
        <v>1041910.3365603293</v>
      </c>
    </row>
    <row r="134" spans="1:6" x14ac:dyDescent="0.2">
      <c r="A134" s="15">
        <v>44743</v>
      </c>
      <c r="B134" s="19">
        <f t="shared" si="49"/>
        <v>1041910.3365603293</v>
      </c>
      <c r="C134" s="19">
        <f t="shared" si="45"/>
        <v>1683.0024784192692</v>
      </c>
      <c r="D134" s="19">
        <f t="shared" si="46"/>
        <v>6946.0689104021958</v>
      </c>
      <c r="E134" s="19">
        <f t="shared" si="47"/>
        <v>8629.071388821465</v>
      </c>
      <c r="F134" s="19">
        <f t="shared" si="48"/>
        <v>1040227.3340819101</v>
      </c>
    </row>
    <row r="135" spans="1:6" x14ac:dyDescent="0.2">
      <c r="A135" s="15">
        <v>44774</v>
      </c>
      <c r="B135" s="19">
        <f t="shared" si="49"/>
        <v>1040227.3340819101</v>
      </c>
      <c r="C135" s="19">
        <f t="shared" si="45"/>
        <v>1694.2224949420643</v>
      </c>
      <c r="D135" s="19">
        <f t="shared" si="46"/>
        <v>6934.8488938794007</v>
      </c>
      <c r="E135" s="19">
        <f t="shared" si="47"/>
        <v>8629.071388821465</v>
      </c>
      <c r="F135" s="19">
        <f t="shared" si="48"/>
        <v>1038533.1115869681</v>
      </c>
    </row>
    <row r="136" spans="1:6" x14ac:dyDescent="0.2">
      <c r="A136" s="15">
        <v>44805</v>
      </c>
      <c r="B136" s="19">
        <f t="shared" si="49"/>
        <v>1038533.1115869681</v>
      </c>
      <c r="C136" s="19">
        <f t="shared" si="45"/>
        <v>1705.5173115750104</v>
      </c>
      <c r="D136" s="19">
        <f t="shared" si="46"/>
        <v>6923.5540772464547</v>
      </c>
      <c r="E136" s="19">
        <f t="shared" si="47"/>
        <v>8629.071388821465</v>
      </c>
      <c r="F136" s="19">
        <f t="shared" si="48"/>
        <v>1036827.5942753931</v>
      </c>
    </row>
    <row r="137" spans="1:6" x14ac:dyDescent="0.2">
      <c r="A137" s="15">
        <v>44835</v>
      </c>
      <c r="B137" s="19">
        <f t="shared" si="49"/>
        <v>1036827.5942753931</v>
      </c>
      <c r="C137" s="19">
        <f t="shared" si="45"/>
        <v>1716.8874269855105</v>
      </c>
      <c r="D137" s="19">
        <f t="shared" si="46"/>
        <v>6912.1839618359545</v>
      </c>
      <c r="E137" s="19">
        <f t="shared" si="47"/>
        <v>8629.071388821465</v>
      </c>
      <c r="F137" s="19">
        <f t="shared" si="48"/>
        <v>1035110.7068484075</v>
      </c>
    </row>
    <row r="138" spans="1:6" x14ac:dyDescent="0.2">
      <c r="A138" s="15">
        <v>44866</v>
      </c>
      <c r="B138" s="19">
        <f t="shared" si="49"/>
        <v>1035110.7068484075</v>
      </c>
      <c r="C138" s="19">
        <f t="shared" si="45"/>
        <v>1728.3333431654146</v>
      </c>
      <c r="D138" s="19">
        <f t="shared" si="46"/>
        <v>6900.7380456560504</v>
      </c>
      <c r="E138" s="19">
        <f t="shared" si="47"/>
        <v>8629.071388821465</v>
      </c>
      <c r="F138" s="19">
        <f t="shared" si="48"/>
        <v>1033382.3735052421</v>
      </c>
    </row>
    <row r="139" spans="1:6" ht="15" x14ac:dyDescent="0.25">
      <c r="A139" s="15">
        <v>44896</v>
      </c>
      <c r="B139" s="19">
        <f t="shared" si="49"/>
        <v>1033382.3735052421</v>
      </c>
      <c r="C139" s="19">
        <f t="shared" si="45"/>
        <v>1739.8555654531838</v>
      </c>
      <c r="D139" s="19">
        <f t="shared" si="46"/>
        <v>6889.2158233682812</v>
      </c>
      <c r="E139" s="19">
        <f t="shared" si="47"/>
        <v>8629.071388821465</v>
      </c>
      <c r="F139" s="21">
        <f t="shared" si="48"/>
        <v>1031642.5179397889</v>
      </c>
    </row>
    <row r="140" spans="1:6" ht="15" x14ac:dyDescent="0.25">
      <c r="A140" s="16" t="s">
        <v>62</v>
      </c>
      <c r="B140" s="16"/>
      <c r="C140" s="17">
        <f>SUM(C128:C139)</f>
        <v>20134.339945791053</v>
      </c>
      <c r="D140" s="17">
        <f>SUM(D128:D139)</f>
        <v>83414.516720066531</v>
      </c>
      <c r="E140" s="14"/>
      <c r="F140" s="14"/>
    </row>
    <row r="142" spans="1:6" x14ac:dyDescent="0.2">
      <c r="A142" s="15">
        <v>44927</v>
      </c>
      <c r="B142" s="19">
        <f>F139</f>
        <v>1031642.5179397889</v>
      </c>
      <c r="C142" s="19">
        <f>+E142-D142</f>
        <v>1751.4546025562058</v>
      </c>
      <c r="D142" s="19">
        <f>B142*$I$2</f>
        <v>6877.6167862652592</v>
      </c>
      <c r="E142" s="19">
        <f>-$I$8</f>
        <v>8629.071388821465</v>
      </c>
      <c r="F142" s="19">
        <f>B142-C142</f>
        <v>1029891.0633372327</v>
      </c>
    </row>
    <row r="143" spans="1:6" x14ac:dyDescent="0.2">
      <c r="A143" s="15">
        <v>44958</v>
      </c>
      <c r="B143" s="19">
        <f>+F142</f>
        <v>1029891.0633372327</v>
      </c>
      <c r="C143" s="19">
        <f t="shared" ref="C143:C153" si="50">+E143-D143</f>
        <v>1763.130966573247</v>
      </c>
      <c r="D143" s="19">
        <f t="shared" ref="D143:D153" si="51">B143*$I$2</f>
        <v>6865.9404222482181</v>
      </c>
      <c r="E143" s="19">
        <f t="shared" ref="E143:E153" si="52">-$I$8</f>
        <v>8629.071388821465</v>
      </c>
      <c r="F143" s="19">
        <f t="shared" ref="F143:F153" si="53">B143-C143</f>
        <v>1028127.9323706594</v>
      </c>
    </row>
    <row r="144" spans="1:6" x14ac:dyDescent="0.2">
      <c r="A144" s="15">
        <v>44986</v>
      </c>
      <c r="B144" s="19">
        <f t="shared" ref="B144:B153" si="54">+F143</f>
        <v>1028127.9323706594</v>
      </c>
      <c r="C144" s="19">
        <f t="shared" si="50"/>
        <v>1774.8851730170682</v>
      </c>
      <c r="D144" s="19">
        <f t="shared" si="51"/>
        <v>6854.1862158043969</v>
      </c>
      <c r="E144" s="19">
        <f t="shared" si="52"/>
        <v>8629.071388821465</v>
      </c>
      <c r="F144" s="19">
        <f t="shared" si="53"/>
        <v>1026353.0471976424</v>
      </c>
    </row>
    <row r="145" spans="1:6" x14ac:dyDescent="0.2">
      <c r="A145" s="15">
        <v>45017</v>
      </c>
      <c r="B145" s="19">
        <f t="shared" si="54"/>
        <v>1026353.0471976424</v>
      </c>
      <c r="C145" s="19">
        <f t="shared" si="50"/>
        <v>1786.7177408371817</v>
      </c>
      <c r="D145" s="19">
        <f t="shared" si="51"/>
        <v>6842.3536479842833</v>
      </c>
      <c r="E145" s="19">
        <f t="shared" si="52"/>
        <v>8629.071388821465</v>
      </c>
      <c r="F145" s="19">
        <f t="shared" si="53"/>
        <v>1024566.3294568053</v>
      </c>
    </row>
    <row r="146" spans="1:6" x14ac:dyDescent="0.2">
      <c r="A146" s="15">
        <v>45047</v>
      </c>
      <c r="B146" s="19">
        <f t="shared" si="54"/>
        <v>1024566.3294568053</v>
      </c>
      <c r="C146" s="19">
        <f t="shared" si="50"/>
        <v>1798.6291924427633</v>
      </c>
      <c r="D146" s="19">
        <f t="shared" si="51"/>
        <v>6830.4421963787017</v>
      </c>
      <c r="E146" s="19">
        <f t="shared" si="52"/>
        <v>8629.071388821465</v>
      </c>
      <c r="F146" s="19">
        <f t="shared" si="53"/>
        <v>1022767.7002643625</v>
      </c>
    </row>
    <row r="147" spans="1:6" x14ac:dyDescent="0.2">
      <c r="A147" s="15">
        <v>45078</v>
      </c>
      <c r="B147" s="19">
        <f t="shared" si="54"/>
        <v>1022767.7002643625</v>
      </c>
      <c r="C147" s="19">
        <f t="shared" si="50"/>
        <v>1810.6200537257146</v>
      </c>
      <c r="D147" s="19">
        <f t="shared" si="51"/>
        <v>6818.4513350957504</v>
      </c>
      <c r="E147" s="19">
        <f t="shared" si="52"/>
        <v>8629.071388821465</v>
      </c>
      <c r="F147" s="19">
        <f t="shared" si="53"/>
        <v>1020957.0802106368</v>
      </c>
    </row>
    <row r="148" spans="1:6" x14ac:dyDescent="0.2">
      <c r="A148" s="15">
        <v>45108</v>
      </c>
      <c r="B148" s="19">
        <f t="shared" si="54"/>
        <v>1020957.0802106368</v>
      </c>
      <c r="C148" s="19">
        <f t="shared" si="50"/>
        <v>1822.6908540838858</v>
      </c>
      <c r="D148" s="19">
        <f t="shared" si="51"/>
        <v>6806.3805347375792</v>
      </c>
      <c r="E148" s="19">
        <f t="shared" si="52"/>
        <v>8629.071388821465</v>
      </c>
      <c r="F148" s="19">
        <f t="shared" si="53"/>
        <v>1019134.389356553</v>
      </c>
    </row>
    <row r="149" spans="1:6" x14ac:dyDescent="0.2">
      <c r="A149" s="15">
        <v>45139</v>
      </c>
      <c r="B149" s="19">
        <f t="shared" si="54"/>
        <v>1019134.389356553</v>
      </c>
      <c r="C149" s="19">
        <f t="shared" si="50"/>
        <v>1834.8421264444451</v>
      </c>
      <c r="D149" s="19">
        <f t="shared" si="51"/>
        <v>6794.2292623770199</v>
      </c>
      <c r="E149" s="19">
        <f t="shared" si="52"/>
        <v>8629.071388821465</v>
      </c>
      <c r="F149" s="19">
        <f t="shared" si="53"/>
        <v>1017299.5472301085</v>
      </c>
    </row>
    <row r="150" spans="1:6" x14ac:dyDescent="0.2">
      <c r="A150" s="15">
        <v>45170</v>
      </c>
      <c r="B150" s="19">
        <f t="shared" si="54"/>
        <v>1017299.5472301085</v>
      </c>
      <c r="C150" s="19">
        <f t="shared" si="50"/>
        <v>1847.0744072874077</v>
      </c>
      <c r="D150" s="19">
        <f t="shared" si="51"/>
        <v>6781.9969815340573</v>
      </c>
      <c r="E150" s="19">
        <f t="shared" si="52"/>
        <v>8629.071388821465</v>
      </c>
      <c r="F150" s="19">
        <f t="shared" si="53"/>
        <v>1015452.4728228211</v>
      </c>
    </row>
    <row r="151" spans="1:6" x14ac:dyDescent="0.2">
      <c r="A151" s="15">
        <v>45200</v>
      </c>
      <c r="B151" s="19">
        <f t="shared" si="54"/>
        <v>1015452.4728228211</v>
      </c>
      <c r="C151" s="19">
        <f t="shared" si="50"/>
        <v>1859.3882366693242</v>
      </c>
      <c r="D151" s="19">
        <f t="shared" si="51"/>
        <v>6769.6831521521408</v>
      </c>
      <c r="E151" s="19">
        <f t="shared" si="52"/>
        <v>8629.071388821465</v>
      </c>
      <c r="F151" s="19">
        <f t="shared" si="53"/>
        <v>1013593.0845861518</v>
      </c>
    </row>
    <row r="152" spans="1:6" x14ac:dyDescent="0.2">
      <c r="A152" s="15">
        <v>45231</v>
      </c>
      <c r="B152" s="19">
        <f t="shared" si="54"/>
        <v>1013593.0845861518</v>
      </c>
      <c r="C152" s="19">
        <f t="shared" si="50"/>
        <v>1871.7841582471192</v>
      </c>
      <c r="D152" s="19">
        <f t="shared" si="51"/>
        <v>6757.2872305743458</v>
      </c>
      <c r="E152" s="19">
        <f t="shared" si="52"/>
        <v>8629.071388821465</v>
      </c>
      <c r="F152" s="19">
        <f t="shared" si="53"/>
        <v>1011721.3004279046</v>
      </c>
    </row>
    <row r="153" spans="1:6" ht="15" x14ac:dyDescent="0.25">
      <c r="A153" s="15">
        <v>45261</v>
      </c>
      <c r="B153" s="19">
        <f t="shared" si="54"/>
        <v>1011721.3004279046</v>
      </c>
      <c r="C153" s="19">
        <f t="shared" si="50"/>
        <v>1884.2627193021008</v>
      </c>
      <c r="D153" s="19">
        <f t="shared" si="51"/>
        <v>6744.8086695193642</v>
      </c>
      <c r="E153" s="19">
        <f t="shared" si="52"/>
        <v>8629.071388821465</v>
      </c>
      <c r="F153" s="21">
        <f t="shared" si="53"/>
        <v>1009837.0377086025</v>
      </c>
    </row>
    <row r="154" spans="1:6" ht="15" x14ac:dyDescent="0.25">
      <c r="A154" s="16" t="s">
        <v>62</v>
      </c>
      <c r="B154" s="16"/>
      <c r="C154" s="17">
        <f>SUM(C142:C153)</f>
        <v>21805.480231186462</v>
      </c>
      <c r="D154" s="17">
        <f>SUM(D142:D153)</f>
        <v>81743.376434671125</v>
      </c>
      <c r="E154" s="14"/>
      <c r="F154" s="14"/>
    </row>
  </sheetData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Forecast</vt:lpstr>
      <vt:lpstr>Good Forecast</vt:lpstr>
      <vt:lpstr>Bad Forecast</vt:lpstr>
      <vt:lpstr>Assumptions</vt:lpstr>
      <vt:lpstr>Mortgage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2019-07-25T21:51:42Z</dcterms:created>
  <dcterms:modified xsi:type="dcterms:W3CDTF">2023-07-29T20:57:31Z</dcterms:modified>
</cp:coreProperties>
</file>