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showInkAnnotation="0" autoCompressPictures="0"/>
  <bookViews>
    <workbookView xWindow="0" yWindow="0" windowWidth="19200" windowHeight="8235" tabRatio="500"/>
  </bookViews>
  <sheets>
    <sheet name="Financials" sheetId="1" r:id="rId1"/>
    <sheet name="PDF Version" sheetId="8" r:id="rId2"/>
    <sheet name="Bad Market Calc" sheetId="7" r:id="rId3"/>
    <sheet name="Loan" sheetId="6" r:id="rId4"/>
  </sheets>
  <externalReferences>
    <externalReference r:id="rId5"/>
  </externalReferences>
  <definedNames>
    <definedName name="Bal_Var2">#REF!</definedName>
    <definedName name="Pmt_Var1">'[1]Quick Calc'!$C$7</definedName>
    <definedName name="Pmt_Var2">#REF!</definedName>
    <definedName name="_xlnm.Print_Area" localSheetId="0">Financials!$B$1:$O$151</definedName>
    <definedName name="_xlnm.Print_Area" localSheetId="1">'PDF Version'!$A$1:$BP$39</definedName>
    <definedName name="Rate_Var">#REF!</definedName>
    <definedName name="Rate_Var2">#REF!</definedName>
    <definedName name="solver_adj" localSheetId="0" hidden="1">Financials!$O$57,Financials!$O$74</definedName>
    <definedName name="solver_cvg" localSheetId="0" hidden="1">0.0001</definedName>
    <definedName name="solver_cvg" localSheetId="3" hidden="1">0.0001</definedName>
    <definedName name="solver_drv" localSheetId="0" hidden="1">1</definedName>
    <definedName name="solver_drv" localSheetId="3" hidden="1">1</definedName>
    <definedName name="solver_eng" localSheetId="0" hidden="1">1</definedName>
    <definedName name="solver_est" localSheetId="0" hidden="1">1</definedName>
    <definedName name="solver_est" localSheetId="3" hidden="1">1</definedName>
    <definedName name="solver_itr" localSheetId="0" hidden="1">2147483647</definedName>
    <definedName name="solver_itr" localSheetId="3" hidden="1">100</definedName>
    <definedName name="solver_lhs1" localSheetId="0" hidden="1">Financials!$O$57</definedName>
    <definedName name="solver_lhs2" localSheetId="0" hidden="1">Financials!$O$70</definedName>
    <definedName name="solver_lhs3" localSheetId="0" hidden="1">Financials!$O$74</definedName>
    <definedName name="solver_lhs4" localSheetId="0" hidden="1">Financials!$F$74</definedName>
    <definedName name="solver_lhs5" localSheetId="0" hidden="1">Financials!$O$57</definedName>
    <definedName name="solver_lin" localSheetId="3" hidden="1">2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eg" localSheetId="3" hidden="1">2</definedName>
    <definedName name="solver_nod" localSheetId="0" hidden="1">2147483647</definedName>
    <definedName name="solver_num" localSheetId="0" hidden="1">3</definedName>
    <definedName name="solver_num" localSheetId="3" hidden="1">0</definedName>
    <definedName name="solver_nwt" localSheetId="0" hidden="1">1</definedName>
    <definedName name="solver_nwt" localSheetId="3" hidden="1">1</definedName>
    <definedName name="solver_opt" localSheetId="0" hidden="1">Financials!#REF!</definedName>
    <definedName name="solver_opt" localSheetId="3" hidden="1">Loan!#REF!</definedName>
    <definedName name="solver_pre" localSheetId="0" hidden="1">0.000001</definedName>
    <definedName name="solver_pre" localSheetId="3" hidden="1">0.000001</definedName>
    <definedName name="solver_rbv" localSheetId="0" hidden="1">1</definedName>
    <definedName name="solver_rel1" localSheetId="0" hidden="1">3</definedName>
    <definedName name="solver_rel2" localSheetId="0" hidden="1">3</definedName>
    <definedName name="solver_rel3" localSheetId="0" hidden="1">3</definedName>
    <definedName name="solver_rel4" localSheetId="0" hidden="1">3</definedName>
    <definedName name="solver_rel5" localSheetId="0" hidden="1">1</definedName>
    <definedName name="solver_rhs1" localSheetId="0" hidden="1">800000</definedName>
    <definedName name="solver_rhs2" localSheetId="0" hidden="1">0</definedName>
    <definedName name="solver_rhs3" localSheetId="0" hidden="1">0</definedName>
    <definedName name="solver_rhs4" localSheetId="0" hidden="1">0</definedName>
    <definedName name="solver_rhs5" localSheetId="0" hidden="1">800000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cl" localSheetId="3" hidden="1">2</definedName>
    <definedName name="solver_sho" localSheetId="0" hidden="1">2</definedName>
    <definedName name="solver_sho" localSheetId="3" hidden="1">2</definedName>
    <definedName name="solver_ssz" localSheetId="0" hidden="1">100</definedName>
    <definedName name="solver_tim" localSheetId="0" hidden="1">2147483647</definedName>
    <definedName name="solver_tim" localSheetId="3" hidden="1">100</definedName>
    <definedName name="solver_tol" localSheetId="0" hidden="1">0.01</definedName>
    <definedName name="solver_tol" localSheetId="3" hidden="1">0.05</definedName>
    <definedName name="solver_typ" localSheetId="0" hidden="1">3</definedName>
    <definedName name="solver_typ" localSheetId="3" hidden="1">1</definedName>
    <definedName name="solver_val" localSheetId="0" hidden="1">0</definedName>
    <definedName name="solver_val" localSheetId="3" hidden="1">0</definedName>
    <definedName name="solver_ver" localSheetId="0" hidden="1">3</definedName>
  </definedNames>
  <calcPr calcId="145621"/>
</workbook>
</file>

<file path=xl/calcChain.xml><?xml version="1.0" encoding="utf-8"?>
<calcChain xmlns="http://schemas.openxmlformats.org/spreadsheetml/2006/main">
  <c r="N105" i="7" l="1"/>
  <c r="N104" i="7"/>
  <c r="P104" i="7"/>
  <c r="M97" i="7"/>
  <c r="N97" i="7" s="1"/>
  <c r="L97" i="7"/>
  <c r="K97" i="7"/>
  <c r="AY37" i="8" l="1"/>
  <c r="AX38" i="8"/>
  <c r="AX37" i="8"/>
  <c r="AV37" i="8"/>
  <c r="AU38" i="8"/>
  <c r="AU37" i="8"/>
  <c r="BG14" i="8"/>
  <c r="BH14" i="8"/>
  <c r="BI14" i="8"/>
  <c r="BJ14" i="8"/>
  <c r="BK14" i="8"/>
  <c r="BL14" i="8"/>
  <c r="BM14" i="8"/>
  <c r="BN14" i="8"/>
  <c r="BO14" i="8"/>
  <c r="BP14" i="8"/>
  <c r="BG6" i="8"/>
  <c r="BH6" i="8"/>
  <c r="BI6" i="8"/>
  <c r="BJ6" i="8"/>
  <c r="BK6" i="8"/>
  <c r="BL6" i="8"/>
  <c r="BM6" i="8"/>
  <c r="BN6" i="8"/>
  <c r="BO6" i="8"/>
  <c r="BP6" i="8"/>
  <c r="BG7" i="8"/>
  <c r="BH7" i="8"/>
  <c r="BI7" i="8"/>
  <c r="BJ7" i="8"/>
  <c r="BK7" i="8"/>
  <c r="BL7" i="8"/>
  <c r="BM7" i="8"/>
  <c r="BN7" i="8"/>
  <c r="BO7" i="8"/>
  <c r="BP7" i="8"/>
  <c r="BG9" i="8"/>
  <c r="BH9" i="8"/>
  <c r="BI9" i="8"/>
  <c r="BJ9" i="8"/>
  <c r="BK9" i="8"/>
  <c r="BL9" i="8"/>
  <c r="BM9" i="8"/>
  <c r="BN9" i="8"/>
  <c r="BO9" i="8"/>
  <c r="BP9" i="8"/>
  <c r="BG10" i="8"/>
  <c r="BH10" i="8"/>
  <c r="BI10" i="8"/>
  <c r="BJ10" i="8"/>
  <c r="BK10" i="8"/>
  <c r="BL10" i="8"/>
  <c r="BM10" i="8"/>
  <c r="BN10" i="8"/>
  <c r="BO10" i="8"/>
  <c r="BP10" i="8"/>
  <c r="BG11" i="8"/>
  <c r="BH11" i="8"/>
  <c r="BI11" i="8"/>
  <c r="BJ11" i="8"/>
  <c r="BK11" i="8"/>
  <c r="BL11" i="8"/>
  <c r="BM11" i="8"/>
  <c r="BN11" i="8"/>
  <c r="BO11" i="8"/>
  <c r="BP11" i="8"/>
  <c r="BG12" i="8"/>
  <c r="BH12" i="8"/>
  <c r="BI12" i="8"/>
  <c r="BJ12" i="8"/>
  <c r="BK12" i="8"/>
  <c r="BL12" i="8"/>
  <c r="BM12" i="8"/>
  <c r="BN12" i="8"/>
  <c r="BO12" i="8"/>
  <c r="BP12" i="8"/>
  <c r="BG15" i="8"/>
  <c r="BH15" i="8"/>
  <c r="BI15" i="8"/>
  <c r="BJ15" i="8"/>
  <c r="BK15" i="8"/>
  <c r="BL15" i="8"/>
  <c r="BM15" i="8"/>
  <c r="BN15" i="8"/>
  <c r="BO15" i="8"/>
  <c r="BP15" i="8"/>
  <c r="BG16" i="8"/>
  <c r="BH16" i="8"/>
  <c r="BI16" i="8"/>
  <c r="BJ16" i="8"/>
  <c r="BK16" i="8"/>
  <c r="BL16" i="8"/>
  <c r="BM16" i="8"/>
  <c r="BN16" i="8"/>
  <c r="BO16" i="8"/>
  <c r="BP16" i="8"/>
  <c r="BH5" i="8"/>
  <c r="BI5" i="8"/>
  <c r="BJ5" i="8"/>
  <c r="BK5" i="8"/>
  <c r="BL5" i="8"/>
  <c r="BM5" i="8"/>
  <c r="BN5" i="8"/>
  <c r="BO5" i="8"/>
  <c r="BP5" i="8"/>
  <c r="BG5" i="8"/>
  <c r="BH4" i="8"/>
  <c r="BI4" i="8"/>
  <c r="BJ4" i="8"/>
  <c r="BK4" i="8"/>
  <c r="BL4" i="8"/>
  <c r="BM4" i="8"/>
  <c r="BN4" i="8"/>
  <c r="BO4" i="8"/>
  <c r="BP4" i="8"/>
  <c r="BG4" i="8"/>
  <c r="BE6" i="8"/>
  <c r="BE7" i="8"/>
  <c r="BE9" i="8"/>
  <c r="BE10" i="8"/>
  <c r="BE11" i="8"/>
  <c r="BE12" i="8"/>
  <c r="BE14" i="8"/>
  <c r="BE15" i="8"/>
  <c r="BE16" i="8"/>
  <c r="BE5" i="8"/>
  <c r="BD4" i="8"/>
  <c r="BD2" i="8"/>
  <c r="AR6" i="8"/>
  <c r="AS6" i="8"/>
  <c r="AT6" i="8"/>
  <c r="AU6" i="8"/>
  <c r="AV6" i="8"/>
  <c r="AW6" i="8"/>
  <c r="AX6" i="8"/>
  <c r="AY6" i="8"/>
  <c r="AZ6" i="8"/>
  <c r="BA6" i="8"/>
  <c r="BB6" i="8"/>
  <c r="AR7" i="8"/>
  <c r="AS7" i="8"/>
  <c r="AT7" i="8"/>
  <c r="AU7" i="8"/>
  <c r="AV7" i="8"/>
  <c r="AW7" i="8"/>
  <c r="AX7" i="8"/>
  <c r="AY7" i="8"/>
  <c r="AZ7" i="8"/>
  <c r="BA7" i="8"/>
  <c r="BB7" i="8"/>
  <c r="AR8" i="8"/>
  <c r="AS8" i="8"/>
  <c r="AT8" i="8"/>
  <c r="AU8" i="8"/>
  <c r="AV8" i="8"/>
  <c r="AW8" i="8"/>
  <c r="AX8" i="8"/>
  <c r="AY8" i="8"/>
  <c r="AZ8" i="8"/>
  <c r="BA8" i="8"/>
  <c r="BB8" i="8"/>
  <c r="AR9" i="8"/>
  <c r="AS9" i="8"/>
  <c r="AT9" i="8"/>
  <c r="AU9" i="8"/>
  <c r="AV9" i="8"/>
  <c r="AW9" i="8"/>
  <c r="AX9" i="8"/>
  <c r="AY9" i="8"/>
  <c r="AZ9" i="8"/>
  <c r="BA9" i="8"/>
  <c r="BB9" i="8"/>
  <c r="AR10" i="8"/>
  <c r="AS10" i="8"/>
  <c r="AT10" i="8"/>
  <c r="AU10" i="8"/>
  <c r="AV10" i="8"/>
  <c r="AW10" i="8"/>
  <c r="AX10" i="8"/>
  <c r="AY10" i="8"/>
  <c r="AZ10" i="8"/>
  <c r="BA10" i="8"/>
  <c r="BB10" i="8"/>
  <c r="AR12" i="8"/>
  <c r="AS12" i="8"/>
  <c r="AT12" i="8"/>
  <c r="AU12" i="8"/>
  <c r="AV12" i="8"/>
  <c r="AW12" i="8"/>
  <c r="AX12" i="8"/>
  <c r="AY12" i="8"/>
  <c r="AZ12" i="8"/>
  <c r="BA12" i="8"/>
  <c r="BB12" i="8"/>
  <c r="AR13" i="8"/>
  <c r="AS13" i="8"/>
  <c r="AT13" i="8"/>
  <c r="AU13" i="8"/>
  <c r="AV13" i="8"/>
  <c r="AW13" i="8"/>
  <c r="AX13" i="8"/>
  <c r="AY13" i="8"/>
  <c r="AZ13" i="8"/>
  <c r="BA13" i="8"/>
  <c r="BB13" i="8"/>
  <c r="AR14" i="8"/>
  <c r="AS14" i="8"/>
  <c r="AT14" i="8"/>
  <c r="AU14" i="8"/>
  <c r="AV14" i="8"/>
  <c r="AW14" i="8"/>
  <c r="AX14" i="8"/>
  <c r="AY14" i="8"/>
  <c r="AZ14" i="8"/>
  <c r="BA14" i="8"/>
  <c r="BB14" i="8"/>
  <c r="AR15" i="8"/>
  <c r="AS15" i="8"/>
  <c r="AT15" i="8"/>
  <c r="AU15" i="8"/>
  <c r="AV15" i="8"/>
  <c r="AW15" i="8"/>
  <c r="AX15" i="8"/>
  <c r="AY15" i="8"/>
  <c r="AZ15" i="8"/>
  <c r="BA15" i="8"/>
  <c r="BB15" i="8"/>
  <c r="AR16" i="8"/>
  <c r="AS16" i="8"/>
  <c r="AT16" i="8"/>
  <c r="AU16" i="8"/>
  <c r="AV16" i="8"/>
  <c r="AW16" i="8"/>
  <c r="AX16" i="8"/>
  <c r="AY16" i="8"/>
  <c r="AZ16" i="8"/>
  <c r="BA16" i="8"/>
  <c r="BB16" i="8"/>
  <c r="AR17" i="8"/>
  <c r="AS17" i="8"/>
  <c r="AT17" i="8"/>
  <c r="AU17" i="8"/>
  <c r="AV17" i="8"/>
  <c r="AW17" i="8"/>
  <c r="AX17" i="8"/>
  <c r="AY17" i="8"/>
  <c r="AZ17" i="8"/>
  <c r="BA17" i="8"/>
  <c r="BB17" i="8"/>
  <c r="AR18" i="8"/>
  <c r="AS18" i="8"/>
  <c r="AT18" i="8"/>
  <c r="AU18" i="8"/>
  <c r="AV18" i="8"/>
  <c r="AW18" i="8"/>
  <c r="AX18" i="8"/>
  <c r="AY18" i="8"/>
  <c r="AZ18" i="8"/>
  <c r="BA18" i="8"/>
  <c r="BB18" i="8"/>
  <c r="AR19" i="8"/>
  <c r="AS19" i="8"/>
  <c r="AT19" i="8"/>
  <c r="AU19" i="8"/>
  <c r="AV19" i="8"/>
  <c r="AW19" i="8"/>
  <c r="AX19" i="8"/>
  <c r="AY19" i="8"/>
  <c r="AZ19" i="8"/>
  <c r="BA19" i="8"/>
  <c r="BB19" i="8"/>
  <c r="AR21" i="8"/>
  <c r="AS21" i="8"/>
  <c r="AT21" i="8"/>
  <c r="AU21" i="8"/>
  <c r="AV21" i="8"/>
  <c r="AW21" i="8"/>
  <c r="AX21" i="8"/>
  <c r="AY21" i="8"/>
  <c r="AZ21" i="8"/>
  <c r="BA21" i="8"/>
  <c r="BB21" i="8"/>
  <c r="AR22" i="8"/>
  <c r="AS22" i="8"/>
  <c r="AT22" i="8"/>
  <c r="AU22" i="8"/>
  <c r="AV22" i="8"/>
  <c r="AW22" i="8"/>
  <c r="AX22" i="8"/>
  <c r="AY22" i="8"/>
  <c r="AZ22" i="8"/>
  <c r="BA22" i="8"/>
  <c r="BB22" i="8"/>
  <c r="AR23" i="8"/>
  <c r="AS23" i="8"/>
  <c r="AT23" i="8"/>
  <c r="AU23" i="8"/>
  <c r="AV23" i="8"/>
  <c r="AW23" i="8"/>
  <c r="AX23" i="8"/>
  <c r="AY23" i="8"/>
  <c r="AZ23" i="8"/>
  <c r="BA23" i="8"/>
  <c r="BB23" i="8"/>
  <c r="AR24" i="8"/>
  <c r="AS24" i="8"/>
  <c r="AT24" i="8"/>
  <c r="AU24" i="8"/>
  <c r="AV24" i="8"/>
  <c r="AW24" i="8"/>
  <c r="AX24" i="8"/>
  <c r="AY24" i="8"/>
  <c r="AZ24" i="8"/>
  <c r="BA24" i="8"/>
  <c r="BB24" i="8"/>
  <c r="AR25" i="8"/>
  <c r="AS25" i="8"/>
  <c r="AT25" i="8"/>
  <c r="AU25" i="8"/>
  <c r="AV25" i="8"/>
  <c r="AW25" i="8"/>
  <c r="AX25" i="8"/>
  <c r="AY25" i="8"/>
  <c r="AZ25" i="8"/>
  <c r="BA25" i="8"/>
  <c r="BB25" i="8"/>
  <c r="AR27" i="8"/>
  <c r="AS27" i="8"/>
  <c r="AT27" i="8"/>
  <c r="AU27" i="8"/>
  <c r="AV27" i="8"/>
  <c r="AW27" i="8"/>
  <c r="AX27" i="8"/>
  <c r="AY27" i="8"/>
  <c r="AZ27" i="8"/>
  <c r="BA27" i="8"/>
  <c r="BB27" i="8"/>
  <c r="AR28" i="8"/>
  <c r="AS28" i="8"/>
  <c r="AT28" i="8"/>
  <c r="AU28" i="8"/>
  <c r="AV28" i="8"/>
  <c r="AW28" i="8"/>
  <c r="AX28" i="8"/>
  <c r="AY28" i="8"/>
  <c r="AZ28" i="8"/>
  <c r="BA28" i="8"/>
  <c r="BB28" i="8"/>
  <c r="AR29" i="8"/>
  <c r="AS29" i="8"/>
  <c r="AT29" i="8"/>
  <c r="AU29" i="8"/>
  <c r="AV29" i="8"/>
  <c r="AW29" i="8"/>
  <c r="AX29" i="8"/>
  <c r="AY29" i="8"/>
  <c r="AZ29" i="8"/>
  <c r="BA29" i="8"/>
  <c r="BB29" i="8"/>
  <c r="AR30" i="8"/>
  <c r="AS30" i="8"/>
  <c r="AT30" i="8"/>
  <c r="AU30" i="8"/>
  <c r="AV30" i="8"/>
  <c r="AW30" i="8"/>
  <c r="AX30" i="8"/>
  <c r="AY30" i="8"/>
  <c r="AZ30" i="8"/>
  <c r="BA30" i="8"/>
  <c r="BB30" i="8"/>
  <c r="AR31" i="8"/>
  <c r="AS31" i="8"/>
  <c r="AT31" i="8"/>
  <c r="AU31" i="8"/>
  <c r="AV31" i="8"/>
  <c r="AW31" i="8"/>
  <c r="AX31" i="8"/>
  <c r="AY31" i="8"/>
  <c r="AZ31" i="8"/>
  <c r="BA31" i="8"/>
  <c r="BB31" i="8"/>
  <c r="AR33" i="8"/>
  <c r="AS33" i="8"/>
  <c r="AT33" i="8"/>
  <c r="AU33" i="8"/>
  <c r="AV33" i="8"/>
  <c r="AW33" i="8"/>
  <c r="AX33" i="8"/>
  <c r="AY33" i="8"/>
  <c r="AZ33" i="8"/>
  <c r="BA33" i="8"/>
  <c r="BB33" i="8"/>
  <c r="AR34" i="8"/>
  <c r="AS34" i="8"/>
  <c r="AT34" i="8"/>
  <c r="AU34" i="8"/>
  <c r="AV34" i="8"/>
  <c r="AW34" i="8"/>
  <c r="AS5" i="8"/>
  <c r="AT5" i="8"/>
  <c r="AU5" i="8"/>
  <c r="AV5" i="8"/>
  <c r="AW5" i="8"/>
  <c r="AX5" i="8"/>
  <c r="AY5" i="8"/>
  <c r="AZ5" i="8"/>
  <c r="BA5" i="8"/>
  <c r="BB5" i="8"/>
  <c r="AR5" i="8"/>
  <c r="AS2" i="8"/>
  <c r="AT2" i="8"/>
  <c r="AU2" i="8"/>
  <c r="AV2" i="8"/>
  <c r="AW2" i="8"/>
  <c r="AX2" i="8"/>
  <c r="AY2" i="8"/>
  <c r="AZ2" i="8"/>
  <c r="BA2" i="8"/>
  <c r="BB2" i="8"/>
  <c r="AR2" i="8"/>
  <c r="AQ6" i="8"/>
  <c r="AQ7" i="8"/>
  <c r="AQ8" i="8"/>
  <c r="AQ9" i="8"/>
  <c r="AQ10" i="8"/>
  <c r="AQ13" i="8"/>
  <c r="AQ14" i="8"/>
  <c r="AQ15" i="8"/>
  <c r="AQ16" i="8"/>
  <c r="AQ17" i="8"/>
  <c r="AQ18" i="8"/>
  <c r="AQ19" i="8"/>
  <c r="AQ22" i="8"/>
  <c r="AQ23" i="8"/>
  <c r="AQ24" i="8"/>
  <c r="AQ25" i="8"/>
  <c r="AQ28" i="8"/>
  <c r="AQ29" i="8"/>
  <c r="AQ30" i="8"/>
  <c r="AQ31" i="8"/>
  <c r="AQ5" i="8"/>
  <c r="AP12" i="8"/>
  <c r="AP21" i="8"/>
  <c r="AP27" i="8"/>
  <c r="AP33" i="8"/>
  <c r="AP34" i="8"/>
  <c r="AP37" i="8"/>
  <c r="AP38" i="8"/>
  <c r="AP4" i="8"/>
  <c r="AP2" i="8"/>
  <c r="AI8" i="8"/>
  <c r="AI9" i="8"/>
  <c r="AI10" i="8"/>
  <c r="AI12" i="8"/>
  <c r="AI15" i="8"/>
  <c r="AI16" i="8"/>
  <c r="AI17" i="8"/>
  <c r="AI19" i="8"/>
  <c r="AI6" i="8"/>
  <c r="AG8" i="8"/>
  <c r="AG9" i="8"/>
  <c r="AG10" i="8"/>
  <c r="AG12" i="8"/>
  <c r="AG14" i="8"/>
  <c r="AG15" i="8"/>
  <c r="AG16" i="8"/>
  <c r="AG17" i="8"/>
  <c r="AG19" i="8"/>
  <c r="AG6" i="8"/>
  <c r="AG4" i="8"/>
  <c r="N2" i="8"/>
  <c r="P7" i="8"/>
  <c r="Q7" i="8"/>
  <c r="R7" i="8"/>
  <c r="S7" i="8"/>
  <c r="T7" i="8"/>
  <c r="U7" i="8"/>
  <c r="V7" i="8"/>
  <c r="W7" i="8"/>
  <c r="X7" i="8"/>
  <c r="Y7" i="8"/>
  <c r="P8" i="8"/>
  <c r="Q8" i="8"/>
  <c r="R8" i="8"/>
  <c r="S8" i="8"/>
  <c r="T8" i="8"/>
  <c r="U8" i="8"/>
  <c r="V8" i="8"/>
  <c r="W8" i="8"/>
  <c r="X8" i="8"/>
  <c r="Y8" i="8"/>
  <c r="P9" i="8"/>
  <c r="Q9" i="8"/>
  <c r="R9" i="8"/>
  <c r="S9" i="8"/>
  <c r="T9" i="8"/>
  <c r="U9" i="8"/>
  <c r="V9" i="8"/>
  <c r="W9" i="8"/>
  <c r="X9" i="8"/>
  <c r="Y9" i="8"/>
  <c r="P12" i="8"/>
  <c r="Q12" i="8"/>
  <c r="R12" i="8"/>
  <c r="S12" i="8"/>
  <c r="T12" i="8"/>
  <c r="U12" i="8"/>
  <c r="V12" i="8"/>
  <c r="W12" i="8"/>
  <c r="X12" i="8"/>
  <c r="Y12" i="8"/>
  <c r="P13" i="8"/>
  <c r="Q13" i="8"/>
  <c r="R13" i="8"/>
  <c r="S13" i="8"/>
  <c r="T13" i="8"/>
  <c r="U13" i="8"/>
  <c r="V13" i="8"/>
  <c r="W13" i="8"/>
  <c r="X13" i="8"/>
  <c r="Y13" i="8"/>
  <c r="P14" i="8"/>
  <c r="Q14" i="8"/>
  <c r="R14" i="8"/>
  <c r="S14" i="8"/>
  <c r="T14" i="8"/>
  <c r="U14" i="8"/>
  <c r="V14" i="8"/>
  <c r="W14" i="8"/>
  <c r="X14" i="8"/>
  <c r="Y14" i="8"/>
  <c r="P15" i="8"/>
  <c r="Q15" i="8"/>
  <c r="R15" i="8"/>
  <c r="S15" i="8"/>
  <c r="T15" i="8"/>
  <c r="U15" i="8"/>
  <c r="V15" i="8"/>
  <c r="W15" i="8"/>
  <c r="X15" i="8"/>
  <c r="Y15" i="8"/>
  <c r="P16" i="8"/>
  <c r="Q16" i="8"/>
  <c r="R16" i="8"/>
  <c r="S16" i="8"/>
  <c r="T16" i="8"/>
  <c r="U16" i="8"/>
  <c r="V16" i="8"/>
  <c r="W16" i="8"/>
  <c r="X16" i="8"/>
  <c r="Y16" i="8"/>
  <c r="P17" i="8"/>
  <c r="Q17" i="8"/>
  <c r="R17" i="8"/>
  <c r="S17" i="8"/>
  <c r="T17" i="8"/>
  <c r="U17" i="8"/>
  <c r="V17" i="8"/>
  <c r="W17" i="8"/>
  <c r="X17" i="8"/>
  <c r="Y17" i="8"/>
  <c r="P18" i="8"/>
  <c r="Q18" i="8"/>
  <c r="R18" i="8"/>
  <c r="S18" i="8"/>
  <c r="T18" i="8"/>
  <c r="U18" i="8"/>
  <c r="V18" i="8"/>
  <c r="W18" i="8"/>
  <c r="X18" i="8"/>
  <c r="Y18" i="8"/>
  <c r="P19" i="8"/>
  <c r="Q19" i="8"/>
  <c r="R19" i="8"/>
  <c r="S19" i="8"/>
  <c r="T19" i="8"/>
  <c r="U19" i="8"/>
  <c r="V19" i="8"/>
  <c r="W19" i="8"/>
  <c r="X19" i="8"/>
  <c r="Y19" i="8"/>
  <c r="P21" i="8"/>
  <c r="Q21" i="8"/>
  <c r="R21" i="8"/>
  <c r="S21" i="8"/>
  <c r="T21" i="8"/>
  <c r="U21" i="8"/>
  <c r="V21" i="8"/>
  <c r="W21" i="8"/>
  <c r="X21" i="8"/>
  <c r="Y21" i="8"/>
  <c r="P22" i="8"/>
  <c r="Q22" i="8"/>
  <c r="R22" i="8"/>
  <c r="S22" i="8"/>
  <c r="T22" i="8"/>
  <c r="U22" i="8"/>
  <c r="V22" i="8"/>
  <c r="W22" i="8"/>
  <c r="X22" i="8"/>
  <c r="Y22" i="8"/>
  <c r="P25" i="8"/>
  <c r="Q25" i="8"/>
  <c r="R25" i="8"/>
  <c r="S25" i="8"/>
  <c r="T25" i="8"/>
  <c r="U25" i="8"/>
  <c r="V25" i="8"/>
  <c r="W25" i="8"/>
  <c r="X25" i="8"/>
  <c r="Y25" i="8"/>
  <c r="P27" i="8"/>
  <c r="Q27" i="8"/>
  <c r="R27" i="8"/>
  <c r="S27" i="8"/>
  <c r="T27" i="8"/>
  <c r="U27" i="8"/>
  <c r="V27" i="8"/>
  <c r="W27" i="8"/>
  <c r="X27" i="8"/>
  <c r="Y27" i="8"/>
  <c r="P28" i="8"/>
  <c r="Q28" i="8"/>
  <c r="R28" i="8"/>
  <c r="S28" i="8"/>
  <c r="T28" i="8"/>
  <c r="U28" i="8"/>
  <c r="V28" i="8"/>
  <c r="W28" i="8"/>
  <c r="X28" i="8"/>
  <c r="Y28" i="8"/>
  <c r="P29" i="8"/>
  <c r="Q29" i="8"/>
  <c r="R29" i="8"/>
  <c r="S29" i="8"/>
  <c r="T29" i="8"/>
  <c r="U29" i="8"/>
  <c r="V29" i="8"/>
  <c r="W29" i="8"/>
  <c r="X29" i="8"/>
  <c r="Y29" i="8"/>
  <c r="P32" i="8"/>
  <c r="Q32" i="8"/>
  <c r="R32" i="8"/>
  <c r="S32" i="8"/>
  <c r="T32" i="8"/>
  <c r="U32" i="8"/>
  <c r="V32" i="8"/>
  <c r="W32" i="8"/>
  <c r="X32" i="8"/>
  <c r="Y32" i="8"/>
  <c r="P33" i="8"/>
  <c r="Q33" i="8"/>
  <c r="R33" i="8"/>
  <c r="S33" i="8"/>
  <c r="T33" i="8"/>
  <c r="U33" i="8"/>
  <c r="V33" i="8"/>
  <c r="W33" i="8"/>
  <c r="X33" i="8"/>
  <c r="Y33" i="8"/>
  <c r="P34" i="8"/>
  <c r="Q34" i="8"/>
  <c r="R34" i="8"/>
  <c r="S34" i="8"/>
  <c r="T34" i="8"/>
  <c r="U34" i="8"/>
  <c r="V34" i="8"/>
  <c r="W34" i="8"/>
  <c r="X34" i="8"/>
  <c r="Y34" i="8"/>
  <c r="P35" i="8"/>
  <c r="Q35" i="8"/>
  <c r="R35" i="8"/>
  <c r="S35" i="8"/>
  <c r="T35" i="8"/>
  <c r="U35" i="8"/>
  <c r="V35" i="8"/>
  <c r="W35" i="8"/>
  <c r="X35" i="8"/>
  <c r="Y35" i="8"/>
  <c r="Q6" i="8"/>
  <c r="R6" i="8"/>
  <c r="S6" i="8"/>
  <c r="T6" i="8"/>
  <c r="U6" i="8"/>
  <c r="V6" i="8"/>
  <c r="W6" i="8"/>
  <c r="X6" i="8"/>
  <c r="Y6" i="8"/>
  <c r="P6" i="8"/>
  <c r="O13" i="8"/>
  <c r="O14" i="8"/>
  <c r="O15" i="8"/>
  <c r="O16" i="8"/>
  <c r="O17" i="8"/>
  <c r="O18" i="8"/>
  <c r="O19" i="8"/>
  <c r="O25" i="8"/>
  <c r="O27" i="8"/>
  <c r="O28" i="8"/>
  <c r="O29" i="8"/>
  <c r="O32" i="8"/>
  <c r="O33" i="8"/>
  <c r="O7" i="8"/>
  <c r="O8" i="8"/>
  <c r="O9" i="8"/>
  <c r="O6" i="8"/>
  <c r="N35" i="8"/>
  <c r="N5" i="8"/>
  <c r="N12" i="8"/>
  <c r="N22" i="8"/>
  <c r="N24" i="8"/>
  <c r="N31" i="8"/>
  <c r="N4" i="8"/>
  <c r="Q2" i="8"/>
  <c r="R2" i="8"/>
  <c r="S2" i="8"/>
  <c r="T2" i="8"/>
  <c r="U2" i="8"/>
  <c r="V2" i="8"/>
  <c r="W2" i="8"/>
  <c r="X2" i="8"/>
  <c r="Y2" i="8"/>
  <c r="P2" i="8"/>
  <c r="A31" i="8"/>
  <c r="A28" i="8"/>
  <c r="B22" i="8"/>
  <c r="B23" i="8"/>
  <c r="B24" i="8"/>
  <c r="B25" i="8"/>
  <c r="B29" i="8"/>
  <c r="B21" i="8"/>
  <c r="B13" i="8"/>
  <c r="B14" i="8"/>
  <c r="B15" i="8"/>
  <c r="B16" i="8"/>
  <c r="B12" i="8"/>
  <c r="C6" i="8"/>
  <c r="D6" i="8"/>
  <c r="E6" i="8"/>
  <c r="F6" i="8"/>
  <c r="G6" i="8"/>
  <c r="H6" i="8"/>
  <c r="I6" i="8"/>
  <c r="J6" i="8"/>
  <c r="K6" i="8"/>
  <c r="C7" i="8"/>
  <c r="D7" i="8"/>
  <c r="E7" i="8"/>
  <c r="F7" i="8"/>
  <c r="G7" i="8"/>
  <c r="H7" i="8"/>
  <c r="I7" i="8"/>
  <c r="J7" i="8"/>
  <c r="K7" i="8"/>
  <c r="C8" i="8"/>
  <c r="D8" i="8"/>
  <c r="E8" i="8"/>
  <c r="F8" i="8"/>
  <c r="G8" i="8"/>
  <c r="H8" i="8"/>
  <c r="I8" i="8"/>
  <c r="J8" i="8"/>
  <c r="K8" i="8"/>
  <c r="C12" i="8"/>
  <c r="D12" i="8"/>
  <c r="E12" i="8"/>
  <c r="F12" i="8"/>
  <c r="G12" i="8"/>
  <c r="H12" i="8"/>
  <c r="I12" i="8"/>
  <c r="J12" i="8"/>
  <c r="K12" i="8"/>
  <c r="C13" i="8"/>
  <c r="D13" i="8"/>
  <c r="E13" i="8"/>
  <c r="F13" i="8"/>
  <c r="G13" i="8"/>
  <c r="H13" i="8"/>
  <c r="I13" i="8"/>
  <c r="J13" i="8"/>
  <c r="K13" i="8"/>
  <c r="C14" i="8"/>
  <c r="D14" i="8"/>
  <c r="E14" i="8"/>
  <c r="F14" i="8"/>
  <c r="G14" i="8"/>
  <c r="H14" i="8"/>
  <c r="I14" i="8"/>
  <c r="J14" i="8"/>
  <c r="K14" i="8"/>
  <c r="C15" i="8"/>
  <c r="D15" i="8"/>
  <c r="E15" i="8"/>
  <c r="F15" i="8"/>
  <c r="G15" i="8"/>
  <c r="H15" i="8"/>
  <c r="I15" i="8"/>
  <c r="J15" i="8"/>
  <c r="K15" i="8"/>
  <c r="C16" i="8"/>
  <c r="D16" i="8"/>
  <c r="E16" i="8"/>
  <c r="F16" i="8"/>
  <c r="G16" i="8"/>
  <c r="H16" i="8"/>
  <c r="I16" i="8"/>
  <c r="J16" i="8"/>
  <c r="K16" i="8"/>
  <c r="C17" i="8"/>
  <c r="D17" i="8"/>
  <c r="E17" i="8"/>
  <c r="F17" i="8"/>
  <c r="G17" i="8"/>
  <c r="H17" i="8"/>
  <c r="I17" i="8"/>
  <c r="J17" i="8"/>
  <c r="K17" i="8"/>
  <c r="C19" i="8"/>
  <c r="D19" i="8"/>
  <c r="E19" i="8"/>
  <c r="F19" i="8"/>
  <c r="G19" i="8"/>
  <c r="H19" i="8"/>
  <c r="I19" i="8"/>
  <c r="J19" i="8"/>
  <c r="K19" i="8"/>
  <c r="C21" i="8"/>
  <c r="D21" i="8"/>
  <c r="E21" i="8"/>
  <c r="F21" i="8"/>
  <c r="G21" i="8"/>
  <c r="H21" i="8"/>
  <c r="I21" i="8"/>
  <c r="J21" i="8"/>
  <c r="K21" i="8"/>
  <c r="C22" i="8"/>
  <c r="D22" i="8"/>
  <c r="E22" i="8"/>
  <c r="F22" i="8"/>
  <c r="G22" i="8"/>
  <c r="H22" i="8"/>
  <c r="I22" i="8"/>
  <c r="J22" i="8"/>
  <c r="K22" i="8"/>
  <c r="C23" i="8"/>
  <c r="D23" i="8"/>
  <c r="E23" i="8"/>
  <c r="F23" i="8"/>
  <c r="G23" i="8"/>
  <c r="H23" i="8"/>
  <c r="I23" i="8"/>
  <c r="J23" i="8"/>
  <c r="K23" i="8"/>
  <c r="C24" i="8"/>
  <c r="D24" i="8"/>
  <c r="E24" i="8"/>
  <c r="F24" i="8"/>
  <c r="G24" i="8"/>
  <c r="H24" i="8"/>
  <c r="I24" i="8"/>
  <c r="J24" i="8"/>
  <c r="K24" i="8"/>
  <c r="C28" i="8"/>
  <c r="D28" i="8"/>
  <c r="E28" i="8"/>
  <c r="F28" i="8"/>
  <c r="G28" i="8"/>
  <c r="H28" i="8"/>
  <c r="I28" i="8"/>
  <c r="J28" i="8"/>
  <c r="K28" i="8"/>
  <c r="C29" i="8"/>
  <c r="D29" i="8"/>
  <c r="E29" i="8"/>
  <c r="F29" i="8"/>
  <c r="G29" i="8"/>
  <c r="H29" i="8"/>
  <c r="I29" i="8"/>
  <c r="J29" i="8"/>
  <c r="K29" i="8"/>
  <c r="C31" i="8"/>
  <c r="D31" i="8"/>
  <c r="E31" i="8"/>
  <c r="F31" i="8"/>
  <c r="G31" i="8"/>
  <c r="H31" i="8"/>
  <c r="I31" i="8"/>
  <c r="J31" i="8"/>
  <c r="K31" i="8"/>
  <c r="C5" i="8"/>
  <c r="D5" i="8"/>
  <c r="E5" i="8"/>
  <c r="F5" i="8"/>
  <c r="G5" i="8"/>
  <c r="H5" i="8"/>
  <c r="I5" i="8"/>
  <c r="J5" i="8"/>
  <c r="K5" i="8"/>
  <c r="B6" i="8"/>
  <c r="B7" i="8"/>
  <c r="B5" i="8"/>
  <c r="C2" i="8"/>
  <c r="D2" i="8"/>
  <c r="E2" i="8"/>
  <c r="F2" i="8"/>
  <c r="G2" i="8"/>
  <c r="H2" i="8"/>
  <c r="I2" i="8"/>
  <c r="J2" i="8"/>
  <c r="K2" i="8"/>
  <c r="A4" i="8"/>
  <c r="A8" i="8"/>
  <c r="A10" i="8"/>
  <c r="A17" i="8"/>
  <c r="A19" i="8"/>
  <c r="A2" i="8"/>
  <c r="G140" i="1"/>
  <c r="G130" i="1"/>
  <c r="H130" i="1"/>
  <c r="I130" i="1"/>
  <c r="J130" i="1"/>
  <c r="K130" i="1"/>
  <c r="L130" i="1"/>
  <c r="M130" i="1"/>
  <c r="N130" i="1"/>
  <c r="O130" i="1"/>
  <c r="F130" i="1"/>
  <c r="G20" i="1" l="1"/>
  <c r="H20" i="1"/>
  <c r="I20" i="1"/>
  <c r="J20" i="1"/>
  <c r="K20" i="1"/>
  <c r="L20" i="1"/>
  <c r="M20" i="1"/>
  <c r="N20" i="1"/>
  <c r="O20" i="1"/>
  <c r="F20" i="1"/>
  <c r="G47" i="1"/>
  <c r="H47" i="1"/>
  <c r="I47" i="1"/>
  <c r="J47" i="1"/>
  <c r="K47" i="1"/>
  <c r="L47" i="1"/>
  <c r="M47" i="1"/>
  <c r="N47" i="1"/>
  <c r="O47" i="1"/>
  <c r="F47" i="1"/>
  <c r="E140" i="1" l="1"/>
  <c r="F140" i="1"/>
  <c r="H140" i="1"/>
  <c r="I140" i="1"/>
  <c r="J140" i="1"/>
  <c r="F125" i="1"/>
  <c r="G125" i="1"/>
  <c r="H125" i="1"/>
  <c r="I125" i="1"/>
  <c r="J125" i="1"/>
  <c r="E125" i="1"/>
  <c r="N119" i="7" l="1"/>
  <c r="N114" i="7"/>
  <c r="M114" i="7"/>
  <c r="L114" i="7"/>
  <c r="K114" i="7"/>
  <c r="J114" i="7"/>
  <c r="I114" i="7"/>
  <c r="H114" i="7"/>
  <c r="G114" i="7"/>
  <c r="F114" i="7"/>
  <c r="E114" i="7"/>
  <c r="B114" i="7"/>
  <c r="B113" i="7"/>
  <c r="B112" i="7"/>
  <c r="B111" i="7"/>
  <c r="D106" i="7"/>
  <c r="N107" i="7" s="1"/>
  <c r="D103" i="7"/>
  <c r="E89" i="7"/>
  <c r="E84" i="7"/>
  <c r="E79" i="7"/>
  <c r="F71" i="7"/>
  <c r="G71" i="7" s="1"/>
  <c r="H71" i="7" s="1"/>
  <c r="I71" i="7" s="1"/>
  <c r="J71" i="7" s="1"/>
  <c r="K71" i="7" s="1"/>
  <c r="L71" i="7" s="1"/>
  <c r="M71" i="7" s="1"/>
  <c r="N66" i="7"/>
  <c r="M66" i="7"/>
  <c r="L66" i="7"/>
  <c r="K66" i="7"/>
  <c r="J66" i="7"/>
  <c r="I66" i="7"/>
  <c r="H66" i="7"/>
  <c r="G66" i="7"/>
  <c r="F66" i="7"/>
  <c r="E66" i="7"/>
  <c r="F59" i="7"/>
  <c r="G59" i="7" s="1"/>
  <c r="H59" i="7" s="1"/>
  <c r="I59" i="7" s="1"/>
  <c r="J59" i="7" s="1"/>
  <c r="K59" i="7" s="1"/>
  <c r="L59" i="7" s="1"/>
  <c r="M59" i="7" s="1"/>
  <c r="N59" i="7" s="1"/>
  <c r="E51" i="7"/>
  <c r="E112" i="7" s="1"/>
  <c r="O36" i="7"/>
  <c r="G36" i="7"/>
  <c r="O35" i="7"/>
  <c r="N35" i="7"/>
  <c r="K35" i="7"/>
  <c r="J35" i="7"/>
  <c r="G35" i="7"/>
  <c r="F35" i="7"/>
  <c r="E35" i="7"/>
  <c r="E54" i="7" s="1"/>
  <c r="E55" i="7" s="1"/>
  <c r="N34" i="7"/>
  <c r="M34" i="7"/>
  <c r="L34" i="7"/>
  <c r="K34" i="7"/>
  <c r="J34" i="7"/>
  <c r="I34" i="7"/>
  <c r="H34" i="7"/>
  <c r="G34" i="7"/>
  <c r="F34" i="7"/>
  <c r="E34" i="7"/>
  <c r="N33" i="7"/>
  <c r="M33" i="7"/>
  <c r="L33" i="7"/>
  <c r="K33" i="7"/>
  <c r="J33" i="7"/>
  <c r="I33" i="7"/>
  <c r="H33" i="7"/>
  <c r="G33" i="7"/>
  <c r="F33" i="7"/>
  <c r="E33" i="7"/>
  <c r="N28" i="7"/>
  <c r="F28" i="7"/>
  <c r="G28" i="7" s="1"/>
  <c r="H28" i="7" s="1"/>
  <c r="I28" i="7" s="1"/>
  <c r="J28" i="7" s="1"/>
  <c r="K28" i="7" s="1"/>
  <c r="L28" i="7" s="1"/>
  <c r="N27" i="7"/>
  <c r="M27" i="7"/>
  <c r="L27" i="7"/>
  <c r="K27" i="7"/>
  <c r="J27" i="7"/>
  <c r="I27" i="7"/>
  <c r="H27" i="7"/>
  <c r="G27" i="7"/>
  <c r="F27" i="7"/>
  <c r="E27" i="7"/>
  <c r="E30" i="7" s="1"/>
  <c r="E21" i="7"/>
  <c r="O26" i="7" s="1"/>
  <c r="E20" i="7"/>
  <c r="E19" i="7"/>
  <c r="E50" i="7" s="1"/>
  <c r="E111" i="7" s="1"/>
  <c r="H14" i="7"/>
  <c r="I14" i="7" s="1"/>
  <c r="J14" i="7" s="1"/>
  <c r="K14" i="7" s="1"/>
  <c r="L14" i="7" s="1"/>
  <c r="M14" i="7" s="1"/>
  <c r="N14" i="7" s="1"/>
  <c r="F14" i="7"/>
  <c r="G14" i="7" s="1"/>
  <c r="F13" i="7"/>
  <c r="G13" i="7" s="1"/>
  <c r="H13" i="7" s="1"/>
  <c r="I13" i="7" s="1"/>
  <c r="J13" i="7" s="1"/>
  <c r="K13" i="7" s="1"/>
  <c r="L13" i="7" s="1"/>
  <c r="M13" i="7" s="1"/>
  <c r="N13" i="7" s="1"/>
  <c r="H10" i="7"/>
  <c r="I10" i="7" s="1"/>
  <c r="F10" i="7"/>
  <c r="G10" i="7" s="1"/>
  <c r="F8" i="7"/>
  <c r="F51" i="7" s="1"/>
  <c r="F112" i="7" s="1"/>
  <c r="H7" i="7"/>
  <c r="I7" i="7" s="1"/>
  <c r="F7" i="7"/>
  <c r="G7" i="7" s="1"/>
  <c r="F5" i="7"/>
  <c r="G5" i="7" s="1"/>
  <c r="H5" i="7" s="1"/>
  <c r="I5" i="7" s="1"/>
  <c r="J5" i="7" s="1"/>
  <c r="K5" i="7" s="1"/>
  <c r="L5" i="7" s="1"/>
  <c r="M5" i="7" s="1"/>
  <c r="N5" i="7" s="1"/>
  <c r="L4" i="7"/>
  <c r="M4" i="7" s="1"/>
  <c r="J4" i="7"/>
  <c r="K4" i="7" s="1"/>
  <c r="F4" i="7"/>
  <c r="G4" i="7" s="1"/>
  <c r="F3" i="7"/>
  <c r="G3" i="7" s="1"/>
  <c r="H3" i="7" s="1"/>
  <c r="F54" i="7" l="1"/>
  <c r="G8" i="7"/>
  <c r="H8" i="7" s="1"/>
  <c r="O99" i="7"/>
  <c r="P99" i="7"/>
  <c r="Q99" i="7"/>
  <c r="I21" i="7"/>
  <c r="F20" i="7"/>
  <c r="O25" i="7"/>
  <c r="I3" i="7"/>
  <c r="J3" i="7" s="1"/>
  <c r="K3" i="7" s="1"/>
  <c r="L3" i="7" s="1"/>
  <c r="M3" i="7" s="1"/>
  <c r="N3" i="7" s="1"/>
  <c r="H19" i="7"/>
  <c r="H21" i="7"/>
  <c r="F55" i="7"/>
  <c r="G54" i="7"/>
  <c r="G19" i="7"/>
  <c r="J10" i="7"/>
  <c r="G20" i="7"/>
  <c r="H4" i="7"/>
  <c r="N100" i="7"/>
  <c r="J36" i="7"/>
  <c r="J97" i="7" s="1"/>
  <c r="J100" i="7" s="1"/>
  <c r="F36" i="7"/>
  <c r="F97" i="7" s="1"/>
  <c r="F100" i="7" s="1"/>
  <c r="I36" i="7"/>
  <c r="E36" i="7"/>
  <c r="E57" i="7" s="1"/>
  <c r="H36" i="7"/>
  <c r="N4" i="7"/>
  <c r="J7" i="7"/>
  <c r="G51" i="7"/>
  <c r="G112" i="7" s="1"/>
  <c r="G21" i="7"/>
  <c r="F19" i="7"/>
  <c r="F21" i="7"/>
  <c r="E22" i="7"/>
  <c r="G97" i="7"/>
  <c r="G100" i="7" s="1"/>
  <c r="M35" i="7"/>
  <c r="M100" i="7" s="1"/>
  <c r="I35" i="7"/>
  <c r="L35" i="7"/>
  <c r="L100" i="7" s="1"/>
  <c r="H35" i="7"/>
  <c r="E97" i="7"/>
  <c r="E100" i="7" s="1"/>
  <c r="K100" i="7"/>
  <c r="D121" i="7"/>
  <c r="H20" i="7" l="1"/>
  <c r="H26" i="7" s="1"/>
  <c r="F25" i="7"/>
  <c r="H25" i="7"/>
  <c r="F26" i="7"/>
  <c r="I19" i="7"/>
  <c r="E32" i="7"/>
  <c r="O29" i="7"/>
  <c r="I50" i="7"/>
  <c r="I97" i="7"/>
  <c r="I100" i="7" s="1"/>
  <c r="F50" i="7"/>
  <c r="F111" i="7" s="1"/>
  <c r="F22" i="7"/>
  <c r="K7" i="7"/>
  <c r="J19" i="7"/>
  <c r="E58" i="7"/>
  <c r="E60" i="7" s="1"/>
  <c r="F57" i="7"/>
  <c r="K10" i="7"/>
  <c r="J21" i="7"/>
  <c r="G55" i="7"/>
  <c r="H54" i="7"/>
  <c r="G50" i="7"/>
  <c r="G22" i="7"/>
  <c r="G25" i="7"/>
  <c r="H50" i="7"/>
  <c r="H22" i="7"/>
  <c r="H97" i="7"/>
  <c r="H100" i="7" s="1"/>
  <c r="H51" i="7"/>
  <c r="H112" i="7" s="1"/>
  <c r="I8" i="7"/>
  <c r="G26" i="7"/>
  <c r="G74" i="1"/>
  <c r="H74" i="1" s="1"/>
  <c r="I74" i="1" s="1"/>
  <c r="J74" i="1" s="1"/>
  <c r="K74" i="1" s="1"/>
  <c r="L74" i="1" s="1"/>
  <c r="M74" i="1" s="1"/>
  <c r="N74" i="1" s="1"/>
  <c r="E109" i="1"/>
  <c r="O110" i="1" s="1"/>
  <c r="I111" i="7" l="1"/>
  <c r="G111" i="7"/>
  <c r="K21" i="7"/>
  <c r="L10" i="7"/>
  <c r="K19" i="7"/>
  <c r="L7" i="7"/>
  <c r="E96" i="7"/>
  <c r="E98" i="7" s="1"/>
  <c r="E99" i="7" s="1"/>
  <c r="E39" i="7"/>
  <c r="G29" i="7"/>
  <c r="G30" i="7" s="1"/>
  <c r="G32" i="7" s="1"/>
  <c r="I54" i="7"/>
  <c r="H55" i="7"/>
  <c r="F58" i="7"/>
  <c r="F60" i="7" s="1"/>
  <c r="G57" i="7"/>
  <c r="F29" i="7"/>
  <c r="F30" i="7" s="1"/>
  <c r="F32" i="7" s="1"/>
  <c r="H29" i="7"/>
  <c r="H30" i="7" s="1"/>
  <c r="H32" i="7" s="1"/>
  <c r="J8" i="7"/>
  <c r="I51" i="7"/>
  <c r="I112" i="7" s="1"/>
  <c r="I20" i="7"/>
  <c r="H111" i="7"/>
  <c r="J50" i="7"/>
  <c r="J111" i="7" s="1"/>
  <c r="E106" i="1"/>
  <c r="E124" i="1" s="1"/>
  <c r="O122" i="1"/>
  <c r="G117" i="1"/>
  <c r="H117" i="1"/>
  <c r="I117" i="1"/>
  <c r="J117" i="1"/>
  <c r="K117" i="1"/>
  <c r="L117" i="1"/>
  <c r="M117" i="1"/>
  <c r="N117" i="1"/>
  <c r="O117" i="1"/>
  <c r="F117" i="1"/>
  <c r="F87" i="1"/>
  <c r="F92" i="1"/>
  <c r="G37" i="1"/>
  <c r="H37" i="1"/>
  <c r="I37" i="1"/>
  <c r="J37" i="1"/>
  <c r="K37" i="1"/>
  <c r="L37" i="1"/>
  <c r="M37" i="1"/>
  <c r="N37" i="1"/>
  <c r="O37" i="1"/>
  <c r="F37" i="1"/>
  <c r="C115" i="1"/>
  <c r="C116" i="1"/>
  <c r="C117" i="1"/>
  <c r="C114" i="1"/>
  <c r="F82" i="1"/>
  <c r="F96" i="7" l="1"/>
  <c r="F98" i="7" s="1"/>
  <c r="F99" i="7" s="1"/>
  <c r="F39" i="7"/>
  <c r="G39" i="7"/>
  <c r="G96" i="7"/>
  <c r="G98" i="7" s="1"/>
  <c r="G99" i="7" s="1"/>
  <c r="H96" i="7"/>
  <c r="H98" i="7" s="1"/>
  <c r="H99" i="7" s="1"/>
  <c r="H39" i="7"/>
  <c r="K50" i="7"/>
  <c r="K111" i="7" s="1"/>
  <c r="J51" i="7"/>
  <c r="J112" i="7" s="1"/>
  <c r="K8" i="7"/>
  <c r="J20" i="7"/>
  <c r="E40" i="7"/>
  <c r="E65" i="7" s="1"/>
  <c r="M10" i="7"/>
  <c r="L21" i="7"/>
  <c r="I55" i="7"/>
  <c r="J54" i="7"/>
  <c r="E113" i="7"/>
  <c r="I26" i="7"/>
  <c r="I22" i="7"/>
  <c r="I25" i="7"/>
  <c r="G58" i="7"/>
  <c r="G60" i="7" s="1"/>
  <c r="H57" i="7"/>
  <c r="M7" i="7"/>
  <c r="L19" i="7"/>
  <c r="E139" i="1"/>
  <c r="N30" i="1"/>
  <c r="J30" i="1"/>
  <c r="J36" i="1"/>
  <c r="K36" i="1"/>
  <c r="L36" i="1"/>
  <c r="M36" i="1"/>
  <c r="N36" i="1"/>
  <c r="O36" i="1"/>
  <c r="J70" i="1"/>
  <c r="K70" i="1"/>
  <c r="L70" i="1"/>
  <c r="M70" i="1"/>
  <c r="N70" i="1"/>
  <c r="O70" i="1"/>
  <c r="Z4" i="6"/>
  <c r="Y4" i="6"/>
  <c r="X4" i="6"/>
  <c r="W4" i="6"/>
  <c r="V4" i="6"/>
  <c r="U4" i="6"/>
  <c r="T4" i="6"/>
  <c r="S4" i="6"/>
  <c r="R4" i="6"/>
  <c r="Q4" i="6"/>
  <c r="Z5" i="6"/>
  <c r="Y5" i="6"/>
  <c r="X5" i="6"/>
  <c r="W5" i="6"/>
  <c r="V5" i="6"/>
  <c r="U5" i="6"/>
  <c r="G63" i="1"/>
  <c r="H63" i="1" s="1"/>
  <c r="I63" i="1" s="1"/>
  <c r="J63" i="1" s="1"/>
  <c r="K63" i="1" s="1"/>
  <c r="L63" i="1" s="1"/>
  <c r="M63" i="1" s="1"/>
  <c r="N63" i="1" s="1"/>
  <c r="O63" i="1" s="1"/>
  <c r="O30" i="1"/>
  <c r="O31" i="1"/>
  <c r="P38" i="1"/>
  <c r="O38" i="1" s="1"/>
  <c r="P39" i="1"/>
  <c r="L39" i="1" s="1"/>
  <c r="K7" i="1"/>
  <c r="L7" i="1" s="1"/>
  <c r="K30" i="1"/>
  <c r="L30" i="1"/>
  <c r="M30" i="1"/>
  <c r="N39" i="1" l="1"/>
  <c r="L50" i="7"/>
  <c r="L111" i="7" s="1"/>
  <c r="M21" i="7"/>
  <c r="N10" i="7"/>
  <c r="N21" i="7" s="1"/>
  <c r="K51" i="7"/>
  <c r="K112" i="7" s="1"/>
  <c r="L8" i="7"/>
  <c r="K20" i="7"/>
  <c r="G101" i="7"/>
  <c r="M19" i="7"/>
  <c r="N7" i="7"/>
  <c r="N19" i="7" s="1"/>
  <c r="I29" i="7"/>
  <c r="I30" i="7" s="1"/>
  <c r="I32" i="7" s="1"/>
  <c r="J55" i="7"/>
  <c r="E42" i="7"/>
  <c r="E72" i="7" s="1"/>
  <c r="E74" i="7" s="1"/>
  <c r="E76" i="7" s="1"/>
  <c r="G40" i="7"/>
  <c r="G65" i="7" s="1"/>
  <c r="I57" i="7"/>
  <c r="H58" i="7"/>
  <c r="H60" i="7" s="1"/>
  <c r="H40" i="7"/>
  <c r="H65" i="7" s="1"/>
  <c r="F40" i="7"/>
  <c r="F65" i="7" s="1"/>
  <c r="E101" i="7"/>
  <c r="J26" i="7"/>
  <c r="J25" i="7"/>
  <c r="J22" i="7"/>
  <c r="F113" i="7"/>
  <c r="G38" i="1"/>
  <c r="F38" i="1"/>
  <c r="F58" i="1" s="1"/>
  <c r="N38" i="1"/>
  <c r="N100" i="1" s="1"/>
  <c r="N103" i="1" s="1"/>
  <c r="K38" i="1"/>
  <c r="J38" i="1"/>
  <c r="K39" i="1"/>
  <c r="J39" i="1"/>
  <c r="M38" i="1"/>
  <c r="I38" i="1"/>
  <c r="O39" i="1"/>
  <c r="O100" i="1" s="1"/>
  <c r="O103" i="1" s="1"/>
  <c r="L38" i="1"/>
  <c r="L100" i="1" s="1"/>
  <c r="L103" i="1" s="1"/>
  <c r="H38" i="1"/>
  <c r="M39" i="1"/>
  <c r="M7" i="1"/>
  <c r="N7" i="1" s="1"/>
  <c r="O7" i="1" s="1"/>
  <c r="G7" i="1"/>
  <c r="H7" i="1" s="1"/>
  <c r="I7" i="1" s="1"/>
  <c r="G13" i="1"/>
  <c r="H13" i="1" s="1"/>
  <c r="I13" i="1" s="1"/>
  <c r="J13" i="1" s="1"/>
  <c r="K13" i="1" s="1"/>
  <c r="L13" i="1" s="1"/>
  <c r="M13" i="1" s="1"/>
  <c r="G58" i="1" l="1"/>
  <c r="F59" i="1"/>
  <c r="K100" i="1"/>
  <c r="K103" i="1" s="1"/>
  <c r="F42" i="7"/>
  <c r="F72" i="7" s="1"/>
  <c r="H113" i="7"/>
  <c r="J29" i="7"/>
  <c r="J30" i="7" s="1"/>
  <c r="J32" i="7" s="1"/>
  <c r="M50" i="7"/>
  <c r="M111" i="7" s="1"/>
  <c r="L51" i="7"/>
  <c r="L112" i="7" s="1"/>
  <c r="M8" i="7"/>
  <c r="L20" i="7"/>
  <c r="F101" i="7"/>
  <c r="G42" i="7"/>
  <c r="G113" i="7"/>
  <c r="I96" i="7"/>
  <c r="I98" i="7" s="1"/>
  <c r="I99" i="7" s="1"/>
  <c r="I39" i="7"/>
  <c r="H101" i="7"/>
  <c r="E121" i="7"/>
  <c r="H42" i="7"/>
  <c r="I58" i="7"/>
  <c r="I60" i="7" s="1"/>
  <c r="J57" i="7"/>
  <c r="K55" i="7"/>
  <c r="N50" i="7"/>
  <c r="K26" i="7"/>
  <c r="K25" i="7"/>
  <c r="K22" i="7"/>
  <c r="J100" i="1"/>
  <c r="J103" i="1" s="1"/>
  <c r="M100" i="1"/>
  <c r="M103" i="1" s="1"/>
  <c r="G59" i="1"/>
  <c r="H58" i="1"/>
  <c r="N13" i="1"/>
  <c r="O13" i="1" s="1"/>
  <c r="F30" i="1"/>
  <c r="F33" i="1" s="1"/>
  <c r="G39" i="1"/>
  <c r="G100" i="1" s="1"/>
  <c r="G103" i="1" s="1"/>
  <c r="H39" i="1"/>
  <c r="H100" i="1" s="1"/>
  <c r="H103" i="1" s="1"/>
  <c r="I39" i="1"/>
  <c r="I100" i="1" s="1"/>
  <c r="I103" i="1" s="1"/>
  <c r="F39" i="1"/>
  <c r="G17" i="1"/>
  <c r="H17" i="1" s="1"/>
  <c r="I17" i="1" s="1"/>
  <c r="J17" i="1" s="1"/>
  <c r="K17" i="1" s="1"/>
  <c r="L17" i="1" s="1"/>
  <c r="M17" i="1" s="1"/>
  <c r="N17" i="1" s="1"/>
  <c r="O17" i="1" s="1"/>
  <c r="G16" i="1"/>
  <c r="G31" i="1"/>
  <c r="H31" i="1" s="1"/>
  <c r="I31" i="1" s="1"/>
  <c r="J31" i="1" s="1"/>
  <c r="K31" i="1" s="1"/>
  <c r="L31" i="1" s="1"/>
  <c r="M31" i="1" s="1"/>
  <c r="H30" i="1"/>
  <c r="I30" i="1"/>
  <c r="G30" i="1"/>
  <c r="F24" i="1"/>
  <c r="P29" i="1" s="1"/>
  <c r="F23" i="1"/>
  <c r="F22" i="1"/>
  <c r="G11" i="1"/>
  <c r="H11" i="1" s="1"/>
  <c r="I11" i="1" s="1"/>
  <c r="G10" i="1"/>
  <c r="G8" i="1"/>
  <c r="H8" i="1" s="1"/>
  <c r="I8" i="1" s="1"/>
  <c r="J8" i="1" s="1"/>
  <c r="G6" i="1"/>
  <c r="H6" i="1" s="1"/>
  <c r="I6" i="1" s="1"/>
  <c r="J6" i="1" s="1"/>
  <c r="K6" i="1" s="1"/>
  <c r="L6" i="1" s="1"/>
  <c r="M6" i="1" s="1"/>
  <c r="N6" i="1" s="1"/>
  <c r="O6" i="1" s="1"/>
  <c r="C23" i="6"/>
  <c r="D22" i="6"/>
  <c r="B23" i="6" s="1"/>
  <c r="G23" i="6" s="1"/>
  <c r="D11" i="6"/>
  <c r="D12" i="6" s="1"/>
  <c r="D9" i="6"/>
  <c r="G121" i="7" l="1"/>
  <c r="J96" i="7"/>
  <c r="J98" i="7" s="1"/>
  <c r="J99" i="7" s="1"/>
  <c r="J39" i="7"/>
  <c r="K29" i="7"/>
  <c r="K30" i="7" s="1"/>
  <c r="K32" i="7" s="1"/>
  <c r="J58" i="7"/>
  <c r="J60" i="7" s="1"/>
  <c r="K57" i="7"/>
  <c r="I40" i="7"/>
  <c r="I65" i="7" s="1"/>
  <c r="F121" i="7"/>
  <c r="N116" i="7"/>
  <c r="N111" i="7"/>
  <c r="H121" i="7"/>
  <c r="I113" i="7"/>
  <c r="L26" i="7"/>
  <c r="L22" i="7"/>
  <c r="L25" i="7"/>
  <c r="L55" i="7"/>
  <c r="G72" i="7"/>
  <c r="F74" i="7"/>
  <c r="F76" i="7" s="1"/>
  <c r="M51" i="7"/>
  <c r="M112" i="7" s="1"/>
  <c r="N8" i="7"/>
  <c r="M20" i="7"/>
  <c r="J11" i="1"/>
  <c r="J54" i="1" s="1"/>
  <c r="I54" i="1"/>
  <c r="P28" i="1"/>
  <c r="F53" i="1"/>
  <c r="F114" i="1" s="1"/>
  <c r="F61" i="1"/>
  <c r="F100" i="1"/>
  <c r="F103" i="1" s="1"/>
  <c r="H59" i="1"/>
  <c r="I58" i="1"/>
  <c r="J23" i="1"/>
  <c r="K11" i="1"/>
  <c r="K8" i="1"/>
  <c r="J24" i="1"/>
  <c r="G23" i="1"/>
  <c r="H16" i="1"/>
  <c r="G22" i="1"/>
  <c r="G53" i="1" s="1"/>
  <c r="I23" i="1"/>
  <c r="I24" i="1"/>
  <c r="G24" i="1"/>
  <c r="H24" i="1"/>
  <c r="F25" i="1"/>
  <c r="P32" i="1" s="1"/>
  <c r="H10" i="1"/>
  <c r="D16" i="6"/>
  <c r="H23" i="6"/>
  <c r="K23" i="6"/>
  <c r="J23" i="6"/>
  <c r="I23" i="6" s="1"/>
  <c r="F23" i="6"/>
  <c r="G114" i="1" l="1"/>
  <c r="I101" i="7"/>
  <c r="K39" i="7"/>
  <c r="K96" i="7"/>
  <c r="K98" i="7" s="1"/>
  <c r="K99" i="7" s="1"/>
  <c r="M26" i="7"/>
  <c r="M22" i="7"/>
  <c r="M25" i="7"/>
  <c r="H72" i="7"/>
  <c r="G74" i="7"/>
  <c r="G76" i="7" s="1"/>
  <c r="K58" i="7"/>
  <c r="K60" i="7" s="1"/>
  <c r="L57" i="7"/>
  <c r="N51" i="7"/>
  <c r="N20" i="7"/>
  <c r="L29" i="7"/>
  <c r="L30" i="7" s="1"/>
  <c r="L32" i="7" s="1"/>
  <c r="I42" i="7"/>
  <c r="J40" i="7"/>
  <c r="J65" i="7" s="1"/>
  <c r="M55" i="7"/>
  <c r="J113" i="7"/>
  <c r="J29" i="1"/>
  <c r="G61" i="1"/>
  <c r="H61" i="1" s="1"/>
  <c r="I61" i="1" s="1"/>
  <c r="J61" i="1" s="1"/>
  <c r="K61" i="1" s="1"/>
  <c r="L61" i="1" s="1"/>
  <c r="M61" i="1" s="1"/>
  <c r="N61" i="1" s="1"/>
  <c r="O61" i="1" s="1"/>
  <c r="O62" i="1" s="1"/>
  <c r="Q110" i="1" s="1"/>
  <c r="O111" i="1" s="1"/>
  <c r="F62" i="1"/>
  <c r="J58" i="1"/>
  <c r="I59" i="1"/>
  <c r="K54" i="1"/>
  <c r="K115" i="1" s="1"/>
  <c r="L11" i="1"/>
  <c r="K23" i="1"/>
  <c r="G29" i="1"/>
  <c r="L8" i="1"/>
  <c r="K24" i="1"/>
  <c r="G28" i="1"/>
  <c r="F35" i="1"/>
  <c r="F99" i="1" s="1"/>
  <c r="F101" i="1" s="1"/>
  <c r="I16" i="1"/>
  <c r="J16" i="1" s="1"/>
  <c r="I29" i="1"/>
  <c r="H23" i="1"/>
  <c r="H29" i="1" s="1"/>
  <c r="I10" i="1"/>
  <c r="H22" i="1"/>
  <c r="H53" i="1" s="1"/>
  <c r="H114" i="1" s="1"/>
  <c r="L23" i="6"/>
  <c r="D23" i="6"/>
  <c r="B24" i="6" s="1"/>
  <c r="F102" i="1" l="1"/>
  <c r="F116" i="1" s="1"/>
  <c r="F104" i="1"/>
  <c r="I121" i="7"/>
  <c r="J101" i="7"/>
  <c r="J42" i="7"/>
  <c r="L96" i="7"/>
  <c r="L98" i="7" s="1"/>
  <c r="L99" i="7" s="1"/>
  <c r="L39" i="7"/>
  <c r="M57" i="7"/>
  <c r="L58" i="7"/>
  <c r="L60" i="7" s="1"/>
  <c r="M29" i="7"/>
  <c r="M30" i="7" s="1"/>
  <c r="M32" i="7" s="1"/>
  <c r="K40" i="7"/>
  <c r="K65" i="7" s="1"/>
  <c r="N55" i="7"/>
  <c r="N26" i="7"/>
  <c r="N22" i="7"/>
  <c r="N25" i="7"/>
  <c r="I72" i="7"/>
  <c r="H74" i="7"/>
  <c r="H76" i="7" s="1"/>
  <c r="N117" i="7"/>
  <c r="N112" i="7"/>
  <c r="K113" i="7"/>
  <c r="J59" i="1"/>
  <c r="K58" i="1"/>
  <c r="M11" i="1"/>
  <c r="L23" i="1"/>
  <c r="L54" i="1"/>
  <c r="L115" i="1" s="1"/>
  <c r="I22" i="1"/>
  <c r="I25" i="1" s="1"/>
  <c r="J10" i="1"/>
  <c r="K29" i="1"/>
  <c r="M8" i="1"/>
  <c r="L24" i="1"/>
  <c r="K16" i="1"/>
  <c r="H28" i="1"/>
  <c r="C24" i="6"/>
  <c r="G24" i="6"/>
  <c r="K24" i="6"/>
  <c r="J24" i="6"/>
  <c r="I24" i="6" s="1"/>
  <c r="F54" i="1"/>
  <c r="F115" i="1" s="1"/>
  <c r="G54" i="1"/>
  <c r="H54" i="1"/>
  <c r="G115" i="1" l="1"/>
  <c r="F124" i="1"/>
  <c r="J121" i="7"/>
  <c r="M96" i="7"/>
  <c r="M98" i="7" s="1"/>
  <c r="M99" i="7" s="1"/>
  <c r="M39" i="7"/>
  <c r="J72" i="7"/>
  <c r="I74" i="7"/>
  <c r="I76" i="7" s="1"/>
  <c r="N29" i="7"/>
  <c r="N30" i="7" s="1"/>
  <c r="N32" i="7" s="1"/>
  <c r="K42" i="7"/>
  <c r="M58" i="7"/>
  <c r="M60" i="7" s="1"/>
  <c r="N57" i="7"/>
  <c r="N58" i="7" s="1"/>
  <c r="L40" i="7"/>
  <c r="L65" i="7" s="1"/>
  <c r="K101" i="7"/>
  <c r="L113" i="7"/>
  <c r="H115" i="1"/>
  <c r="F65" i="1"/>
  <c r="I115" i="1"/>
  <c r="J115" i="1"/>
  <c r="L58" i="1"/>
  <c r="K59" i="1"/>
  <c r="M54" i="1"/>
  <c r="M115" i="1" s="1"/>
  <c r="N11" i="1"/>
  <c r="M23" i="1"/>
  <c r="I53" i="1"/>
  <c r="I114" i="1" s="1"/>
  <c r="I28" i="1"/>
  <c r="K10" i="1"/>
  <c r="J22" i="1"/>
  <c r="J28" i="1" s="1"/>
  <c r="L29" i="1"/>
  <c r="N8" i="1"/>
  <c r="M24" i="1"/>
  <c r="L16" i="1"/>
  <c r="I32" i="1"/>
  <c r="H25" i="1"/>
  <c r="G25" i="1"/>
  <c r="H24" i="6"/>
  <c r="F24" i="6"/>
  <c r="K125" i="1" l="1"/>
  <c r="AX34" i="8" s="1"/>
  <c r="K140" i="1"/>
  <c r="F139" i="1"/>
  <c r="D129" i="7"/>
  <c r="L101" i="7"/>
  <c r="L121" i="7" s="1"/>
  <c r="N96" i="7"/>
  <c r="N98" i="7" s="1"/>
  <c r="N99" i="7" s="1"/>
  <c r="N39" i="7"/>
  <c r="L42" i="7"/>
  <c r="K72" i="7"/>
  <c r="J74" i="7"/>
  <c r="J76" i="7" s="1"/>
  <c r="K121" i="7"/>
  <c r="M40" i="7"/>
  <c r="M65" i="7" s="1"/>
  <c r="P107" i="7"/>
  <c r="N108" i="7" s="1"/>
  <c r="N60" i="7"/>
  <c r="M113" i="7"/>
  <c r="L59" i="1"/>
  <c r="M58" i="1"/>
  <c r="O11" i="1"/>
  <c r="N23" i="1"/>
  <c r="N54" i="1"/>
  <c r="N115" i="1" s="1"/>
  <c r="J25" i="1"/>
  <c r="J53" i="1"/>
  <c r="J114" i="1" s="1"/>
  <c r="L10" i="1"/>
  <c r="K22" i="1"/>
  <c r="M29" i="1"/>
  <c r="O8" i="1"/>
  <c r="O24" i="1" s="1"/>
  <c r="N24" i="1"/>
  <c r="M16" i="1"/>
  <c r="G32" i="1"/>
  <c r="H32" i="1"/>
  <c r="H33" i="1" s="1"/>
  <c r="H35" i="1" s="1"/>
  <c r="H99" i="1" s="1"/>
  <c r="H101" i="1" s="1"/>
  <c r="I33" i="1"/>
  <c r="I35" i="1" s="1"/>
  <c r="I99" i="1" s="1"/>
  <c r="I101" i="1" s="1"/>
  <c r="L24" i="6"/>
  <c r="D24" i="6"/>
  <c r="B25" i="6" s="1"/>
  <c r="L140" i="1" l="1"/>
  <c r="L125" i="1"/>
  <c r="M140" i="1"/>
  <c r="M125" i="1"/>
  <c r="AZ34" i="8" s="1"/>
  <c r="L72" i="7"/>
  <c r="K74" i="7"/>
  <c r="K76" i="7" s="1"/>
  <c r="N40" i="7"/>
  <c r="N65" i="7" s="1"/>
  <c r="M101" i="7"/>
  <c r="M42" i="7"/>
  <c r="H102" i="1"/>
  <c r="H104" i="1" s="1"/>
  <c r="J32" i="1"/>
  <c r="J33" i="1" s="1"/>
  <c r="J35" i="1" s="1"/>
  <c r="I102" i="1"/>
  <c r="N29" i="1"/>
  <c r="M59" i="1"/>
  <c r="N58" i="1"/>
  <c r="O54" i="1"/>
  <c r="O23" i="1"/>
  <c r="O29" i="1" s="1"/>
  <c r="K28" i="1"/>
  <c r="K25" i="1"/>
  <c r="K32" i="1" s="1"/>
  <c r="K53" i="1"/>
  <c r="M10" i="1"/>
  <c r="L22" i="1"/>
  <c r="N16" i="1"/>
  <c r="O16" i="1" s="1"/>
  <c r="G33" i="1"/>
  <c r="G35" i="1" s="1"/>
  <c r="G99" i="1" s="1"/>
  <c r="G101" i="1" s="1"/>
  <c r="K25" i="6"/>
  <c r="G25" i="6"/>
  <c r="J25" i="6"/>
  <c r="I25" i="6" s="1"/>
  <c r="C25" i="6"/>
  <c r="AY34" i="8" l="1"/>
  <c r="N113" i="7"/>
  <c r="N118" i="7"/>
  <c r="N101" i="7"/>
  <c r="N42" i="7"/>
  <c r="M72" i="7"/>
  <c r="L74" i="7"/>
  <c r="L76" i="7" s="1"/>
  <c r="M121" i="7"/>
  <c r="I116" i="1"/>
  <c r="J42" i="1"/>
  <c r="J43" i="1" s="1"/>
  <c r="J69" i="1" s="1"/>
  <c r="J99" i="1"/>
  <c r="J101" i="1" s="1"/>
  <c r="G102" i="1"/>
  <c r="G116" i="1" s="1"/>
  <c r="K114" i="1"/>
  <c r="O115" i="1"/>
  <c r="O120" i="1"/>
  <c r="I104" i="1"/>
  <c r="N59" i="1"/>
  <c r="O58" i="1"/>
  <c r="K33" i="1"/>
  <c r="K35" i="1" s="1"/>
  <c r="L28" i="1"/>
  <c r="L25" i="1"/>
  <c r="L32" i="1" s="1"/>
  <c r="L53" i="1"/>
  <c r="L114" i="1" s="1"/>
  <c r="M22" i="1"/>
  <c r="N10" i="1"/>
  <c r="F25" i="6"/>
  <c r="H25" i="6"/>
  <c r="L25" i="6" s="1"/>
  <c r="N140" i="1" l="1"/>
  <c r="N125" i="1"/>
  <c r="H116" i="1"/>
  <c r="H124" i="1" s="1"/>
  <c r="H139" i="1" s="1"/>
  <c r="N121" i="7"/>
  <c r="N72" i="7"/>
  <c r="M74" i="7"/>
  <c r="M76" i="7" s="1"/>
  <c r="I124" i="1"/>
  <c r="I139" i="1" s="1"/>
  <c r="G104" i="1"/>
  <c r="J45" i="1"/>
  <c r="K42" i="1"/>
  <c r="K43" i="1" s="1"/>
  <c r="K69" i="1" s="1"/>
  <c r="K99" i="1"/>
  <c r="K101" i="1" s="1"/>
  <c r="J102" i="1"/>
  <c r="J116" i="1" s="1"/>
  <c r="O59" i="1"/>
  <c r="Q107" i="1"/>
  <c r="O107" i="1" s="1"/>
  <c r="O108" i="1" s="1"/>
  <c r="L33" i="1"/>
  <c r="L35" i="1" s="1"/>
  <c r="M28" i="1"/>
  <c r="M25" i="1"/>
  <c r="M32" i="1" s="1"/>
  <c r="M53" i="1"/>
  <c r="M114" i="1" s="1"/>
  <c r="N22" i="1"/>
  <c r="N28" i="1" s="1"/>
  <c r="O10" i="1"/>
  <c r="O22" i="1" s="1"/>
  <c r="D25" i="6"/>
  <c r="B26" i="6" s="1"/>
  <c r="O125" i="1" l="1"/>
  <c r="BB34" i="8" s="1"/>
  <c r="O140" i="1"/>
  <c r="D122" i="7"/>
  <c r="E138" i="7"/>
  <c r="E143" i="1"/>
  <c r="BA34" i="8"/>
  <c r="E149" i="1"/>
  <c r="AY38" i="8" s="1"/>
  <c r="E137" i="7"/>
  <c r="G137" i="7"/>
  <c r="F137" i="7"/>
  <c r="H137" i="7"/>
  <c r="I137" i="7"/>
  <c r="J137" i="7"/>
  <c r="L137" i="7"/>
  <c r="K137" i="7"/>
  <c r="N137" i="7"/>
  <c r="D128" i="7"/>
  <c r="M137" i="7"/>
  <c r="E83" i="7"/>
  <c r="E82" i="7"/>
  <c r="N74" i="7"/>
  <c r="N76" i="7" s="1"/>
  <c r="G124" i="1"/>
  <c r="J104" i="1"/>
  <c r="L42" i="1"/>
  <c r="L43" i="1" s="1"/>
  <c r="L69" i="1" s="1"/>
  <c r="L99" i="1"/>
  <c r="L101" i="1" s="1"/>
  <c r="K102" i="1"/>
  <c r="K116" i="1" s="1"/>
  <c r="O53" i="1"/>
  <c r="O65" i="1" s="1"/>
  <c r="O28" i="1"/>
  <c r="O25" i="1"/>
  <c r="O32" i="1" s="1"/>
  <c r="N25" i="1"/>
  <c r="N53" i="1"/>
  <c r="N114" i="1" s="1"/>
  <c r="K45" i="1"/>
  <c r="M33" i="1"/>
  <c r="M35" i="1" s="1"/>
  <c r="C26" i="6"/>
  <c r="K26" i="6"/>
  <c r="J26" i="6"/>
  <c r="I26" i="6" s="1"/>
  <c r="G26" i="6"/>
  <c r="F26" i="6" s="1"/>
  <c r="G139" i="1" l="1"/>
  <c r="K104" i="1"/>
  <c r="K124" i="1" s="1"/>
  <c r="K139" i="1" s="1"/>
  <c r="G140" i="7"/>
  <c r="D132" i="7" s="1"/>
  <c r="E91" i="7"/>
  <c r="D131" i="7" s="1"/>
  <c r="J124" i="1"/>
  <c r="J139" i="1" s="1"/>
  <c r="M42" i="1"/>
  <c r="M43" i="1" s="1"/>
  <c r="M69" i="1" s="1"/>
  <c r="M99" i="1"/>
  <c r="M101" i="1" s="1"/>
  <c r="N32" i="1"/>
  <c r="N33" i="1" s="1"/>
  <c r="N35" i="1" s="1"/>
  <c r="L45" i="1"/>
  <c r="L102" i="1"/>
  <c r="L116" i="1" s="1"/>
  <c r="O119" i="1"/>
  <c r="O114" i="1"/>
  <c r="O33" i="1"/>
  <c r="O35" i="1" s="1"/>
  <c r="H26" i="6"/>
  <c r="D26" i="6" s="1"/>
  <c r="B27" i="6" s="1"/>
  <c r="D134" i="7" l="1"/>
  <c r="I124" i="7"/>
  <c r="F124" i="7"/>
  <c r="G124" i="7"/>
  <c r="D124" i="7"/>
  <c r="M124" i="7"/>
  <c r="N124" i="7"/>
  <c r="H124" i="7"/>
  <c r="K124" i="7"/>
  <c r="J124" i="7"/>
  <c r="L124" i="7"/>
  <c r="E124" i="7"/>
  <c r="N42" i="1"/>
  <c r="N43" i="1" s="1"/>
  <c r="N69" i="1" s="1"/>
  <c r="N99" i="1"/>
  <c r="N101" i="1" s="1"/>
  <c r="O42" i="1"/>
  <c r="O43" i="1" s="1"/>
  <c r="O69" i="1" s="1"/>
  <c r="O99" i="1"/>
  <c r="O101" i="1" s="1"/>
  <c r="L104" i="1"/>
  <c r="M102" i="1"/>
  <c r="M116" i="1" s="1"/>
  <c r="M45" i="1"/>
  <c r="L26" i="6"/>
  <c r="K27" i="6"/>
  <c r="G27" i="6"/>
  <c r="F27" i="6" s="1"/>
  <c r="J27" i="6"/>
  <c r="I27" i="6" s="1"/>
  <c r="C27" i="6"/>
  <c r="O45" i="1" l="1"/>
  <c r="D126" i="7"/>
  <c r="L124" i="1"/>
  <c r="N45" i="1"/>
  <c r="N102" i="1"/>
  <c r="N116" i="1" s="1"/>
  <c r="O102" i="1"/>
  <c r="O104" i="1" s="1"/>
  <c r="M104" i="1"/>
  <c r="H27" i="6"/>
  <c r="L27" i="6" s="1"/>
  <c r="L139" i="1" l="1"/>
  <c r="M124" i="1"/>
  <c r="M139" i="1" s="1"/>
  <c r="O116" i="1"/>
  <c r="O121" i="1"/>
  <c r="N104" i="1"/>
  <c r="D27" i="6"/>
  <c r="B28" i="6" s="1"/>
  <c r="N124" i="1" l="1"/>
  <c r="N139" i="1" s="1"/>
  <c r="O124" i="1"/>
  <c r="C28" i="6"/>
  <c r="H28" i="6" s="1"/>
  <c r="G28" i="6"/>
  <c r="F28" i="6" s="1"/>
  <c r="K28" i="6"/>
  <c r="J28" i="6"/>
  <c r="I28" i="6" s="1"/>
  <c r="O139" i="1" l="1"/>
  <c r="E148" i="1"/>
  <c r="E142" i="1"/>
  <c r="D28" i="6"/>
  <c r="B29" i="6" s="1"/>
  <c r="L28" i="6"/>
  <c r="G142" i="1" l="1"/>
  <c r="N143" i="1"/>
  <c r="L143" i="1"/>
  <c r="J143" i="1"/>
  <c r="M143" i="1"/>
  <c r="H143" i="1"/>
  <c r="O143" i="1"/>
  <c r="I143" i="1"/>
  <c r="K143" i="1"/>
  <c r="F143" i="1"/>
  <c r="G143" i="1"/>
  <c r="F142" i="1"/>
  <c r="H142" i="1"/>
  <c r="I142" i="1"/>
  <c r="K142" i="1"/>
  <c r="J142" i="1"/>
  <c r="L142" i="1"/>
  <c r="M142" i="1"/>
  <c r="N142" i="1"/>
  <c r="O142" i="1"/>
  <c r="K29" i="6"/>
  <c r="G29" i="6"/>
  <c r="F29" i="6" s="1"/>
  <c r="J29" i="6"/>
  <c r="I29" i="6" s="1"/>
  <c r="C29" i="6"/>
  <c r="H29" i="6" s="1"/>
  <c r="E145" i="1" l="1"/>
  <c r="E146" i="1"/>
  <c r="AV38" i="8" s="1"/>
  <c r="L29" i="6"/>
  <c r="D29" i="6"/>
  <c r="B30" i="6" s="1"/>
  <c r="C30" i="6" l="1"/>
  <c r="H30" i="6" s="1"/>
  <c r="K30" i="6"/>
  <c r="J30" i="6"/>
  <c r="I30" i="6" s="1"/>
  <c r="G30" i="6"/>
  <c r="F30" i="6" s="1"/>
  <c r="D30" i="6" l="1"/>
  <c r="B31" i="6" s="1"/>
  <c r="J31" i="6" s="1"/>
  <c r="I31" i="6" s="1"/>
  <c r="L30" i="6"/>
  <c r="G31" i="6" l="1"/>
  <c r="F31" i="6" s="1"/>
  <c r="K31" i="6"/>
  <c r="C31" i="6"/>
  <c r="H31" i="6" s="1"/>
  <c r="D31" i="6" l="1"/>
  <c r="B32" i="6" s="1"/>
  <c r="G32" i="6" s="1"/>
  <c r="F32" i="6" s="1"/>
  <c r="L31" i="6"/>
  <c r="C32" i="6"/>
  <c r="H32" i="6" s="1"/>
  <c r="K32" i="6"/>
  <c r="J32" i="6"/>
  <c r="I32" i="6" s="1"/>
  <c r="L32" i="6" l="1"/>
  <c r="D32" i="6"/>
  <c r="B33" i="6" s="1"/>
  <c r="K33" i="6" l="1"/>
  <c r="G33" i="6"/>
  <c r="F33" i="6" s="1"/>
  <c r="J33" i="6"/>
  <c r="I33" i="6" s="1"/>
  <c r="C33" i="6"/>
  <c r="H33" i="6" s="1"/>
  <c r="L33" i="6" l="1"/>
  <c r="D33" i="6"/>
  <c r="B34" i="6" s="1"/>
  <c r="C34" i="6" l="1"/>
  <c r="H34" i="6" s="1"/>
  <c r="K34" i="6"/>
  <c r="G34" i="6"/>
  <c r="F36" i="1" s="1"/>
  <c r="J34" i="6"/>
  <c r="I34" i="6" s="1"/>
  <c r="F34" i="6" l="1"/>
  <c r="L34" i="6" s="1"/>
  <c r="F42" i="1"/>
  <c r="D34" i="6" l="1"/>
  <c r="F43" i="1"/>
  <c r="F69" i="1" s="1"/>
  <c r="B35" i="6" l="1"/>
  <c r="Q5" i="6"/>
  <c r="F70" i="1" s="1"/>
  <c r="F45" i="1"/>
  <c r="J35" i="6" l="1"/>
  <c r="I35" i="6" s="1"/>
  <c r="K35" i="6"/>
  <c r="C35" i="6"/>
  <c r="H35" i="6" s="1"/>
  <c r="G35" i="6"/>
  <c r="F35" i="6" s="1"/>
  <c r="L35" i="6" l="1"/>
  <c r="D35" i="6"/>
  <c r="B36" i="6" s="1"/>
  <c r="C36" i="6" l="1"/>
  <c r="K36" i="6"/>
  <c r="J36" i="6"/>
  <c r="I36" i="6" s="1"/>
  <c r="G36" i="6"/>
  <c r="F36" i="6" s="1"/>
  <c r="H36" i="6" l="1"/>
  <c r="D36" i="6"/>
  <c r="B37" i="6" s="1"/>
  <c r="L36" i="6"/>
  <c r="C37" i="6" l="1"/>
  <c r="J37" i="6"/>
  <c r="I37" i="6" s="1"/>
  <c r="G37" i="6"/>
  <c r="F37" i="6" s="1"/>
  <c r="K37" i="6"/>
  <c r="H37" i="6" l="1"/>
  <c r="L37" i="6"/>
  <c r="D37" i="6"/>
  <c r="B38" i="6" s="1"/>
  <c r="G38" i="6" l="1"/>
  <c r="C38" i="6"/>
  <c r="J38" i="6"/>
  <c r="I38" i="6" s="1"/>
  <c r="K38" i="6"/>
  <c r="F38" i="6"/>
  <c r="H38" i="6" l="1"/>
  <c r="D38" i="6" s="1"/>
  <c r="B39" i="6" s="1"/>
  <c r="L38" i="6"/>
  <c r="G39" i="6" l="1"/>
  <c r="F39" i="6" s="1"/>
  <c r="J39" i="6"/>
  <c r="I39" i="6" s="1"/>
  <c r="C39" i="6"/>
  <c r="H39" i="6" s="1"/>
  <c r="K39" i="6"/>
  <c r="D39" i="6" l="1"/>
  <c r="B40" i="6" s="1"/>
  <c r="L39" i="6"/>
  <c r="C40" i="6" l="1"/>
  <c r="G40" i="6"/>
  <c r="F40" i="6" s="1"/>
  <c r="H40" i="6" s="1"/>
  <c r="D40" i="6" s="1"/>
  <c r="B41" i="6" s="1"/>
  <c r="K40" i="6"/>
  <c r="J40" i="6"/>
  <c r="I40" i="6" s="1"/>
  <c r="G41" i="6" l="1"/>
  <c r="F41" i="6" s="1"/>
  <c r="C41" i="6"/>
  <c r="J41" i="6"/>
  <c r="I41" i="6" s="1"/>
  <c r="K41" i="6"/>
  <c r="L40" i="6"/>
  <c r="H41" i="6" l="1"/>
  <c r="D41" i="6" l="1"/>
  <c r="B42" i="6" s="1"/>
  <c r="L41" i="6"/>
  <c r="C42" i="6" l="1"/>
  <c r="G42" i="6"/>
  <c r="F42" i="6" s="1"/>
  <c r="H42" i="6" s="1"/>
  <c r="K42" i="6"/>
  <c r="J42" i="6"/>
  <c r="I42" i="6" s="1"/>
  <c r="L42" i="6" l="1"/>
  <c r="D42" i="6"/>
  <c r="B43" i="6" s="1"/>
  <c r="J43" i="6" l="1"/>
  <c r="I43" i="6" s="1"/>
  <c r="C43" i="6"/>
  <c r="H43" i="6" s="1"/>
  <c r="D43" i="6" s="1"/>
  <c r="B44" i="6" s="1"/>
  <c r="K43" i="6"/>
  <c r="G43" i="6"/>
  <c r="F43" i="6" s="1"/>
  <c r="L43" i="6" l="1"/>
  <c r="G44" i="6"/>
  <c r="F44" i="6" s="1"/>
  <c r="K44" i="6"/>
  <c r="J44" i="6"/>
  <c r="I44" i="6" s="1"/>
  <c r="L44" i="6" s="1"/>
  <c r="C44" i="6"/>
  <c r="H44" i="6"/>
  <c r="D44" i="6" s="1"/>
  <c r="B45" i="6" s="1"/>
  <c r="G45" i="6" s="1"/>
  <c r="F45" i="6" s="1"/>
  <c r="C45" i="6"/>
  <c r="K45" i="6" l="1"/>
  <c r="J45" i="6"/>
  <c r="I45" i="6" s="1"/>
  <c r="H45" i="6"/>
  <c r="L45" i="6" l="1"/>
  <c r="D45" i="6"/>
  <c r="B46" i="6" s="1"/>
  <c r="G46" i="6" s="1"/>
  <c r="F46" i="6" l="1"/>
  <c r="G36" i="1"/>
  <c r="G42" i="1" s="1"/>
  <c r="G43" i="1" s="1"/>
  <c r="J46" i="6"/>
  <c r="I46" i="6" s="1"/>
  <c r="K46" i="6"/>
  <c r="C46" i="6"/>
  <c r="H46" i="6"/>
  <c r="D46" i="6" s="1"/>
  <c r="B47" i="6" l="1"/>
  <c r="K47" i="6" s="1"/>
  <c r="R5" i="6"/>
  <c r="G70" i="1" s="1"/>
  <c r="G45" i="1"/>
  <c r="G69" i="1"/>
  <c r="L46" i="6"/>
  <c r="C47" i="6"/>
  <c r="J47" i="6"/>
  <c r="I47" i="6" s="1"/>
  <c r="G47" i="6" l="1"/>
  <c r="F47" i="6"/>
  <c r="H47" i="6" s="1"/>
  <c r="L47" i="6" s="1"/>
  <c r="D47" i="6" l="1"/>
  <c r="B48" i="6" s="1"/>
  <c r="G48" i="6" s="1"/>
  <c r="F48" i="6" l="1"/>
  <c r="C48" i="6"/>
  <c r="H48" i="6" s="1"/>
  <c r="D48" i="6" s="1"/>
  <c r="B49" i="6" s="1"/>
  <c r="J48" i="6"/>
  <c r="I48" i="6" s="1"/>
  <c r="K48" i="6"/>
  <c r="L48" i="6" l="1"/>
  <c r="G49" i="6"/>
  <c r="J49" i="6"/>
  <c r="I49" i="6" s="1"/>
  <c r="C49" i="6"/>
  <c r="K49" i="6"/>
  <c r="F49" i="6" l="1"/>
  <c r="H49" i="6"/>
  <c r="L49" i="6" s="1"/>
  <c r="D49" i="6" l="1"/>
  <c r="B50" i="6" s="1"/>
  <c r="K50" i="6" s="1"/>
  <c r="G50" i="6"/>
  <c r="F50" i="6" l="1"/>
  <c r="C50" i="6"/>
  <c r="H50" i="6" s="1"/>
  <c r="D50" i="6" s="1"/>
  <c r="B51" i="6" s="1"/>
  <c r="J50" i="6"/>
  <c r="I50" i="6" s="1"/>
  <c r="L50" i="6" l="1"/>
  <c r="K51" i="6"/>
  <c r="G51" i="6"/>
  <c r="J51" i="6"/>
  <c r="I51" i="6" s="1"/>
  <c r="C51" i="6"/>
  <c r="F51" i="6" l="1"/>
  <c r="H51" i="6"/>
  <c r="L51" i="6" s="1"/>
  <c r="D51" i="6" l="1"/>
  <c r="B52" i="6" s="1"/>
  <c r="C52" i="6" l="1"/>
  <c r="J52" i="6"/>
  <c r="I52" i="6" s="1"/>
  <c r="G52" i="6"/>
  <c r="F52" i="6" s="1"/>
  <c r="K52" i="6"/>
  <c r="H52" i="6" l="1"/>
  <c r="L52" i="6" s="1"/>
  <c r="D52" i="6" l="1"/>
  <c r="B53" i="6" s="1"/>
  <c r="J53" i="6" l="1"/>
  <c r="I53" i="6" s="1"/>
  <c r="C53" i="6"/>
  <c r="K53" i="6"/>
  <c r="G53" i="6"/>
  <c r="F53" i="6" s="1"/>
  <c r="H53" i="6" l="1"/>
  <c r="L53" i="6"/>
  <c r="D53" i="6"/>
  <c r="B54" i="6" s="1"/>
  <c r="G54" i="6" l="1"/>
  <c r="F54" i="6" s="1"/>
  <c r="J54" i="6"/>
  <c r="I54" i="6" s="1"/>
  <c r="C54" i="6"/>
  <c r="H54" i="6" s="1"/>
  <c r="K54" i="6"/>
  <c r="D54" i="6" l="1"/>
  <c r="B55" i="6" s="1"/>
  <c r="L54" i="6"/>
  <c r="G55" i="6" l="1"/>
  <c r="J55" i="6"/>
  <c r="I55" i="6" s="1"/>
  <c r="F55" i="6"/>
  <c r="K55" i="6"/>
  <c r="C55" i="6"/>
  <c r="H55" i="6" l="1"/>
  <c r="D55" i="6" s="1"/>
  <c r="B56" i="6" s="1"/>
  <c r="L55" i="6"/>
  <c r="J56" i="6"/>
  <c r="I56" i="6" s="1"/>
  <c r="G56" i="6"/>
  <c r="F56" i="6" s="1"/>
  <c r="C56" i="6"/>
  <c r="K56" i="6"/>
  <c r="H56" i="6" l="1"/>
  <c r="L56" i="6" s="1"/>
  <c r="D56" i="6" l="1"/>
  <c r="B57" i="6" s="1"/>
  <c r="J57" i="6" s="1"/>
  <c r="I57" i="6" s="1"/>
  <c r="C57" i="6" l="1"/>
  <c r="G57" i="6"/>
  <c r="F57" i="6" s="1"/>
  <c r="K57" i="6"/>
  <c r="H57" i="6" l="1"/>
  <c r="D57" i="6" s="1"/>
  <c r="B58" i="6" s="1"/>
  <c r="C58" i="6" s="1"/>
  <c r="L57" i="6"/>
  <c r="K58" i="6"/>
  <c r="G58" i="6"/>
  <c r="J58" i="6"/>
  <c r="I58" i="6" s="1"/>
  <c r="F58" i="6" l="1"/>
  <c r="H58" i="6" s="1"/>
  <c r="D58" i="6" s="1"/>
  <c r="H36" i="1"/>
  <c r="H42" i="1" s="1"/>
  <c r="H43" i="1" s="1"/>
  <c r="B59" i="6" l="1"/>
  <c r="C59" i="6" s="1"/>
  <c r="S5" i="6"/>
  <c r="H70" i="1" s="1"/>
  <c r="H45" i="1"/>
  <c r="H69" i="1"/>
  <c r="J59" i="6"/>
  <c r="I59" i="6" s="1"/>
  <c r="G59" i="6"/>
  <c r="L58" i="6"/>
  <c r="K59" i="6" l="1"/>
  <c r="F59" i="6"/>
  <c r="H59" i="6" l="1"/>
  <c r="L59" i="6" s="1"/>
  <c r="D59" i="6" l="1"/>
  <c r="B60" i="6" s="1"/>
  <c r="G60" i="6" l="1"/>
  <c r="J60" i="6"/>
  <c r="I60" i="6" s="1"/>
  <c r="C60" i="6"/>
  <c r="K60" i="6"/>
  <c r="F60" i="6"/>
  <c r="H60" i="6" l="1"/>
  <c r="D60" i="6" s="1"/>
  <c r="B61" i="6" s="1"/>
  <c r="K61" i="6" s="1"/>
  <c r="G61" i="6"/>
  <c r="F61" i="6" s="1"/>
  <c r="J61" i="6"/>
  <c r="I61" i="6" s="1"/>
  <c r="L60" i="6"/>
  <c r="C61" i="6" l="1"/>
  <c r="H61" i="6" s="1"/>
  <c r="D61" i="6" s="1"/>
  <c r="B62" i="6" s="1"/>
  <c r="J62" i="6" s="1"/>
  <c r="I62" i="6" s="1"/>
  <c r="L61" i="6"/>
  <c r="K62" i="6"/>
  <c r="C62" i="6"/>
  <c r="G62" i="6" l="1"/>
  <c r="F62" i="6" s="1"/>
  <c r="H62" i="6"/>
  <c r="D62" i="6" s="1"/>
  <c r="B63" i="6" s="1"/>
  <c r="G63" i="6" l="1"/>
  <c r="F63" i="6" s="1"/>
  <c r="C63" i="6"/>
  <c r="H63" i="6" s="1"/>
  <c r="D63" i="6" s="1"/>
  <c r="B64" i="6" s="1"/>
  <c r="K63" i="6"/>
  <c r="J63" i="6"/>
  <c r="I63" i="6" s="1"/>
  <c r="L62" i="6"/>
  <c r="L63" i="6" l="1"/>
  <c r="J64" i="6"/>
  <c r="I64" i="6" s="1"/>
  <c r="C64" i="6"/>
  <c r="K64" i="6"/>
  <c r="G64" i="6"/>
  <c r="F64" i="6" s="1"/>
  <c r="H64" i="6" l="1"/>
  <c r="D64" i="6" s="1"/>
  <c r="B65" i="6" s="1"/>
  <c r="L64" i="6"/>
  <c r="K65" i="6" l="1"/>
  <c r="G65" i="6"/>
  <c r="F65" i="6" s="1"/>
  <c r="C65" i="6"/>
  <c r="J65" i="6"/>
  <c r="I65" i="6" s="1"/>
  <c r="H65" i="6" l="1"/>
  <c r="D65" i="6" s="1"/>
  <c r="B66" i="6" s="1"/>
  <c r="L65" i="6" l="1"/>
  <c r="G66" i="6"/>
  <c r="F66" i="6"/>
  <c r="C66" i="6"/>
  <c r="H66" i="6" s="1"/>
  <c r="D66" i="6" s="1"/>
  <c r="B67" i="6" s="1"/>
  <c r="J66" i="6"/>
  <c r="I66" i="6" s="1"/>
  <c r="K66" i="6"/>
  <c r="J67" i="6" l="1"/>
  <c r="I67" i="6" s="1"/>
  <c r="K67" i="6"/>
  <c r="L66" i="6"/>
  <c r="G67" i="6"/>
  <c r="F67" i="6" s="1"/>
  <c r="C67" i="6"/>
  <c r="H67" i="6" l="1"/>
  <c r="D67" i="6" s="1"/>
  <c r="B68" i="6" s="1"/>
  <c r="L67" i="6"/>
  <c r="C68" i="6" l="1"/>
  <c r="G68" i="6"/>
  <c r="F68" i="6" s="1"/>
  <c r="J68" i="6"/>
  <c r="I68" i="6" s="1"/>
  <c r="K68" i="6"/>
  <c r="H68" i="6" l="1"/>
  <c r="D68" i="6" s="1"/>
  <c r="B69" i="6" s="1"/>
  <c r="G69" i="6"/>
  <c r="F69" i="6" s="1"/>
  <c r="J69" i="6"/>
  <c r="I69" i="6" s="1"/>
  <c r="C69" i="6"/>
  <c r="H69" i="6" s="1"/>
  <c r="K69" i="6"/>
  <c r="L68" i="6"/>
  <c r="D69" i="6" l="1"/>
  <c r="B70" i="6" s="1"/>
  <c r="L69" i="6"/>
  <c r="C70" i="6" l="1"/>
  <c r="G70" i="6"/>
  <c r="J70" i="6"/>
  <c r="I70" i="6" s="1"/>
  <c r="K70" i="6"/>
  <c r="F70" i="6" l="1"/>
  <c r="I36" i="1"/>
  <c r="I42" i="1" s="1"/>
  <c r="I43" i="1" s="1"/>
  <c r="H70" i="6"/>
  <c r="D70" i="6" s="1"/>
  <c r="B71" i="6" l="1"/>
  <c r="G71" i="6" s="1"/>
  <c r="F71" i="6" s="1"/>
  <c r="T5" i="6"/>
  <c r="I70" i="1" s="1"/>
  <c r="I45" i="1"/>
  <c r="I69" i="1"/>
  <c r="L70" i="6"/>
  <c r="J71" i="6"/>
  <c r="I71" i="6" s="1"/>
  <c r="C71" i="6" l="1"/>
  <c r="H71" i="6" s="1"/>
  <c r="K71" i="6"/>
  <c r="L71" i="6" l="1"/>
  <c r="D71" i="6"/>
  <c r="B72" i="6" s="1"/>
  <c r="C72" i="6" s="1"/>
  <c r="K72" i="6"/>
  <c r="G72" i="6"/>
  <c r="F72" i="6" s="1"/>
  <c r="J72" i="6" l="1"/>
  <c r="I72" i="6" s="1"/>
  <c r="L72" i="6" s="1"/>
  <c r="H72" i="6"/>
  <c r="D72" i="6" s="1"/>
  <c r="B73" i="6" s="1"/>
  <c r="K73" i="6" s="1"/>
  <c r="C73" i="6" l="1"/>
  <c r="G73" i="6"/>
  <c r="F73" i="6" s="1"/>
  <c r="J73" i="6"/>
  <c r="I73" i="6" s="1"/>
  <c r="H73" i="6" l="1"/>
  <c r="L73" i="6" s="1"/>
  <c r="D73" i="6"/>
  <c r="B74" i="6" s="1"/>
  <c r="G74" i="6" l="1"/>
  <c r="F74" i="6" s="1"/>
  <c r="C74" i="6"/>
  <c r="K74" i="6"/>
  <c r="J74" i="6"/>
  <c r="I74" i="6" s="1"/>
  <c r="H74" i="6" l="1"/>
  <c r="D74" i="6" s="1"/>
  <c r="B75" i="6" s="1"/>
  <c r="L74" i="6" l="1"/>
  <c r="K75" i="6"/>
  <c r="J75" i="6"/>
  <c r="I75" i="6" s="1"/>
  <c r="C75" i="6"/>
  <c r="G75" i="6"/>
  <c r="F75" i="6" s="1"/>
  <c r="H75" i="6" l="1"/>
  <c r="D75" i="6" s="1"/>
  <c r="B76" i="6" s="1"/>
  <c r="C76" i="6" s="1"/>
  <c r="K76" i="6" l="1"/>
  <c r="J76" i="6"/>
  <c r="I76" i="6" s="1"/>
  <c r="L75" i="6"/>
  <c r="G76" i="6"/>
  <c r="F76" i="6" s="1"/>
  <c r="H76" i="6" l="1"/>
  <c r="D76" i="6" s="1"/>
  <c r="B77" i="6" s="1"/>
  <c r="J77" i="6" l="1"/>
  <c r="I77" i="6" s="1"/>
  <c r="C77" i="6"/>
  <c r="G77" i="6"/>
  <c r="F77" i="6" s="1"/>
  <c r="K77" i="6"/>
  <c r="L76" i="6"/>
  <c r="H77" i="6" l="1"/>
  <c r="L77" i="6" s="1"/>
  <c r="D77" i="6" l="1"/>
  <c r="B78" i="6" s="1"/>
  <c r="J78" i="6" s="1"/>
  <c r="I78" i="6" s="1"/>
  <c r="C78" i="6"/>
  <c r="K78" i="6" l="1"/>
  <c r="G78" i="6"/>
  <c r="F78" i="6" s="1"/>
  <c r="H78" i="6" l="1"/>
  <c r="D78" i="6" s="1"/>
  <c r="B79" i="6" s="1"/>
  <c r="C79" i="6" l="1"/>
  <c r="G79" i="6"/>
  <c r="F79" i="6" s="1"/>
  <c r="K79" i="6"/>
  <c r="J79" i="6"/>
  <c r="I79" i="6" s="1"/>
  <c r="L78" i="6"/>
  <c r="H79" i="6" l="1"/>
  <c r="L79" i="6" l="1"/>
  <c r="D79" i="6"/>
  <c r="B80" i="6" s="1"/>
  <c r="K80" i="6" l="1"/>
  <c r="C80" i="6"/>
  <c r="G80" i="6"/>
  <c r="F80" i="6" s="1"/>
  <c r="J80" i="6"/>
  <c r="I80" i="6" s="1"/>
  <c r="H80" i="6" l="1"/>
  <c r="D80" i="6" s="1"/>
  <c r="B81" i="6" s="1"/>
  <c r="K81" i="6" l="1"/>
  <c r="G81" i="6"/>
  <c r="F81" i="6" s="1"/>
  <c r="C81" i="6"/>
  <c r="J81" i="6"/>
  <c r="I81" i="6" s="1"/>
  <c r="L80" i="6"/>
  <c r="H81" i="6" l="1"/>
  <c r="D81" i="6" s="1"/>
  <c r="B82" i="6" s="1"/>
  <c r="K82" i="6" s="1"/>
  <c r="C82" i="6"/>
  <c r="J82" i="6"/>
  <c r="I82" i="6" s="1"/>
  <c r="L81" i="6"/>
  <c r="G82" i="6" l="1"/>
  <c r="F82" i="6" s="1"/>
  <c r="H82" i="6"/>
  <c r="L82" i="6" s="1"/>
  <c r="D82" i="6" l="1"/>
  <c r="B83" i="6" s="1"/>
  <c r="C83" i="6" l="1"/>
  <c r="G83" i="6"/>
  <c r="F83" i="6" s="1"/>
  <c r="J83" i="6"/>
  <c r="I83" i="6" s="1"/>
  <c r="K83" i="6"/>
  <c r="H83" i="6" l="1"/>
  <c r="D83" i="6" s="1"/>
  <c r="B84" i="6" s="1"/>
  <c r="C84" i="6" l="1"/>
  <c r="K84" i="6"/>
  <c r="J84" i="6"/>
  <c r="I84" i="6" s="1"/>
  <c r="G84" i="6"/>
  <c r="F84" i="6" s="1"/>
  <c r="L83" i="6"/>
  <c r="H84" i="6" l="1"/>
  <c r="L84" i="6"/>
  <c r="D84" i="6"/>
  <c r="B85" i="6" s="1"/>
  <c r="G85" i="6" l="1"/>
  <c r="F85" i="6" s="1"/>
  <c r="K85" i="6"/>
  <c r="C85" i="6"/>
  <c r="H85" i="6" s="1"/>
  <c r="J85" i="6"/>
  <c r="I85" i="6" s="1"/>
  <c r="L85" i="6" l="1"/>
  <c r="D85" i="6"/>
  <c r="B86" i="6" s="1"/>
  <c r="J86" i="6" l="1"/>
  <c r="I86" i="6" s="1"/>
  <c r="K86" i="6"/>
  <c r="C86" i="6"/>
  <c r="G86" i="6"/>
  <c r="F86" i="6" s="1"/>
  <c r="H86" i="6" l="1"/>
  <c r="D86" i="6"/>
  <c r="B87" i="6" s="1"/>
  <c r="L86" i="6"/>
  <c r="G87" i="6" l="1"/>
  <c r="F87" i="6" s="1"/>
  <c r="C87" i="6"/>
  <c r="H87" i="6" s="1"/>
  <c r="D87" i="6" s="1"/>
  <c r="B88" i="6" s="1"/>
  <c r="K87" i="6"/>
  <c r="J87" i="6"/>
  <c r="I87" i="6" s="1"/>
  <c r="L87" i="6" l="1"/>
  <c r="C88" i="6"/>
  <c r="G88" i="6"/>
  <c r="F88" i="6" s="1"/>
  <c r="K88" i="6"/>
  <c r="J88" i="6"/>
  <c r="I88" i="6" s="1"/>
  <c r="H88" i="6" l="1"/>
  <c r="D88" i="6" s="1"/>
  <c r="B89" i="6" s="1"/>
  <c r="C89" i="6" l="1"/>
  <c r="J89" i="6"/>
  <c r="I89" i="6" s="1"/>
  <c r="K89" i="6"/>
  <c r="G89" i="6"/>
  <c r="F89" i="6" s="1"/>
  <c r="L88" i="6"/>
  <c r="H89" i="6" l="1"/>
  <c r="D89" i="6" s="1"/>
  <c r="B90" i="6" s="1"/>
  <c r="K90" i="6" l="1"/>
  <c r="J90" i="6"/>
  <c r="I90" i="6" s="1"/>
  <c r="G90" i="6"/>
  <c r="F90" i="6" s="1"/>
  <c r="C90" i="6"/>
  <c r="H90" i="6" s="1"/>
  <c r="L89" i="6"/>
  <c r="L90" i="6" l="1"/>
  <c r="D90" i="6"/>
  <c r="B91" i="6" s="1"/>
  <c r="G91" i="6"/>
  <c r="F91" i="6" s="1"/>
  <c r="K91" i="6"/>
  <c r="C91" i="6"/>
  <c r="H91" i="6" s="1"/>
  <c r="D91" i="6" s="1"/>
  <c r="B92" i="6" s="1"/>
  <c r="J91" i="6"/>
  <c r="I91" i="6" s="1"/>
  <c r="G92" i="6" l="1"/>
  <c r="F92" i="6" s="1"/>
  <c r="J92" i="6"/>
  <c r="I92" i="6" s="1"/>
  <c r="K92" i="6"/>
  <c r="C92" i="6"/>
  <c r="H92" i="6" s="1"/>
  <c r="D92" i="6" s="1"/>
  <c r="B93" i="6" s="1"/>
  <c r="L91" i="6"/>
  <c r="C93" i="6" l="1"/>
  <c r="G93" i="6"/>
  <c r="F93" i="6" s="1"/>
  <c r="H93" i="6" s="1"/>
  <c r="K93" i="6"/>
  <c r="J93" i="6"/>
  <c r="I93" i="6" s="1"/>
  <c r="L92" i="6"/>
  <c r="L93" i="6" l="1"/>
  <c r="D93" i="6"/>
  <c r="B94" i="6" s="1"/>
  <c r="J94" i="6" l="1"/>
  <c r="I94" i="6" s="1"/>
  <c r="G94" i="6"/>
  <c r="F94" i="6" s="1"/>
  <c r="C94" i="6"/>
  <c r="H94" i="6" s="1"/>
  <c r="D94" i="6" s="1"/>
  <c r="B95" i="6" s="1"/>
  <c r="C95" i="6" s="1"/>
  <c r="K94" i="6"/>
  <c r="L94" i="6" l="1"/>
  <c r="J95" i="6"/>
  <c r="I95" i="6" s="1"/>
  <c r="K95" i="6"/>
  <c r="G95" i="6"/>
  <c r="F95" i="6" s="1"/>
  <c r="H95" i="6" s="1"/>
  <c r="D95" i="6"/>
  <c r="B96" i="6" s="1"/>
  <c r="L95" i="6" l="1"/>
  <c r="C96" i="6"/>
  <c r="G96" i="6"/>
  <c r="F96" i="6" s="1"/>
  <c r="J96" i="6"/>
  <c r="I96" i="6" s="1"/>
  <c r="K96" i="6"/>
  <c r="H96" i="6" l="1"/>
  <c r="D96" i="6" s="1"/>
  <c r="B97" i="6" s="1"/>
  <c r="G97" i="6" s="1"/>
  <c r="F97" i="6" s="1"/>
  <c r="J97" i="6" l="1"/>
  <c r="I97" i="6" s="1"/>
  <c r="C97" i="6"/>
  <c r="H97" i="6" s="1"/>
  <c r="K97" i="6"/>
  <c r="L96" i="6"/>
  <c r="L97" i="6" l="1"/>
  <c r="D97" i="6"/>
  <c r="B98" i="6" s="1"/>
  <c r="G98" i="6" l="1"/>
  <c r="F98" i="6" s="1"/>
  <c r="C98" i="6"/>
  <c r="J98" i="6"/>
  <c r="I98" i="6" s="1"/>
  <c r="K98" i="6"/>
  <c r="H98" i="6" l="1"/>
  <c r="L98" i="6" s="1"/>
  <c r="D98" i="6" l="1"/>
  <c r="B99" i="6" s="1"/>
  <c r="G99" i="6" s="1"/>
  <c r="F99" i="6" s="1"/>
  <c r="C99" i="6" l="1"/>
  <c r="H99" i="6" s="1"/>
  <c r="D99" i="6" s="1"/>
  <c r="B100" i="6" s="1"/>
  <c r="J100" i="6" s="1"/>
  <c r="I100" i="6" s="1"/>
  <c r="K99" i="6"/>
  <c r="J99" i="6"/>
  <c r="I99" i="6" s="1"/>
  <c r="L99" i="6" l="1"/>
  <c r="G100" i="6"/>
  <c r="F100" i="6" s="1"/>
  <c r="K100" i="6"/>
  <c r="C100" i="6"/>
  <c r="H100" i="6" l="1"/>
  <c r="L100" i="6" s="1"/>
  <c r="D100" i="6" l="1"/>
  <c r="B101" i="6" s="1"/>
  <c r="G101" i="6" s="1"/>
  <c r="F101" i="6" s="1"/>
  <c r="K101" i="6" l="1"/>
  <c r="J101" i="6"/>
  <c r="I101" i="6" s="1"/>
  <c r="C101" i="6"/>
  <c r="H101" i="6" s="1"/>
  <c r="D101" i="6" s="1"/>
  <c r="B102" i="6" s="1"/>
  <c r="L101" i="6" l="1"/>
  <c r="J102" i="6"/>
  <c r="K102" i="6"/>
  <c r="C102" i="6"/>
  <c r="G102" i="6"/>
  <c r="F102" i="6" s="1"/>
  <c r="I102" i="6"/>
  <c r="H102" i="6" l="1"/>
  <c r="L102" i="6" s="1"/>
  <c r="D102" i="6" l="1"/>
  <c r="B103" i="6" s="1"/>
  <c r="G103" i="6" s="1"/>
  <c r="F103" i="6" s="1"/>
  <c r="K103" i="6" l="1"/>
  <c r="C103" i="6"/>
  <c r="H103" i="6" s="1"/>
  <c r="D103" i="6" s="1"/>
  <c r="B104" i="6" s="1"/>
  <c r="J103" i="6"/>
  <c r="I103" i="6" s="1"/>
  <c r="L103" i="6" l="1"/>
  <c r="K104" i="6"/>
  <c r="J104" i="6"/>
  <c r="I104" i="6" s="1"/>
  <c r="G104" i="6"/>
  <c r="F104" i="6" s="1"/>
  <c r="C104" i="6"/>
  <c r="H104" i="6" l="1"/>
  <c r="D104" i="6" s="1"/>
  <c r="B105" i="6" s="1"/>
  <c r="G105" i="6" s="1"/>
  <c r="K105" i="6" l="1"/>
  <c r="F105" i="6"/>
  <c r="L104" i="6"/>
  <c r="C105" i="6"/>
  <c r="J105" i="6"/>
  <c r="I105" i="6" s="1"/>
  <c r="H105" i="6" l="1"/>
  <c r="D105" i="6" s="1"/>
  <c r="B106" i="6" s="1"/>
  <c r="G106" i="6" s="1"/>
  <c r="F106" i="6" s="1"/>
  <c r="L105" i="6"/>
  <c r="K106" i="6"/>
  <c r="J106" i="6"/>
  <c r="I106" i="6" s="1"/>
  <c r="C106" i="6" l="1"/>
  <c r="H106" i="6" s="1"/>
  <c r="D106" i="6" s="1"/>
  <c r="B107" i="6" s="1"/>
  <c r="C107" i="6" l="1"/>
  <c r="G107" i="6"/>
  <c r="F107" i="6" s="1"/>
  <c r="J107" i="6"/>
  <c r="I107" i="6" s="1"/>
  <c r="K107" i="6"/>
  <c r="L106" i="6"/>
  <c r="H107" i="6" l="1"/>
  <c r="D107" i="6" s="1"/>
  <c r="B108" i="6" s="1"/>
  <c r="J108" i="6" l="1"/>
  <c r="I108" i="6" s="1"/>
  <c r="K108" i="6"/>
  <c r="C108" i="6"/>
  <c r="G108" i="6"/>
  <c r="F108" i="6" s="1"/>
  <c r="L107" i="6"/>
  <c r="H108" i="6" l="1"/>
  <c r="L108" i="6" l="1"/>
  <c r="D108" i="6"/>
  <c r="B109" i="6" s="1"/>
  <c r="J109" i="6" l="1"/>
  <c r="I109" i="6" s="1"/>
  <c r="C109" i="6"/>
  <c r="K109" i="6"/>
  <c r="G109" i="6"/>
  <c r="F109" i="6" s="1"/>
  <c r="H109" i="6" l="1"/>
  <c r="L109" i="6" s="1"/>
  <c r="D109" i="6" l="1"/>
  <c r="B110" i="6" s="1"/>
  <c r="J110" i="6" s="1"/>
  <c r="I110" i="6" s="1"/>
  <c r="C110" i="6" l="1"/>
  <c r="G110" i="6"/>
  <c r="F110" i="6" s="1"/>
  <c r="K110" i="6"/>
  <c r="H110" i="6" l="1"/>
  <c r="D110" i="6" s="1"/>
  <c r="B111" i="6" s="1"/>
  <c r="C111" i="6" s="1"/>
  <c r="L110" i="6"/>
  <c r="G111" i="6" l="1"/>
  <c r="F111" i="6" s="1"/>
  <c r="J111" i="6"/>
  <c r="I111" i="6" s="1"/>
  <c r="K111" i="6"/>
  <c r="H111" i="6"/>
  <c r="L111" i="6" l="1"/>
  <c r="D111" i="6"/>
  <c r="B112" i="6" s="1"/>
  <c r="K112" i="6" l="1"/>
  <c r="C112" i="6"/>
  <c r="G112" i="6"/>
  <c r="F112" i="6" s="1"/>
  <c r="J112" i="6"/>
  <c r="I112" i="6" s="1"/>
  <c r="H112" i="6" l="1"/>
  <c r="L112" i="6" s="1"/>
  <c r="D112" i="6" l="1"/>
  <c r="B113" i="6" s="1"/>
  <c r="C113" i="6" s="1"/>
  <c r="K113" i="6" l="1"/>
  <c r="J113" i="6"/>
  <c r="I113" i="6" s="1"/>
  <c r="G113" i="6"/>
  <c r="F113" i="6" s="1"/>
  <c r="H113" i="6" s="1"/>
  <c r="D113" i="6" s="1"/>
  <c r="B114" i="6" s="1"/>
  <c r="G114" i="6" l="1"/>
  <c r="F114" i="6" s="1"/>
  <c r="J114" i="6"/>
  <c r="I114" i="6"/>
  <c r="C114" i="6"/>
  <c r="K114" i="6"/>
  <c r="L113" i="6"/>
  <c r="H114" i="6" l="1"/>
  <c r="D114" i="6" s="1"/>
  <c r="B115" i="6" s="1"/>
  <c r="J115" i="6" s="1"/>
  <c r="I115" i="6" s="1"/>
  <c r="G115" i="6" l="1"/>
  <c r="F115" i="6" s="1"/>
  <c r="K115" i="6"/>
  <c r="C115" i="6"/>
  <c r="H115" i="6" s="1"/>
  <c r="L115" i="6" s="1"/>
  <c r="L114" i="6"/>
  <c r="D115" i="6" l="1"/>
  <c r="B116" i="6" s="1"/>
  <c r="K116" i="6" l="1"/>
  <c r="C116" i="6"/>
  <c r="G116" i="6"/>
  <c r="F116" i="6" s="1"/>
  <c r="J116" i="6"/>
  <c r="I116" i="6" s="1"/>
  <c r="H116" i="6" l="1"/>
  <c r="L116" i="6" s="1"/>
  <c r="D116" i="6" l="1"/>
  <c r="B117" i="6" s="1"/>
  <c r="K117" i="6" s="1"/>
  <c r="C117" i="6" l="1"/>
  <c r="J117" i="6"/>
  <c r="I117" i="6" s="1"/>
  <c r="G117" i="6"/>
  <c r="F117" i="6" s="1"/>
  <c r="H117" i="6" l="1"/>
  <c r="L117" i="6" s="1"/>
  <c r="D117" i="6" l="1"/>
  <c r="B118" i="6" s="1"/>
  <c r="C118" i="6" s="1"/>
  <c r="K118" i="6"/>
  <c r="J118" i="6" l="1"/>
  <c r="I118" i="6" s="1"/>
  <c r="G118" i="6"/>
  <c r="F118" i="6" s="1"/>
  <c r="H118" i="6" s="1"/>
  <c r="D118" i="6" s="1"/>
  <c r="B119" i="6" s="1"/>
  <c r="K119" i="6" l="1"/>
  <c r="C119" i="6"/>
  <c r="J119" i="6"/>
  <c r="I119" i="6" s="1"/>
  <c r="G119" i="6"/>
  <c r="F119" i="6" s="1"/>
  <c r="L118" i="6"/>
  <c r="H119" i="6" l="1"/>
  <c r="L119" i="6" s="1"/>
  <c r="D119" i="6" l="1"/>
  <c r="B120" i="6" s="1"/>
  <c r="G120" i="6" l="1"/>
  <c r="F120" i="6" s="1"/>
  <c r="C120" i="6"/>
  <c r="K120" i="6"/>
  <c r="J120" i="6"/>
  <c r="I120" i="6" s="1"/>
  <c r="H120" i="6" l="1"/>
  <c r="D120" i="6" s="1"/>
  <c r="B121" i="6" s="1"/>
  <c r="C121" i="6" s="1"/>
  <c r="G121" i="6" l="1"/>
  <c r="F121" i="6" s="1"/>
  <c r="K121" i="6"/>
  <c r="J121" i="6"/>
  <c r="I121" i="6" s="1"/>
  <c r="L120" i="6"/>
  <c r="H121" i="6"/>
  <c r="D121" i="6" s="1"/>
  <c r="B122" i="6" s="1"/>
  <c r="L121" i="6" l="1"/>
  <c r="C122" i="6"/>
  <c r="K122" i="6"/>
  <c r="J122" i="6"/>
  <c r="I122" i="6" s="1"/>
  <c r="G122" i="6"/>
  <c r="F122" i="6" s="1"/>
  <c r="H122" i="6" l="1"/>
  <c r="L122" i="6" s="1"/>
  <c r="D122" i="6" l="1"/>
  <c r="B123" i="6" s="1"/>
  <c r="G123" i="6" l="1"/>
  <c r="F123" i="6" s="1"/>
  <c r="K123" i="6"/>
  <c r="J123" i="6"/>
  <c r="I123" i="6" s="1"/>
  <c r="C123" i="6"/>
  <c r="H123" i="6" l="1"/>
  <c r="L123" i="6" s="1"/>
  <c r="D123" i="6" l="1"/>
  <c r="B124" i="6" s="1"/>
  <c r="G124" i="6" s="1"/>
  <c r="K124" i="6" l="1"/>
  <c r="C124" i="6"/>
  <c r="J124" i="6"/>
  <c r="I124" i="6" s="1"/>
  <c r="F124" i="6"/>
  <c r="H124" i="6" l="1"/>
  <c r="D124" i="6" s="1"/>
  <c r="B125" i="6" s="1"/>
  <c r="J125" i="6" s="1"/>
  <c r="I125" i="6" s="1"/>
  <c r="L124" i="6" l="1"/>
  <c r="G125" i="6"/>
  <c r="F125" i="6" s="1"/>
  <c r="C125" i="6"/>
  <c r="K125" i="6"/>
  <c r="H125" i="6" l="1"/>
  <c r="L125" i="6" s="1"/>
  <c r="D125" i="6"/>
  <c r="B126" i="6" s="1"/>
  <c r="C126" i="6" l="1"/>
  <c r="J126" i="6"/>
  <c r="I126" i="6" s="1"/>
  <c r="K126" i="6"/>
  <c r="G126" i="6"/>
  <c r="F126" i="6" s="1"/>
  <c r="H126" i="6" l="1"/>
  <c r="D126" i="6" s="1"/>
  <c r="B127" i="6" s="1"/>
  <c r="K127" i="6" s="1"/>
  <c r="C127" i="6"/>
  <c r="G127" i="6" l="1"/>
  <c r="F127" i="6" s="1"/>
  <c r="H127" i="6" s="1"/>
  <c r="J127" i="6"/>
  <c r="I127" i="6" s="1"/>
  <c r="L126" i="6"/>
  <c r="L127" i="6" l="1"/>
  <c r="D127" i="6"/>
  <c r="B128" i="6" s="1"/>
  <c r="J128" i="6" s="1"/>
  <c r="I128" i="6" s="1"/>
  <c r="K128" i="6" l="1"/>
  <c r="C128" i="6"/>
  <c r="G128" i="6"/>
  <c r="F128" i="6" s="1"/>
  <c r="H128" i="6" l="1"/>
  <c r="D128" i="6"/>
  <c r="B129" i="6" s="1"/>
  <c r="L128" i="6"/>
  <c r="C129" i="6" l="1"/>
  <c r="G129" i="6"/>
  <c r="F129" i="6" s="1"/>
  <c r="K129" i="6"/>
  <c r="J129" i="6"/>
  <c r="I129" i="6" s="1"/>
  <c r="H129" i="6" l="1"/>
  <c r="D129" i="6" s="1"/>
  <c r="B130" i="6" s="1"/>
  <c r="L129" i="6" l="1"/>
  <c r="C130" i="6"/>
  <c r="K130" i="6"/>
  <c r="G130" i="6"/>
  <c r="F130" i="6" s="1"/>
  <c r="J130" i="6"/>
  <c r="I130" i="6" s="1"/>
  <c r="H130" i="6" l="1"/>
  <c r="L130" i="6" s="1"/>
  <c r="D130" i="6" l="1"/>
  <c r="B131" i="6" s="1"/>
  <c r="C131" i="6" l="1"/>
  <c r="G131" i="6"/>
  <c r="F131" i="6"/>
  <c r="J131" i="6"/>
  <c r="I131" i="6" s="1"/>
  <c r="K131" i="6"/>
  <c r="H131" i="6" l="1"/>
  <c r="D131" i="6" s="1"/>
  <c r="B132" i="6" s="1"/>
  <c r="J132" i="6" l="1"/>
  <c r="I132" i="6" s="1"/>
  <c r="K132" i="6"/>
  <c r="C132" i="6"/>
  <c r="G132" i="6"/>
  <c r="F132" i="6" s="1"/>
  <c r="L131" i="6"/>
  <c r="H132" i="6" l="1"/>
  <c r="D132" i="6" s="1"/>
  <c r="B133" i="6" s="1"/>
  <c r="L132" i="6" l="1"/>
  <c r="J133" i="6"/>
  <c r="I133" i="6" s="1"/>
  <c r="C133" i="6"/>
  <c r="K133" i="6"/>
  <c r="G133" i="6"/>
  <c r="F133" i="6" s="1"/>
  <c r="H133" i="6" l="1"/>
  <c r="L133" i="6" s="1"/>
  <c r="D133" i="6" l="1"/>
  <c r="B134" i="6" s="1"/>
  <c r="J134" i="6" l="1"/>
  <c r="I134" i="6" s="1"/>
  <c r="K134" i="6"/>
  <c r="C134" i="6"/>
  <c r="G134" i="6"/>
  <c r="F134" i="6" s="1"/>
  <c r="H134" i="6" l="1"/>
  <c r="D134" i="6" s="1"/>
  <c r="B135" i="6" s="1"/>
  <c r="L134" i="6" l="1"/>
  <c r="J135" i="6"/>
  <c r="I135" i="6" s="1"/>
  <c r="G135" i="6"/>
  <c r="F135" i="6" s="1"/>
  <c r="K135" i="6"/>
  <c r="C135" i="6"/>
  <c r="H135" i="6" l="1"/>
  <c r="L135" i="6"/>
  <c r="D135" i="6"/>
  <c r="B136" i="6" s="1"/>
  <c r="J136" i="6" s="1"/>
  <c r="K136" i="6" l="1"/>
  <c r="I136" i="6"/>
  <c r="G136" i="6"/>
  <c r="F136" i="6" s="1"/>
  <c r="C136" i="6"/>
  <c r="H136" i="6" l="1"/>
  <c r="D136" i="6" s="1"/>
  <c r="B137" i="6" s="1"/>
  <c r="C137" i="6" l="1"/>
  <c r="J137" i="6"/>
  <c r="I137" i="6" s="1"/>
  <c r="G137" i="6"/>
  <c r="F137" i="6" s="1"/>
  <c r="K137" i="6"/>
  <c r="L136" i="6"/>
  <c r="H137" i="6" l="1"/>
  <c r="L137" i="6"/>
  <c r="D137" i="6"/>
  <c r="B138" i="6" s="1"/>
  <c r="C138" i="6" s="1"/>
  <c r="J138" i="6" l="1"/>
  <c r="I138" i="6" s="1"/>
  <c r="K138" i="6"/>
  <c r="G138" i="6"/>
  <c r="F138" i="6" s="1"/>
  <c r="H138" i="6" s="1"/>
  <c r="D138" i="6" l="1"/>
  <c r="B139" i="6" s="1"/>
  <c r="L138" i="6"/>
  <c r="G139" i="6" l="1"/>
  <c r="F139" i="6" s="1"/>
  <c r="K139" i="6"/>
  <c r="J139" i="6"/>
  <c r="I139" i="6" s="1"/>
  <c r="C139" i="6"/>
  <c r="H139" i="6" l="1"/>
  <c r="D139" i="6" s="1"/>
  <c r="B140" i="6" s="1"/>
  <c r="J140" i="6" s="1"/>
  <c r="I140" i="6" s="1"/>
  <c r="L139" i="6" l="1"/>
  <c r="K140" i="6"/>
  <c r="C140" i="6"/>
  <c r="G140" i="6"/>
  <c r="F140" i="6" s="1"/>
  <c r="H140" i="6" l="1"/>
  <c r="L140" i="6" s="1"/>
  <c r="D140" i="6" l="1"/>
  <c r="B141" i="6" s="1"/>
  <c r="J141" i="6" s="1"/>
  <c r="I141" i="6" s="1"/>
  <c r="K141" i="6" l="1"/>
  <c r="G141" i="6"/>
  <c r="F141" i="6" s="1"/>
  <c r="C141" i="6"/>
  <c r="H141" i="6" l="1"/>
  <c r="D141" i="6" s="1"/>
  <c r="B142" i="6" s="1"/>
  <c r="L141" i="6"/>
  <c r="C142" i="6" l="1"/>
  <c r="J142" i="6"/>
  <c r="I142" i="6" s="1"/>
  <c r="G142" i="6"/>
  <c r="F142" i="6" s="1"/>
  <c r="K142" i="6"/>
  <c r="H142" i="6" l="1"/>
  <c r="D142" i="6" s="1"/>
  <c r="B143" i="6" s="1"/>
  <c r="L142" i="6" l="1"/>
  <c r="J143" i="6"/>
  <c r="I143" i="6" s="1"/>
  <c r="G143" i="6"/>
  <c r="F143" i="6" s="1"/>
  <c r="C143" i="6"/>
  <c r="K143" i="6"/>
  <c r="H143" i="6" l="1"/>
  <c r="D143" i="6" s="1"/>
  <c r="B144" i="6" s="1"/>
  <c r="C144" i="6" s="1"/>
  <c r="L143" i="6"/>
  <c r="K144" i="6" l="1"/>
  <c r="J144" i="6"/>
  <c r="I144" i="6" s="1"/>
  <c r="G144" i="6"/>
  <c r="F144" i="6" s="1"/>
  <c r="H144" i="6" s="1"/>
  <c r="D144" i="6" s="1"/>
  <c r="B145" i="6" s="1"/>
  <c r="K145" i="6" l="1"/>
  <c r="J145" i="6"/>
  <c r="I145" i="6" s="1"/>
  <c r="G145" i="6"/>
  <c r="F145" i="6" s="1"/>
  <c r="C145" i="6"/>
  <c r="L144" i="6"/>
  <c r="H145" i="6" l="1"/>
  <c r="L145" i="6" s="1"/>
  <c r="D145" i="6" l="1"/>
  <c r="B146" i="6" s="1"/>
  <c r="C146" i="6" l="1"/>
  <c r="J146" i="6"/>
  <c r="I146" i="6" s="1"/>
  <c r="K146" i="6"/>
  <c r="G146" i="6"/>
  <c r="F146" i="6" s="1"/>
  <c r="H146" i="6" l="1"/>
  <c r="L146" i="6" s="1"/>
  <c r="D146" i="6" l="1"/>
  <c r="B147" i="6" s="1"/>
  <c r="K147" i="6" l="1"/>
  <c r="J147" i="6"/>
  <c r="I147" i="6" s="1"/>
  <c r="G147" i="6"/>
  <c r="F147" i="6" s="1"/>
  <c r="C147" i="6"/>
  <c r="H147" i="6" l="1"/>
  <c r="D147" i="6" s="1"/>
  <c r="B148" i="6" s="1"/>
  <c r="K148" i="6" l="1"/>
  <c r="C148" i="6"/>
  <c r="G148" i="6"/>
  <c r="F148" i="6" s="1"/>
  <c r="J148" i="6"/>
  <c r="I148" i="6" s="1"/>
  <c r="L147" i="6"/>
  <c r="H148" i="6" l="1"/>
  <c r="D148" i="6" s="1"/>
  <c r="B149" i="6" s="1"/>
  <c r="L148" i="6" l="1"/>
  <c r="G149" i="6"/>
  <c r="F149" i="6" s="1"/>
  <c r="J149" i="6"/>
  <c r="I149" i="6" s="1"/>
  <c r="C149" i="6"/>
  <c r="K149" i="6"/>
  <c r="H149" i="6" l="1"/>
  <c r="L149" i="6" s="1"/>
  <c r="D149" i="6"/>
  <c r="B150" i="6" s="1"/>
  <c r="J150" i="6" l="1"/>
  <c r="K150" i="6"/>
  <c r="C150" i="6"/>
  <c r="G150" i="6"/>
  <c r="F150" i="6" s="1"/>
  <c r="I150" i="6"/>
  <c r="H150" i="6" l="1"/>
  <c r="D150" i="6" s="1"/>
  <c r="B151" i="6" s="1"/>
  <c r="K151" i="6" l="1"/>
  <c r="C151" i="6"/>
  <c r="J151" i="6"/>
  <c r="I151" i="6" s="1"/>
  <c r="G151" i="6"/>
  <c r="F151" i="6" s="1"/>
  <c r="L150" i="6"/>
  <c r="H151" i="6" l="1"/>
  <c r="L151" i="6" s="1"/>
  <c r="D151" i="6" l="1"/>
  <c r="B152" i="6" s="1"/>
  <c r="G152" i="6" l="1"/>
  <c r="F152" i="6" s="1"/>
  <c r="C152" i="6"/>
  <c r="K152" i="6"/>
  <c r="J152" i="6"/>
  <c r="I152" i="6" s="1"/>
  <c r="H152" i="6" l="1"/>
  <c r="D152" i="6" s="1"/>
  <c r="B153" i="6" s="1"/>
  <c r="G153" i="6" s="1"/>
  <c r="F153" i="6" s="1"/>
  <c r="L152" i="6" l="1"/>
  <c r="J153" i="6"/>
  <c r="I153" i="6" s="1"/>
  <c r="K153" i="6"/>
  <c r="C153" i="6"/>
  <c r="H153" i="6" s="1"/>
  <c r="D153" i="6" l="1"/>
  <c r="B154" i="6" s="1"/>
  <c r="J154" i="6" s="1"/>
  <c r="I154" i="6" s="1"/>
  <c r="L153" i="6"/>
  <c r="K154" i="6" l="1"/>
  <c r="C154" i="6"/>
  <c r="G154" i="6"/>
  <c r="F154" i="6" s="1"/>
  <c r="H154" i="6" l="1"/>
  <c r="D154" i="6"/>
  <c r="B155" i="6" s="1"/>
  <c r="L154" i="6"/>
  <c r="C155" i="6" l="1"/>
  <c r="G155" i="6"/>
  <c r="F155" i="6" s="1"/>
  <c r="K155" i="6"/>
  <c r="J155" i="6"/>
  <c r="I155" i="6" s="1"/>
  <c r="H155" i="6" l="1"/>
  <c r="D155" i="6" s="1"/>
  <c r="B156" i="6" s="1"/>
  <c r="C156" i="6" s="1"/>
  <c r="G156" i="6"/>
  <c r="F156" i="6" s="1"/>
  <c r="J156" i="6"/>
  <c r="I156" i="6" s="1"/>
  <c r="L155" i="6" l="1"/>
  <c r="K156" i="6"/>
  <c r="H156" i="6"/>
  <c r="D156" i="6" s="1"/>
  <c r="B157" i="6" s="1"/>
  <c r="J157" i="6" s="1"/>
  <c r="I157" i="6" s="1"/>
  <c r="K157" i="6"/>
  <c r="G157" i="6" l="1"/>
  <c r="F157" i="6" s="1"/>
  <c r="C157" i="6"/>
  <c r="L156" i="6"/>
  <c r="H157" i="6" l="1"/>
  <c r="D157" i="6" s="1"/>
  <c r="B158" i="6" s="1"/>
  <c r="L157" i="6" l="1"/>
  <c r="J158" i="6"/>
  <c r="I158" i="6" s="1"/>
  <c r="K158" i="6"/>
  <c r="G158" i="6"/>
  <c r="F158" i="6" s="1"/>
  <c r="C158" i="6"/>
  <c r="H158" i="6" l="1"/>
  <c r="D158" i="6" s="1"/>
  <c r="B159" i="6" s="1"/>
  <c r="J159" i="6"/>
  <c r="I159" i="6" s="1"/>
  <c r="K159" i="6" l="1"/>
  <c r="G159" i="6"/>
  <c r="F159" i="6" s="1"/>
  <c r="C159" i="6"/>
  <c r="H159" i="6" s="1"/>
  <c r="D159" i="6" s="1"/>
  <c r="B160" i="6" s="1"/>
  <c r="J160" i="6" s="1"/>
  <c r="I160" i="6" s="1"/>
  <c r="L158" i="6"/>
  <c r="G160" i="6" l="1"/>
  <c r="F160" i="6" s="1"/>
  <c r="L159" i="6"/>
  <c r="C160" i="6"/>
  <c r="K160" i="6"/>
  <c r="H160" i="6" l="1"/>
  <c r="D160" i="6" s="1"/>
  <c r="B161" i="6" s="1"/>
  <c r="K161" i="6" s="1"/>
  <c r="C161" i="6"/>
  <c r="L160" i="6"/>
  <c r="J161" i="6" l="1"/>
  <c r="I161" i="6" s="1"/>
  <c r="G161" i="6"/>
  <c r="F161" i="6" s="1"/>
  <c r="H161" i="6"/>
  <c r="L161" i="6" l="1"/>
  <c r="D161" i="6"/>
  <c r="B162" i="6" s="1"/>
  <c r="J162" i="6" l="1"/>
  <c r="I162" i="6" s="1"/>
  <c r="K162" i="6"/>
  <c r="G162" i="6"/>
  <c r="F162" i="6" s="1"/>
  <c r="C162" i="6"/>
  <c r="H162" i="6" l="1"/>
  <c r="D162" i="6" s="1"/>
  <c r="B163" i="6" s="1"/>
  <c r="C163" i="6" l="1"/>
  <c r="K163" i="6"/>
  <c r="G163" i="6"/>
  <c r="F163" i="6" s="1"/>
  <c r="J163" i="6"/>
  <c r="I163" i="6" s="1"/>
  <c r="L162" i="6"/>
  <c r="H163" i="6" l="1"/>
  <c r="L163" i="6" s="1"/>
  <c r="D163" i="6" l="1"/>
  <c r="B164" i="6" s="1"/>
  <c r="K164" i="6" s="1"/>
  <c r="J164" i="6"/>
  <c r="I164" i="6" s="1"/>
  <c r="G164" i="6" l="1"/>
  <c r="F164" i="6" s="1"/>
  <c r="C164" i="6"/>
  <c r="H164" i="6" l="1"/>
  <c r="D164" i="6" s="1"/>
  <c r="B165" i="6" s="1"/>
  <c r="L164" i="6"/>
  <c r="C165" i="6"/>
  <c r="G165" i="6"/>
  <c r="F165" i="6" s="1"/>
  <c r="K165" i="6"/>
  <c r="J165" i="6"/>
  <c r="I165" i="6" s="1"/>
  <c r="H165" i="6" l="1"/>
  <c r="D165" i="6" s="1"/>
  <c r="B166" i="6" s="1"/>
  <c r="J166" i="6" l="1"/>
  <c r="I166" i="6" s="1"/>
  <c r="K166" i="6"/>
  <c r="G166" i="6"/>
  <c r="F166" i="6" s="1"/>
  <c r="C166" i="6"/>
  <c r="L165" i="6"/>
  <c r="H166" i="6" l="1"/>
  <c r="L166" i="6" s="1"/>
  <c r="D166" i="6" l="1"/>
  <c r="B167" i="6" s="1"/>
  <c r="K167" i="6" s="1"/>
  <c r="C167" i="6" l="1"/>
  <c r="G167" i="6"/>
  <c r="F167" i="6" s="1"/>
  <c r="J167" i="6"/>
  <c r="I167" i="6" s="1"/>
  <c r="H167" i="6" l="1"/>
  <c r="L167" i="6" s="1"/>
  <c r="D167" i="6" l="1"/>
  <c r="B168" i="6" s="1"/>
  <c r="K168" i="6" s="1"/>
  <c r="C168" i="6"/>
  <c r="G168" i="6"/>
  <c r="F168" i="6" s="1"/>
  <c r="J168" i="6"/>
  <c r="I168" i="6" s="1"/>
  <c r="H168" i="6" l="1"/>
  <c r="D168" i="6" s="1"/>
  <c r="B169" i="6" s="1"/>
  <c r="J169" i="6" s="1"/>
  <c r="I169" i="6" s="1"/>
  <c r="C169" i="6"/>
  <c r="K169" i="6"/>
  <c r="L168" i="6"/>
  <c r="G169" i="6" l="1"/>
  <c r="F169" i="6" s="1"/>
  <c r="H169" i="6"/>
  <c r="D169" i="6" s="1"/>
  <c r="B170" i="6" s="1"/>
  <c r="G170" i="6" s="1"/>
  <c r="F170" i="6" s="1"/>
  <c r="K170" i="6" l="1"/>
  <c r="C170" i="6"/>
  <c r="H170" i="6" s="1"/>
  <c r="L169" i="6"/>
  <c r="J170" i="6"/>
  <c r="I170" i="6" s="1"/>
  <c r="D170" i="6" l="1"/>
  <c r="B171" i="6" s="1"/>
  <c r="C171" i="6" s="1"/>
  <c r="L170" i="6"/>
  <c r="J171" i="6"/>
  <c r="I171" i="6" s="1"/>
  <c r="G171" i="6" l="1"/>
  <c r="F171" i="6" s="1"/>
  <c r="H171" i="6" s="1"/>
  <c r="D171" i="6" s="1"/>
  <c r="B172" i="6" s="1"/>
  <c r="K171" i="6"/>
  <c r="G172" i="6" l="1"/>
  <c r="F172" i="6" s="1"/>
  <c r="J172" i="6"/>
  <c r="I172" i="6" s="1"/>
  <c r="K172" i="6"/>
  <c r="C172" i="6"/>
  <c r="L171" i="6"/>
  <c r="H172" i="6" l="1"/>
  <c r="D172" i="6" s="1"/>
  <c r="B173" i="6" s="1"/>
  <c r="G173" i="6" s="1"/>
  <c r="F173" i="6" s="1"/>
  <c r="C173" i="6"/>
  <c r="H173" i="6" l="1"/>
  <c r="J173" i="6"/>
  <c r="I173" i="6" s="1"/>
  <c r="K173" i="6"/>
  <c r="L172" i="6"/>
  <c r="D173" i="6"/>
  <c r="B174" i="6" s="1"/>
  <c r="L173" i="6" l="1"/>
  <c r="G174" i="6"/>
  <c r="F174" i="6" s="1"/>
  <c r="C174" i="6"/>
  <c r="J174" i="6"/>
  <c r="I174" i="6" s="1"/>
  <c r="K174" i="6"/>
  <c r="H174" i="6" l="1"/>
  <c r="L174" i="6" s="1"/>
  <c r="D174" i="6" l="1"/>
  <c r="B175" i="6" s="1"/>
  <c r="K175" i="6" l="1"/>
  <c r="J175" i="6"/>
  <c r="I175" i="6" s="1"/>
  <c r="C175" i="6"/>
  <c r="G175" i="6"/>
  <c r="F175" i="6" s="1"/>
  <c r="H175" i="6" l="1"/>
  <c r="L175" i="6" s="1"/>
  <c r="D175" i="6" l="1"/>
  <c r="B176" i="6" s="1"/>
  <c r="K176" i="6" s="1"/>
  <c r="G176" i="6"/>
  <c r="C176" i="6" l="1"/>
  <c r="F176" i="6"/>
  <c r="J176" i="6"/>
  <c r="I176" i="6" s="1"/>
  <c r="H176" i="6" l="1"/>
  <c r="D176" i="6" s="1"/>
  <c r="B177" i="6" s="1"/>
  <c r="L176" i="6"/>
  <c r="J177" i="6" l="1"/>
  <c r="I177" i="6" s="1"/>
  <c r="G177" i="6"/>
  <c r="F177" i="6" s="1"/>
  <c r="C177" i="6"/>
  <c r="K177" i="6"/>
  <c r="H177" i="6" l="1"/>
  <c r="D177" i="6" s="1"/>
  <c r="B178" i="6" s="1"/>
  <c r="L177" i="6"/>
  <c r="J178" i="6" l="1"/>
  <c r="I178" i="6" s="1"/>
  <c r="K178" i="6"/>
  <c r="G178" i="6"/>
  <c r="F178" i="6" s="1"/>
  <c r="C178" i="6"/>
  <c r="H178" i="6" l="1"/>
  <c r="L178" i="6" s="1"/>
  <c r="D178" i="6"/>
  <c r="B179" i="6" s="1"/>
  <c r="J179" i="6" l="1"/>
  <c r="G179" i="6"/>
  <c r="F179" i="6" s="1"/>
  <c r="K179" i="6"/>
  <c r="I179" i="6"/>
  <c r="C179" i="6"/>
  <c r="H179" i="6" l="1"/>
  <c r="L179" i="6" s="1"/>
  <c r="D179" i="6" l="1"/>
  <c r="B180" i="6" s="1"/>
  <c r="J180" i="6" s="1"/>
  <c r="C180" i="6"/>
  <c r="K180" i="6" l="1"/>
  <c r="G180" i="6"/>
  <c r="F180" i="6" s="1"/>
  <c r="H180" i="6" s="1"/>
  <c r="D180" i="6" s="1"/>
  <c r="B181" i="6" s="1"/>
  <c r="I180" i="6"/>
  <c r="L180" i="6" l="1"/>
  <c r="C181" i="6"/>
  <c r="J181" i="6"/>
  <c r="I181" i="6" s="1"/>
  <c r="K181" i="6"/>
  <c r="G181" i="6"/>
  <c r="F181" i="6" s="1"/>
  <c r="H181" i="6" l="1"/>
  <c r="D181" i="6" s="1"/>
  <c r="B182" i="6" s="1"/>
  <c r="C182" i="6" l="1"/>
  <c r="G182" i="6"/>
  <c r="F182" i="6" s="1"/>
  <c r="K182" i="6"/>
  <c r="J182" i="6"/>
  <c r="I182" i="6" s="1"/>
  <c r="L181" i="6"/>
  <c r="H182" i="6" l="1"/>
  <c r="D182" i="6" s="1"/>
  <c r="B183" i="6" s="1"/>
  <c r="J183" i="6" l="1"/>
  <c r="I183" i="6" s="1"/>
  <c r="G183" i="6"/>
  <c r="F183" i="6" s="1"/>
  <c r="K183" i="6"/>
  <c r="C183" i="6"/>
  <c r="L182" i="6"/>
  <c r="H183" i="6" l="1"/>
  <c r="L183" i="6"/>
  <c r="D183" i="6"/>
  <c r="B184" i="6" s="1"/>
  <c r="J184" i="6" l="1"/>
  <c r="I184" i="6" s="1"/>
  <c r="K184" i="6"/>
  <c r="G184" i="6"/>
  <c r="F184" i="6" s="1"/>
  <c r="C184" i="6"/>
  <c r="H184" i="6" l="1"/>
  <c r="D184" i="6" s="1"/>
  <c r="B185" i="6" s="1"/>
  <c r="L184" i="6" l="1"/>
  <c r="C185" i="6"/>
  <c r="G185" i="6"/>
  <c r="F185" i="6" s="1"/>
  <c r="J185" i="6"/>
  <c r="I185" i="6" s="1"/>
  <c r="K185" i="6"/>
  <c r="H185" i="6" l="1"/>
  <c r="D185" i="6" s="1"/>
  <c r="B186" i="6" s="1"/>
  <c r="L185" i="6" l="1"/>
  <c r="G186" i="6"/>
  <c r="F186" i="6" s="1"/>
  <c r="J186" i="6"/>
  <c r="I186" i="6" s="1"/>
  <c r="K186" i="6"/>
  <c r="C186" i="6"/>
  <c r="H186" i="6" l="1"/>
  <c r="D186" i="6" s="1"/>
  <c r="B187" i="6" s="1"/>
  <c r="J187" i="6" l="1"/>
  <c r="I187" i="6" s="1"/>
  <c r="G187" i="6"/>
  <c r="F187" i="6" s="1"/>
  <c r="K187" i="6"/>
  <c r="C187" i="6"/>
  <c r="L186" i="6"/>
  <c r="H187" i="6" l="1"/>
  <c r="D187" i="6" s="1"/>
  <c r="B188" i="6" s="1"/>
  <c r="L187" i="6" l="1"/>
  <c r="G188" i="6"/>
  <c r="F188" i="6" s="1"/>
  <c r="C188" i="6"/>
  <c r="J188" i="6"/>
  <c r="I188" i="6" s="1"/>
  <c r="K188" i="6"/>
  <c r="H188" i="6" l="1"/>
  <c r="L188" i="6" s="1"/>
  <c r="D188" i="6" l="1"/>
  <c r="B189" i="6" s="1"/>
  <c r="C189" i="6" l="1"/>
  <c r="K189" i="6"/>
  <c r="J189" i="6"/>
  <c r="I189" i="6" s="1"/>
  <c r="G189" i="6"/>
  <c r="F189" i="6" s="1"/>
  <c r="H189" i="6" l="1"/>
  <c r="L189" i="6" s="1"/>
  <c r="D189" i="6" l="1"/>
  <c r="B190" i="6" s="1"/>
  <c r="G190" i="6" l="1"/>
  <c r="F190" i="6" s="1"/>
  <c r="J190" i="6"/>
  <c r="I190" i="6" s="1"/>
  <c r="C190" i="6"/>
  <c r="K190" i="6"/>
  <c r="H190" i="6" l="1"/>
  <c r="D190" i="6" s="1"/>
  <c r="B191" i="6" s="1"/>
  <c r="L190" i="6" l="1"/>
  <c r="G191" i="6"/>
  <c r="F191" i="6" s="1"/>
  <c r="K191" i="6"/>
  <c r="C191" i="6"/>
  <c r="J191" i="6"/>
  <c r="I191" i="6" s="1"/>
  <c r="H191" i="6" l="1"/>
  <c r="D191" i="6"/>
  <c r="B192" i="6" s="1"/>
  <c r="L191" i="6"/>
  <c r="K192" i="6" l="1"/>
  <c r="J192" i="6"/>
  <c r="I192" i="6" s="1"/>
  <c r="G192" i="6"/>
  <c r="F192" i="6" s="1"/>
  <c r="C192" i="6"/>
  <c r="H192" i="6" l="1"/>
  <c r="D192" i="6"/>
  <c r="B193" i="6" s="1"/>
  <c r="L192" i="6"/>
  <c r="J193" i="6" l="1"/>
  <c r="I193" i="6" s="1"/>
  <c r="G193" i="6"/>
  <c r="F193" i="6"/>
  <c r="K193" i="6"/>
  <c r="C193" i="6"/>
  <c r="H193" i="6" l="1"/>
  <c r="L193" i="6"/>
  <c r="D193" i="6"/>
  <c r="B194" i="6" s="1"/>
  <c r="C194" i="6" l="1"/>
  <c r="J194" i="6"/>
  <c r="I194" i="6" s="1"/>
  <c r="K194" i="6"/>
  <c r="G194" i="6"/>
  <c r="F194" i="6" s="1"/>
  <c r="H194" i="6" l="1"/>
  <c r="L194" i="6"/>
  <c r="D194" i="6"/>
  <c r="B195" i="6" s="1"/>
  <c r="C195" i="6" l="1"/>
  <c r="G195" i="6"/>
  <c r="F195" i="6" s="1"/>
  <c r="J195" i="6"/>
  <c r="I195" i="6" s="1"/>
  <c r="K195" i="6"/>
  <c r="H195" i="6" l="1"/>
  <c r="L195" i="6"/>
  <c r="D195" i="6"/>
  <c r="B196" i="6" s="1"/>
  <c r="K196" i="6" l="1"/>
  <c r="C196" i="6"/>
  <c r="J196" i="6"/>
  <c r="I196" i="6" s="1"/>
  <c r="G196" i="6"/>
  <c r="F196" i="6" s="1"/>
  <c r="H196" i="6" l="1"/>
  <c r="D196" i="6" s="1"/>
  <c r="B197" i="6" s="1"/>
  <c r="G197" i="6" l="1"/>
  <c r="F197" i="6" s="1"/>
  <c r="C197" i="6"/>
  <c r="J197" i="6"/>
  <c r="I197" i="6" s="1"/>
  <c r="K197" i="6"/>
  <c r="L196" i="6"/>
  <c r="H197" i="6" l="1"/>
  <c r="L197" i="6" s="1"/>
  <c r="D197" i="6" l="1"/>
  <c r="B198" i="6" s="1"/>
  <c r="J198" i="6" s="1"/>
  <c r="I198" i="6" s="1"/>
  <c r="G198" i="6" l="1"/>
  <c r="F198" i="6" s="1"/>
  <c r="C198" i="6"/>
  <c r="H198" i="6" s="1"/>
  <c r="K198" i="6"/>
  <c r="D198" i="6" l="1"/>
  <c r="B199" i="6" s="1"/>
  <c r="L198" i="6"/>
  <c r="C199" i="6" l="1"/>
  <c r="K199" i="6"/>
  <c r="G199" i="6"/>
  <c r="F199" i="6" s="1"/>
  <c r="J199" i="6"/>
  <c r="I199" i="6" s="1"/>
  <c r="H199" i="6" l="1"/>
  <c r="L199" i="6" s="1"/>
  <c r="D199" i="6" l="1"/>
  <c r="B200" i="6" s="1"/>
  <c r="K200" i="6" l="1"/>
  <c r="G200" i="6"/>
  <c r="F200" i="6" s="1"/>
  <c r="J200" i="6"/>
  <c r="I200" i="6" s="1"/>
  <c r="C200" i="6"/>
  <c r="H200" i="6" l="1"/>
  <c r="D200" i="6" s="1"/>
  <c r="B201" i="6" s="1"/>
  <c r="C201" i="6" s="1"/>
  <c r="J201" i="6"/>
  <c r="I201" i="6" s="1"/>
  <c r="K201" i="6"/>
  <c r="L200" i="6"/>
  <c r="G201" i="6" l="1"/>
  <c r="F201" i="6" s="1"/>
  <c r="H201" i="6"/>
  <c r="D201" i="6" s="1"/>
  <c r="B202" i="6" s="1"/>
  <c r="G202" i="6" l="1"/>
  <c r="F202" i="6" s="1"/>
  <c r="J202" i="6"/>
  <c r="I202" i="6" s="1"/>
  <c r="C202" i="6"/>
  <c r="K202" i="6"/>
  <c r="L201" i="6"/>
  <c r="H202" i="6" l="1"/>
  <c r="D202" i="6" s="1"/>
  <c r="B203" i="6" s="1"/>
  <c r="G203" i="6" s="1"/>
  <c r="F203" i="6" s="1"/>
  <c r="J203" i="6"/>
  <c r="I203" i="6" s="1"/>
  <c r="C203" i="6"/>
  <c r="L202" i="6"/>
  <c r="H203" i="6" l="1"/>
  <c r="D203" i="6" s="1"/>
  <c r="B204" i="6" s="1"/>
  <c r="K204" i="6" s="1"/>
  <c r="K203" i="6"/>
  <c r="J204" i="6"/>
  <c r="I204" i="6" s="1"/>
  <c r="L203" i="6"/>
  <c r="G204" i="6"/>
  <c r="F204" i="6" s="1"/>
  <c r="C204" i="6"/>
  <c r="H204" i="6" l="1"/>
  <c r="D204" i="6" s="1"/>
  <c r="B205" i="6" s="1"/>
  <c r="L204" i="6"/>
  <c r="C205" i="6" l="1"/>
  <c r="J205" i="6"/>
  <c r="I205" i="6" s="1"/>
  <c r="K205" i="6"/>
  <c r="G205" i="6"/>
  <c r="F205" i="6" s="1"/>
  <c r="H205" i="6" s="1"/>
  <c r="D205" i="6" s="1"/>
  <c r="B206" i="6" s="1"/>
  <c r="L205" i="6" l="1"/>
  <c r="K206" i="6"/>
  <c r="C206" i="6"/>
  <c r="G206" i="6"/>
  <c r="F206" i="6" s="1"/>
  <c r="J206" i="6"/>
  <c r="I206" i="6" s="1"/>
  <c r="H206" i="6" l="1"/>
  <c r="D206" i="6" s="1"/>
  <c r="B207" i="6" s="1"/>
  <c r="L206" i="6" l="1"/>
  <c r="G207" i="6"/>
  <c r="F207" i="6" s="1"/>
  <c r="K207" i="6"/>
  <c r="C207" i="6"/>
  <c r="J207" i="6"/>
  <c r="I207" i="6" s="1"/>
  <c r="H207" i="6" l="1"/>
  <c r="D207" i="6" s="1"/>
  <c r="B208" i="6" s="1"/>
  <c r="L207" i="6" l="1"/>
  <c r="J208" i="6"/>
  <c r="G208" i="6"/>
  <c r="F208" i="6" s="1"/>
  <c r="C208" i="6"/>
  <c r="K208" i="6"/>
  <c r="I208" i="6"/>
  <c r="H208" i="6" l="1"/>
  <c r="D208" i="6" s="1"/>
  <c r="B209" i="6" s="1"/>
  <c r="L208" i="6" l="1"/>
  <c r="C209" i="6"/>
  <c r="G209" i="6"/>
  <c r="F209" i="6" s="1"/>
  <c r="J209" i="6"/>
  <c r="I209" i="6" s="1"/>
  <c r="K209" i="6"/>
  <c r="H209" i="6" l="1"/>
  <c r="D209" i="6" s="1"/>
  <c r="B210" i="6" s="1"/>
  <c r="L209" i="6" l="1"/>
  <c r="C210" i="6"/>
  <c r="J210" i="6"/>
  <c r="I210" i="6" s="1"/>
  <c r="K210" i="6"/>
  <c r="G210" i="6"/>
  <c r="F210" i="6" s="1"/>
  <c r="H210" i="6" l="1"/>
  <c r="D210" i="6" s="1"/>
  <c r="B211" i="6" s="1"/>
  <c r="L210" i="6"/>
  <c r="C211" i="6" l="1"/>
  <c r="J211" i="6"/>
  <c r="I211" i="6" s="1"/>
  <c r="K211" i="6"/>
  <c r="G211" i="6"/>
  <c r="F211" i="6" s="1"/>
  <c r="H211" i="6" l="1"/>
  <c r="D211" i="6" s="1"/>
  <c r="B212" i="6" s="1"/>
  <c r="G212" i="6" l="1"/>
  <c r="J212" i="6"/>
  <c r="K212" i="6"/>
  <c r="C212" i="6"/>
  <c r="F212" i="6"/>
  <c r="I212" i="6"/>
  <c r="L211" i="6"/>
  <c r="H212" i="6" l="1"/>
  <c r="L212" i="6" s="1"/>
  <c r="D212" i="6" l="1"/>
  <c r="B213" i="6" s="1"/>
  <c r="G213" i="6" s="1"/>
  <c r="K213" i="6"/>
  <c r="J213" i="6" l="1"/>
  <c r="I213" i="6" s="1"/>
  <c r="F213" i="6"/>
  <c r="C213" i="6"/>
  <c r="H213" i="6" s="1"/>
  <c r="D213" i="6" s="1"/>
  <c r="B214" i="6" s="1"/>
  <c r="L213" i="6" l="1"/>
  <c r="G214" i="6"/>
  <c r="F214" i="6" s="1"/>
  <c r="C214" i="6"/>
  <c r="J214" i="6"/>
  <c r="I214" i="6" s="1"/>
  <c r="K214" i="6"/>
  <c r="H214" i="6" l="1"/>
  <c r="D214" i="6" s="1"/>
  <c r="B215" i="6" s="1"/>
  <c r="G215" i="6" s="1"/>
  <c r="F215" i="6" s="1"/>
  <c r="L214" i="6"/>
  <c r="K215" i="6"/>
  <c r="C215" i="6" l="1"/>
  <c r="H215" i="6" s="1"/>
  <c r="J215" i="6"/>
  <c r="I215" i="6" s="1"/>
  <c r="L215" i="6" s="1"/>
  <c r="D215" i="6"/>
  <c r="B216" i="6" s="1"/>
  <c r="K216" i="6" l="1"/>
  <c r="C216" i="6"/>
  <c r="G216" i="6"/>
  <c r="F216" i="6" s="1"/>
  <c r="J216" i="6"/>
  <c r="I216" i="6" s="1"/>
  <c r="H216" i="6" l="1"/>
  <c r="D216" i="6" s="1"/>
  <c r="B217" i="6" s="1"/>
  <c r="K217" i="6" l="1"/>
  <c r="C217" i="6"/>
  <c r="J217" i="6"/>
  <c r="I217" i="6" s="1"/>
  <c r="G217" i="6"/>
  <c r="F217" i="6" s="1"/>
  <c r="L216" i="6"/>
  <c r="H217" i="6" l="1"/>
  <c r="L217" i="6" s="1"/>
  <c r="D217" i="6" l="1"/>
  <c r="B218" i="6" s="1"/>
  <c r="K218" i="6" l="1"/>
  <c r="G218" i="6"/>
  <c r="F218" i="6" s="1"/>
  <c r="J218" i="6"/>
  <c r="I218" i="6" s="1"/>
  <c r="C218" i="6"/>
  <c r="H218" i="6" l="1"/>
  <c r="D218" i="6" s="1"/>
  <c r="B219" i="6" s="1"/>
  <c r="C219" i="6" s="1"/>
  <c r="L218" i="6"/>
  <c r="K219" i="6"/>
  <c r="G219" i="6" l="1"/>
  <c r="F219" i="6" s="1"/>
  <c r="J219" i="6"/>
  <c r="I219" i="6" s="1"/>
  <c r="H219" i="6"/>
  <c r="D219" i="6" s="1"/>
  <c r="B220" i="6" s="1"/>
  <c r="G220" i="6" l="1"/>
  <c r="F220" i="6" s="1"/>
  <c r="J220" i="6"/>
  <c r="I220" i="6" s="1"/>
  <c r="K220" i="6"/>
  <c r="C220" i="6"/>
  <c r="L219" i="6"/>
  <c r="H220" i="6" l="1"/>
  <c r="L220" i="6" s="1"/>
  <c r="D220" i="6" l="1"/>
  <c r="B221" i="6" s="1"/>
  <c r="C221" i="6" s="1"/>
  <c r="G221" i="6"/>
  <c r="F221" i="6" s="1"/>
  <c r="H221" i="6" l="1"/>
  <c r="D221" i="6" s="1"/>
  <c r="B222" i="6" s="1"/>
  <c r="J221" i="6"/>
  <c r="I221" i="6" s="1"/>
  <c r="K221" i="6"/>
  <c r="L221" i="6" l="1"/>
  <c r="G222" i="6"/>
  <c r="F222" i="6" s="1"/>
  <c r="C222" i="6"/>
  <c r="J222" i="6"/>
  <c r="I222" i="6" s="1"/>
  <c r="K222" i="6"/>
  <c r="H222" i="6" l="1"/>
  <c r="L222" i="6" s="1"/>
  <c r="D222" i="6" l="1"/>
  <c r="B223" i="6" s="1"/>
  <c r="G223" i="6" s="1"/>
  <c r="K223" i="6"/>
  <c r="J223" i="6" l="1"/>
  <c r="I223" i="6" s="1"/>
  <c r="C223" i="6"/>
  <c r="F223" i="6"/>
  <c r="H223" i="6" l="1"/>
  <c r="D223" i="6" s="1"/>
  <c r="B224" i="6" s="1"/>
  <c r="K224" i="6" s="1"/>
  <c r="J224" i="6"/>
  <c r="I224" i="6" s="1"/>
  <c r="C224" i="6"/>
  <c r="G224" i="6"/>
  <c r="F224" i="6" s="1"/>
  <c r="L223" i="6"/>
  <c r="H224" i="6" l="1"/>
  <c r="L224" i="6" s="1"/>
  <c r="D224" i="6" l="1"/>
  <c r="B225" i="6" s="1"/>
  <c r="J225" i="6" s="1"/>
  <c r="I225" i="6" s="1"/>
  <c r="K225" i="6"/>
  <c r="C225" i="6" l="1"/>
  <c r="G225" i="6"/>
  <c r="F225" i="6" s="1"/>
  <c r="H225" i="6" l="1"/>
  <c r="D225" i="6" s="1"/>
  <c r="B226" i="6" s="1"/>
  <c r="G226" i="6" s="1"/>
  <c r="F226" i="6" s="1"/>
  <c r="L225" i="6"/>
  <c r="K226" i="6"/>
  <c r="J226" i="6"/>
  <c r="I226" i="6" s="1"/>
  <c r="C226" i="6" l="1"/>
  <c r="H226" i="6"/>
  <c r="D226" i="6" s="1"/>
  <c r="B227" i="6" s="1"/>
  <c r="K227" i="6" s="1"/>
  <c r="G227" i="6" l="1"/>
  <c r="F227" i="6" s="1"/>
  <c r="L226" i="6"/>
  <c r="C227" i="6"/>
  <c r="H227" i="6" s="1"/>
  <c r="J227" i="6"/>
  <c r="I227" i="6" s="1"/>
  <c r="L227" i="6" l="1"/>
  <c r="D227" i="6"/>
  <c r="B228" i="6" s="1"/>
  <c r="C228" i="6" l="1"/>
  <c r="G228" i="6"/>
  <c r="F228" i="6" s="1"/>
  <c r="J228" i="6"/>
  <c r="I228" i="6" s="1"/>
  <c r="K228" i="6"/>
  <c r="H228" i="6" l="1"/>
  <c r="L228" i="6" s="1"/>
  <c r="D228" i="6"/>
  <c r="B229" i="6" s="1"/>
  <c r="K229" i="6" l="1"/>
  <c r="J229" i="6"/>
  <c r="I229" i="6" s="1"/>
  <c r="C229" i="6"/>
  <c r="G229" i="6"/>
  <c r="F229" i="6" s="1"/>
  <c r="H229" i="6" l="1"/>
  <c r="D229" i="6" s="1"/>
  <c r="B230" i="6" s="1"/>
  <c r="C230" i="6" l="1"/>
  <c r="G230" i="6"/>
  <c r="F230" i="6"/>
  <c r="J230" i="6"/>
  <c r="I230" i="6" s="1"/>
  <c r="K230" i="6"/>
  <c r="L229" i="6"/>
  <c r="H230" i="6" l="1"/>
  <c r="L230" i="6"/>
  <c r="D230" i="6"/>
  <c r="B231" i="6" s="1"/>
  <c r="C231" i="6" l="1"/>
  <c r="J231" i="6"/>
  <c r="I231" i="6" s="1"/>
  <c r="K231" i="6"/>
  <c r="G231" i="6"/>
  <c r="F231" i="6" s="1"/>
  <c r="H231" i="6" l="1"/>
  <c r="D231" i="6" s="1"/>
  <c r="B232" i="6" s="1"/>
  <c r="G232" i="6" l="1"/>
  <c r="F232" i="6" s="1"/>
  <c r="K232" i="6"/>
  <c r="C232" i="6"/>
  <c r="J232" i="6"/>
  <c r="I232" i="6" s="1"/>
  <c r="L231" i="6"/>
  <c r="H232" i="6" l="1"/>
  <c r="L232" i="6" s="1"/>
  <c r="D232" i="6" l="1"/>
  <c r="B233" i="6" s="1"/>
  <c r="G233" i="6" s="1"/>
  <c r="F233" i="6" s="1"/>
  <c r="K233" i="6"/>
  <c r="J233" i="6" l="1"/>
  <c r="I233" i="6" s="1"/>
  <c r="C233" i="6"/>
  <c r="H233" i="6" s="1"/>
  <c r="D233" i="6" l="1"/>
  <c r="B234" i="6" s="1"/>
  <c r="C234" i="6" s="1"/>
  <c r="L233" i="6"/>
  <c r="K234" i="6"/>
  <c r="G234" i="6"/>
  <c r="F234" i="6" s="1"/>
  <c r="J234" i="6" l="1"/>
  <c r="I234" i="6" s="1"/>
  <c r="H234" i="6"/>
  <c r="D234" i="6" s="1"/>
  <c r="B235" i="6" s="1"/>
  <c r="J235" i="6" l="1"/>
  <c r="I235" i="6" s="1"/>
  <c r="G235" i="6"/>
  <c r="F235" i="6" s="1"/>
  <c r="K235" i="6"/>
  <c r="C235" i="6"/>
  <c r="L234" i="6"/>
  <c r="H235" i="6" l="1"/>
  <c r="L235" i="6" s="1"/>
  <c r="D235" i="6" l="1"/>
  <c r="B236" i="6" s="1"/>
  <c r="K236" i="6" l="1"/>
  <c r="G236" i="6"/>
  <c r="F236" i="6" s="1"/>
  <c r="J236" i="6"/>
  <c r="I236" i="6" s="1"/>
  <c r="C236" i="6"/>
  <c r="H236" i="6" l="1"/>
  <c r="L236" i="6" s="1"/>
  <c r="D236" i="6" l="1"/>
  <c r="B237" i="6" s="1"/>
  <c r="C237" i="6" l="1"/>
  <c r="G237" i="6"/>
  <c r="F237" i="6" s="1"/>
  <c r="K237" i="6"/>
  <c r="J237" i="6"/>
  <c r="I237" i="6" s="1"/>
  <c r="H237" i="6" l="1"/>
  <c r="D237" i="6" s="1"/>
  <c r="B238" i="6" s="1"/>
  <c r="L237" i="6"/>
  <c r="G238" i="6" l="1"/>
  <c r="F238" i="6" s="1"/>
  <c r="K238" i="6"/>
  <c r="J238" i="6"/>
  <c r="I238" i="6" s="1"/>
  <c r="C238" i="6"/>
  <c r="H238" i="6" l="1"/>
  <c r="D238" i="6" s="1"/>
  <c r="B239" i="6" s="1"/>
  <c r="G239" i="6" s="1"/>
  <c r="F239" i="6" s="1"/>
  <c r="K239" i="6" l="1"/>
  <c r="C239" i="6"/>
  <c r="H239" i="6" s="1"/>
  <c r="D239" i="6" s="1"/>
  <c r="B240" i="6" s="1"/>
  <c r="J239" i="6"/>
  <c r="I239" i="6" s="1"/>
  <c r="L238" i="6"/>
  <c r="L239" i="6" l="1"/>
  <c r="G240" i="6"/>
  <c r="F240" i="6" s="1"/>
  <c r="J240" i="6"/>
  <c r="I240" i="6" s="1"/>
  <c r="K240" i="6"/>
  <c r="C240" i="6"/>
  <c r="H240" i="6" l="1"/>
  <c r="L240" i="6" s="1"/>
  <c r="D240" i="6" l="1"/>
  <c r="B241" i="6" s="1"/>
  <c r="J241" i="6" l="1"/>
  <c r="I241" i="6" s="1"/>
  <c r="K241" i="6"/>
  <c r="G241" i="6"/>
  <c r="F241" i="6" s="1"/>
  <c r="C241" i="6"/>
  <c r="H241" i="6" l="1"/>
  <c r="L241" i="6" s="1"/>
  <c r="D241" i="6" l="1"/>
  <c r="B242" i="6" s="1"/>
  <c r="K242" i="6" s="1"/>
  <c r="G242" i="6" l="1"/>
  <c r="F242" i="6" s="1"/>
  <c r="C242" i="6"/>
  <c r="H242" i="6" s="1"/>
  <c r="D242" i="6" s="1"/>
  <c r="B243" i="6" s="1"/>
  <c r="J242" i="6"/>
  <c r="I242" i="6" s="1"/>
  <c r="L242" i="6" l="1"/>
  <c r="J243" i="6"/>
  <c r="I243" i="6" s="1"/>
  <c r="C243" i="6"/>
  <c r="K243" i="6"/>
  <c r="G243" i="6"/>
  <c r="F243" i="6" s="1"/>
  <c r="H243" i="6" l="1"/>
  <c r="D243" i="6" s="1"/>
  <c r="B244" i="6" s="1"/>
  <c r="L243" i="6" l="1"/>
  <c r="G244" i="6"/>
  <c r="F244" i="6" s="1"/>
  <c r="C244" i="6"/>
  <c r="K244" i="6"/>
  <c r="J244" i="6"/>
  <c r="I244" i="6" s="1"/>
  <c r="H244" i="6" l="1"/>
  <c r="D244" i="6" s="1"/>
  <c r="B245" i="6" s="1"/>
  <c r="G245" i="6" s="1"/>
  <c r="F245" i="6" l="1"/>
  <c r="L244" i="6"/>
  <c r="J245" i="6"/>
  <c r="I245" i="6" s="1"/>
  <c r="C245" i="6"/>
  <c r="K245" i="6"/>
  <c r="H245" i="6" l="1"/>
  <c r="L245" i="6"/>
  <c r="D245" i="6"/>
  <c r="B246" i="6" s="1"/>
  <c r="K246" i="6" s="1"/>
  <c r="C246" i="6" l="1"/>
  <c r="J246" i="6"/>
  <c r="I246" i="6" s="1"/>
  <c r="G246" i="6"/>
  <c r="F246" i="6" s="1"/>
  <c r="H246" i="6" l="1"/>
  <c r="L246" i="6" s="1"/>
  <c r="D246" i="6" l="1"/>
  <c r="B247" i="6" s="1"/>
  <c r="C247" i="6" l="1"/>
  <c r="G247" i="6"/>
  <c r="F247" i="6"/>
  <c r="K247" i="6"/>
  <c r="J247" i="6"/>
  <c r="I247" i="6" s="1"/>
  <c r="H247" i="6" l="1"/>
  <c r="D247" i="6" s="1"/>
  <c r="B248" i="6" s="1"/>
  <c r="K248" i="6" s="1"/>
  <c r="J248" i="6" l="1"/>
  <c r="I248" i="6" s="1"/>
  <c r="C248" i="6"/>
  <c r="G248" i="6"/>
  <c r="F248" i="6" s="1"/>
  <c r="L247" i="6"/>
  <c r="H248" i="6" l="1"/>
  <c r="D248" i="6" s="1"/>
  <c r="B249" i="6" s="1"/>
  <c r="J249" i="6" s="1"/>
  <c r="I249" i="6" s="1"/>
  <c r="G249" i="6"/>
  <c r="F249" i="6" s="1"/>
  <c r="K249" i="6"/>
  <c r="C249" i="6"/>
  <c r="L248" i="6"/>
  <c r="H249" i="6" l="1"/>
  <c r="D249" i="6" s="1"/>
  <c r="B250" i="6" s="1"/>
  <c r="K250" i="6" s="1"/>
  <c r="G250" i="6"/>
  <c r="F250" i="6" s="1"/>
  <c r="J250" i="6"/>
  <c r="I250" i="6" s="1"/>
  <c r="C250" i="6"/>
  <c r="L249" i="6"/>
  <c r="H250" i="6" l="1"/>
  <c r="D250" i="6" s="1"/>
  <c r="B251" i="6" s="1"/>
  <c r="J251" i="6" s="1"/>
  <c r="I251" i="6" s="1"/>
  <c r="L250" i="6"/>
  <c r="C251" i="6" l="1"/>
  <c r="G251" i="6"/>
  <c r="F251" i="6" s="1"/>
  <c r="K251" i="6"/>
  <c r="H251" i="6" l="1"/>
  <c r="L251" i="6"/>
  <c r="D251" i="6"/>
  <c r="B252" i="6" s="1"/>
  <c r="J252" i="6" s="1"/>
  <c r="I252" i="6" s="1"/>
  <c r="C252" i="6" l="1"/>
  <c r="K252" i="6"/>
  <c r="G252" i="6"/>
  <c r="F252" i="6" s="1"/>
  <c r="H252" i="6" l="1"/>
  <c r="D252" i="6" s="1"/>
  <c r="B253" i="6" s="1"/>
  <c r="J253" i="6" s="1"/>
  <c r="I253" i="6" s="1"/>
  <c r="C253" i="6"/>
  <c r="L252" i="6"/>
  <c r="G253" i="6" l="1"/>
  <c r="F253" i="6" s="1"/>
  <c r="H253" i="6" s="1"/>
  <c r="D253" i="6" s="1"/>
  <c r="B254" i="6" s="1"/>
  <c r="K253" i="6"/>
  <c r="L253" i="6" l="1"/>
  <c r="J254" i="6"/>
  <c r="K254" i="6"/>
  <c r="G254" i="6"/>
  <c r="F254" i="6" s="1"/>
  <c r="C254" i="6"/>
  <c r="I254" i="6"/>
  <c r="H254" i="6" l="1"/>
  <c r="D254" i="6" s="1"/>
  <c r="B255" i="6" s="1"/>
  <c r="L254" i="6" l="1"/>
  <c r="G255" i="6"/>
  <c r="F255" i="6" s="1"/>
  <c r="C255" i="6"/>
  <c r="K255" i="6"/>
  <c r="J255" i="6"/>
  <c r="I255" i="6"/>
  <c r="H255" i="6" l="1"/>
  <c r="L255" i="6" s="1"/>
  <c r="D255" i="6" l="1"/>
  <c r="B256" i="6" s="1"/>
  <c r="G256" i="6" l="1"/>
  <c r="F256" i="6" s="1"/>
  <c r="C256" i="6"/>
  <c r="K256" i="6"/>
  <c r="J256" i="6"/>
  <c r="I256" i="6" s="1"/>
  <c r="H256" i="6" l="1"/>
  <c r="D256" i="6" s="1"/>
  <c r="B257" i="6" s="1"/>
  <c r="L256" i="6" l="1"/>
  <c r="C257" i="6"/>
  <c r="K257" i="6"/>
  <c r="J257" i="6"/>
  <c r="I257" i="6" s="1"/>
  <c r="G257" i="6"/>
  <c r="F257" i="6" s="1"/>
  <c r="H257" i="6" l="1"/>
  <c r="D257" i="6" s="1"/>
  <c r="B258" i="6" s="1"/>
  <c r="J258" i="6" s="1"/>
  <c r="I258" i="6" s="1"/>
  <c r="G258" i="6" l="1"/>
  <c r="F258" i="6" s="1"/>
  <c r="K258" i="6"/>
  <c r="C258" i="6"/>
  <c r="L257" i="6"/>
  <c r="H258" i="6" l="1"/>
  <c r="D258" i="6" s="1"/>
  <c r="B259" i="6" s="1"/>
  <c r="C259" i="6" s="1"/>
  <c r="L258" i="6"/>
  <c r="J259" i="6"/>
  <c r="I259" i="6" s="1"/>
  <c r="K259" i="6"/>
  <c r="G259" i="6" l="1"/>
  <c r="F259" i="6" s="1"/>
  <c r="H259" i="6"/>
  <c r="D259" i="6" s="1"/>
  <c r="B260" i="6" s="1"/>
  <c r="G260" i="6" l="1"/>
  <c r="F260" i="6" s="1"/>
  <c r="J260" i="6"/>
  <c r="I260" i="6" s="1"/>
  <c r="K260" i="6"/>
  <c r="C260" i="6"/>
  <c r="L259" i="6"/>
  <c r="H260" i="6" l="1"/>
  <c r="L260" i="6" s="1"/>
  <c r="D260" i="6"/>
  <c r="B261" i="6" s="1"/>
  <c r="C261" i="6" l="1"/>
  <c r="G261" i="6"/>
  <c r="F261" i="6"/>
  <c r="K261" i="6"/>
  <c r="J261" i="6"/>
  <c r="I261" i="6" s="1"/>
  <c r="H261" i="6" l="1"/>
  <c r="D261" i="6" s="1"/>
  <c r="B262" i="6" s="1"/>
  <c r="L261" i="6" l="1"/>
  <c r="K262" i="6"/>
  <c r="C262" i="6"/>
  <c r="G262" i="6"/>
  <c r="F262" i="6" s="1"/>
  <c r="J262" i="6"/>
  <c r="I262" i="6" s="1"/>
  <c r="H262" i="6" l="1"/>
  <c r="D262" i="6" s="1"/>
  <c r="B263" i="6" s="1"/>
  <c r="L262" i="6" l="1"/>
  <c r="G263" i="6"/>
  <c r="F263" i="6" s="1"/>
  <c r="J263" i="6"/>
  <c r="I263" i="6" s="1"/>
  <c r="C263" i="6"/>
  <c r="K263" i="6"/>
  <c r="H263" i="6" l="1"/>
  <c r="D263" i="6" s="1"/>
  <c r="B264" i="6" s="1"/>
  <c r="K264" i="6" s="1"/>
  <c r="L263" i="6"/>
  <c r="J264" i="6"/>
  <c r="I264" i="6" s="1"/>
  <c r="G264" i="6"/>
  <c r="F264" i="6" s="1"/>
  <c r="C264" i="6" l="1"/>
  <c r="H264" i="6"/>
  <c r="L264" i="6" s="1"/>
  <c r="D264" i="6" l="1"/>
  <c r="B265" i="6" s="1"/>
  <c r="C265" i="6" l="1"/>
  <c r="G265" i="6"/>
  <c r="F265" i="6" s="1"/>
  <c r="K265" i="6"/>
  <c r="J265" i="6"/>
  <c r="I265" i="6" s="1"/>
  <c r="H265" i="6" l="1"/>
  <c r="D265" i="6" s="1"/>
  <c r="B266" i="6" s="1"/>
  <c r="L265" i="6"/>
  <c r="G266" i="6" l="1"/>
  <c r="F266" i="6" s="1"/>
  <c r="C266" i="6"/>
  <c r="J266" i="6"/>
  <c r="I266" i="6" s="1"/>
  <c r="K266" i="6"/>
  <c r="H266" i="6" l="1"/>
  <c r="D266" i="6" s="1"/>
  <c r="B267" i="6" s="1"/>
  <c r="C267" i="6" l="1"/>
  <c r="J267" i="6"/>
  <c r="I267" i="6" s="1"/>
  <c r="G267" i="6"/>
  <c r="F267" i="6" s="1"/>
  <c r="K267" i="6"/>
  <c r="L266" i="6"/>
  <c r="H267" i="6" l="1"/>
  <c r="L267" i="6" s="1"/>
  <c r="D267" i="6" l="1"/>
  <c r="B268" i="6" s="1"/>
  <c r="K268" i="6" l="1"/>
  <c r="C268" i="6"/>
  <c r="G268" i="6"/>
  <c r="F268" i="6" s="1"/>
  <c r="J268" i="6"/>
  <c r="I268" i="6" s="1"/>
  <c r="H268" i="6" l="1"/>
  <c r="D268" i="6" s="1"/>
  <c r="B269" i="6" s="1"/>
  <c r="C269" i="6" l="1"/>
  <c r="G269" i="6"/>
  <c r="F269" i="6" s="1"/>
  <c r="K269" i="6"/>
  <c r="J269" i="6"/>
  <c r="I269" i="6" s="1"/>
  <c r="L268" i="6"/>
  <c r="H269" i="6" l="1"/>
  <c r="D269" i="6" s="1"/>
  <c r="B270" i="6" s="1"/>
  <c r="L269" i="6"/>
  <c r="K270" i="6" l="1"/>
  <c r="J270" i="6"/>
  <c r="I270" i="6" s="1"/>
  <c r="C270" i="6"/>
  <c r="G270" i="6"/>
  <c r="F270" i="6" s="1"/>
  <c r="H270" i="6" l="1"/>
  <c r="D270" i="6" s="1"/>
  <c r="B271" i="6" s="1"/>
  <c r="L270" i="6"/>
  <c r="K271" i="6" l="1"/>
  <c r="J271" i="6"/>
  <c r="I271" i="6" s="1"/>
  <c r="C271" i="6"/>
  <c r="G271" i="6"/>
  <c r="F271" i="6" s="1"/>
  <c r="H271" i="6" l="1"/>
  <c r="L271" i="6" s="1"/>
  <c r="D271" i="6" l="1"/>
  <c r="B272" i="6" s="1"/>
  <c r="K272" i="6" l="1"/>
  <c r="C272" i="6"/>
  <c r="G272" i="6"/>
  <c r="F272" i="6" s="1"/>
  <c r="J272" i="6"/>
  <c r="I272" i="6" s="1"/>
  <c r="H272" i="6" l="1"/>
  <c r="L272" i="6" s="1"/>
  <c r="D272" i="6" l="1"/>
  <c r="B273" i="6" s="1"/>
  <c r="C273" i="6" l="1"/>
  <c r="J273" i="6"/>
  <c r="I273" i="6" s="1"/>
  <c r="K273" i="6"/>
  <c r="G273" i="6"/>
  <c r="F273" i="6" s="1"/>
  <c r="H273" i="6" l="1"/>
  <c r="L273" i="6" s="1"/>
  <c r="D273" i="6" l="1"/>
  <c r="B274" i="6" s="1"/>
  <c r="C274" i="6" s="1"/>
  <c r="K274" i="6" l="1"/>
  <c r="J274" i="6"/>
  <c r="I274" i="6" s="1"/>
  <c r="G274" i="6"/>
  <c r="F274" i="6" s="1"/>
  <c r="H274" i="6" s="1"/>
  <c r="D274" i="6" s="1"/>
  <c r="B275" i="6" s="1"/>
  <c r="L274" i="6" l="1"/>
  <c r="C275" i="6"/>
  <c r="K275" i="6"/>
  <c r="J275" i="6"/>
  <c r="I275" i="6" s="1"/>
  <c r="G275" i="6"/>
  <c r="F275" i="6" s="1"/>
  <c r="H275" i="6" l="1"/>
  <c r="D275" i="6" s="1"/>
  <c r="B276" i="6" s="1"/>
  <c r="L275" i="6" l="1"/>
  <c r="C276" i="6"/>
  <c r="K276" i="6"/>
  <c r="J276" i="6"/>
  <c r="I276" i="6" s="1"/>
  <c r="G276" i="6"/>
  <c r="F276" i="6" s="1"/>
  <c r="H276" i="6" l="1"/>
  <c r="L276" i="6" s="1"/>
  <c r="D276" i="6" l="1"/>
  <c r="B277" i="6" s="1"/>
  <c r="K277" i="6" s="1"/>
  <c r="C277" i="6" l="1"/>
  <c r="G277" i="6"/>
  <c r="F277" i="6" s="1"/>
  <c r="J277" i="6"/>
  <c r="I277" i="6" s="1"/>
  <c r="H277" i="6" l="1"/>
  <c r="L277" i="6" s="1"/>
  <c r="D277" i="6"/>
  <c r="B278" i="6" s="1"/>
  <c r="G278" i="6" s="1"/>
  <c r="F278" i="6" s="1"/>
  <c r="J278" i="6"/>
  <c r="I278" i="6" s="1"/>
  <c r="C278" i="6" l="1"/>
  <c r="K278" i="6"/>
  <c r="H278" i="6"/>
  <c r="D278" i="6" s="1"/>
  <c r="B279" i="6" s="1"/>
  <c r="G279" i="6" l="1"/>
  <c r="F279" i="6" s="1"/>
  <c r="K279" i="6"/>
  <c r="J279" i="6"/>
  <c r="I279" i="6" s="1"/>
  <c r="C279" i="6"/>
  <c r="L278" i="6"/>
  <c r="H279" i="6" l="1"/>
  <c r="L279" i="6" l="1"/>
  <c r="D279" i="6"/>
  <c r="B280" i="6" s="1"/>
  <c r="K280" i="6" l="1"/>
  <c r="G280" i="6"/>
  <c r="F280" i="6" s="1"/>
  <c r="J280" i="6"/>
  <c r="I280" i="6" s="1"/>
  <c r="C280" i="6"/>
  <c r="H280" i="6" l="1"/>
  <c r="L280" i="6" s="1"/>
  <c r="D280" i="6" l="1"/>
  <c r="B281" i="6" s="1"/>
  <c r="G281" i="6" l="1"/>
  <c r="F281" i="6"/>
  <c r="J281" i="6"/>
  <c r="I281" i="6" s="1"/>
  <c r="C281" i="6"/>
  <c r="K281" i="6"/>
  <c r="H281" i="6" l="1"/>
  <c r="D281" i="6" s="1"/>
  <c r="B282" i="6" s="1"/>
  <c r="L281" i="6"/>
  <c r="G282" i="6" l="1"/>
  <c r="F282" i="6" s="1"/>
  <c r="J282" i="6"/>
  <c r="I282" i="6" s="1"/>
  <c r="C282" i="6"/>
  <c r="K282" i="6"/>
  <c r="H282" i="6" l="1"/>
  <c r="L282" i="6" s="1"/>
  <c r="D282" i="6" l="1"/>
  <c r="B283" i="6" s="1"/>
  <c r="K283" i="6" l="1"/>
  <c r="C283" i="6"/>
  <c r="G283" i="6"/>
  <c r="F283" i="6" s="1"/>
  <c r="J283" i="6"/>
  <c r="I283" i="6" s="1"/>
  <c r="H283" i="6" l="1"/>
  <c r="L283" i="6" l="1"/>
  <c r="D283" i="6"/>
  <c r="B284" i="6" s="1"/>
  <c r="J284" i="6" l="1"/>
  <c r="I284" i="6" s="1"/>
  <c r="C284" i="6"/>
  <c r="G284" i="6"/>
  <c r="F284" i="6" s="1"/>
  <c r="K284" i="6"/>
  <c r="H284" i="6" l="1"/>
  <c r="L284" i="6" s="1"/>
  <c r="D284" i="6" l="1"/>
  <c r="B285" i="6" s="1"/>
  <c r="J285" i="6" s="1"/>
  <c r="I285" i="6" s="1"/>
  <c r="K285" i="6" l="1"/>
  <c r="C285" i="6"/>
  <c r="G285" i="6"/>
  <c r="F285" i="6" s="1"/>
  <c r="H285" i="6" l="1"/>
  <c r="D285" i="6" s="1"/>
  <c r="B286" i="6" s="1"/>
  <c r="L285" i="6"/>
  <c r="C286" i="6" l="1"/>
  <c r="J286" i="6"/>
  <c r="I286" i="6" s="1"/>
  <c r="G286" i="6"/>
  <c r="F286" i="6" s="1"/>
  <c r="K286" i="6"/>
  <c r="H286" i="6" l="1"/>
  <c r="L286" i="6" s="1"/>
  <c r="D286" i="6"/>
  <c r="B287" i="6" s="1"/>
  <c r="G287" i="6" l="1"/>
  <c r="J287" i="6"/>
  <c r="I287" i="6" s="1"/>
  <c r="C287" i="6"/>
  <c r="K287" i="6"/>
  <c r="F287" i="6"/>
  <c r="H287" i="6" l="1"/>
  <c r="D287" i="6" s="1"/>
  <c r="B288" i="6" s="1"/>
  <c r="L287" i="6" l="1"/>
  <c r="J288" i="6"/>
  <c r="I288" i="6" s="1"/>
  <c r="C288" i="6"/>
  <c r="K288" i="6"/>
  <c r="G288" i="6"/>
  <c r="F288" i="6"/>
  <c r="H288" i="6" l="1"/>
  <c r="L288" i="6" s="1"/>
  <c r="D288" i="6"/>
  <c r="B289" i="6" s="1"/>
  <c r="C289" i="6" l="1"/>
  <c r="J289" i="6"/>
  <c r="I289" i="6" s="1"/>
  <c r="G289" i="6"/>
  <c r="F289" i="6" s="1"/>
  <c r="K289" i="6"/>
  <c r="H289" i="6" l="1"/>
  <c r="L289" i="6" s="1"/>
  <c r="D289" i="6" l="1"/>
  <c r="B290" i="6" s="1"/>
  <c r="C290" i="6" l="1"/>
  <c r="K290" i="6"/>
  <c r="G290" i="6"/>
  <c r="F290" i="6" s="1"/>
  <c r="J290" i="6"/>
  <c r="I290" i="6" s="1"/>
  <c r="H290" i="6" l="1"/>
  <c r="L290" i="6" s="1"/>
  <c r="D290" i="6" l="1"/>
  <c r="B291" i="6" s="1"/>
  <c r="C291" i="6" s="1"/>
  <c r="J291" i="6"/>
  <c r="I291" i="6" s="1"/>
  <c r="K291" i="6"/>
  <c r="G291" i="6" l="1"/>
  <c r="F291" i="6"/>
  <c r="H291" i="6" s="1"/>
  <c r="D291" i="6" l="1"/>
  <c r="B292" i="6" s="1"/>
  <c r="K292" i="6" s="1"/>
  <c r="L291" i="6"/>
  <c r="G292" i="6" l="1"/>
  <c r="F292" i="6" s="1"/>
  <c r="J292" i="6"/>
  <c r="I292" i="6" s="1"/>
  <c r="C292" i="6"/>
  <c r="H292" i="6" s="1"/>
  <c r="D292" i="6" s="1"/>
  <c r="B293" i="6" s="1"/>
  <c r="G293" i="6" l="1"/>
  <c r="F293" i="6" s="1"/>
  <c r="K293" i="6"/>
  <c r="J293" i="6"/>
  <c r="I293" i="6" s="1"/>
  <c r="C293" i="6"/>
  <c r="L292" i="6"/>
  <c r="H293" i="6" l="1"/>
  <c r="L293" i="6" s="1"/>
  <c r="D293" i="6" l="1"/>
  <c r="B294" i="6" s="1"/>
  <c r="K294" i="6" l="1"/>
  <c r="C294" i="6"/>
  <c r="G294" i="6"/>
  <c r="F294" i="6" s="1"/>
  <c r="J294" i="6"/>
  <c r="I294" i="6" s="1"/>
  <c r="H294" i="6" l="1"/>
  <c r="L294" i="6" s="1"/>
  <c r="D294" i="6" l="1"/>
  <c r="B295" i="6" s="1"/>
  <c r="J295" i="6" l="1"/>
  <c r="I295" i="6" s="1"/>
  <c r="K295" i="6"/>
  <c r="G295" i="6"/>
  <c r="F295" i="6" s="1"/>
  <c r="C295" i="6"/>
  <c r="H295" i="6" l="1"/>
  <c r="D295" i="6" s="1"/>
  <c r="B296" i="6" s="1"/>
  <c r="L295" i="6"/>
  <c r="G296" i="6" l="1"/>
  <c r="F296" i="6" s="1"/>
  <c r="C296" i="6"/>
  <c r="H296" i="6" s="1"/>
  <c r="K296" i="6"/>
  <c r="J296" i="6"/>
  <c r="I296" i="6" s="1"/>
  <c r="D296" i="6" l="1"/>
  <c r="B297" i="6" s="1"/>
  <c r="L296" i="6"/>
  <c r="K297" i="6" l="1"/>
  <c r="C297" i="6"/>
  <c r="J297" i="6"/>
  <c r="I297" i="6"/>
  <c r="G297" i="6"/>
  <c r="F297" i="6" s="1"/>
  <c r="H297" i="6" l="1"/>
  <c r="L297" i="6" s="1"/>
  <c r="D297" i="6"/>
  <c r="B298" i="6" s="1"/>
  <c r="C298" i="6" l="1"/>
  <c r="J298" i="6"/>
  <c r="I298" i="6" s="1"/>
  <c r="K298" i="6"/>
  <c r="G298" i="6"/>
  <c r="F298" i="6" s="1"/>
  <c r="H298" i="6" l="1"/>
  <c r="L298" i="6" s="1"/>
  <c r="D298" i="6"/>
  <c r="B299" i="6" s="1"/>
  <c r="C299" i="6" l="1"/>
  <c r="J299" i="6"/>
  <c r="I299" i="6" s="1"/>
  <c r="K299" i="6"/>
  <c r="G299" i="6"/>
  <c r="F299" i="6" s="1"/>
  <c r="H299" i="6" l="1"/>
  <c r="L299" i="6" s="1"/>
  <c r="D299" i="6" l="1"/>
  <c r="B300" i="6" s="1"/>
  <c r="C300" i="6" l="1"/>
  <c r="G300" i="6"/>
  <c r="F300" i="6" s="1"/>
  <c r="K300" i="6"/>
  <c r="J300" i="6"/>
  <c r="I300" i="6" s="1"/>
  <c r="H300" i="6" l="1"/>
  <c r="L300" i="6" s="1"/>
  <c r="D300" i="6" l="1"/>
  <c r="B301" i="6" s="1"/>
  <c r="G301" i="6" l="1"/>
  <c r="F301" i="6"/>
  <c r="J301" i="6"/>
  <c r="I301" i="6" s="1"/>
  <c r="C301" i="6"/>
  <c r="K301" i="6"/>
  <c r="H301" i="6" l="1"/>
  <c r="D301" i="6" s="1"/>
  <c r="B302" i="6" s="1"/>
  <c r="L301" i="6"/>
  <c r="C302" i="6" l="1"/>
  <c r="J302" i="6"/>
  <c r="I302" i="6" s="1"/>
  <c r="K302" i="6"/>
  <c r="G302" i="6"/>
  <c r="F302" i="6" s="1"/>
  <c r="H302" i="6" l="1"/>
  <c r="D302" i="6" s="1"/>
  <c r="B303" i="6" s="1"/>
  <c r="G303" i="6" l="1"/>
  <c r="F303" i="6" s="1"/>
  <c r="J303" i="6"/>
  <c r="I303" i="6" s="1"/>
  <c r="C303" i="6"/>
  <c r="K303" i="6"/>
  <c r="L302" i="6"/>
  <c r="H303" i="6" l="1"/>
  <c r="L303" i="6" s="1"/>
  <c r="D303" i="6"/>
  <c r="B304" i="6" s="1"/>
  <c r="G304" i="6" l="1"/>
  <c r="F304" i="6" s="1"/>
  <c r="C304" i="6"/>
  <c r="J304" i="6"/>
  <c r="I304" i="6" s="1"/>
  <c r="K304" i="6"/>
  <c r="H304" i="6" l="1"/>
  <c r="D304" i="6" s="1"/>
  <c r="B305" i="6" s="1"/>
  <c r="L304" i="6"/>
  <c r="G305" i="6" l="1"/>
  <c r="F305" i="6" s="1"/>
  <c r="K305" i="6"/>
  <c r="J305" i="6"/>
  <c r="I305" i="6" s="1"/>
  <c r="C305" i="6"/>
  <c r="H305" i="6" l="1"/>
  <c r="L305" i="6" s="1"/>
  <c r="D305" i="6"/>
  <c r="B306" i="6" s="1"/>
  <c r="K306" i="6" l="1"/>
  <c r="G306" i="6"/>
  <c r="F306" i="6" s="1"/>
  <c r="J306" i="6"/>
  <c r="I306" i="6" s="1"/>
  <c r="C306" i="6"/>
  <c r="H306" i="6" l="1"/>
  <c r="D306" i="6" s="1"/>
  <c r="B307" i="6" s="1"/>
  <c r="G307" i="6" s="1"/>
  <c r="F307" i="6" s="1"/>
  <c r="C307" i="6"/>
  <c r="K307" i="6"/>
  <c r="L306" i="6"/>
  <c r="J307" i="6" l="1"/>
  <c r="I307" i="6" s="1"/>
  <c r="H307" i="6"/>
  <c r="D307" i="6" s="1"/>
  <c r="B308" i="6" s="1"/>
  <c r="J308" i="6" l="1"/>
  <c r="I308" i="6" s="1"/>
  <c r="C308" i="6"/>
  <c r="G308" i="6"/>
  <c r="F308" i="6" s="1"/>
  <c r="K308" i="6"/>
  <c r="L307" i="6"/>
  <c r="H308" i="6" l="1"/>
  <c r="L308" i="6" s="1"/>
  <c r="D308" i="6"/>
  <c r="B309" i="6" s="1"/>
  <c r="K309" i="6" l="1"/>
  <c r="G309" i="6"/>
  <c r="F309" i="6" s="1"/>
  <c r="J309" i="6"/>
  <c r="I309" i="6" s="1"/>
  <c r="C309" i="6"/>
  <c r="H309" i="6" l="1"/>
  <c r="D309" i="6" s="1"/>
  <c r="B310" i="6" s="1"/>
  <c r="L309" i="6"/>
  <c r="K310" i="6" l="1"/>
  <c r="C310" i="6"/>
  <c r="G310" i="6"/>
  <c r="F310" i="6" s="1"/>
  <c r="J310" i="6"/>
  <c r="I310" i="6" s="1"/>
  <c r="H310" i="6" l="1"/>
  <c r="D310" i="6" s="1"/>
  <c r="B311" i="6" s="1"/>
  <c r="L310" i="6"/>
  <c r="G311" i="6" l="1"/>
  <c r="F311" i="6"/>
  <c r="C311" i="6"/>
  <c r="K311" i="6"/>
  <c r="J311" i="6"/>
  <c r="I311" i="6" s="1"/>
  <c r="H311" i="6" l="1"/>
  <c r="L311" i="6" s="1"/>
  <c r="D311" i="6"/>
  <c r="B312" i="6" s="1"/>
  <c r="K312" i="6" l="1"/>
  <c r="F312" i="6"/>
  <c r="J312" i="6"/>
  <c r="I312" i="6" s="1"/>
  <c r="G312" i="6"/>
  <c r="C312" i="6"/>
  <c r="H312" i="6" l="1"/>
  <c r="D312" i="6" s="1"/>
  <c r="B313" i="6" s="1"/>
  <c r="J313" i="6" s="1"/>
  <c r="I313" i="6" s="1"/>
  <c r="K313" i="6"/>
  <c r="C313" i="6"/>
  <c r="L312" i="6"/>
  <c r="G313" i="6" l="1"/>
  <c r="F313" i="6" s="1"/>
  <c r="L313" i="6" s="1"/>
  <c r="H313" i="6"/>
  <c r="D313" i="6" s="1"/>
  <c r="B314" i="6" s="1"/>
  <c r="C314" i="6" l="1"/>
  <c r="G314" i="6"/>
  <c r="F314" i="6" s="1"/>
  <c r="J314" i="6"/>
  <c r="I314" i="6" s="1"/>
  <c r="K314" i="6"/>
  <c r="H314" i="6" l="1"/>
  <c r="D314" i="6" s="1"/>
  <c r="B315" i="6" s="1"/>
  <c r="G315" i="6" l="1"/>
  <c r="F315" i="6" s="1"/>
  <c r="J315" i="6"/>
  <c r="I315" i="6" s="1"/>
  <c r="C315" i="6"/>
  <c r="K315" i="6"/>
  <c r="L314" i="6"/>
  <c r="H315" i="6" l="1"/>
  <c r="L315" i="6" s="1"/>
  <c r="D315" i="6"/>
  <c r="B316" i="6" s="1"/>
  <c r="G316" i="6" l="1"/>
  <c r="F316" i="6" s="1"/>
  <c r="C316" i="6"/>
  <c r="H316" i="6" s="1"/>
  <c r="J316" i="6"/>
  <c r="I316" i="6" s="1"/>
  <c r="K316" i="6"/>
  <c r="L316" i="6" l="1"/>
  <c r="D316" i="6"/>
  <c r="B317" i="6" s="1"/>
  <c r="J317" i="6" s="1"/>
  <c r="I317" i="6" s="1"/>
  <c r="G317" i="6" l="1"/>
  <c r="F317" i="6" s="1"/>
  <c r="H317" i="6" s="1"/>
  <c r="K317" i="6"/>
  <c r="C317" i="6"/>
  <c r="L317" i="6" l="1"/>
  <c r="D317" i="6"/>
  <c r="B318" i="6" s="1"/>
  <c r="J318" i="6" s="1"/>
  <c r="I318" i="6" s="1"/>
  <c r="G318" i="6" l="1"/>
  <c r="F318" i="6" s="1"/>
  <c r="K318" i="6"/>
  <c r="C318" i="6"/>
  <c r="H318" i="6" l="1"/>
  <c r="D318" i="6" s="1"/>
  <c r="B319" i="6" s="1"/>
  <c r="L318" i="6"/>
  <c r="C319" i="6" l="1"/>
  <c r="K319" i="6"/>
  <c r="J319" i="6"/>
  <c r="I319" i="6" s="1"/>
  <c r="G319" i="6"/>
  <c r="F319" i="6" s="1"/>
  <c r="H319" i="6" l="1"/>
  <c r="D319" i="6" s="1"/>
  <c r="B320" i="6" s="1"/>
  <c r="J320" i="6" s="1"/>
  <c r="I320" i="6" s="1"/>
  <c r="K320" i="6"/>
  <c r="C320" i="6"/>
  <c r="L319" i="6"/>
  <c r="G320" i="6" l="1"/>
  <c r="F320" i="6" s="1"/>
  <c r="H320" i="6"/>
  <c r="L320" i="6" s="1"/>
  <c r="D320" i="6" l="1"/>
  <c r="B321" i="6" s="1"/>
  <c r="G321" i="6" l="1"/>
  <c r="F321" i="6" s="1"/>
  <c r="I321" i="6"/>
  <c r="C321" i="6"/>
  <c r="J321" i="6"/>
  <c r="K321" i="6"/>
  <c r="H321" i="6" l="1"/>
  <c r="D321" i="6" s="1"/>
  <c r="B322" i="6" s="1"/>
  <c r="K322" i="6" s="1"/>
  <c r="G322" i="6"/>
  <c r="C322" i="6" l="1"/>
  <c r="J322" i="6"/>
  <c r="I322" i="6" s="1"/>
  <c r="F322" i="6"/>
  <c r="L321" i="6"/>
  <c r="H322" i="6" l="1"/>
  <c r="D322" i="6" s="1"/>
  <c r="B323" i="6" s="1"/>
  <c r="G323" i="6" s="1"/>
  <c r="L322" i="6"/>
  <c r="K323" i="6"/>
  <c r="J323" i="6"/>
  <c r="I323" i="6" s="1"/>
  <c r="C323" i="6" l="1"/>
  <c r="H323" i="6" s="1"/>
  <c r="D323" i="6" s="1"/>
  <c r="B324" i="6" s="1"/>
  <c r="F323" i="6"/>
  <c r="L323" i="6" s="1"/>
  <c r="J324" i="6" l="1"/>
  <c r="I324" i="6" s="1"/>
  <c r="G324" i="6"/>
  <c r="F324" i="6" s="1"/>
  <c r="K324" i="6"/>
  <c r="C324" i="6"/>
  <c r="H324" i="6" l="1"/>
  <c r="D324" i="6" s="1"/>
  <c r="B325" i="6" s="1"/>
  <c r="L324" i="6"/>
  <c r="C325" i="6" l="1"/>
  <c r="G325" i="6"/>
  <c r="F325" i="6" s="1"/>
  <c r="H325" i="6" s="1"/>
  <c r="D325" i="6" s="1"/>
  <c r="B326" i="6" s="1"/>
  <c r="J325" i="6"/>
  <c r="I325" i="6" s="1"/>
  <c r="K325" i="6"/>
  <c r="L325" i="6" l="1"/>
  <c r="K326" i="6"/>
  <c r="J326" i="6"/>
  <c r="I326" i="6" s="1"/>
  <c r="G326" i="6"/>
  <c r="F326" i="6" s="1"/>
  <c r="C326" i="6"/>
  <c r="H326" i="6" l="1"/>
  <c r="L326" i="6" s="1"/>
  <c r="D326" i="6"/>
  <c r="B327" i="6" s="1"/>
  <c r="C327" i="6" l="1"/>
  <c r="K327" i="6"/>
  <c r="J327" i="6"/>
  <c r="I327" i="6" s="1"/>
  <c r="G327" i="6"/>
  <c r="F327" i="6" s="1"/>
  <c r="H327" i="6" l="1"/>
  <c r="D327" i="6" s="1"/>
  <c r="B328" i="6" s="1"/>
  <c r="K328" i="6" l="1"/>
  <c r="G328" i="6"/>
  <c r="F328" i="6" s="1"/>
  <c r="C328" i="6"/>
  <c r="J328" i="6"/>
  <c r="I328" i="6" s="1"/>
  <c r="L327" i="6"/>
  <c r="H328" i="6" l="1"/>
  <c r="L328" i="6" s="1"/>
  <c r="D328" i="6"/>
  <c r="B329" i="6" s="1"/>
  <c r="J329" i="6" l="1"/>
  <c r="I329" i="6" s="1"/>
  <c r="K329" i="6"/>
  <c r="C329" i="6"/>
  <c r="G329" i="6"/>
  <c r="F329" i="6" s="1"/>
  <c r="H329" i="6" l="1"/>
  <c r="D329" i="6" s="1"/>
  <c r="B330" i="6" s="1"/>
  <c r="L329" i="6"/>
  <c r="J330" i="6" l="1"/>
  <c r="I330" i="6" s="1"/>
  <c r="G330" i="6"/>
  <c r="F330" i="6" s="1"/>
  <c r="K330" i="6"/>
  <c r="C330" i="6"/>
  <c r="H330" i="6" l="1"/>
  <c r="L330" i="6" s="1"/>
  <c r="D330" i="6" l="1"/>
  <c r="B331" i="6" s="1"/>
  <c r="K331" i="6" l="1"/>
  <c r="G331" i="6"/>
  <c r="F331" i="6" s="1"/>
  <c r="J331" i="6"/>
  <c r="I331" i="6" s="1"/>
  <c r="C331" i="6"/>
  <c r="H331" i="6" l="1"/>
  <c r="L331" i="6" s="1"/>
  <c r="D331" i="6"/>
  <c r="B332" i="6" s="1"/>
  <c r="G332" i="6" l="1"/>
  <c r="F332" i="6" s="1"/>
  <c r="K332" i="6"/>
  <c r="C332" i="6"/>
  <c r="J332" i="6"/>
  <c r="I332" i="6" s="1"/>
  <c r="H332" i="6" l="1"/>
  <c r="L332" i="6" s="1"/>
  <c r="D332" i="6"/>
  <c r="B333" i="6" s="1"/>
  <c r="K333" i="6" l="1"/>
  <c r="G333" i="6"/>
  <c r="F333" i="6" s="1"/>
  <c r="J333" i="6"/>
  <c r="I333" i="6" s="1"/>
  <c r="C333" i="6"/>
  <c r="H333" i="6" l="1"/>
  <c r="L333" i="6" s="1"/>
  <c r="D333" i="6"/>
  <c r="B334" i="6" s="1"/>
  <c r="J334" i="6" l="1"/>
  <c r="I334" i="6" s="1"/>
  <c r="G334" i="6"/>
  <c r="F334" i="6" s="1"/>
  <c r="C334" i="6"/>
  <c r="K334" i="6"/>
  <c r="H334" i="6" l="1"/>
  <c r="D334" i="6" s="1"/>
  <c r="B335" i="6" s="1"/>
  <c r="C335" i="6" l="1"/>
  <c r="G335" i="6"/>
  <c r="F335" i="6" s="1"/>
  <c r="J335" i="6"/>
  <c r="I335" i="6" s="1"/>
  <c r="K335" i="6"/>
  <c r="L334" i="6"/>
  <c r="H335" i="6" l="1"/>
  <c r="D335" i="6" s="1"/>
  <c r="B336" i="6" s="1"/>
  <c r="K336" i="6" l="1"/>
  <c r="G336" i="6"/>
  <c r="F336" i="6" s="1"/>
  <c r="J336" i="6"/>
  <c r="I336" i="6" s="1"/>
  <c r="C336" i="6"/>
  <c r="L335" i="6"/>
  <c r="H336" i="6" l="1"/>
  <c r="L336" i="6" s="1"/>
  <c r="D336" i="6"/>
  <c r="B337" i="6" s="1"/>
  <c r="K337" i="6" l="1"/>
  <c r="C337" i="6"/>
  <c r="G337" i="6"/>
  <c r="F337" i="6"/>
  <c r="J337" i="6"/>
  <c r="I337" i="6" s="1"/>
  <c r="H337" i="6" l="1"/>
  <c r="D337" i="6" s="1"/>
  <c r="B338" i="6" s="1"/>
  <c r="L337" i="6"/>
  <c r="J338" i="6" l="1"/>
  <c r="K338" i="6"/>
  <c r="C338" i="6"/>
  <c r="G338" i="6"/>
  <c r="F338" i="6" s="1"/>
  <c r="I338" i="6"/>
  <c r="H338" i="6" l="1"/>
  <c r="L338" i="6" s="1"/>
  <c r="D338" i="6"/>
  <c r="B339" i="6" s="1"/>
  <c r="C339" i="6" l="1"/>
  <c r="G339" i="6"/>
  <c r="F339" i="6" s="1"/>
  <c r="K339" i="6"/>
  <c r="J339" i="6"/>
  <c r="I339" i="6" s="1"/>
  <c r="H339" i="6" l="1"/>
  <c r="D339" i="6" s="1"/>
  <c r="B340" i="6" s="1"/>
  <c r="L339" i="6"/>
  <c r="K340" i="6" l="1"/>
  <c r="J340" i="6"/>
  <c r="I340" i="6" s="1"/>
  <c r="C340" i="6"/>
  <c r="G340" i="6"/>
  <c r="F340" i="6" s="1"/>
  <c r="H340" i="6" l="1"/>
  <c r="D340" i="6" s="1"/>
  <c r="B341" i="6" s="1"/>
  <c r="K341" i="6" l="1"/>
  <c r="C341" i="6"/>
  <c r="J341" i="6"/>
  <c r="I341" i="6" s="1"/>
  <c r="G341" i="6"/>
  <c r="F341" i="6" s="1"/>
  <c r="L340" i="6"/>
  <c r="H341" i="6" l="1"/>
  <c r="L341" i="6" l="1"/>
  <c r="D341" i="6"/>
  <c r="B342" i="6" s="1"/>
  <c r="K342" i="6" l="1"/>
  <c r="J342" i="6"/>
  <c r="I342" i="6" s="1"/>
  <c r="C342" i="6"/>
  <c r="G342" i="6"/>
  <c r="F342" i="6" s="1"/>
  <c r="H342" i="6" l="1"/>
  <c r="D342" i="6" s="1"/>
  <c r="B343" i="6" s="1"/>
  <c r="C343" i="6" l="1"/>
  <c r="J343" i="6"/>
  <c r="I343" i="6" s="1"/>
  <c r="G343" i="6"/>
  <c r="F343" i="6" s="1"/>
  <c r="K343" i="6"/>
  <c r="L342" i="6"/>
  <c r="H343" i="6" l="1"/>
  <c r="D343" i="6" s="1"/>
  <c r="B344" i="6" s="1"/>
  <c r="J344" i="6" l="1"/>
  <c r="I344" i="6" s="1"/>
  <c r="K344" i="6"/>
  <c r="G344" i="6"/>
  <c r="F344" i="6" s="1"/>
  <c r="C344" i="6"/>
  <c r="L343" i="6"/>
  <c r="H344" i="6" l="1"/>
  <c r="L344" i="6" s="1"/>
  <c r="D344" i="6" l="1"/>
  <c r="B345" i="6" s="1"/>
  <c r="C345" i="6" l="1"/>
  <c r="G345" i="6"/>
  <c r="F345" i="6" s="1"/>
  <c r="K345" i="6"/>
  <c r="J345" i="6"/>
  <c r="I345" i="6" s="1"/>
  <c r="H345" i="6" l="1"/>
  <c r="L345" i="6" s="1"/>
  <c r="D345" i="6"/>
  <c r="B346" i="6" s="1"/>
  <c r="J346" i="6" l="1"/>
  <c r="I346" i="6" s="1"/>
  <c r="C346" i="6"/>
  <c r="G346" i="6"/>
  <c r="F346" i="6" s="1"/>
  <c r="K346" i="6"/>
  <c r="H346" i="6" l="1"/>
  <c r="L346" i="6" s="1"/>
  <c r="D346" i="6"/>
  <c r="B347" i="6" s="1"/>
  <c r="C347" i="6" l="1"/>
  <c r="K347" i="6"/>
  <c r="G347" i="6"/>
  <c r="F347" i="6" s="1"/>
  <c r="J347" i="6"/>
  <c r="I347" i="6" s="1"/>
  <c r="H347" i="6" l="1"/>
  <c r="L347" i="6" s="1"/>
  <c r="D347" i="6"/>
  <c r="B348" i="6" s="1"/>
  <c r="G348" i="6" l="1"/>
  <c r="F348" i="6" s="1"/>
  <c r="K348" i="6"/>
  <c r="J348" i="6"/>
  <c r="I348" i="6" s="1"/>
  <c r="C348" i="6"/>
  <c r="H348" i="6" l="1"/>
  <c r="L348" i="6" s="1"/>
  <c r="D348" i="6"/>
  <c r="B349" i="6" s="1"/>
  <c r="K349" i="6" l="1"/>
  <c r="J349" i="6"/>
  <c r="I349" i="6" s="1"/>
  <c r="G349" i="6"/>
  <c r="F349" i="6" s="1"/>
  <c r="C349" i="6"/>
  <c r="H349" i="6" l="1"/>
  <c r="D349" i="6" s="1"/>
  <c r="B350" i="6" s="1"/>
  <c r="C350" i="6" l="1"/>
  <c r="H350" i="6" s="1"/>
  <c r="J350" i="6"/>
  <c r="I350" i="6" s="1"/>
  <c r="K350" i="6"/>
  <c r="G350" i="6"/>
  <c r="F350" i="6" s="1"/>
  <c r="L349" i="6"/>
  <c r="D350" i="6" l="1"/>
  <c r="B351" i="6" s="1"/>
  <c r="L350" i="6"/>
  <c r="G351" i="6" l="1"/>
  <c r="F351" i="6" s="1"/>
  <c r="K351" i="6"/>
  <c r="J351" i="6"/>
  <c r="I351" i="6" s="1"/>
  <c r="C351" i="6"/>
  <c r="H351" i="6" l="1"/>
  <c r="D351" i="6" s="1"/>
  <c r="B352" i="6" s="1"/>
  <c r="L351" i="6" l="1"/>
  <c r="C352" i="6"/>
  <c r="K352" i="6"/>
  <c r="G352" i="6"/>
  <c r="F352" i="6" s="1"/>
  <c r="J352" i="6"/>
  <c r="I352" i="6" s="1"/>
  <c r="H352" i="6" l="1"/>
  <c r="L352" i="6" s="1"/>
  <c r="D352" i="6"/>
  <c r="B353" i="6" s="1"/>
  <c r="K353" i="6" l="1"/>
  <c r="C353" i="6"/>
  <c r="G353" i="6"/>
  <c r="F353" i="6" s="1"/>
  <c r="J353" i="6"/>
  <c r="I353" i="6" s="1"/>
  <c r="H353" i="6" l="1"/>
  <c r="D353" i="6" s="1"/>
  <c r="B354" i="6" s="1"/>
  <c r="G354" i="6" l="1"/>
  <c r="F354" i="6" s="1"/>
  <c r="C354" i="6"/>
  <c r="K354" i="6"/>
  <c r="J354" i="6"/>
  <c r="I354" i="6" s="1"/>
  <c r="L353" i="6"/>
  <c r="H354" i="6" l="1"/>
  <c r="D354" i="6" s="1"/>
  <c r="B355" i="6" s="1"/>
  <c r="L354" i="6"/>
  <c r="C355" i="6" l="1"/>
  <c r="K355" i="6"/>
  <c r="G355" i="6"/>
  <c r="F355" i="6" s="1"/>
  <c r="J355" i="6"/>
  <c r="I355" i="6" s="1"/>
  <c r="H355" i="6" l="1"/>
  <c r="L355" i="6" s="1"/>
  <c r="D355" i="6"/>
  <c r="B356" i="6" s="1"/>
  <c r="J356" i="6" l="1"/>
  <c r="I356" i="6" s="1"/>
  <c r="G356" i="6"/>
  <c r="F356" i="6" s="1"/>
  <c r="C356" i="6"/>
  <c r="K356" i="6"/>
  <c r="H356" i="6" l="1"/>
  <c r="D356" i="6" s="1"/>
  <c r="B357" i="6" s="1"/>
  <c r="G357" i="6" l="1"/>
  <c r="F357" i="6" s="1"/>
  <c r="C357" i="6"/>
  <c r="K357" i="6"/>
  <c r="J357" i="6"/>
  <c r="I357" i="6" s="1"/>
  <c r="L356" i="6"/>
  <c r="H357" i="6" l="1"/>
  <c r="L357" i="6" s="1"/>
  <c r="D357" i="6"/>
  <c r="B358" i="6" s="1"/>
  <c r="G358" i="6" l="1"/>
  <c r="F358" i="6" s="1"/>
  <c r="K358" i="6"/>
  <c r="C358" i="6"/>
  <c r="J358" i="6"/>
  <c r="I358" i="6" s="1"/>
  <c r="H358" i="6" l="1"/>
  <c r="L358" i="6" s="1"/>
  <c r="D358" i="6"/>
  <c r="B359" i="6" s="1"/>
  <c r="K359" i="6" l="1"/>
  <c r="G359" i="6"/>
  <c r="F359" i="6" s="1"/>
  <c r="C359" i="6"/>
  <c r="J359" i="6"/>
  <c r="I359" i="6" s="1"/>
  <c r="H359" i="6" l="1"/>
  <c r="L359" i="6" s="1"/>
  <c r="D359" i="6"/>
  <c r="B360" i="6" s="1"/>
  <c r="K360" i="6" l="1"/>
  <c r="J360" i="6"/>
  <c r="I360" i="6" s="1"/>
  <c r="C360" i="6"/>
  <c r="G360" i="6"/>
  <c r="F360" i="6" s="1"/>
  <c r="H360" i="6" l="1"/>
  <c r="D360" i="6" s="1"/>
  <c r="B361" i="6" s="1"/>
  <c r="G361" i="6" l="1"/>
  <c r="F361" i="6" s="1"/>
  <c r="K361" i="6"/>
  <c r="C361" i="6"/>
  <c r="J361" i="6"/>
  <c r="I361" i="6" s="1"/>
  <c r="L360" i="6"/>
  <c r="H361" i="6" l="1"/>
  <c r="D361" i="6" s="1"/>
  <c r="B362" i="6" s="1"/>
  <c r="L361" i="6"/>
  <c r="J362" i="6" l="1"/>
  <c r="I362" i="6" s="1"/>
  <c r="K362" i="6"/>
  <c r="C362" i="6"/>
  <c r="G362" i="6"/>
  <c r="F362" i="6" s="1"/>
  <c r="H362" i="6" l="1"/>
  <c r="D362" i="6" s="1"/>
  <c r="B363" i="6" s="1"/>
  <c r="K363" i="6" l="1"/>
  <c r="C363" i="6"/>
  <c r="G363" i="6"/>
  <c r="F363" i="6" s="1"/>
  <c r="J363" i="6"/>
  <c r="I363" i="6" s="1"/>
  <c r="L362" i="6"/>
  <c r="H363" i="6" l="1"/>
  <c r="D363" i="6" s="1"/>
  <c r="B364" i="6" s="1"/>
  <c r="K364" i="6" l="1"/>
  <c r="J364" i="6"/>
  <c r="I364" i="6" s="1"/>
  <c r="G364" i="6"/>
  <c r="F364" i="6" s="1"/>
  <c r="C364" i="6"/>
  <c r="L363" i="6"/>
  <c r="H364" i="6" l="1"/>
  <c r="L364" i="6" s="1"/>
  <c r="D364" i="6" l="1"/>
  <c r="B365" i="6" s="1"/>
  <c r="J365" i="6" l="1"/>
  <c r="I365" i="6" s="1"/>
  <c r="C365" i="6"/>
  <c r="G365" i="6"/>
  <c r="F365" i="6" s="1"/>
  <c r="K365" i="6"/>
  <c r="H365" i="6" l="1"/>
  <c r="L365" i="6" s="1"/>
  <c r="D365" i="6" l="1"/>
  <c r="B366" i="6" s="1"/>
  <c r="K366" i="6" l="1"/>
  <c r="C366" i="6"/>
  <c r="G366" i="6"/>
  <c r="F366" i="6" s="1"/>
  <c r="J366" i="6"/>
  <c r="I366" i="6" s="1"/>
  <c r="H366" i="6" l="1"/>
  <c r="D366" i="6" s="1"/>
  <c r="B367" i="6" s="1"/>
  <c r="L366" i="6"/>
  <c r="K367" i="6" l="1"/>
  <c r="F367" i="6"/>
  <c r="J367" i="6"/>
  <c r="I367" i="6" s="1"/>
  <c r="C367" i="6"/>
  <c r="G367" i="6"/>
  <c r="H367" i="6" l="1"/>
  <c r="L367" i="6" s="1"/>
  <c r="D367" i="6"/>
  <c r="B368" i="6" s="1"/>
  <c r="C368" i="6" l="1"/>
  <c r="G368" i="6"/>
  <c r="F368" i="6" s="1"/>
  <c r="K368" i="6"/>
  <c r="J368" i="6"/>
  <c r="I368" i="6" s="1"/>
  <c r="H368" i="6" l="1"/>
  <c r="L368" i="6" s="1"/>
  <c r="D368" i="6"/>
  <c r="B369" i="6" s="1"/>
  <c r="J369" i="6" l="1"/>
  <c r="I369" i="6" s="1"/>
  <c r="G369" i="6"/>
  <c r="F369" i="6" s="1"/>
  <c r="K369" i="6"/>
  <c r="C369" i="6"/>
  <c r="H369" i="6" l="1"/>
  <c r="D369" i="6" s="1"/>
  <c r="B370" i="6" s="1"/>
  <c r="J370" i="6" l="1"/>
  <c r="I370" i="6" s="1"/>
  <c r="G370" i="6"/>
  <c r="F370" i="6" s="1"/>
  <c r="K370" i="6"/>
  <c r="C370" i="6"/>
  <c r="L369" i="6"/>
  <c r="H370" i="6" l="1"/>
  <c r="L370" i="6" s="1"/>
  <c r="D370" i="6"/>
  <c r="B371" i="6" s="1"/>
  <c r="C371" i="6" l="1"/>
  <c r="J371" i="6"/>
  <c r="I371" i="6" s="1"/>
  <c r="K371" i="6"/>
  <c r="G371" i="6"/>
  <c r="F371" i="6" s="1"/>
  <c r="H371" i="6" l="1"/>
  <c r="D371" i="6" s="1"/>
  <c r="B372" i="6" s="1"/>
  <c r="L371" i="6"/>
  <c r="K372" i="6" l="1"/>
  <c r="G372" i="6"/>
  <c r="F372" i="6" s="1"/>
  <c r="J372" i="6"/>
  <c r="I372" i="6" s="1"/>
  <c r="C372" i="6"/>
  <c r="H372" i="6" l="1"/>
  <c r="L372" i="6" s="1"/>
  <c r="D372" i="6" l="1"/>
  <c r="B373" i="6" s="1"/>
  <c r="K373" i="6" l="1"/>
  <c r="G373" i="6"/>
  <c r="F373" i="6" s="1"/>
  <c r="J373" i="6"/>
  <c r="I373" i="6" s="1"/>
  <c r="C373" i="6"/>
  <c r="H373" i="6" l="1"/>
  <c r="D373" i="6" s="1"/>
  <c r="B374" i="6" s="1"/>
  <c r="L373" i="6"/>
  <c r="J374" i="6" l="1"/>
  <c r="I374" i="6" s="1"/>
  <c r="G374" i="6"/>
  <c r="F374" i="6" s="1"/>
  <c r="K374" i="6"/>
  <c r="C374" i="6"/>
  <c r="H374" i="6" l="1"/>
  <c r="L374" i="6" s="1"/>
  <c r="D374" i="6"/>
  <c r="B375" i="6" s="1"/>
  <c r="G375" i="6" l="1"/>
  <c r="F375" i="6" s="1"/>
  <c r="C375" i="6"/>
  <c r="J375" i="6"/>
  <c r="I375" i="6" s="1"/>
  <c r="K375" i="6"/>
  <c r="H375" i="6" l="1"/>
  <c r="L375" i="6" s="1"/>
  <c r="D375" i="6" l="1"/>
  <c r="B376" i="6" s="1"/>
  <c r="C376" i="6" l="1"/>
  <c r="G376" i="6"/>
  <c r="F376" i="6" s="1"/>
  <c r="J376" i="6"/>
  <c r="I376" i="6" s="1"/>
  <c r="K376" i="6"/>
  <c r="H376" i="6" l="1"/>
  <c r="L376" i="6" s="1"/>
  <c r="D376" i="6"/>
  <c r="B377" i="6" s="1"/>
  <c r="J377" i="6" l="1"/>
  <c r="I377" i="6" s="1"/>
  <c r="G377" i="6"/>
  <c r="F377" i="6" s="1"/>
  <c r="K377" i="6"/>
  <c r="C377" i="6"/>
  <c r="H377" i="6" l="1"/>
  <c r="D377" i="6" s="1"/>
  <c r="B378" i="6" s="1"/>
  <c r="L377" i="6"/>
  <c r="G378" i="6" l="1"/>
  <c r="F378" i="6" s="1"/>
  <c r="K378" i="6"/>
  <c r="J378" i="6"/>
  <c r="I378" i="6" s="1"/>
  <c r="C378" i="6"/>
  <c r="H378" i="6" l="1"/>
  <c r="L378" i="6" s="1"/>
  <c r="D378" i="6" l="1"/>
  <c r="B379" i="6" s="1"/>
  <c r="C379" i="6" l="1"/>
  <c r="J379" i="6"/>
  <c r="I379" i="6" s="1"/>
  <c r="K379" i="6"/>
  <c r="G379" i="6"/>
  <c r="F379" i="6"/>
  <c r="H379" i="6" l="1"/>
  <c r="L379" i="6" s="1"/>
  <c r="D379" i="6"/>
  <c r="B380" i="6" s="1"/>
  <c r="J380" i="6" l="1"/>
  <c r="G380" i="6"/>
  <c r="F380" i="6" s="1"/>
  <c r="K380" i="6"/>
  <c r="C380" i="6"/>
  <c r="I380" i="6"/>
  <c r="H380" i="6" l="1"/>
  <c r="L380" i="6" s="1"/>
  <c r="D380" i="6" l="1"/>
  <c r="B381" i="6" s="1"/>
  <c r="J381" i="6" l="1"/>
  <c r="I381" i="6" s="1"/>
  <c r="C381" i="6"/>
  <c r="H381" i="6" s="1"/>
  <c r="K381" i="6"/>
  <c r="G381" i="6"/>
  <c r="F381" i="6" s="1"/>
  <c r="L381" i="6" l="1"/>
  <c r="D381" i="6"/>
  <c r="B382" i="6" s="1"/>
  <c r="G382" i="6" l="1"/>
  <c r="G19" i="6" s="1"/>
  <c r="J382" i="6"/>
  <c r="I382" i="6" s="1"/>
  <c r="I19" i="6" s="1"/>
  <c r="K382" i="6"/>
  <c r="K19" i="6" s="1"/>
  <c r="C382" i="6"/>
  <c r="F382" i="6"/>
  <c r="F19" i="6" s="1"/>
  <c r="I4" i="6" l="1"/>
  <c r="G15" i="6"/>
  <c r="H11" i="6"/>
  <c r="G14" i="6"/>
  <c r="H14" i="6"/>
  <c r="G11" i="6"/>
  <c r="G12" i="6"/>
  <c r="H15" i="6"/>
  <c r="H12" i="6"/>
  <c r="G13" i="6"/>
  <c r="H382" i="6"/>
  <c r="H19" i="6" s="1"/>
  <c r="D382" i="6"/>
  <c r="I14" i="6" l="1"/>
  <c r="L382" i="6"/>
  <c r="L19" i="6" s="1"/>
  <c r="I15" i="6"/>
  <c r="G16" i="6"/>
  <c r="I11" i="6"/>
  <c r="I12" i="6"/>
  <c r="H13" i="6"/>
  <c r="I13" i="6" s="1"/>
  <c r="H16" i="6" l="1"/>
  <c r="I16" i="6"/>
  <c r="F75" i="1"/>
  <c r="G75" i="1" l="1"/>
  <c r="G77" i="1" s="1"/>
  <c r="F77" i="1"/>
  <c r="H75" i="1" l="1"/>
  <c r="I75" i="1" s="1"/>
  <c r="H62" i="1"/>
  <c r="H65" i="1" s="1"/>
  <c r="G62" i="1"/>
  <c r="G65" i="1" s="1"/>
  <c r="I62" i="1"/>
  <c r="I65" i="1" s="1"/>
  <c r="J62" i="1"/>
  <c r="J65" i="1" s="1"/>
  <c r="I77" i="1" l="1"/>
  <c r="J75" i="1"/>
  <c r="J77" i="1" s="1"/>
  <c r="H77" i="1"/>
  <c r="K62" i="1"/>
  <c r="K65" i="1" s="1"/>
  <c r="K75" i="1" l="1"/>
  <c r="K77" i="1" s="1"/>
  <c r="L62" i="1"/>
  <c r="L65" i="1" s="1"/>
  <c r="L75" i="1" l="1"/>
  <c r="L77" i="1" s="1"/>
  <c r="M62" i="1"/>
  <c r="M65" i="1" s="1"/>
  <c r="N62" i="1"/>
  <c r="N65" i="1" s="1"/>
  <c r="M75" i="1" l="1"/>
  <c r="M77" i="1" s="1"/>
  <c r="N75" i="1" l="1"/>
  <c r="N77" i="1" s="1"/>
  <c r="O75" i="1" l="1"/>
  <c r="O77" i="1" s="1"/>
  <c r="F85" i="1" l="1"/>
  <c r="F86" i="1"/>
  <c r="F94" i="1" l="1"/>
  <c r="F135" i="1" s="1"/>
  <c r="E135" i="1" l="1"/>
  <c r="E133" i="1"/>
  <c r="G133" i="1"/>
  <c r="K133" i="1"/>
  <c r="O133" i="1"/>
  <c r="H133" i="1"/>
  <c r="F133" i="1"/>
  <c r="M133" i="1"/>
  <c r="I133" i="1"/>
  <c r="N133" i="1"/>
  <c r="L133" i="1"/>
  <c r="J133" i="1"/>
  <c r="N135" i="1"/>
  <c r="I135" i="1"/>
  <c r="L135" i="1"/>
  <c r="K135" i="1"/>
  <c r="O135" i="1"/>
  <c r="G135" i="1"/>
  <c r="H135" i="1"/>
  <c r="J135" i="1"/>
  <c r="M135" i="1"/>
  <c r="E136" i="1" l="1"/>
  <c r="E134" i="1"/>
  <c r="E127" i="1" l="1"/>
  <c r="E128" i="1" l="1"/>
  <c r="AR38" i="8" s="1"/>
  <c r="AR37" i="8"/>
</calcChain>
</file>

<file path=xl/sharedStrings.xml><?xml version="1.0" encoding="utf-8"?>
<sst xmlns="http://schemas.openxmlformats.org/spreadsheetml/2006/main" count="302" uniqueCount="190">
  <si>
    <t>Assumptions</t>
  </si>
  <si>
    <t>Operating Expenses</t>
  </si>
  <si>
    <t xml:space="preserve">Total Revenue </t>
  </si>
  <si>
    <t xml:space="preserve">Revenue </t>
  </si>
  <si>
    <t>Total Expenses</t>
  </si>
  <si>
    <t>EBITDA</t>
  </si>
  <si>
    <t>Balance Sheet</t>
  </si>
  <si>
    <t xml:space="preserve">Income Statement </t>
  </si>
  <si>
    <t>Assets</t>
  </si>
  <si>
    <t>Minimum Cash</t>
  </si>
  <si>
    <t xml:space="preserve">Cash Above Minimum </t>
  </si>
  <si>
    <t xml:space="preserve">Accounts Receivable </t>
  </si>
  <si>
    <t xml:space="preserve">Inventory </t>
  </si>
  <si>
    <t>Total Assets</t>
  </si>
  <si>
    <t xml:space="preserve">Liabilities </t>
  </si>
  <si>
    <t xml:space="preserve">Accounts Payable </t>
  </si>
  <si>
    <t xml:space="preserve">Taxes Payable </t>
  </si>
  <si>
    <t>Extra Bank Loan</t>
  </si>
  <si>
    <t xml:space="preserve">Equity </t>
  </si>
  <si>
    <t>Common Stock</t>
  </si>
  <si>
    <t xml:space="preserve">Retained Earnings </t>
  </si>
  <si>
    <t xml:space="preserve">Total Liabilities &amp; Equity </t>
  </si>
  <si>
    <t>Delta %</t>
  </si>
  <si>
    <t xml:space="preserve">Taxes </t>
  </si>
  <si>
    <t xml:space="preserve">Amoritizaion </t>
  </si>
  <si>
    <t xml:space="preserve">Net Income </t>
  </si>
  <si>
    <t>Mortgage Cash Flows</t>
  </si>
  <si>
    <t>First Loan Payment Date</t>
  </si>
  <si>
    <t>Today's Date</t>
  </si>
  <si>
    <t>-</t>
  </si>
  <si>
    <t>Original Loan Balance</t>
  </si>
  <si>
    <t>Loan Coupon</t>
  </si>
  <si>
    <t>Balloon Period in Years</t>
  </si>
  <si>
    <t>Payments Per Year</t>
  </si>
  <si>
    <t>Paid to Date</t>
  </si>
  <si>
    <t>Remaining</t>
  </si>
  <si>
    <t>Interest</t>
  </si>
  <si>
    <t>Scheduled Principal</t>
  </si>
  <si>
    <t>Extra Principal Pmt</t>
  </si>
  <si>
    <t>Extra Principal Payment</t>
  </si>
  <si>
    <t>Extra Principal Pmt Start Date</t>
  </si>
  <si>
    <t>LTV</t>
  </si>
  <si>
    <t>Summary Information</t>
  </si>
  <si>
    <t>Private Mortgage Insurance</t>
  </si>
  <si>
    <t>PMI Factor</t>
  </si>
  <si>
    <t>Periods Remaining until the Mortgage is paid off</t>
  </si>
  <si>
    <t>Loan Period in Years</t>
  </si>
  <si>
    <t>Loan Amt * PMI Factor / 12</t>
  </si>
  <si>
    <t>Mortgage Payment</t>
  </si>
  <si>
    <t>Not needed when LTV = 78.0</t>
  </si>
  <si>
    <t>Appraised Property Value</t>
  </si>
  <si>
    <t>Total</t>
  </si>
  <si>
    <t>Loan-to-Value</t>
  </si>
  <si>
    <t>Monthly PMI Payment</t>
  </si>
  <si>
    <t>Escrow</t>
  </si>
  <si>
    <t>PMI Pmt</t>
  </si>
  <si>
    <t>Total Monthly Payment</t>
  </si>
  <si>
    <t xml:space="preserve">                                  Column Totals ======&gt;</t>
  </si>
  <si>
    <t>Payment</t>
  </si>
  <si>
    <t>Balance after</t>
  </si>
  <si>
    <t>Scheduled</t>
  </si>
  <si>
    <t>Extra Principal</t>
  </si>
  <si>
    <t>PMI</t>
  </si>
  <si>
    <t>Total Monthly</t>
  </si>
  <si>
    <t>Period</t>
  </si>
  <si>
    <t>Date</t>
  </si>
  <si>
    <t>Principal</t>
  </si>
  <si>
    <t xml:space="preserve">Days of Inventory </t>
  </si>
  <si>
    <t>Days of A/R</t>
  </si>
  <si>
    <t xml:space="preserve">Days of A/P </t>
  </si>
  <si>
    <t>Notes</t>
  </si>
  <si>
    <t>Memeberships</t>
  </si>
  <si>
    <t xml:space="preserve">Buildings Maintainence </t>
  </si>
  <si>
    <t xml:space="preserve">General Admin </t>
  </si>
  <si>
    <t>Extra Bank Loan Interest</t>
  </si>
  <si>
    <t xml:space="preserve">Taxable Income </t>
  </si>
  <si>
    <t>Membership price</t>
  </si>
  <si>
    <t xml:space="preserve">Art Sales </t>
  </si>
  <si>
    <t>Art commission rate</t>
  </si>
  <si>
    <t xml:space="preserve">Admissions cost </t>
  </si>
  <si>
    <t>Memberships sales</t>
  </si>
  <si>
    <t>General Admissions</t>
  </si>
  <si>
    <t xml:space="preserve">General admissions </t>
  </si>
  <si>
    <t xml:space="preserve">Commissions </t>
  </si>
  <si>
    <t xml:space="preserve">Average art price </t>
  </si>
  <si>
    <t>Gallary Labor</t>
  </si>
  <si>
    <t xml:space="preserve">Event Labor </t>
  </si>
  <si>
    <t xml:space="preserve">Fixed percent of sales less commissions </t>
  </si>
  <si>
    <t xml:space="preserve">Furniture, Fixtures, &amp; Equipment </t>
  </si>
  <si>
    <t xml:space="preserve">Furnishings &amp; Equipment Net </t>
  </si>
  <si>
    <t>Interst</t>
  </si>
  <si>
    <t xml:space="preserve">Maintainence per square foot $8.50 per month, 3700 sq feet lease </t>
  </si>
  <si>
    <t>The art gallery makes commission for each piece of art that is sold</t>
  </si>
  <si>
    <t>Check</t>
  </si>
  <si>
    <t>Mortgage</t>
  </si>
  <si>
    <t>Building</t>
  </si>
  <si>
    <t>Accumulated Depreciation - Equip</t>
  </si>
  <si>
    <t>Depreciating FF&amp;E over 7 years</t>
  </si>
  <si>
    <t xml:space="preserve">Mortgage Interest </t>
  </si>
  <si>
    <t>Accumulated Depreciation - Bldg</t>
  </si>
  <si>
    <t>Land</t>
  </si>
  <si>
    <t>WACC</t>
  </si>
  <si>
    <t>Blended Cost of Debt</t>
  </si>
  <si>
    <t>Unlevered Beta</t>
  </si>
  <si>
    <t>Current Equity %</t>
  </si>
  <si>
    <t>Current Debt %</t>
  </si>
  <si>
    <t>Releverd Beta</t>
  </si>
  <si>
    <t>S&amp;P</t>
  </si>
  <si>
    <t>T-bills</t>
  </si>
  <si>
    <t>CAPM (cost of equity)</t>
  </si>
  <si>
    <t>WAAC</t>
  </si>
  <si>
    <t>FCF</t>
  </si>
  <si>
    <t>Long-Term Assets</t>
  </si>
  <si>
    <t>Current Assets</t>
  </si>
  <si>
    <t>Depreciation -Equip</t>
  </si>
  <si>
    <t>Depreciation -Bldg</t>
  </si>
  <si>
    <t>Depreciating Builing over 30 years</t>
  </si>
  <si>
    <t>Building Net</t>
  </si>
  <si>
    <t>Tax Rate</t>
  </si>
  <si>
    <t>Cash from Operations</t>
  </si>
  <si>
    <t>Operating Income</t>
  </si>
  <si>
    <t>Less Depreciation</t>
  </si>
  <si>
    <t>Taxable Operating Income</t>
  </si>
  <si>
    <t>Taxes on Operations ONLY (= Taxes payable on op)</t>
  </si>
  <si>
    <t>Add back: Depreciation</t>
  </si>
  <si>
    <t>CASH FROM OPERATIONS</t>
  </si>
  <si>
    <t>Cash in/out from Capital Expenditures</t>
  </si>
  <si>
    <t>Buy Building</t>
  </si>
  <si>
    <t>Sale of Building</t>
  </si>
  <si>
    <t>Taxes on sale of building</t>
  </si>
  <si>
    <t>Cash from Changes in Working Capital</t>
  </si>
  <si>
    <t>Cash from Liquidating Working Capital</t>
  </si>
  <si>
    <t>Accounts Receivable</t>
  </si>
  <si>
    <t>Inventory</t>
  </si>
  <si>
    <t>Income Tax Payable</t>
  </si>
  <si>
    <t>Accounts Payable - COGS</t>
  </si>
  <si>
    <t>Book value</t>
  </si>
  <si>
    <t>Multiple</t>
  </si>
  <si>
    <t>TOTAL FREE CASH FLOWS</t>
  </si>
  <si>
    <t>IRR</t>
  </si>
  <si>
    <t>PV pf FCF</t>
  </si>
  <si>
    <t>NPV</t>
  </si>
  <si>
    <t>Buy FF&amp;E</t>
  </si>
  <si>
    <t>Sale of FF&amp;E</t>
  </si>
  <si>
    <t>Taxes on sale of FF&amp;E</t>
  </si>
  <si>
    <t>% of original</t>
  </si>
  <si>
    <t>Legal Fees</t>
  </si>
  <si>
    <t>Probability</t>
  </si>
  <si>
    <t>Standard Deviation</t>
  </si>
  <si>
    <t>Bad</t>
  </si>
  <si>
    <t>Good</t>
  </si>
  <si>
    <t xml:space="preserve">S - Expected FCF not including the Purchase Price </t>
  </si>
  <si>
    <t>X - Purchase Price for Phase 2</t>
  </si>
  <si>
    <t>t</t>
  </si>
  <si>
    <t>r</t>
  </si>
  <si>
    <t>STD%</t>
  </si>
  <si>
    <t>Option Price</t>
  </si>
  <si>
    <t>Good - Standard Deviation</t>
  </si>
  <si>
    <t>Bad - Standard Deviation</t>
  </si>
  <si>
    <t>BAD</t>
  </si>
  <si>
    <t>BAD - NPV</t>
  </si>
  <si>
    <t>GOOD - NPV</t>
  </si>
  <si>
    <t>Taxes on Operations</t>
  </si>
  <si>
    <t>Statement of Free Cash Flows</t>
  </si>
  <si>
    <t>Cash from Capital Expenditures</t>
  </si>
  <si>
    <t>CASH FROM CAPITAL EXPENDITURES</t>
  </si>
  <si>
    <t>Standard Deviation of Cash Flows</t>
  </si>
  <si>
    <t xml:space="preserve">Expected NPV - Whole Project </t>
  </si>
  <si>
    <t>TOTAL FREE CASH FLOWS - GOOD</t>
  </si>
  <si>
    <t>TOTAL FREE CASH FLOWS - BAD</t>
  </si>
  <si>
    <t xml:space="preserve">Good vs Bad Market Cash Flow Probabilites </t>
  </si>
  <si>
    <t xml:space="preserve">Investment Recommendation </t>
  </si>
  <si>
    <t xml:space="preserve">Weighted Average Cost of Captial </t>
  </si>
  <si>
    <t>Total Annual Interest and Principal Balances</t>
  </si>
  <si>
    <t xml:space="preserve">Year </t>
  </si>
  <si>
    <t>http://www.exposuresfineart.com/</t>
  </si>
  <si>
    <t xml:space="preserve">Proforma Financial Statements </t>
  </si>
  <si>
    <t xml:space="preserve">Exposures International </t>
  </si>
  <si>
    <t xml:space="preserve">Liabilities &amp; Stockholders Equity </t>
  </si>
  <si>
    <t xml:space="preserve">Revenue &amp; Expense Drivers </t>
  </si>
  <si>
    <t>BAD - PV of FCF</t>
  </si>
  <si>
    <t>G00D - PV of FCF</t>
  </si>
  <si>
    <t>Standard Deviation - Good</t>
  </si>
  <si>
    <t>Standard Deviation - Bad</t>
  </si>
  <si>
    <t>IRR - Good</t>
  </si>
  <si>
    <t>IRR - Bad</t>
  </si>
  <si>
    <t xml:space="preserve">Appendix:  Assumptions </t>
  </si>
  <si>
    <t>Bad without the option</t>
  </si>
  <si>
    <t>Total Free Cash Flows</t>
  </si>
  <si>
    <t>PV of free cash flows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</si>
</sst>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* #,##0.00"/>
    <numFmt numFmtId="166" formatCode="m/d/yy;@"/>
    <numFmt numFmtId="167" formatCode="_(\$* #,##0_);_(\$* \(#,##0\);_(\$* \-??_);_(@_)"/>
    <numFmt numFmtId="168" formatCode="_(* #,##0_);_(* \(#,##0\);_(* \-??_);_(@_)"/>
  </numFmts>
  <fonts count="3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name val="Calibri"/>
      <family val="2"/>
      <scheme val="minor"/>
    </font>
    <font>
      <sz val="10"/>
      <name val="Times New Roman"/>
      <family val="1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indexed="12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rgb="FF0000FF"/>
      <name val="Calibri"/>
      <family val="2"/>
      <charset val="1"/>
    </font>
    <font>
      <b/>
      <sz val="11"/>
      <color indexed="8"/>
      <name val="Calibri"/>
      <family val="2"/>
    </font>
    <font>
      <sz val="11"/>
      <color rgb="FF0000FF"/>
      <name val="Calibri"/>
      <family val="2"/>
      <scheme val="minor"/>
    </font>
    <font>
      <sz val="11"/>
      <color indexed="8"/>
      <name val="Calibri"/>
      <family val="2"/>
    </font>
    <font>
      <b/>
      <sz val="11"/>
      <color rgb="FFFFFF66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1" tint="0.249977111117893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8" fillId="0" borderId="0"/>
    <xf numFmtId="0" fontId="13" fillId="0" borderId="0" applyNumberFormat="0" applyFill="0" applyBorder="0" applyAlignment="0" applyProtection="0"/>
  </cellStyleXfs>
  <cellXfs count="229">
    <xf numFmtId="0" fontId="0" fillId="0" borderId="0" xfId="0"/>
    <xf numFmtId="0" fontId="11" fillId="0" borderId="0" xfId="0" applyFont="1" applyFill="1"/>
    <xf numFmtId="9" fontId="15" fillId="0" borderId="0" xfId="2" applyFont="1" applyFill="1"/>
    <xf numFmtId="0" fontId="11" fillId="0" borderId="13" xfId="0" applyFont="1" applyFill="1" applyBorder="1"/>
    <xf numFmtId="0" fontId="15" fillId="0" borderId="0" xfId="0" applyFont="1" applyFill="1"/>
    <xf numFmtId="9" fontId="15" fillId="0" borderId="0" xfId="2" applyFont="1" applyFill="1" applyAlignment="1">
      <alignment horizontal="right"/>
    </xf>
    <xf numFmtId="164" fontId="11" fillId="0" borderId="0" xfId="1" applyNumberFormat="1" applyFont="1" applyFill="1"/>
    <xf numFmtId="0" fontId="11" fillId="0" borderId="14" xfId="0" applyFont="1" applyFill="1" applyBorder="1"/>
    <xf numFmtId="43" fontId="11" fillId="0" borderId="0" xfId="1" applyFont="1" applyFill="1"/>
    <xf numFmtId="0" fontId="10" fillId="0" borderId="0" xfId="0" applyFont="1" applyFill="1"/>
    <xf numFmtId="164" fontId="11" fillId="0" borderId="0" xfId="0" applyNumberFormat="1" applyFont="1" applyFill="1"/>
    <xf numFmtId="0" fontId="11" fillId="0" borderId="15" xfId="0" applyFont="1" applyFill="1" applyBorder="1"/>
    <xf numFmtId="0" fontId="11" fillId="0" borderId="0" xfId="0" applyFont="1" applyFill="1" applyBorder="1"/>
    <xf numFmtId="0" fontId="10" fillId="0" borderId="14" xfId="0" applyFont="1" applyFill="1" applyBorder="1"/>
    <xf numFmtId="164" fontId="11" fillId="0" borderId="1" xfId="0" applyNumberFormat="1" applyFont="1" applyFill="1" applyBorder="1"/>
    <xf numFmtId="164" fontId="11" fillId="0" borderId="1" xfId="1" applyNumberFormat="1" applyFont="1" applyFill="1" applyBorder="1"/>
    <xf numFmtId="2" fontId="11" fillId="0" borderId="14" xfId="9" applyNumberFormat="1" applyFont="1" applyFill="1" applyBorder="1" applyAlignment="1">
      <alignment horizontal="left"/>
    </xf>
    <xf numFmtId="43" fontId="11" fillId="0" borderId="0" xfId="0" applyNumberFormat="1" applyFont="1" applyFill="1"/>
    <xf numFmtId="0" fontId="11" fillId="0" borderId="14" xfId="0" applyFont="1" applyFill="1" applyBorder="1" applyAlignment="1">
      <alignment horizontal="left"/>
    </xf>
    <xf numFmtId="164" fontId="11" fillId="0" borderId="0" xfId="1" applyNumberFormat="1" applyFont="1" applyFill="1" applyBorder="1"/>
    <xf numFmtId="0" fontId="11" fillId="4" borderId="0" xfId="0" applyFont="1" applyFill="1"/>
    <xf numFmtId="9" fontId="15" fillId="4" borderId="0" xfId="2" applyFont="1" applyFill="1"/>
    <xf numFmtId="0" fontId="19" fillId="3" borderId="0" xfId="10" applyFont="1" applyFill="1"/>
    <xf numFmtId="0" fontId="21" fillId="2" borderId="9" xfId="10" applyFont="1" applyFill="1" applyBorder="1" applyAlignment="1">
      <alignment horizontal="centerContinuous"/>
    </xf>
    <xf numFmtId="0" fontId="22" fillId="2" borderId="10" xfId="10" applyFont="1" applyFill="1" applyBorder="1" applyAlignment="1">
      <alignment horizontal="centerContinuous"/>
    </xf>
    <xf numFmtId="0" fontId="17" fillId="2" borderId="11" xfId="10" applyFont="1" applyFill="1" applyBorder="1" applyAlignment="1">
      <alignment horizontal="centerContinuous"/>
    </xf>
    <xf numFmtId="0" fontId="19" fillId="5" borderId="0" xfId="10" applyFont="1" applyFill="1"/>
    <xf numFmtId="0" fontId="23" fillId="2" borderId="9" xfId="10" applyFont="1" applyFill="1" applyBorder="1" applyAlignment="1">
      <alignment horizontal="centerContinuous"/>
    </xf>
    <xf numFmtId="0" fontId="23" fillId="2" borderId="10" xfId="10" applyFont="1" applyFill="1" applyBorder="1" applyAlignment="1">
      <alignment horizontal="centerContinuous"/>
    </xf>
    <xf numFmtId="0" fontId="19" fillId="3" borderId="2" xfId="10" applyFont="1" applyFill="1" applyBorder="1"/>
    <xf numFmtId="0" fontId="19" fillId="3" borderId="1" xfId="10" applyFont="1" applyFill="1" applyBorder="1" applyAlignment="1">
      <alignment horizontal="left"/>
    </xf>
    <xf numFmtId="14" fontId="24" fillId="3" borderId="3" xfId="10" applyNumberFormat="1" applyFont="1" applyFill="1" applyBorder="1"/>
    <xf numFmtId="0" fontId="19" fillId="6" borderId="2" xfId="10" applyFont="1" applyFill="1" applyBorder="1"/>
    <xf numFmtId="0" fontId="19" fillId="6" borderId="1" xfId="10" applyFont="1" applyFill="1" applyBorder="1"/>
    <xf numFmtId="14" fontId="18" fillId="6" borderId="3" xfId="11" applyNumberFormat="1" applyFont="1" applyFill="1" applyBorder="1" applyAlignment="1">
      <alignment horizontal="center"/>
    </xf>
    <xf numFmtId="0" fontId="25" fillId="6" borderId="9" xfId="10" applyFont="1" applyFill="1" applyBorder="1" applyAlignment="1">
      <alignment horizontal="centerContinuous"/>
    </xf>
    <xf numFmtId="0" fontId="25" fillId="6" borderId="10" xfId="10" applyFont="1" applyFill="1" applyBorder="1" applyAlignment="1">
      <alignment horizontal="centerContinuous"/>
    </xf>
    <xf numFmtId="0" fontId="25" fillId="6" borderId="11" xfId="10" applyFont="1" applyFill="1" applyBorder="1" applyAlignment="1">
      <alignment horizontal="center"/>
    </xf>
    <xf numFmtId="0" fontId="19" fillId="3" borderId="4" xfId="10" applyFont="1" applyFill="1" applyBorder="1"/>
    <xf numFmtId="0" fontId="19" fillId="3" borderId="0" xfId="10" applyFont="1" applyFill="1" applyBorder="1" applyAlignment="1">
      <alignment horizontal="left"/>
    </xf>
    <xf numFmtId="44" fontId="24" fillId="3" borderId="5" xfId="12" applyFont="1" applyFill="1" applyBorder="1"/>
    <xf numFmtId="0" fontId="19" fillId="6" borderId="6" xfId="10" applyFont="1" applyFill="1" applyBorder="1"/>
    <xf numFmtId="0" fontId="19" fillId="6" borderId="7" xfId="10" quotePrefix="1" applyFont="1" applyFill="1" applyBorder="1"/>
    <xf numFmtId="1" fontId="19" fillId="6" borderId="8" xfId="11" applyNumberFormat="1" applyFont="1" applyFill="1" applyBorder="1" applyAlignment="1">
      <alignment horizontal="center"/>
    </xf>
    <xf numFmtId="10" fontId="19" fillId="6" borderId="4" xfId="10" applyNumberFormat="1" applyFont="1" applyFill="1" applyBorder="1" applyAlignment="1">
      <alignment horizontal="right"/>
    </xf>
    <xf numFmtId="0" fontId="19" fillId="6" borderId="0" xfId="10" quotePrefix="1" applyFont="1" applyFill="1" applyBorder="1" applyAlignment="1">
      <alignment horizontal="center"/>
    </xf>
    <xf numFmtId="10" fontId="19" fillId="6" borderId="1" xfId="13" applyNumberFormat="1" applyFont="1" applyFill="1" applyBorder="1" applyAlignment="1">
      <alignment horizontal="left"/>
    </xf>
    <xf numFmtId="10" fontId="19" fillId="6" borderId="5" xfId="10" applyNumberFormat="1" applyFont="1" applyFill="1" applyBorder="1" applyAlignment="1">
      <alignment horizontal="center"/>
    </xf>
    <xf numFmtId="10" fontId="24" fillId="3" borderId="5" xfId="13" applyNumberFormat="1" applyFont="1" applyFill="1" applyBorder="1"/>
    <xf numFmtId="10" fontId="19" fillId="6" borderId="0" xfId="13" applyNumberFormat="1" applyFont="1" applyFill="1" applyBorder="1" applyAlignment="1">
      <alignment horizontal="left"/>
    </xf>
    <xf numFmtId="0" fontId="24" fillId="3" borderId="5" xfId="10" applyFont="1" applyFill="1" applyBorder="1"/>
    <xf numFmtId="10" fontId="19" fillId="5" borderId="0" xfId="13" applyNumberFormat="1" applyFont="1" applyFill="1"/>
    <xf numFmtId="0" fontId="24" fillId="3" borderId="0" xfId="10" applyFont="1" applyFill="1" applyBorder="1"/>
    <xf numFmtId="0" fontId="19" fillId="5" borderId="0" xfId="10" applyFont="1" applyFill="1" applyBorder="1"/>
    <xf numFmtId="0" fontId="19" fillId="6" borderId="2" xfId="10" applyFont="1" applyFill="1" applyBorder="1" applyAlignment="1">
      <alignment horizontal="centerContinuous"/>
    </xf>
    <xf numFmtId="0" fontId="19" fillId="6" borderId="1" xfId="10" applyFont="1" applyFill="1" applyBorder="1" applyAlignment="1">
      <alignment horizontal="centerContinuous"/>
    </xf>
    <xf numFmtId="0" fontId="19" fillId="6" borderId="3" xfId="10" applyFont="1" applyFill="1" applyBorder="1" applyAlignment="1">
      <alignment horizontal="centerContinuous"/>
    </xf>
    <xf numFmtId="0" fontId="19" fillId="3" borderId="1" xfId="10" applyFont="1" applyFill="1" applyBorder="1"/>
    <xf numFmtId="8" fontId="26" fillId="3" borderId="3" xfId="11" applyNumberFormat="1" applyFont="1" applyFill="1" applyBorder="1"/>
    <xf numFmtId="0" fontId="19" fillId="6" borderId="6" xfId="10" applyFont="1" applyFill="1" applyBorder="1" applyAlignment="1">
      <alignment horizontal="centerContinuous"/>
    </xf>
    <xf numFmtId="0" fontId="19" fillId="6" borderId="7" xfId="10" applyFont="1" applyFill="1" applyBorder="1" applyAlignment="1">
      <alignment horizontal="centerContinuous"/>
    </xf>
    <xf numFmtId="0" fontId="19" fillId="6" borderId="8" xfId="10" applyFont="1" applyFill="1" applyBorder="1" applyAlignment="1">
      <alignment horizontal="centerContinuous"/>
    </xf>
    <xf numFmtId="0" fontId="19" fillId="3" borderId="0" xfId="10" applyFont="1" applyFill="1" applyBorder="1"/>
    <xf numFmtId="43" fontId="18" fillId="3" borderId="5" xfId="11" applyFont="1" applyFill="1" applyBorder="1"/>
    <xf numFmtId="0" fontId="23" fillId="2" borderId="13" xfId="10" applyFont="1" applyFill="1" applyBorder="1" applyAlignment="1">
      <alignment horizontal="right"/>
    </xf>
    <xf numFmtId="0" fontId="23" fillId="2" borderId="1" xfId="10" applyFont="1" applyFill="1" applyBorder="1" applyAlignment="1">
      <alignment horizontal="right"/>
    </xf>
    <xf numFmtId="10" fontId="19" fillId="3" borderId="5" xfId="13" applyNumberFormat="1" applyFont="1" applyFill="1" applyBorder="1"/>
    <xf numFmtId="0" fontId="19" fillId="6" borderId="13" xfId="10" applyFont="1" applyFill="1" applyBorder="1"/>
    <xf numFmtId="43" fontId="19" fillId="6" borderId="3" xfId="11" applyFont="1" applyFill="1" applyBorder="1" applyAlignment="1">
      <alignment horizontal="right"/>
    </xf>
    <xf numFmtId="43" fontId="19" fillId="6" borderId="13" xfId="11" applyFont="1" applyFill="1" applyBorder="1" applyAlignment="1">
      <alignment horizontal="right"/>
    </xf>
    <xf numFmtId="165" fontId="19" fillId="3" borderId="5" xfId="12" applyNumberFormat="1" applyFont="1" applyFill="1" applyBorder="1"/>
    <xf numFmtId="0" fontId="19" fillId="6" borderId="14" xfId="10" applyFont="1" applyFill="1" applyBorder="1"/>
    <xf numFmtId="8" fontId="19" fillId="5" borderId="0" xfId="10" applyNumberFormat="1" applyFont="1" applyFill="1"/>
    <xf numFmtId="0" fontId="25" fillId="3" borderId="0" xfId="10" applyFont="1" applyFill="1" applyBorder="1" applyAlignment="1">
      <alignment horizontal="center" vertical="center"/>
    </xf>
    <xf numFmtId="165" fontId="24" fillId="3" borderId="5" xfId="12" applyNumberFormat="1" applyFont="1" applyFill="1" applyBorder="1"/>
    <xf numFmtId="0" fontId="19" fillId="5" borderId="0" xfId="10" applyFont="1" applyFill="1" applyAlignment="1">
      <alignment horizontal="right"/>
    </xf>
    <xf numFmtId="0" fontId="19" fillId="3" borderId="6" xfId="10" applyFont="1" applyFill="1" applyBorder="1"/>
    <xf numFmtId="0" fontId="19" fillId="3" borderId="7" xfId="10" applyFont="1" applyFill="1" applyBorder="1" applyAlignment="1">
      <alignment horizontal="left"/>
    </xf>
    <xf numFmtId="14" fontId="24" fillId="3" borderId="8" xfId="10" applyNumberFormat="1" applyFont="1" applyFill="1" applyBorder="1"/>
    <xf numFmtId="0" fontId="19" fillId="6" borderId="15" xfId="10" applyFont="1" applyFill="1" applyBorder="1"/>
    <xf numFmtId="0" fontId="19" fillId="5" borderId="0" xfId="10" applyFont="1" applyFill="1" applyBorder="1" applyAlignment="1">
      <alignment horizontal="centerContinuous"/>
    </xf>
    <xf numFmtId="8" fontId="24" fillId="3" borderId="8" xfId="10" applyNumberFormat="1" applyFont="1" applyFill="1" applyBorder="1"/>
    <xf numFmtId="0" fontId="25" fillId="6" borderId="6" xfId="10" applyFont="1" applyFill="1" applyBorder="1"/>
    <xf numFmtId="43" fontId="19" fillId="6" borderId="12" xfId="10" applyNumberFormat="1" applyFont="1" applyFill="1" applyBorder="1" applyAlignment="1">
      <alignment horizontal="right"/>
    </xf>
    <xf numFmtId="0" fontId="26" fillId="6" borderId="9" xfId="10" applyFont="1" applyFill="1" applyBorder="1" applyAlignment="1">
      <alignment horizontal="centerContinuous"/>
    </xf>
    <xf numFmtId="0" fontId="26" fillId="6" borderId="10" xfId="10" applyFont="1" applyFill="1" applyBorder="1" applyAlignment="1">
      <alignment horizontal="centerContinuous"/>
    </xf>
    <xf numFmtId="0" fontId="26" fillId="6" borderId="11" xfId="10" applyFont="1" applyFill="1" applyBorder="1" applyAlignment="1">
      <alignment horizontal="centerContinuous"/>
    </xf>
    <xf numFmtId="44" fontId="27" fillId="6" borderId="12" xfId="12" applyFont="1" applyFill="1" applyBorder="1"/>
    <xf numFmtId="0" fontId="23" fillId="2" borderId="13" xfId="10" applyFont="1" applyFill="1" applyBorder="1"/>
    <xf numFmtId="0" fontId="23" fillId="2" borderId="13" xfId="10" applyFont="1" applyFill="1" applyBorder="1" applyAlignment="1">
      <alignment horizontal="center"/>
    </xf>
    <xf numFmtId="0" fontId="23" fillId="2" borderId="2" xfId="10" applyFont="1" applyFill="1" applyBorder="1" applyAlignment="1">
      <alignment horizontal="center"/>
    </xf>
    <xf numFmtId="0" fontId="23" fillId="2" borderId="3" xfId="10" applyFont="1" applyFill="1" applyBorder="1" applyAlignment="1">
      <alignment horizontal="center"/>
    </xf>
    <xf numFmtId="164" fontId="23" fillId="2" borderId="13" xfId="10" applyNumberFormat="1" applyFont="1" applyFill="1" applyBorder="1" applyAlignment="1">
      <alignment horizontal="center"/>
    </xf>
    <xf numFmtId="164" fontId="23" fillId="2" borderId="13" xfId="10" applyNumberFormat="1" applyFont="1" applyFill="1" applyBorder="1" applyAlignment="1">
      <alignment horizontal="right"/>
    </xf>
    <xf numFmtId="0" fontId="23" fillId="2" borderId="15" xfId="10" applyFont="1" applyFill="1" applyBorder="1" applyAlignment="1">
      <alignment horizontal="center"/>
    </xf>
    <xf numFmtId="0" fontId="23" fillId="2" borderId="6" xfId="10" applyFont="1" applyFill="1" applyBorder="1" applyAlignment="1">
      <alignment horizontal="center"/>
    </xf>
    <xf numFmtId="0" fontId="23" fillId="2" borderId="8" xfId="10" applyFont="1" applyFill="1" applyBorder="1" applyAlignment="1">
      <alignment horizontal="center"/>
    </xf>
    <xf numFmtId="37" fontId="19" fillId="5" borderId="2" xfId="11" applyNumberFormat="1" applyFont="1" applyFill="1" applyBorder="1" applyAlignment="1">
      <alignment horizontal="center"/>
    </xf>
    <xf numFmtId="0" fontId="19" fillId="5" borderId="1" xfId="10" applyFont="1" applyFill="1" applyBorder="1"/>
    <xf numFmtId="43" fontId="19" fillId="5" borderId="1" xfId="11" applyNumberFormat="1" applyFont="1" applyFill="1" applyBorder="1"/>
    <xf numFmtId="43" fontId="19" fillId="5" borderId="1" xfId="11" applyNumberFormat="1" applyFont="1" applyFill="1" applyBorder="1" applyAlignment="1">
      <alignment horizontal="right"/>
    </xf>
    <xf numFmtId="43" fontId="19" fillId="5" borderId="3" xfId="11" applyNumberFormat="1" applyFont="1" applyFill="1" applyBorder="1"/>
    <xf numFmtId="37" fontId="19" fillId="5" borderId="4" xfId="11" applyNumberFormat="1" applyFont="1" applyFill="1" applyBorder="1" applyAlignment="1">
      <alignment horizontal="center"/>
    </xf>
    <xf numFmtId="166" fontId="27" fillId="5" borderId="0" xfId="11" applyNumberFormat="1" applyFont="1" applyFill="1" applyBorder="1" applyAlignment="1">
      <alignment horizontal="center"/>
    </xf>
    <xf numFmtId="43" fontId="19" fillId="5" borderId="0" xfId="11" applyNumberFormat="1" applyFont="1" applyFill="1" applyBorder="1"/>
    <xf numFmtId="43" fontId="24" fillId="5" borderId="0" xfId="11" applyNumberFormat="1" applyFont="1" applyFill="1" applyBorder="1" applyAlignment="1">
      <alignment horizontal="center"/>
    </xf>
    <xf numFmtId="43" fontId="16" fillId="5" borderId="0" xfId="11" applyNumberFormat="1" applyFont="1" applyFill="1" applyBorder="1" applyAlignment="1">
      <alignment horizontal="center"/>
    </xf>
    <xf numFmtId="10" fontId="16" fillId="5" borderId="0" xfId="13" applyNumberFormat="1" applyFont="1" applyFill="1" applyBorder="1" applyAlignment="1">
      <alignment horizontal="right"/>
    </xf>
    <xf numFmtId="43" fontId="16" fillId="5" borderId="0" xfId="11" applyFont="1" applyFill="1" applyBorder="1" applyAlignment="1">
      <alignment horizontal="right"/>
    </xf>
    <xf numFmtId="43" fontId="19" fillId="5" borderId="5" xfId="11" applyNumberFormat="1" applyFont="1" applyFill="1" applyBorder="1"/>
    <xf numFmtId="43" fontId="19" fillId="5" borderId="0" xfId="10" applyNumberFormat="1" applyFont="1" applyFill="1" applyBorder="1"/>
    <xf numFmtId="166" fontId="19" fillId="5" borderId="0" xfId="11" applyNumberFormat="1" applyFont="1" applyFill="1" applyBorder="1" applyAlignment="1">
      <alignment horizontal="center"/>
    </xf>
    <xf numFmtId="166" fontId="19" fillId="5" borderId="0" xfId="10" applyNumberFormat="1" applyFont="1" applyFill="1"/>
    <xf numFmtId="44" fontId="19" fillId="5" borderId="0" xfId="10" applyNumberFormat="1" applyFont="1" applyFill="1"/>
    <xf numFmtId="37" fontId="19" fillId="5" borderId="6" xfId="11" applyNumberFormat="1" applyFont="1" applyFill="1" applyBorder="1" applyAlignment="1">
      <alignment horizontal="center"/>
    </xf>
    <xf numFmtId="166" fontId="19" fillId="5" borderId="7" xfId="11" applyNumberFormat="1" applyFont="1" applyFill="1" applyBorder="1" applyAlignment="1">
      <alignment horizontal="center"/>
    </xf>
    <xf numFmtId="43" fontId="19" fillId="5" borderId="7" xfId="11" applyNumberFormat="1" applyFont="1" applyFill="1" applyBorder="1"/>
    <xf numFmtId="43" fontId="24" fillId="5" borderId="7" xfId="11" applyNumberFormat="1" applyFont="1" applyFill="1" applyBorder="1" applyAlignment="1">
      <alignment horizontal="center"/>
    </xf>
    <xf numFmtId="43" fontId="16" fillId="5" borderId="7" xfId="11" applyNumberFormat="1" applyFont="1" applyFill="1" applyBorder="1" applyAlignment="1">
      <alignment horizontal="center"/>
    </xf>
    <xf numFmtId="10" fontId="16" fillId="5" borderId="7" xfId="13" applyNumberFormat="1" applyFont="1" applyFill="1" applyBorder="1" applyAlignment="1">
      <alignment horizontal="right"/>
    </xf>
    <xf numFmtId="43" fontId="16" fillId="5" borderId="7" xfId="11" applyFont="1" applyFill="1" applyBorder="1" applyAlignment="1">
      <alignment horizontal="right"/>
    </xf>
    <xf numFmtId="43" fontId="19" fillId="5" borderId="8" xfId="11" applyNumberFormat="1" applyFont="1" applyFill="1" applyBorder="1"/>
    <xf numFmtId="0" fontId="9" fillId="0" borderId="0" xfId="0" applyFont="1" applyFill="1"/>
    <xf numFmtId="0" fontId="9" fillId="4" borderId="0" xfId="0" applyFont="1" applyFill="1"/>
    <xf numFmtId="1" fontId="11" fillId="0" borderId="0" xfId="0" applyNumberFormat="1" applyFont="1" applyFill="1"/>
    <xf numFmtId="9" fontId="11" fillId="0" borderId="0" xfId="2" applyFont="1" applyFill="1"/>
    <xf numFmtId="0" fontId="9" fillId="0" borderId="14" xfId="0" applyFont="1" applyFill="1" applyBorder="1"/>
    <xf numFmtId="2" fontId="9" fillId="0" borderId="14" xfId="0" applyNumberFormat="1" applyFont="1" applyFill="1" applyBorder="1" applyAlignment="1">
      <alignment horizontal="left"/>
    </xf>
    <xf numFmtId="2" fontId="8" fillId="0" borderId="14" xfId="0" applyNumberFormat="1" applyFont="1" applyFill="1" applyBorder="1" applyAlignment="1">
      <alignment horizontal="left"/>
    </xf>
    <xf numFmtId="0" fontId="8" fillId="0" borderId="0" xfId="0" applyFont="1" applyFill="1"/>
    <xf numFmtId="0" fontId="7" fillId="0" borderId="0" xfId="0" applyFont="1" applyFill="1"/>
    <xf numFmtId="0" fontId="7" fillId="0" borderId="14" xfId="0" applyFont="1" applyFill="1" applyBorder="1"/>
    <xf numFmtId="0" fontId="11" fillId="0" borderId="7" xfId="0" applyFont="1" applyFill="1" applyBorder="1"/>
    <xf numFmtId="9" fontId="15" fillId="0" borderId="7" xfId="2" applyFont="1" applyFill="1" applyBorder="1"/>
    <xf numFmtId="0" fontId="15" fillId="0" borderId="7" xfId="0" applyFont="1" applyFill="1" applyBorder="1"/>
    <xf numFmtId="164" fontId="15" fillId="0" borderId="0" xfId="0" applyNumberFormat="1" applyFont="1" applyFill="1"/>
    <xf numFmtId="10" fontId="11" fillId="0" borderId="0" xfId="0" applyNumberFormat="1" applyFont="1" applyFill="1"/>
    <xf numFmtId="0" fontId="6" fillId="0" borderId="0" xfId="0" applyFont="1" applyFill="1"/>
    <xf numFmtId="0" fontId="28" fillId="0" borderId="0" xfId="14"/>
    <xf numFmtId="167" fontId="28" fillId="0" borderId="0" xfId="14" applyNumberFormat="1"/>
    <xf numFmtId="9" fontId="28" fillId="0" borderId="0" xfId="14" applyNumberFormat="1"/>
    <xf numFmtId="9" fontId="11" fillId="7" borderId="0" xfId="0" applyNumberFormat="1" applyFont="1" applyFill="1"/>
    <xf numFmtId="6" fontId="11" fillId="0" borderId="0" xfId="0" applyNumberFormat="1" applyFont="1" applyFill="1"/>
    <xf numFmtId="164" fontId="28" fillId="0" borderId="0" xfId="14" applyNumberFormat="1"/>
    <xf numFmtId="0" fontId="5" fillId="0" borderId="0" xfId="0" applyFont="1" applyFill="1"/>
    <xf numFmtId="9" fontId="11" fillId="0" borderId="0" xfId="0" applyNumberFormat="1" applyFont="1" applyFill="1"/>
    <xf numFmtId="0" fontId="4" fillId="0" borderId="0" xfId="0" applyFont="1" applyFill="1"/>
    <xf numFmtId="164" fontId="4" fillId="0" borderId="0" xfId="1" applyNumberFormat="1" applyFont="1" applyFill="1"/>
    <xf numFmtId="6" fontId="4" fillId="0" borderId="0" xfId="0" applyNumberFormat="1" applyFont="1" applyFill="1"/>
    <xf numFmtId="9" fontId="11" fillId="7" borderId="0" xfId="2" applyNumberFormat="1" applyFont="1" applyFill="1"/>
    <xf numFmtId="0" fontId="11" fillId="3" borderId="0" xfId="0" applyFont="1" applyFill="1"/>
    <xf numFmtId="164" fontId="11" fillId="3" borderId="0" xfId="1" applyNumberFormat="1" applyFont="1" applyFill="1"/>
    <xf numFmtId="0" fontId="28" fillId="4" borderId="0" xfId="14" applyFill="1"/>
    <xf numFmtId="168" fontId="29" fillId="4" borderId="0" xfId="1" applyNumberFormat="1" applyFont="1" applyFill="1"/>
    <xf numFmtId="9" fontId="29" fillId="4" borderId="0" xfId="14" applyNumberFormat="1" applyFont="1" applyFill="1"/>
    <xf numFmtId="168" fontId="12" fillId="7" borderId="0" xfId="1" applyNumberFormat="1" applyFill="1"/>
    <xf numFmtId="0" fontId="3" fillId="0" borderId="0" xfId="0" applyFont="1" applyFill="1"/>
    <xf numFmtId="9" fontId="29" fillId="4" borderId="0" xfId="2" applyNumberFormat="1" applyFont="1" applyFill="1"/>
    <xf numFmtId="0" fontId="3" fillId="3" borderId="0" xfId="0" applyFont="1" applyFill="1"/>
    <xf numFmtId="164" fontId="11" fillId="3" borderId="0" xfId="1" applyNumberFormat="1" applyFont="1" applyFill="1" applyAlignment="1">
      <alignment horizontal="right"/>
    </xf>
    <xf numFmtId="9" fontId="11" fillId="3" borderId="0" xfId="0" applyNumberFormat="1" applyFont="1" applyFill="1" applyAlignment="1">
      <alignment horizontal="right"/>
    </xf>
    <xf numFmtId="6" fontId="11" fillId="3" borderId="0" xfId="0" applyNumberFormat="1" applyFont="1" applyFill="1" applyAlignment="1">
      <alignment horizontal="right"/>
    </xf>
    <xf numFmtId="164" fontId="11" fillId="0" borderId="0" xfId="1" applyNumberFormat="1" applyFont="1" applyFill="1" applyAlignment="1">
      <alignment horizontal="right"/>
    </xf>
    <xf numFmtId="6" fontId="11" fillId="0" borderId="0" xfId="0" applyNumberFormat="1" applyFont="1" applyFill="1" applyAlignment="1">
      <alignment horizontal="right"/>
    </xf>
    <xf numFmtId="9" fontId="11" fillId="7" borderId="12" xfId="2" applyFont="1" applyFill="1" applyBorder="1"/>
    <xf numFmtId="164" fontId="11" fillId="0" borderId="10" xfId="1" applyNumberFormat="1" applyFont="1" applyFill="1" applyBorder="1"/>
    <xf numFmtId="0" fontId="30" fillId="0" borderId="0" xfId="14" applyFont="1"/>
    <xf numFmtId="0" fontId="2" fillId="0" borderId="0" xfId="0" applyFont="1" applyFill="1"/>
    <xf numFmtId="0" fontId="15" fillId="3" borderId="0" xfId="0" applyFont="1" applyFill="1" applyBorder="1"/>
    <xf numFmtId="0" fontId="11" fillId="3" borderId="0" xfId="0" applyFont="1" applyFill="1" applyBorder="1"/>
    <xf numFmtId="9" fontId="15" fillId="3" borderId="7" xfId="2" applyFont="1" applyFill="1" applyBorder="1"/>
    <xf numFmtId="0" fontId="11" fillId="3" borderId="7" xfId="0" applyFont="1" applyFill="1" applyBorder="1"/>
    <xf numFmtId="9" fontId="15" fillId="3" borderId="0" xfId="2" applyFont="1" applyFill="1" applyBorder="1"/>
    <xf numFmtId="0" fontId="11" fillId="3" borderId="10" xfId="0" applyFont="1" applyFill="1" applyBorder="1"/>
    <xf numFmtId="0" fontId="15" fillId="3" borderId="0" xfId="0" applyFont="1" applyFill="1"/>
    <xf numFmtId="0" fontId="11" fillId="3" borderId="10" xfId="0" applyFont="1" applyFill="1" applyBorder="1" applyAlignment="1">
      <alignment horizontal="center" vertical="center"/>
    </xf>
    <xf numFmtId="9" fontId="15" fillId="3" borderId="0" xfId="2" applyFont="1" applyFill="1"/>
    <xf numFmtId="0" fontId="11" fillId="3" borderId="10" xfId="0" applyFont="1" applyFill="1" applyBorder="1" applyAlignment="1">
      <alignment horizontal="center"/>
    </xf>
    <xf numFmtId="9" fontId="31" fillId="3" borderId="0" xfId="2" applyFont="1" applyFill="1" applyAlignment="1">
      <alignment horizontal="center"/>
    </xf>
    <xf numFmtId="9" fontId="31" fillId="3" borderId="0" xfId="0" applyNumberFormat="1" applyFont="1" applyFill="1" applyAlignment="1">
      <alignment horizontal="center"/>
    </xf>
    <xf numFmtId="0" fontId="31" fillId="0" borderId="0" xfId="0" applyFont="1" applyFill="1"/>
    <xf numFmtId="1" fontId="31" fillId="0" borderId="0" xfId="0" applyNumberFormat="1" applyFont="1" applyFill="1"/>
    <xf numFmtId="164" fontId="31" fillId="0" borderId="0" xfId="1" applyNumberFormat="1" applyFont="1" applyFill="1"/>
    <xf numFmtId="43" fontId="31" fillId="0" borderId="0" xfId="1" applyFont="1" applyFill="1"/>
    <xf numFmtId="9" fontId="31" fillId="0" borderId="0" xfId="2" applyFont="1" applyFill="1"/>
    <xf numFmtId="164" fontId="31" fillId="0" borderId="0" xfId="0" applyNumberFormat="1" applyFont="1" applyFill="1"/>
    <xf numFmtId="0" fontId="32" fillId="3" borderId="0" xfId="14" applyFont="1" applyFill="1"/>
    <xf numFmtId="0" fontId="2" fillId="3" borderId="0" xfId="0" applyFont="1" applyFill="1"/>
    <xf numFmtId="0" fontId="2" fillId="3" borderId="10" xfId="0" applyFont="1" applyFill="1" applyBorder="1" applyAlignment="1">
      <alignment horizontal="center"/>
    </xf>
    <xf numFmtId="0" fontId="9" fillId="3" borderId="0" xfId="0" applyFont="1" applyFill="1"/>
    <xf numFmtId="0" fontId="15" fillId="0" borderId="10" xfId="0" applyFont="1" applyFill="1" applyBorder="1"/>
    <xf numFmtId="6" fontId="33" fillId="8" borderId="12" xfId="0" applyNumberFormat="1" applyFont="1" applyFill="1" applyBorder="1" applyAlignment="1">
      <alignment horizontal="center" vertical="center"/>
    </xf>
    <xf numFmtId="164" fontId="19" fillId="6" borderId="2" xfId="1" applyNumberFormat="1" applyFont="1" applyFill="1" applyBorder="1" applyAlignment="1">
      <alignment horizontal="centerContinuous"/>
    </xf>
    <xf numFmtId="164" fontId="19" fillId="6" borderId="13" xfId="1" applyNumberFormat="1" applyFont="1" applyFill="1" applyBorder="1" applyAlignment="1">
      <alignment horizontal="centerContinuous"/>
    </xf>
    <xf numFmtId="0" fontId="19" fillId="6" borderId="9" xfId="10" applyFont="1" applyFill="1" applyBorder="1" applyAlignment="1">
      <alignment horizontal="centerContinuous"/>
    </xf>
    <xf numFmtId="164" fontId="19" fillId="6" borderId="9" xfId="1" applyNumberFormat="1" applyFont="1" applyFill="1" applyBorder="1" applyAlignment="1">
      <alignment horizontal="centerContinuous"/>
    </xf>
    <xf numFmtId="164" fontId="19" fillId="6" borderId="12" xfId="1" applyNumberFormat="1" applyFont="1" applyFill="1" applyBorder="1" applyAlignment="1">
      <alignment horizontal="centerContinuous"/>
    </xf>
    <xf numFmtId="0" fontId="19" fillId="6" borderId="2" xfId="10" applyFont="1" applyFill="1" applyBorder="1" applyAlignment="1">
      <alignment horizontal="right"/>
    </xf>
    <xf numFmtId="0" fontId="19" fillId="6" borderId="13" xfId="10" applyFont="1" applyFill="1" applyBorder="1" applyAlignment="1">
      <alignment horizontal="right"/>
    </xf>
    <xf numFmtId="0" fontId="13" fillId="0" borderId="0" xfId="15"/>
    <xf numFmtId="0" fontId="16" fillId="3" borderId="0" xfId="0" applyFont="1" applyFill="1"/>
    <xf numFmtId="0" fontId="16" fillId="3" borderId="0" xfId="0" applyFont="1" applyFill="1" applyBorder="1"/>
    <xf numFmtId="0" fontId="16" fillId="3" borderId="10" xfId="0" applyFont="1" applyFill="1" applyBorder="1"/>
    <xf numFmtId="164" fontId="16" fillId="3" borderId="0" xfId="1" applyNumberFormat="1" applyFont="1" applyFill="1"/>
    <xf numFmtId="164" fontId="16" fillId="3" borderId="1" xfId="1" applyNumberFormat="1" applyFont="1" applyFill="1" applyBorder="1"/>
    <xf numFmtId="164" fontId="16" fillId="3" borderId="10" xfId="1" applyNumberFormat="1" applyFont="1" applyFill="1" applyBorder="1"/>
    <xf numFmtId="164" fontId="16" fillId="3" borderId="0" xfId="1" applyNumberFormat="1" applyFont="1" applyFill="1" applyBorder="1"/>
    <xf numFmtId="0" fontId="34" fillId="3" borderId="0" xfId="0" applyFont="1" applyFill="1"/>
    <xf numFmtId="0" fontId="34" fillId="3" borderId="0" xfId="0" applyFont="1" applyFill="1" applyBorder="1"/>
    <xf numFmtId="10" fontId="16" fillId="3" borderId="0" xfId="0" applyNumberFormat="1" applyFont="1" applyFill="1" applyBorder="1"/>
    <xf numFmtId="10" fontId="17" fillId="9" borderId="12" xfId="0" applyNumberFormat="1" applyFont="1" applyFill="1" applyBorder="1"/>
    <xf numFmtId="0" fontId="16" fillId="3" borderId="4" xfId="0" applyFont="1" applyFill="1" applyBorder="1"/>
    <xf numFmtId="164" fontId="16" fillId="3" borderId="5" xfId="1" applyNumberFormat="1" applyFont="1" applyFill="1" applyBorder="1"/>
    <xf numFmtId="164" fontId="16" fillId="3" borderId="6" xfId="1" applyNumberFormat="1" applyFont="1" applyFill="1" applyBorder="1"/>
    <xf numFmtId="164" fontId="16" fillId="3" borderId="7" xfId="1" applyNumberFormat="1" applyFont="1" applyFill="1" applyBorder="1"/>
    <xf numFmtId="164" fontId="16" fillId="3" borderId="8" xfId="1" applyNumberFormat="1" applyFont="1" applyFill="1" applyBorder="1"/>
    <xf numFmtId="0" fontId="16" fillId="9" borderId="9" xfId="0" applyFont="1" applyFill="1" applyBorder="1"/>
    <xf numFmtId="0" fontId="16" fillId="9" borderId="11" xfId="0" applyFont="1" applyFill="1" applyBorder="1"/>
    <xf numFmtId="10" fontId="17" fillId="9" borderId="0" xfId="0" applyNumberFormat="1" applyFont="1" applyFill="1" applyBorder="1"/>
    <xf numFmtId="9" fontId="16" fillId="3" borderId="0" xfId="2" applyFont="1" applyFill="1"/>
    <xf numFmtId="164" fontId="34" fillId="3" borderId="0" xfId="1" applyNumberFormat="1" applyFont="1" applyFill="1" applyAlignment="1">
      <alignment horizontal="right"/>
    </xf>
    <xf numFmtId="0" fontId="1" fillId="0" borderId="0" xfId="0" applyFont="1" applyFill="1"/>
    <xf numFmtId="9" fontId="11" fillId="0" borderId="0" xfId="2" applyNumberFormat="1" applyFont="1" applyFill="1"/>
    <xf numFmtId="0" fontId="35" fillId="0" borderId="0" xfId="0" applyFont="1" applyFill="1"/>
    <xf numFmtId="0" fontId="4" fillId="3" borderId="0" xfId="0" applyFont="1" applyFill="1" applyAlignment="1">
      <alignment horizontal="center"/>
    </xf>
    <xf numFmtId="0" fontId="23" fillId="9" borderId="10" xfId="0" applyFont="1" applyFill="1" applyBorder="1" applyAlignment="1">
      <alignment horizontal="center"/>
    </xf>
    <xf numFmtId="0" fontId="3" fillId="7" borderId="0" xfId="0" applyFont="1" applyFill="1" applyAlignment="1">
      <alignment horizontal="center"/>
    </xf>
    <xf numFmtId="0" fontId="4" fillId="7" borderId="0" xfId="0" applyFont="1" applyFill="1" applyAlignment="1">
      <alignment horizontal="center"/>
    </xf>
    <xf numFmtId="0" fontId="25" fillId="3" borderId="0" xfId="10" applyFont="1" applyFill="1" applyBorder="1" applyAlignment="1">
      <alignment horizontal="center" vertical="center"/>
    </xf>
  </cellXfs>
  <cellStyles count="16">
    <cellStyle name="Comma" xfId="1" builtinId="3"/>
    <cellStyle name="Comma 2" xfId="6"/>
    <cellStyle name="Comma 3" xfId="11"/>
    <cellStyle name="Currency" xfId="9" builtinId="4"/>
    <cellStyle name="Currency 2" xfId="8"/>
    <cellStyle name="Currency 3" xfId="12"/>
    <cellStyle name="Excel Built-in Normal" xfId="14"/>
    <cellStyle name="Followed Hyperlink" xfId="4" builtinId="9" hidden="1"/>
    <cellStyle name="Hyperlink" xfId="3" builtinId="8" hidden="1"/>
    <cellStyle name="Hyperlink" xfId="15" builtinId="8"/>
    <cellStyle name="Normal" xfId="0" builtinId="0"/>
    <cellStyle name="Normal 2" xfId="5"/>
    <cellStyle name="Normal 3" xfId="10"/>
    <cellStyle name="Percent" xfId="2" builtinId="5"/>
    <cellStyle name="Percent 2" xfId="7"/>
    <cellStyle name="Percent 3" xfId="13"/>
  </cellStyles>
  <dxfs count="2">
    <dxf>
      <fill>
        <patternFill>
          <bgColor theme="2" tint="-9.9948118533890809E-2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Medium4"/>
  <colors>
    <mruColors>
      <color rgb="FFFFFF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0</xdr:row>
      <xdr:rowOff>35718</xdr:rowOff>
    </xdr:from>
    <xdr:to>
      <xdr:col>3</xdr:col>
      <xdr:colOff>1804987</xdr:colOff>
      <xdr:row>2</xdr:row>
      <xdr:rowOff>235743</xdr:rowOff>
    </xdr:to>
    <xdr:pic>
      <xdr:nvPicPr>
        <xdr:cNvPr id="14" name="Picture 13" descr="Exposures International Gallery of Fine Art (DBA Exposures Gallery)"/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7" y="35718"/>
          <a:ext cx="2102644" cy="7000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ropbox/Education/Spring%202013/B411/Private%20Real%20Estate%20Model/Real%20Estate%20Model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rtgage"/>
      <sheetName val="Quick Calc"/>
      <sheetName val="Rate Buy Down"/>
      <sheetName val="Refin Calc"/>
    </sheetNames>
    <sheetDataSet>
      <sheetData sheetId="0"/>
      <sheetData sheetId="1">
        <row r="7">
          <cell r="C7">
            <v>982.92259999999999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xposuresfineart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157"/>
  <sheetViews>
    <sheetView showGridLines="0" tabSelected="1" zoomScale="80" zoomScaleNormal="80" zoomScaleSheetLayoutView="80" workbookViewId="0">
      <pane ySplit="4" topLeftCell="A141" activePane="bottomLeft" state="frozen"/>
      <selection pane="bottomLeft" activeCell="E156" sqref="E156"/>
    </sheetView>
  </sheetViews>
  <sheetFormatPr defaultColWidth="12.375" defaultRowHeight="20.100000000000001" customHeight="1" outlineLevelCol="2" x14ac:dyDescent="0.25"/>
  <cols>
    <col min="1" max="1" width="5.75" style="1" customWidth="1"/>
    <col min="2" max="3" width="2" style="1" customWidth="1"/>
    <col min="4" max="4" width="27.875" style="1" customWidth="1"/>
    <col min="5" max="5" width="12.125" style="1" customWidth="1"/>
    <col min="6" max="15" width="11.375" style="1" customWidth="1"/>
    <col min="16" max="16" width="12" style="2" hidden="1" customWidth="1" outlineLevel="1"/>
    <col min="17" max="17" width="9.375" style="2" hidden="1" customWidth="1" outlineLevel="1"/>
    <col min="18" max="18" width="86.25" style="1" hidden="1" customWidth="1" outlineLevel="2"/>
    <col min="19" max="19" width="12.375" style="1" customWidth="1" collapsed="1"/>
    <col min="20" max="16384" width="12.375" style="1"/>
  </cols>
  <sheetData>
    <row r="1" spans="2:19" ht="20.100000000000001" customHeight="1" x14ac:dyDescent="0.25">
      <c r="B1" s="4" t="s">
        <v>177</v>
      </c>
      <c r="M1" s="199" t="s">
        <v>175</v>
      </c>
    </row>
    <row r="2" spans="2:19" ht="20.100000000000001" customHeight="1" x14ac:dyDescent="0.25">
      <c r="B2" s="4" t="s">
        <v>176</v>
      </c>
      <c r="E2"/>
    </row>
    <row r="3" spans="2:19" ht="20.100000000000001" customHeight="1" x14ac:dyDescent="0.25">
      <c r="B3" s="4"/>
    </row>
    <row r="4" spans="2:19" ht="20.100000000000001" customHeight="1" x14ac:dyDescent="0.25">
      <c r="B4" s="174" t="s">
        <v>179</v>
      </c>
      <c r="F4" s="190">
        <v>2012</v>
      </c>
      <c r="G4" s="190">
        <v>2013</v>
      </c>
      <c r="H4" s="190">
        <v>2014</v>
      </c>
      <c r="I4" s="190">
        <v>2015</v>
      </c>
      <c r="J4" s="190">
        <v>2016</v>
      </c>
      <c r="K4" s="190">
        <v>2017</v>
      </c>
      <c r="L4" s="190">
        <v>2018</v>
      </c>
      <c r="M4" s="190">
        <v>2019</v>
      </c>
      <c r="N4" s="190">
        <v>2020</v>
      </c>
      <c r="O4" s="190">
        <v>2021</v>
      </c>
      <c r="P4" s="4">
        <v>2022</v>
      </c>
      <c r="Q4" s="4">
        <v>2023</v>
      </c>
      <c r="R4" s="4">
        <v>2024</v>
      </c>
    </row>
    <row r="5" spans="2:19" s="150" customFormat="1" ht="20.100000000000001" customHeight="1" x14ac:dyDescent="0.25">
      <c r="P5" s="176"/>
      <c r="Q5" s="176"/>
      <c r="R5" s="189" t="s">
        <v>70</v>
      </c>
    </row>
    <row r="6" spans="2:19" ht="20.100000000000001" customHeight="1" x14ac:dyDescent="0.25">
      <c r="C6" s="122" t="s">
        <v>80</v>
      </c>
      <c r="F6" s="180">
        <v>400</v>
      </c>
      <c r="G6" s="181">
        <f t="shared" ref="G6:O6" si="0">F6*(1+$P$6)</f>
        <v>408</v>
      </c>
      <c r="H6" s="181">
        <f t="shared" si="0"/>
        <v>416.16</v>
      </c>
      <c r="I6" s="181">
        <f t="shared" si="0"/>
        <v>424.48320000000001</v>
      </c>
      <c r="J6" s="181">
        <f t="shared" si="0"/>
        <v>432.97286400000002</v>
      </c>
      <c r="K6" s="181">
        <f t="shared" si="0"/>
        <v>441.63232128000004</v>
      </c>
      <c r="L6" s="181">
        <f t="shared" si="0"/>
        <v>450.46496770560003</v>
      </c>
      <c r="M6" s="181">
        <f t="shared" si="0"/>
        <v>459.47426705971202</v>
      </c>
      <c r="N6" s="181">
        <f t="shared" si="0"/>
        <v>468.66375240090628</v>
      </c>
      <c r="O6" s="181">
        <f t="shared" si="0"/>
        <v>478.03702744892439</v>
      </c>
      <c r="P6" s="2">
        <v>0.02</v>
      </c>
      <c r="R6" s="3"/>
    </row>
    <row r="7" spans="2:19" ht="20.100000000000001" customHeight="1" x14ac:dyDescent="0.25">
      <c r="C7" s="122" t="s">
        <v>81</v>
      </c>
      <c r="F7" s="182">
        <v>9000</v>
      </c>
      <c r="G7" s="182">
        <f>F7*(1+$P$7)</f>
        <v>9180</v>
      </c>
      <c r="H7" s="182">
        <f>G7*(1+$P$7)</f>
        <v>9363.6</v>
      </c>
      <c r="I7" s="182">
        <f>H7*(1+$P$7)</f>
        <v>9550.8720000000012</v>
      </c>
      <c r="J7" s="182">
        <v>9001</v>
      </c>
      <c r="K7" s="182">
        <f>J7*(1+$P$7)</f>
        <v>9181.02</v>
      </c>
      <c r="L7" s="182">
        <f>K7*(1+$P$7)</f>
        <v>9364.6404000000002</v>
      </c>
      <c r="M7" s="182">
        <f>L7*(1+$P$7)</f>
        <v>9551.9332080000004</v>
      </c>
      <c r="N7" s="182">
        <f>M7*(1+$P$7)</f>
        <v>9742.9718721600002</v>
      </c>
      <c r="O7" s="182">
        <f>N7*(1+$P$7)</f>
        <v>9937.8313096031998</v>
      </c>
      <c r="P7" s="2">
        <v>0.02</v>
      </c>
      <c r="R7" s="7"/>
    </row>
    <row r="8" spans="2:19" ht="20.100000000000001" customHeight="1" x14ac:dyDescent="0.25">
      <c r="C8" s="122" t="s">
        <v>77</v>
      </c>
      <c r="F8" s="182">
        <v>2500</v>
      </c>
      <c r="G8" s="182">
        <f t="shared" ref="G8:O8" si="1">F8*(1+$P$8)</f>
        <v>2550</v>
      </c>
      <c r="H8" s="182">
        <f t="shared" si="1"/>
        <v>2601</v>
      </c>
      <c r="I8" s="182">
        <f t="shared" si="1"/>
        <v>2653.02</v>
      </c>
      <c r="J8" s="182">
        <f t="shared" si="1"/>
        <v>2706.0803999999998</v>
      </c>
      <c r="K8" s="182">
        <f t="shared" si="1"/>
        <v>2760.2020079999998</v>
      </c>
      <c r="L8" s="182">
        <f t="shared" si="1"/>
        <v>2815.40604816</v>
      </c>
      <c r="M8" s="182">
        <f t="shared" si="1"/>
        <v>2871.7141691232</v>
      </c>
      <c r="N8" s="182">
        <f t="shared" si="1"/>
        <v>2929.148452505664</v>
      </c>
      <c r="O8" s="182">
        <f t="shared" si="1"/>
        <v>2987.7314215557772</v>
      </c>
      <c r="P8" s="2">
        <v>0.02</v>
      </c>
      <c r="R8" s="7"/>
    </row>
    <row r="9" spans="2:19" ht="20.100000000000001" customHeight="1" x14ac:dyDescent="0.25">
      <c r="F9" s="183"/>
      <c r="G9" s="182"/>
      <c r="H9" s="182"/>
      <c r="I9" s="182"/>
      <c r="J9" s="183"/>
      <c r="K9" s="182"/>
      <c r="L9" s="182"/>
      <c r="M9" s="182"/>
      <c r="N9" s="183"/>
      <c r="O9" s="182"/>
      <c r="R9" s="7"/>
      <c r="S9"/>
    </row>
    <row r="10" spans="2:19" ht="20.100000000000001" customHeight="1" x14ac:dyDescent="0.25">
      <c r="C10" s="122" t="s">
        <v>76</v>
      </c>
      <c r="F10" s="182">
        <v>300</v>
      </c>
      <c r="G10" s="182">
        <f t="shared" ref="G10:O10" si="2">F10*(1+$P$10)</f>
        <v>300</v>
      </c>
      <c r="H10" s="182">
        <f t="shared" si="2"/>
        <v>300</v>
      </c>
      <c r="I10" s="182">
        <f t="shared" si="2"/>
        <v>300</v>
      </c>
      <c r="J10" s="182">
        <f t="shared" si="2"/>
        <v>300</v>
      </c>
      <c r="K10" s="182">
        <f t="shared" si="2"/>
        <v>300</v>
      </c>
      <c r="L10" s="182">
        <f t="shared" si="2"/>
        <v>300</v>
      </c>
      <c r="M10" s="182">
        <f t="shared" si="2"/>
        <v>300</v>
      </c>
      <c r="N10" s="182">
        <f t="shared" si="2"/>
        <v>300</v>
      </c>
      <c r="O10" s="182">
        <f t="shared" si="2"/>
        <v>300</v>
      </c>
      <c r="P10" s="2">
        <v>0</v>
      </c>
      <c r="R10" s="7"/>
    </row>
    <row r="11" spans="2:19" ht="20.100000000000001" customHeight="1" x14ac:dyDescent="0.25">
      <c r="C11" s="122" t="s">
        <v>79</v>
      </c>
      <c r="F11" s="182">
        <v>15</v>
      </c>
      <c r="G11" s="182">
        <f t="shared" ref="G11:O11" si="3">F11*(1+$P$11)</f>
        <v>15.3</v>
      </c>
      <c r="H11" s="182">
        <f t="shared" si="3"/>
        <v>15.606000000000002</v>
      </c>
      <c r="I11" s="182">
        <f t="shared" si="3"/>
        <v>15.918120000000002</v>
      </c>
      <c r="J11" s="182">
        <f t="shared" si="3"/>
        <v>16.236482400000003</v>
      </c>
      <c r="K11" s="182">
        <f t="shared" si="3"/>
        <v>16.561212048000005</v>
      </c>
      <c r="L11" s="182">
        <f t="shared" si="3"/>
        <v>16.892436288960006</v>
      </c>
      <c r="M11" s="182">
        <f t="shared" si="3"/>
        <v>17.230285014739206</v>
      </c>
      <c r="N11" s="182">
        <f t="shared" si="3"/>
        <v>17.574890715033991</v>
      </c>
      <c r="O11" s="182">
        <f t="shared" si="3"/>
        <v>17.92638852933467</v>
      </c>
      <c r="P11" s="2">
        <v>0.02</v>
      </c>
      <c r="R11" s="7"/>
    </row>
    <row r="12" spans="2:19" ht="20.100000000000001" customHeight="1" x14ac:dyDescent="0.25">
      <c r="C12" s="122" t="s">
        <v>78</v>
      </c>
      <c r="F12" s="184">
        <v>0.15</v>
      </c>
      <c r="G12" s="184">
        <v>0.15</v>
      </c>
      <c r="H12" s="184">
        <v>0.15</v>
      </c>
      <c r="I12" s="184">
        <v>0.15</v>
      </c>
      <c r="J12" s="184">
        <v>0.15</v>
      </c>
      <c r="K12" s="184">
        <v>0.15</v>
      </c>
      <c r="L12" s="184">
        <v>0.15</v>
      </c>
      <c r="M12" s="184">
        <v>0.15</v>
      </c>
      <c r="N12" s="184">
        <v>0.15</v>
      </c>
      <c r="O12" s="184">
        <v>0.15</v>
      </c>
      <c r="R12" s="7"/>
    </row>
    <row r="13" spans="2:19" ht="20.100000000000001" customHeight="1" x14ac:dyDescent="0.25">
      <c r="C13" s="122" t="s">
        <v>84</v>
      </c>
      <c r="F13" s="182">
        <v>900</v>
      </c>
      <c r="G13" s="182">
        <f t="shared" ref="G13:O13" si="4">F13*(1+$P$13)</f>
        <v>909</v>
      </c>
      <c r="H13" s="182">
        <f t="shared" si="4"/>
        <v>918.09</v>
      </c>
      <c r="I13" s="182">
        <f t="shared" si="4"/>
        <v>927.2709000000001</v>
      </c>
      <c r="J13" s="182">
        <f t="shared" si="4"/>
        <v>936.54360900000006</v>
      </c>
      <c r="K13" s="182">
        <f t="shared" si="4"/>
        <v>945.90904509000006</v>
      </c>
      <c r="L13" s="182">
        <f t="shared" si="4"/>
        <v>955.36813554090008</v>
      </c>
      <c r="M13" s="182">
        <f t="shared" si="4"/>
        <v>964.92181689630911</v>
      </c>
      <c r="N13" s="182">
        <f t="shared" si="4"/>
        <v>974.57103506527221</v>
      </c>
      <c r="O13" s="182">
        <f t="shared" si="4"/>
        <v>984.31674541592497</v>
      </c>
      <c r="P13" s="2">
        <v>0.01</v>
      </c>
      <c r="R13" s="7"/>
    </row>
    <row r="14" spans="2:19" ht="20.100000000000001" customHeight="1" x14ac:dyDescent="0.25">
      <c r="F14" s="180"/>
      <c r="G14" s="180"/>
      <c r="H14" s="180"/>
      <c r="I14" s="180"/>
      <c r="J14" s="180"/>
      <c r="K14" s="180"/>
      <c r="L14" s="180"/>
      <c r="M14" s="180"/>
      <c r="N14" s="180"/>
      <c r="O14" s="180"/>
      <c r="R14" s="7"/>
    </row>
    <row r="15" spans="2:19" ht="20.100000000000001" customHeight="1" x14ac:dyDescent="0.25">
      <c r="C15" s="122" t="s">
        <v>67</v>
      </c>
      <c r="F15" s="180"/>
      <c r="G15" s="180"/>
      <c r="H15" s="180"/>
      <c r="I15" s="180"/>
      <c r="J15" s="180"/>
      <c r="K15" s="180"/>
      <c r="L15" s="180"/>
      <c r="M15" s="180"/>
      <c r="N15" s="180"/>
      <c r="O15" s="180"/>
      <c r="R15" s="7"/>
    </row>
    <row r="16" spans="2:19" ht="20.100000000000001" customHeight="1" x14ac:dyDescent="0.25">
      <c r="C16" s="122" t="s">
        <v>68</v>
      </c>
      <c r="F16" s="185">
        <v>15</v>
      </c>
      <c r="G16" s="185">
        <f t="shared" ref="G16:O16" si="5">F16*(1+$P$16)</f>
        <v>15.3</v>
      </c>
      <c r="H16" s="185">
        <f t="shared" si="5"/>
        <v>15.606000000000002</v>
      </c>
      <c r="I16" s="185">
        <f t="shared" si="5"/>
        <v>15.918120000000002</v>
      </c>
      <c r="J16" s="185">
        <f t="shared" si="5"/>
        <v>16.236482400000003</v>
      </c>
      <c r="K16" s="185">
        <f t="shared" si="5"/>
        <v>16.561212048000005</v>
      </c>
      <c r="L16" s="185">
        <f t="shared" si="5"/>
        <v>16.892436288960006</v>
      </c>
      <c r="M16" s="185">
        <f t="shared" si="5"/>
        <v>17.230285014739206</v>
      </c>
      <c r="N16" s="185">
        <f t="shared" si="5"/>
        <v>17.574890715033991</v>
      </c>
      <c r="O16" s="185">
        <f t="shared" si="5"/>
        <v>17.92638852933467</v>
      </c>
      <c r="P16" s="2">
        <v>0.02</v>
      </c>
      <c r="R16" s="11"/>
    </row>
    <row r="17" spans="2:18" ht="20.100000000000001" customHeight="1" x14ac:dyDescent="0.25">
      <c r="C17" s="122" t="s">
        <v>69</v>
      </c>
      <c r="F17" s="185">
        <v>20</v>
      </c>
      <c r="G17" s="185">
        <f t="shared" ref="G17:O17" si="6">F17*(1-$P$16)</f>
        <v>19.600000000000001</v>
      </c>
      <c r="H17" s="185">
        <f t="shared" si="6"/>
        <v>19.208000000000002</v>
      </c>
      <c r="I17" s="185">
        <f t="shared" si="6"/>
        <v>18.823840000000001</v>
      </c>
      <c r="J17" s="185">
        <f t="shared" si="6"/>
        <v>18.447363200000002</v>
      </c>
      <c r="K17" s="185">
        <f t="shared" si="6"/>
        <v>18.078415936000003</v>
      </c>
      <c r="L17" s="185">
        <f t="shared" si="6"/>
        <v>17.716847617280003</v>
      </c>
      <c r="M17" s="185">
        <f t="shared" si="6"/>
        <v>17.362510664934401</v>
      </c>
      <c r="N17" s="185">
        <f t="shared" si="6"/>
        <v>17.015260451635712</v>
      </c>
      <c r="O17" s="185">
        <f t="shared" si="6"/>
        <v>16.674955242602998</v>
      </c>
      <c r="P17" s="2">
        <v>0.03</v>
      </c>
      <c r="R17" s="12"/>
    </row>
    <row r="18" spans="2:18" ht="20.100000000000001" customHeight="1" x14ac:dyDescent="0.25">
      <c r="C18" s="122"/>
      <c r="F18" s="185"/>
      <c r="G18" s="185"/>
      <c r="H18" s="185"/>
      <c r="I18" s="185"/>
      <c r="J18" s="185"/>
      <c r="K18" s="185"/>
      <c r="L18" s="185"/>
      <c r="M18" s="185"/>
      <c r="N18" s="185"/>
      <c r="O18" s="185"/>
      <c r="R18" s="12"/>
    </row>
    <row r="19" spans="2:18" ht="20.100000000000001" customHeight="1" x14ac:dyDescent="0.25">
      <c r="R19" s="12"/>
    </row>
    <row r="20" spans="2:18" s="150" customFormat="1" ht="20.100000000000001" customHeight="1" x14ac:dyDescent="0.25">
      <c r="B20" s="174" t="s">
        <v>7</v>
      </c>
      <c r="F20" s="173">
        <f>F4</f>
        <v>2012</v>
      </c>
      <c r="G20" s="173">
        <f t="shared" ref="G20:O20" si="7">G4</f>
        <v>2013</v>
      </c>
      <c r="H20" s="173">
        <f t="shared" si="7"/>
        <v>2014</v>
      </c>
      <c r="I20" s="173">
        <f t="shared" si="7"/>
        <v>2015</v>
      </c>
      <c r="J20" s="173">
        <f t="shared" si="7"/>
        <v>2016</v>
      </c>
      <c r="K20" s="173">
        <f t="shared" si="7"/>
        <v>2017</v>
      </c>
      <c r="L20" s="173">
        <f t="shared" si="7"/>
        <v>2018</v>
      </c>
      <c r="M20" s="173">
        <f t="shared" si="7"/>
        <v>2019</v>
      </c>
      <c r="N20" s="173">
        <f t="shared" si="7"/>
        <v>2020</v>
      </c>
      <c r="O20" s="173">
        <f t="shared" si="7"/>
        <v>2021</v>
      </c>
      <c r="P20" s="176"/>
      <c r="Q20" s="176"/>
    </row>
    <row r="21" spans="2:18" ht="20.100000000000001" customHeight="1" x14ac:dyDescent="0.25">
      <c r="B21" s="1" t="s">
        <v>3</v>
      </c>
      <c r="R21" s="7"/>
    </row>
    <row r="22" spans="2:18" ht="20.100000000000001" customHeight="1" x14ac:dyDescent="0.25">
      <c r="C22" s="122" t="s">
        <v>71</v>
      </c>
      <c r="F22" s="10">
        <f t="shared" ref="F22:O22" si="8">F10*F6</f>
        <v>120000</v>
      </c>
      <c r="G22" s="10">
        <f t="shared" si="8"/>
        <v>122400</v>
      </c>
      <c r="H22" s="10">
        <f t="shared" si="8"/>
        <v>124848.00000000001</v>
      </c>
      <c r="I22" s="10">
        <f t="shared" si="8"/>
        <v>127344.96000000001</v>
      </c>
      <c r="J22" s="10">
        <f t="shared" si="8"/>
        <v>129891.85920000001</v>
      </c>
      <c r="K22" s="10">
        <f t="shared" si="8"/>
        <v>132489.69638400001</v>
      </c>
      <c r="L22" s="10">
        <f t="shared" si="8"/>
        <v>135139.49031168001</v>
      </c>
      <c r="M22" s="10">
        <f t="shared" si="8"/>
        <v>137842.28011791361</v>
      </c>
      <c r="N22" s="10">
        <f t="shared" si="8"/>
        <v>140599.12572027187</v>
      </c>
      <c r="O22" s="10">
        <f t="shared" si="8"/>
        <v>143411.10823467732</v>
      </c>
      <c r="R22" s="13"/>
    </row>
    <row r="23" spans="2:18" ht="20.100000000000001" customHeight="1" x14ac:dyDescent="0.25">
      <c r="C23" s="122" t="s">
        <v>82</v>
      </c>
      <c r="F23" s="10">
        <f t="shared" ref="F23:O23" si="9">F7*F11</f>
        <v>135000</v>
      </c>
      <c r="G23" s="10">
        <f t="shared" si="9"/>
        <v>140454</v>
      </c>
      <c r="H23" s="10">
        <f t="shared" si="9"/>
        <v>146128.34160000001</v>
      </c>
      <c r="I23" s="10">
        <f t="shared" si="9"/>
        <v>152031.92660064003</v>
      </c>
      <c r="J23" s="10">
        <f t="shared" si="9"/>
        <v>146144.57808240002</v>
      </c>
      <c r="K23" s="10">
        <f t="shared" si="9"/>
        <v>152048.81903692902</v>
      </c>
      <c r="L23" s="10">
        <f t="shared" si="9"/>
        <v>158191.59132602095</v>
      </c>
      <c r="M23" s="10">
        <f t="shared" si="9"/>
        <v>164582.53161559219</v>
      </c>
      <c r="N23" s="10">
        <f t="shared" si="9"/>
        <v>171231.66589286213</v>
      </c>
      <c r="O23" s="10">
        <f t="shared" si="9"/>
        <v>178149.42519493375</v>
      </c>
      <c r="R23" s="13"/>
    </row>
    <row r="24" spans="2:18" ht="20.100000000000001" customHeight="1" x14ac:dyDescent="0.25">
      <c r="C24" s="122" t="s">
        <v>83</v>
      </c>
      <c r="F24" s="6">
        <f t="shared" ref="F24:O24" si="10">(F13*F8)*F12</f>
        <v>337500</v>
      </c>
      <c r="G24" s="6">
        <f t="shared" si="10"/>
        <v>347692.5</v>
      </c>
      <c r="H24" s="6">
        <f t="shared" si="10"/>
        <v>358192.81349999999</v>
      </c>
      <c r="I24" s="6">
        <f t="shared" si="10"/>
        <v>369010.23646770004</v>
      </c>
      <c r="J24" s="6">
        <f t="shared" si="10"/>
        <v>380154.34560902452</v>
      </c>
      <c r="K24" s="6">
        <f t="shared" si="10"/>
        <v>391635.00684641709</v>
      </c>
      <c r="L24" s="6">
        <f t="shared" si="10"/>
        <v>403462.38405317889</v>
      </c>
      <c r="M24" s="6">
        <f t="shared" si="10"/>
        <v>415646.94805158494</v>
      </c>
      <c r="N24" s="6">
        <f t="shared" si="10"/>
        <v>428199.4858827428</v>
      </c>
      <c r="O24" s="6">
        <f t="shared" si="10"/>
        <v>441131.11035640159</v>
      </c>
      <c r="R24" s="128" t="s">
        <v>92</v>
      </c>
    </row>
    <row r="25" spans="2:18" ht="20.100000000000001" customHeight="1" x14ac:dyDescent="0.25">
      <c r="B25" s="1" t="s">
        <v>2</v>
      </c>
      <c r="F25" s="14">
        <f t="shared" ref="F25:O25" si="11">SUM(F22:F24)</f>
        <v>592500</v>
      </c>
      <c r="G25" s="14">
        <f t="shared" si="11"/>
        <v>610546.5</v>
      </c>
      <c r="H25" s="14">
        <f t="shared" si="11"/>
        <v>629169.15510000009</v>
      </c>
      <c r="I25" s="14">
        <f t="shared" si="11"/>
        <v>648387.12306834012</v>
      </c>
      <c r="J25" s="14">
        <f t="shared" si="11"/>
        <v>656190.78289142461</v>
      </c>
      <c r="K25" s="14">
        <f t="shared" si="11"/>
        <v>676173.52226734615</v>
      </c>
      <c r="L25" s="14">
        <f t="shared" si="11"/>
        <v>696793.46569087985</v>
      </c>
      <c r="M25" s="14">
        <f t="shared" si="11"/>
        <v>718071.75978509081</v>
      </c>
      <c r="N25" s="14">
        <f t="shared" si="11"/>
        <v>740030.27749587677</v>
      </c>
      <c r="O25" s="14">
        <f t="shared" si="11"/>
        <v>762691.64378601266</v>
      </c>
      <c r="R25" s="7"/>
    </row>
    <row r="26" spans="2:18" ht="20.100000000000001" customHeight="1" x14ac:dyDescent="0.25">
      <c r="F26" s="10"/>
      <c r="G26" s="10"/>
      <c r="H26" s="10"/>
      <c r="I26" s="10"/>
      <c r="J26" s="10"/>
      <c r="K26" s="10"/>
      <c r="L26" s="10"/>
      <c r="M26" s="10"/>
      <c r="N26" s="10"/>
      <c r="O26" s="10"/>
      <c r="R26" s="7"/>
    </row>
    <row r="27" spans="2:18" ht="20.100000000000001" customHeight="1" x14ac:dyDescent="0.25">
      <c r="B27" s="1" t="s">
        <v>1</v>
      </c>
      <c r="R27" s="7"/>
    </row>
    <row r="28" spans="2:18" ht="20.100000000000001" customHeight="1" x14ac:dyDescent="0.25">
      <c r="C28" s="122" t="s">
        <v>85</v>
      </c>
      <c r="F28" s="6">
        <v>80000</v>
      </c>
      <c r="G28" s="6">
        <f t="shared" ref="G28:O28" si="12">SUM(G22:G23)*$P$28</f>
        <v>82464</v>
      </c>
      <c r="H28" s="6">
        <f t="shared" si="12"/>
        <v>85012.185600000012</v>
      </c>
      <c r="I28" s="6">
        <f t="shared" si="12"/>
        <v>87647.650698240002</v>
      </c>
      <c r="J28" s="6">
        <f t="shared" si="12"/>
        <v>86599.666598400014</v>
      </c>
      <c r="K28" s="6">
        <f t="shared" si="12"/>
        <v>89266.985230095393</v>
      </c>
      <c r="L28" s="6">
        <f t="shared" si="12"/>
        <v>92025.437376533635</v>
      </c>
      <c r="M28" s="6">
        <f t="shared" si="12"/>
        <v>94878.372308550839</v>
      </c>
      <c r="N28" s="6">
        <f t="shared" si="12"/>
        <v>97829.267957061631</v>
      </c>
      <c r="O28" s="6">
        <f t="shared" si="12"/>
        <v>100881.7359779172</v>
      </c>
      <c r="P28" s="2">
        <f>F28/SUM(F22:F23)</f>
        <v>0.31372549019607843</v>
      </c>
      <c r="R28" s="126" t="s">
        <v>87</v>
      </c>
    </row>
    <row r="29" spans="2:18" ht="20.100000000000001" customHeight="1" x14ac:dyDescent="0.25">
      <c r="C29" s="122" t="s">
        <v>86</v>
      </c>
      <c r="F29" s="6">
        <v>35000</v>
      </c>
      <c r="G29" s="6">
        <f t="shared" ref="G29:O29" si="13">SUM(G23:G24)*$P$29</f>
        <v>50622.6</v>
      </c>
      <c r="H29" s="6">
        <f t="shared" si="13"/>
        <v>52299.971639999996</v>
      </c>
      <c r="I29" s="6">
        <f t="shared" si="13"/>
        <v>54034.002095976</v>
      </c>
      <c r="J29" s="6">
        <f t="shared" si="13"/>
        <v>54579.147642073658</v>
      </c>
      <c r="K29" s="6">
        <f t="shared" si="13"/>
        <v>56382.026387902559</v>
      </c>
      <c r="L29" s="6">
        <f t="shared" si="13"/>
        <v>58245.59744673183</v>
      </c>
      <c r="M29" s="6">
        <f t="shared" si="13"/>
        <v>60171.946039559116</v>
      </c>
      <c r="N29" s="6">
        <f t="shared" si="13"/>
        <v>62163.230554507179</v>
      </c>
      <c r="O29" s="6">
        <f t="shared" si="13"/>
        <v>64221.685168286625</v>
      </c>
      <c r="P29" s="2">
        <f>F29/F24</f>
        <v>0.1037037037037037</v>
      </c>
      <c r="R29" s="126" t="s">
        <v>87</v>
      </c>
    </row>
    <row r="30" spans="2:18" ht="20.100000000000001" customHeight="1" x14ac:dyDescent="0.25">
      <c r="C30" s="122" t="s">
        <v>72</v>
      </c>
      <c r="F30" s="6">
        <f>3700*8.5</f>
        <v>31450</v>
      </c>
      <c r="G30" s="6">
        <f t="shared" ref="G30:O30" si="14">3700*4.5*(1+$P$30)</f>
        <v>17149.5</v>
      </c>
      <c r="H30" s="6">
        <f t="shared" si="14"/>
        <v>17149.5</v>
      </c>
      <c r="I30" s="6">
        <f t="shared" si="14"/>
        <v>17149.5</v>
      </c>
      <c r="J30" s="6">
        <f t="shared" si="14"/>
        <v>17149.5</v>
      </c>
      <c r="K30" s="6">
        <f t="shared" si="14"/>
        <v>17149.5</v>
      </c>
      <c r="L30" s="6">
        <f t="shared" si="14"/>
        <v>17149.5</v>
      </c>
      <c r="M30" s="6">
        <f t="shared" si="14"/>
        <v>17149.5</v>
      </c>
      <c r="N30" s="6">
        <f t="shared" si="14"/>
        <v>17149.5</v>
      </c>
      <c r="O30" s="6">
        <f t="shared" si="14"/>
        <v>17149.5</v>
      </c>
      <c r="P30" s="2">
        <v>0.03</v>
      </c>
      <c r="R30" s="127" t="s">
        <v>91</v>
      </c>
    </row>
    <row r="31" spans="2:18" ht="20.100000000000001" customHeight="1" x14ac:dyDescent="0.25">
      <c r="C31" s="144" t="s">
        <v>146</v>
      </c>
      <c r="F31" s="6">
        <v>66000</v>
      </c>
      <c r="G31" s="6">
        <f t="shared" ref="G31:I31" si="15">F31*(1+P31)</f>
        <v>67980</v>
      </c>
      <c r="H31" s="6">
        <f t="shared" si="15"/>
        <v>67980</v>
      </c>
      <c r="I31" s="6">
        <f t="shared" si="15"/>
        <v>67980</v>
      </c>
      <c r="J31" s="6">
        <f>I31*(1+S31)</f>
        <v>67980</v>
      </c>
      <c r="K31" s="6">
        <f>J31*(1+T31)</f>
        <v>67980</v>
      </c>
      <c r="L31" s="6">
        <f>K31*(1+U31)</f>
        <v>67980</v>
      </c>
      <c r="M31" s="6">
        <f>L31*(1+V31)</f>
        <v>67980</v>
      </c>
      <c r="N31" s="6">
        <v>66002</v>
      </c>
      <c r="O31" s="6">
        <f>N31*(1+X31)</f>
        <v>66002</v>
      </c>
      <c r="P31" s="2">
        <v>0.03</v>
      </c>
      <c r="R31" s="127"/>
    </row>
    <row r="32" spans="2:18" ht="20.100000000000001" customHeight="1" x14ac:dyDescent="0.25">
      <c r="C32" s="122" t="s">
        <v>73</v>
      </c>
      <c r="F32" s="6">
        <v>245000</v>
      </c>
      <c r="G32" s="6">
        <f t="shared" ref="G32:O32" si="16">G25*$P$32</f>
        <v>252462.2658227848</v>
      </c>
      <c r="H32" s="6">
        <f t="shared" si="16"/>
        <v>260162.77299493673</v>
      </c>
      <c r="I32" s="6">
        <f t="shared" si="16"/>
        <v>268109.44329408155</v>
      </c>
      <c r="J32" s="6">
        <f t="shared" si="16"/>
        <v>271336.27309434436</v>
      </c>
      <c r="K32" s="6">
        <f t="shared" si="16"/>
        <v>279599.1779839659</v>
      </c>
      <c r="L32" s="6">
        <f t="shared" si="16"/>
        <v>288125.56809158745</v>
      </c>
      <c r="M32" s="6">
        <f t="shared" si="16"/>
        <v>296924.18759045948</v>
      </c>
      <c r="N32" s="6">
        <f t="shared" si="16"/>
        <v>306004.08098985621</v>
      </c>
      <c r="O32" s="6">
        <f t="shared" si="16"/>
        <v>315374.60375961708</v>
      </c>
      <c r="P32" s="2">
        <f>F32/F25</f>
        <v>0.41350210970464135</v>
      </c>
      <c r="R32" s="13"/>
    </row>
    <row r="33" spans="2:19" ht="20.100000000000001" customHeight="1" x14ac:dyDescent="0.25">
      <c r="B33" s="1" t="s">
        <v>4</v>
      </c>
      <c r="F33" s="15">
        <f t="shared" ref="F33:O33" si="17">SUM(F28:F32)</f>
        <v>457450</v>
      </c>
      <c r="G33" s="15">
        <f t="shared" si="17"/>
        <v>470678.36582278484</v>
      </c>
      <c r="H33" s="15">
        <f t="shared" si="17"/>
        <v>482604.43023493676</v>
      </c>
      <c r="I33" s="15">
        <f t="shared" si="17"/>
        <v>494920.59608829755</v>
      </c>
      <c r="J33" s="15">
        <f t="shared" si="17"/>
        <v>497644.58733481803</v>
      </c>
      <c r="K33" s="15">
        <f t="shared" si="17"/>
        <v>510377.68960196385</v>
      </c>
      <c r="L33" s="15">
        <f t="shared" si="17"/>
        <v>523526.10291485291</v>
      </c>
      <c r="M33" s="15">
        <f t="shared" si="17"/>
        <v>537104.00593856943</v>
      </c>
      <c r="N33" s="15">
        <f t="shared" si="17"/>
        <v>549148.07950142503</v>
      </c>
      <c r="O33" s="15">
        <f t="shared" si="17"/>
        <v>563629.52490582084</v>
      </c>
      <c r="R33" s="16"/>
    </row>
    <row r="34" spans="2:19" ht="20.100000000000001" customHeight="1" x14ac:dyDescent="0.25">
      <c r="R34" s="7"/>
    </row>
    <row r="35" spans="2:19" ht="20.100000000000001" customHeight="1" x14ac:dyDescent="0.25">
      <c r="B35" s="1" t="s">
        <v>5</v>
      </c>
      <c r="F35" s="10">
        <f t="shared" ref="F35:O35" si="18">F25-F33</f>
        <v>135050</v>
      </c>
      <c r="G35" s="10">
        <f t="shared" si="18"/>
        <v>139868.13417721516</v>
      </c>
      <c r="H35" s="10">
        <f t="shared" si="18"/>
        <v>146564.72486506333</v>
      </c>
      <c r="I35" s="10">
        <f t="shared" si="18"/>
        <v>153466.52698004257</v>
      </c>
      <c r="J35" s="10">
        <f t="shared" si="18"/>
        <v>158546.19555660657</v>
      </c>
      <c r="K35" s="10">
        <f t="shared" si="18"/>
        <v>165795.8326653823</v>
      </c>
      <c r="L35" s="10">
        <f t="shared" si="18"/>
        <v>173267.36277602694</v>
      </c>
      <c r="M35" s="10">
        <f t="shared" si="18"/>
        <v>180967.75384652137</v>
      </c>
      <c r="N35" s="10">
        <f t="shared" si="18"/>
        <v>190882.19799445174</v>
      </c>
      <c r="O35" s="10">
        <f t="shared" si="18"/>
        <v>199062.11888019182</v>
      </c>
      <c r="R35" s="7"/>
    </row>
    <row r="36" spans="2:19" ht="19.5" customHeight="1" x14ac:dyDescent="0.25">
      <c r="C36" s="130" t="s">
        <v>98</v>
      </c>
      <c r="F36" s="10">
        <f>Loan!Q4</f>
        <v>29521.885889929654</v>
      </c>
      <c r="G36" s="10">
        <f>Loan!R4</f>
        <v>29010.454684509456</v>
      </c>
      <c r="H36" s="10">
        <f>Loan!S4</f>
        <v>28476.859218596874</v>
      </c>
      <c r="I36" s="10">
        <f>Loan!T4</f>
        <v>27920.138943758488</v>
      </c>
      <c r="J36" s="10">
        <f>Loan!U4</f>
        <v>27339.291683585347</v>
      </c>
      <c r="K36" s="10">
        <f>Loan!V4</f>
        <v>26733.271829631587</v>
      </c>
      <c r="L36" s="10">
        <f>Loan!W4</f>
        <v>26100.988459169184</v>
      </c>
      <c r="M36" s="10">
        <f>Loan!X4</f>
        <v>25441.303371370403</v>
      </c>
      <c r="N36" s="10">
        <f>Loan!Y4</f>
        <v>24753.029038382912</v>
      </c>
      <c r="O36" s="10">
        <f>Loan!Z4</f>
        <v>24034.926467609228</v>
      </c>
      <c r="R36" s="7"/>
    </row>
    <row r="37" spans="2:19" ht="20.100000000000001" customHeight="1" x14ac:dyDescent="0.25">
      <c r="C37" s="122" t="s">
        <v>74</v>
      </c>
      <c r="F37" s="10">
        <f t="shared" ref="F37:O37" si="19">$P$37*F71</f>
        <v>15872.851394202182</v>
      </c>
      <c r="G37" s="10">
        <f t="shared" si="19"/>
        <v>8124.5347129386646</v>
      </c>
      <c r="H37" s="10">
        <f t="shared" si="19"/>
        <v>0</v>
      </c>
      <c r="I37" s="10">
        <f t="shared" si="19"/>
        <v>0</v>
      </c>
      <c r="J37" s="10">
        <f t="shared" si="19"/>
        <v>0</v>
      </c>
      <c r="K37" s="10">
        <f t="shared" si="19"/>
        <v>0</v>
      </c>
      <c r="L37" s="10">
        <f t="shared" si="19"/>
        <v>0</v>
      </c>
      <c r="M37" s="10">
        <f t="shared" si="19"/>
        <v>0</v>
      </c>
      <c r="N37" s="10">
        <f t="shared" si="19"/>
        <v>0</v>
      </c>
      <c r="O37" s="10">
        <f t="shared" si="19"/>
        <v>0</v>
      </c>
      <c r="P37" s="2">
        <v>0.08</v>
      </c>
      <c r="R37" s="7"/>
    </row>
    <row r="38" spans="2:19" ht="20.100000000000001" customHeight="1" x14ac:dyDescent="0.25">
      <c r="C38" s="130" t="s">
        <v>115</v>
      </c>
      <c r="F38" s="10">
        <f t="shared" ref="F38:O38" si="20">F57*$P$38</f>
        <v>26666.666666666668</v>
      </c>
      <c r="G38" s="10">
        <f t="shared" si="20"/>
        <v>26666.666666666668</v>
      </c>
      <c r="H38" s="10">
        <f t="shared" si="20"/>
        <v>26666.666666666668</v>
      </c>
      <c r="I38" s="10">
        <f t="shared" si="20"/>
        <v>26666.666666666668</v>
      </c>
      <c r="J38" s="10">
        <f t="shared" si="20"/>
        <v>26666.666666666668</v>
      </c>
      <c r="K38" s="10">
        <f t="shared" si="20"/>
        <v>26666.666666666668</v>
      </c>
      <c r="L38" s="10">
        <f t="shared" si="20"/>
        <v>26666.666666666668</v>
      </c>
      <c r="M38" s="10">
        <f t="shared" si="20"/>
        <v>26666.666666666668</v>
      </c>
      <c r="N38" s="10">
        <f t="shared" si="20"/>
        <v>26666.666666666668</v>
      </c>
      <c r="O38" s="10">
        <f t="shared" si="20"/>
        <v>31308.786824365983</v>
      </c>
      <c r="P38" s="2">
        <f>1/30</f>
        <v>3.3333333333333333E-2</v>
      </c>
      <c r="R38" s="131" t="s">
        <v>116</v>
      </c>
    </row>
    <row r="39" spans="2:19" ht="20.100000000000001" customHeight="1" x14ac:dyDescent="0.25">
      <c r="C39" s="130" t="s">
        <v>114</v>
      </c>
      <c r="F39" s="6">
        <f t="shared" ref="F39:O39" si="21">F60*$P$39</f>
        <v>38285.714285714283</v>
      </c>
      <c r="G39" s="6">
        <f t="shared" si="21"/>
        <v>38285.714285714283</v>
      </c>
      <c r="H39" s="6">
        <f t="shared" si="21"/>
        <v>38285.714285714283</v>
      </c>
      <c r="I39" s="6">
        <f t="shared" si="21"/>
        <v>38285.714285714283</v>
      </c>
      <c r="J39" s="6">
        <f t="shared" si="21"/>
        <v>38285.714285714283</v>
      </c>
      <c r="K39" s="6">
        <f t="shared" si="21"/>
        <v>38285.714285714283</v>
      </c>
      <c r="L39" s="6">
        <f t="shared" si="21"/>
        <v>38285.714285714283</v>
      </c>
      <c r="M39" s="6">
        <f t="shared" si="21"/>
        <v>38285.714285714283</v>
      </c>
      <c r="N39" s="6">
        <f t="shared" si="21"/>
        <v>38285.714285714283</v>
      </c>
      <c r="O39" s="6">
        <f t="shared" si="21"/>
        <v>38285.714285714283</v>
      </c>
      <c r="P39" s="2">
        <f>1/7</f>
        <v>0.14285714285714285</v>
      </c>
      <c r="R39" s="131" t="s">
        <v>97</v>
      </c>
      <c r="S39" s="9"/>
    </row>
    <row r="40" spans="2:19" ht="20.100000000000001" customHeight="1" x14ac:dyDescent="0.25">
      <c r="C40" s="1" t="s">
        <v>24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R40" s="7"/>
    </row>
    <row r="41" spans="2:19" ht="20.100000000000001" customHeight="1" x14ac:dyDescent="0.25">
      <c r="F41" s="10"/>
      <c r="G41" s="10"/>
      <c r="H41" s="10"/>
      <c r="I41" s="10"/>
      <c r="J41" s="10"/>
      <c r="K41" s="10"/>
      <c r="L41" s="10"/>
      <c r="M41" s="10"/>
      <c r="N41" s="10"/>
      <c r="O41" s="10"/>
      <c r="R41" s="7"/>
    </row>
    <row r="42" spans="2:19" ht="20.100000000000001" customHeight="1" x14ac:dyDescent="0.25">
      <c r="B42" s="122" t="s">
        <v>75</v>
      </c>
      <c r="F42" s="10">
        <f t="shared" ref="F42:O42" si="22">F35-F36-F37-F39-F40</f>
        <v>51369.548430153875</v>
      </c>
      <c r="G42" s="10">
        <f t="shared" si="22"/>
        <v>64447.430494052758</v>
      </c>
      <c r="H42" s="10">
        <f t="shared" si="22"/>
        <v>79802.151360752177</v>
      </c>
      <c r="I42" s="10">
        <f t="shared" si="22"/>
        <v>87260.673750569811</v>
      </c>
      <c r="J42" s="10">
        <f t="shared" si="22"/>
        <v>92921.18958730693</v>
      </c>
      <c r="K42" s="10">
        <f t="shared" si="22"/>
        <v>100776.84655003643</v>
      </c>
      <c r="L42" s="10">
        <f t="shared" si="22"/>
        <v>108880.66003114346</v>
      </c>
      <c r="M42" s="10">
        <f t="shared" si="22"/>
        <v>117240.73618943669</v>
      </c>
      <c r="N42" s="10">
        <f t="shared" si="22"/>
        <v>127843.45467035452</v>
      </c>
      <c r="O42" s="10">
        <f t="shared" si="22"/>
        <v>136741.47812686829</v>
      </c>
      <c r="R42" s="7"/>
    </row>
    <row r="43" spans="2:19" ht="20.100000000000001" customHeight="1" x14ac:dyDescent="0.25">
      <c r="C43" s="1" t="s">
        <v>23</v>
      </c>
      <c r="F43" s="10">
        <f t="shared" ref="F43:O43" si="23">F42*$P$43</f>
        <v>20034.123887760012</v>
      </c>
      <c r="G43" s="10">
        <f t="shared" si="23"/>
        <v>25134.497892680578</v>
      </c>
      <c r="H43" s="10">
        <f t="shared" si="23"/>
        <v>31122.839030693351</v>
      </c>
      <c r="I43" s="10">
        <f t="shared" si="23"/>
        <v>34031.662762722226</v>
      </c>
      <c r="J43" s="10">
        <f t="shared" si="23"/>
        <v>36239.263939049706</v>
      </c>
      <c r="K43" s="10">
        <f t="shared" si="23"/>
        <v>39302.970154514209</v>
      </c>
      <c r="L43" s="10">
        <f t="shared" si="23"/>
        <v>42463.457412145952</v>
      </c>
      <c r="M43" s="10">
        <f t="shared" si="23"/>
        <v>45723.887113880308</v>
      </c>
      <c r="N43" s="10">
        <f t="shared" si="23"/>
        <v>49858.947321438267</v>
      </c>
      <c r="O43" s="10">
        <f t="shared" si="23"/>
        <v>53329.176469478632</v>
      </c>
      <c r="P43" s="2">
        <v>0.39</v>
      </c>
      <c r="R43" s="7"/>
    </row>
    <row r="44" spans="2:19" ht="20.100000000000001" customHeight="1" x14ac:dyDescent="0.25">
      <c r="F44" s="17"/>
      <c r="G44" s="17"/>
      <c r="H44" s="17"/>
      <c r="I44" s="17"/>
      <c r="J44" s="17"/>
      <c r="K44" s="17"/>
      <c r="L44" s="17"/>
      <c r="M44" s="17"/>
      <c r="N44" s="17"/>
      <c r="O44" s="17"/>
      <c r="R44" s="7"/>
    </row>
    <row r="45" spans="2:19" ht="20.100000000000001" customHeight="1" x14ac:dyDescent="0.25">
      <c r="B45" s="1" t="s">
        <v>25</v>
      </c>
      <c r="F45" s="14">
        <f t="shared" ref="F45:O45" si="24">F42-F43</f>
        <v>31335.424542393863</v>
      </c>
      <c r="G45" s="14">
        <f t="shared" si="24"/>
        <v>39312.93260137218</v>
      </c>
      <c r="H45" s="14">
        <f t="shared" si="24"/>
        <v>48679.312330058827</v>
      </c>
      <c r="I45" s="14">
        <f t="shared" si="24"/>
        <v>53229.010987847585</v>
      </c>
      <c r="J45" s="14">
        <f t="shared" si="24"/>
        <v>56681.925648257224</v>
      </c>
      <c r="K45" s="14">
        <f t="shared" si="24"/>
        <v>61473.876395522217</v>
      </c>
      <c r="L45" s="14">
        <f t="shared" si="24"/>
        <v>66417.202618997515</v>
      </c>
      <c r="M45" s="14">
        <f t="shared" si="24"/>
        <v>71516.849075556383</v>
      </c>
      <c r="N45" s="14">
        <f t="shared" si="24"/>
        <v>77984.507348916261</v>
      </c>
      <c r="O45" s="14">
        <f t="shared" si="24"/>
        <v>83412.301657389646</v>
      </c>
      <c r="R45" s="11"/>
    </row>
    <row r="47" spans="2:19" s="150" customFormat="1" ht="21.75" customHeight="1" x14ac:dyDescent="0.25">
      <c r="B47" s="174" t="s">
        <v>6</v>
      </c>
      <c r="F47" s="175">
        <f>F4</f>
        <v>2012</v>
      </c>
      <c r="G47" s="175">
        <f t="shared" ref="G47:O47" si="25">G4</f>
        <v>2013</v>
      </c>
      <c r="H47" s="175">
        <f t="shared" si="25"/>
        <v>2014</v>
      </c>
      <c r="I47" s="175">
        <f t="shared" si="25"/>
        <v>2015</v>
      </c>
      <c r="J47" s="175">
        <f t="shared" si="25"/>
        <v>2016</v>
      </c>
      <c r="K47" s="175">
        <f t="shared" si="25"/>
        <v>2017</v>
      </c>
      <c r="L47" s="175">
        <f t="shared" si="25"/>
        <v>2018</v>
      </c>
      <c r="M47" s="175">
        <f t="shared" si="25"/>
        <v>2019</v>
      </c>
      <c r="N47" s="175">
        <f t="shared" si="25"/>
        <v>2020</v>
      </c>
      <c r="O47" s="175">
        <f t="shared" si="25"/>
        <v>2021</v>
      </c>
      <c r="P47" s="176"/>
      <c r="Q47" s="176"/>
    </row>
    <row r="48" spans="2:19" ht="17.25" customHeight="1" x14ac:dyDescent="0.25">
      <c r="R48" s="3"/>
    </row>
    <row r="49" spans="2:18" ht="20.100000000000001" customHeight="1" x14ac:dyDescent="0.25">
      <c r="B49" s="4" t="s">
        <v>8</v>
      </c>
      <c r="F49" s="6"/>
      <c r="G49" s="6"/>
      <c r="H49" s="6"/>
      <c r="I49" s="6"/>
      <c r="J49" s="6"/>
      <c r="K49" s="6"/>
      <c r="L49" s="6"/>
      <c r="M49" s="6"/>
      <c r="N49" s="6"/>
      <c r="O49" s="6"/>
      <c r="R49" s="7"/>
    </row>
    <row r="50" spans="2:18" ht="20.100000000000001" customHeight="1" x14ac:dyDescent="0.25">
      <c r="B50" s="4" t="s">
        <v>113</v>
      </c>
      <c r="F50" s="6"/>
      <c r="G50" s="6"/>
      <c r="H50" s="6"/>
      <c r="I50" s="6"/>
      <c r="J50" s="6"/>
      <c r="K50" s="6"/>
      <c r="L50" s="6"/>
      <c r="M50" s="6"/>
      <c r="N50" s="6"/>
      <c r="O50" s="6"/>
      <c r="R50" s="7"/>
    </row>
    <row r="51" spans="2:18" ht="20.100000000000001" customHeight="1" x14ac:dyDescent="0.25">
      <c r="C51" s="9" t="s">
        <v>9</v>
      </c>
      <c r="F51" s="6">
        <v>5000</v>
      </c>
      <c r="G51" s="6">
        <v>5000</v>
      </c>
      <c r="H51" s="6">
        <v>5000</v>
      </c>
      <c r="I51" s="6">
        <v>5000</v>
      </c>
      <c r="J51" s="6">
        <v>5000</v>
      </c>
      <c r="K51" s="6">
        <v>5000</v>
      </c>
      <c r="L51" s="6">
        <v>5000</v>
      </c>
      <c r="M51" s="6">
        <v>5000</v>
      </c>
      <c r="N51" s="6">
        <v>5000</v>
      </c>
      <c r="O51" s="6">
        <v>5000</v>
      </c>
      <c r="R51" s="7"/>
    </row>
    <row r="52" spans="2:18" ht="20.100000000000001" customHeight="1" x14ac:dyDescent="0.25">
      <c r="C52" s="1" t="s">
        <v>10</v>
      </c>
      <c r="F52" s="6"/>
      <c r="G52" s="6"/>
      <c r="H52" s="6">
        <v>5009.9769917085096</v>
      </c>
      <c r="I52" s="6">
        <v>112481.724683965</v>
      </c>
      <c r="J52" s="6">
        <v>222115.60471540401</v>
      </c>
      <c r="K52" s="6">
        <v>336782.45618872298</v>
      </c>
      <c r="L52" s="6">
        <v>455847.70086123399</v>
      </c>
      <c r="M52" s="6">
        <v>541157.32336478797</v>
      </c>
      <c r="N52" s="6">
        <v>633110.75222590903</v>
      </c>
      <c r="O52" s="6">
        <v>513212.87481724302</v>
      </c>
      <c r="R52" s="13"/>
    </row>
    <row r="53" spans="2:18" ht="20.100000000000001" customHeight="1" x14ac:dyDescent="0.25">
      <c r="C53" s="1" t="s">
        <v>11</v>
      </c>
      <c r="F53" s="6">
        <f t="shared" ref="F53:O53" si="26">F22/365*F16</f>
        <v>4931.5068493150684</v>
      </c>
      <c r="G53" s="6">
        <f t="shared" si="26"/>
        <v>5130.7397260273974</v>
      </c>
      <c r="H53" s="6">
        <f t="shared" si="26"/>
        <v>5338.0216109589046</v>
      </c>
      <c r="I53" s="6">
        <f t="shared" si="26"/>
        <v>5553.6776840416451</v>
      </c>
      <c r="J53" s="6">
        <f t="shared" si="26"/>
        <v>5778.046262476928</v>
      </c>
      <c r="K53" s="6">
        <f t="shared" si="26"/>
        <v>6011.4793314809958</v>
      </c>
      <c r="L53" s="6">
        <f t="shared" si="26"/>
        <v>6254.3430964728286</v>
      </c>
      <c r="M53" s="6">
        <f t="shared" si="26"/>
        <v>6507.0185575703308</v>
      </c>
      <c r="N53" s="6">
        <f t="shared" si="26"/>
        <v>6769.9021072961723</v>
      </c>
      <c r="O53" s="6">
        <f t="shared" si="26"/>
        <v>7043.4061524309382</v>
      </c>
      <c r="R53" s="18"/>
    </row>
    <row r="54" spans="2:18" ht="20.100000000000001" customHeight="1" x14ac:dyDescent="0.25">
      <c r="C54" s="1" t="s">
        <v>12</v>
      </c>
      <c r="F54" s="6">
        <f t="shared" ref="F54:O54" si="27">$R$56*F11</f>
        <v>0</v>
      </c>
      <c r="G54" s="6">
        <f t="shared" si="27"/>
        <v>0</v>
      </c>
      <c r="H54" s="6">
        <f t="shared" si="27"/>
        <v>0</v>
      </c>
      <c r="I54" s="6">
        <f t="shared" si="27"/>
        <v>0</v>
      </c>
      <c r="J54" s="6">
        <f t="shared" si="27"/>
        <v>0</v>
      </c>
      <c r="K54" s="6">
        <f t="shared" si="27"/>
        <v>0</v>
      </c>
      <c r="L54" s="6">
        <f t="shared" si="27"/>
        <v>0</v>
      </c>
      <c r="M54" s="6">
        <f t="shared" si="27"/>
        <v>0</v>
      </c>
      <c r="N54" s="6">
        <f t="shared" si="27"/>
        <v>0</v>
      </c>
      <c r="O54" s="6">
        <f t="shared" si="27"/>
        <v>0</v>
      </c>
      <c r="R54" s="13"/>
    </row>
    <row r="55" spans="2:18" ht="20.100000000000001" customHeight="1" x14ac:dyDescent="0.25">
      <c r="F55" s="6"/>
      <c r="G55" s="6"/>
      <c r="H55" s="6"/>
      <c r="I55" s="6"/>
      <c r="J55" s="6"/>
      <c r="K55" s="6"/>
      <c r="L55" s="6"/>
      <c r="M55" s="6"/>
      <c r="N55" s="6"/>
      <c r="O55" s="6"/>
      <c r="R55" s="13"/>
    </row>
    <row r="56" spans="2:18" ht="20.100000000000001" customHeight="1" x14ac:dyDescent="0.25">
      <c r="B56" s="4" t="s">
        <v>112</v>
      </c>
      <c r="F56" s="6"/>
      <c r="G56" s="6"/>
      <c r="H56" s="6"/>
      <c r="I56" s="6"/>
      <c r="J56" s="6"/>
      <c r="K56" s="6"/>
      <c r="L56" s="6"/>
      <c r="M56" s="6"/>
      <c r="N56" s="6"/>
      <c r="O56" s="6"/>
      <c r="R56" s="18"/>
    </row>
    <row r="57" spans="2:18" ht="20.100000000000001" customHeight="1" x14ac:dyDescent="0.25">
      <c r="C57" s="130" t="s">
        <v>95</v>
      </c>
      <c r="F57" s="6">
        <v>800000</v>
      </c>
      <c r="G57" s="6">
        <v>800000</v>
      </c>
      <c r="H57" s="6">
        <v>800000</v>
      </c>
      <c r="I57" s="6">
        <v>800000</v>
      </c>
      <c r="J57" s="6">
        <v>800000</v>
      </c>
      <c r="K57" s="6">
        <v>800000</v>
      </c>
      <c r="L57" s="6">
        <v>800000</v>
      </c>
      <c r="M57" s="6">
        <v>800000</v>
      </c>
      <c r="N57" s="6">
        <v>800000</v>
      </c>
      <c r="O57" s="6">
        <v>939263.60473097954</v>
      </c>
      <c r="R57" s="18"/>
    </row>
    <row r="58" spans="2:18" ht="20.100000000000001" customHeight="1" x14ac:dyDescent="0.25">
      <c r="C58" s="130" t="s">
        <v>99</v>
      </c>
      <c r="E58" s="130"/>
      <c r="F58" s="6">
        <f>F38</f>
        <v>26666.666666666668</v>
      </c>
      <c r="G58" s="6">
        <f t="shared" ref="G58:O58" si="28">F58+G38</f>
        <v>53333.333333333336</v>
      </c>
      <c r="H58" s="6">
        <f t="shared" si="28"/>
        <v>80000</v>
      </c>
      <c r="I58" s="6">
        <f t="shared" si="28"/>
        <v>106666.66666666667</v>
      </c>
      <c r="J58" s="6">
        <f t="shared" si="28"/>
        <v>133333.33333333334</v>
      </c>
      <c r="K58" s="6">
        <f t="shared" si="28"/>
        <v>160000</v>
      </c>
      <c r="L58" s="6">
        <f t="shared" si="28"/>
        <v>186666.66666666666</v>
      </c>
      <c r="M58" s="6">
        <f t="shared" si="28"/>
        <v>213333.33333333331</v>
      </c>
      <c r="N58" s="6">
        <f t="shared" si="28"/>
        <v>239999.99999999997</v>
      </c>
      <c r="O58" s="6">
        <f t="shared" si="28"/>
        <v>271308.78682436596</v>
      </c>
      <c r="R58" s="18"/>
    </row>
    <row r="59" spans="2:18" ht="20.100000000000001" customHeight="1" x14ac:dyDescent="0.25">
      <c r="C59" s="130" t="s">
        <v>117</v>
      </c>
      <c r="D59" s="130"/>
      <c r="E59" s="130"/>
      <c r="F59" s="6">
        <f>F57-F58</f>
        <v>773333.33333333337</v>
      </c>
      <c r="G59" s="6">
        <f>G57-G58</f>
        <v>746666.66666666663</v>
      </c>
      <c r="H59" s="6">
        <f t="shared" ref="H59:O59" si="29">H57-H58</f>
        <v>720000</v>
      </c>
      <c r="I59" s="6">
        <f t="shared" si="29"/>
        <v>693333.33333333337</v>
      </c>
      <c r="J59" s="6">
        <f t="shared" si="29"/>
        <v>666666.66666666663</v>
      </c>
      <c r="K59" s="6">
        <f t="shared" si="29"/>
        <v>640000</v>
      </c>
      <c r="L59" s="6">
        <f t="shared" si="29"/>
        <v>613333.33333333337</v>
      </c>
      <c r="M59" s="6">
        <f t="shared" si="29"/>
        <v>586666.66666666674</v>
      </c>
      <c r="N59" s="6">
        <f t="shared" si="29"/>
        <v>560000</v>
      </c>
      <c r="O59" s="6">
        <f t="shared" si="29"/>
        <v>667954.81790661358</v>
      </c>
      <c r="R59" s="18"/>
    </row>
    <row r="60" spans="2:18" ht="20.100000000000001" customHeight="1" x14ac:dyDescent="0.25">
      <c r="C60" s="122" t="s">
        <v>88</v>
      </c>
      <c r="F60" s="6">
        <v>268000</v>
      </c>
      <c r="G60" s="6">
        <v>268000</v>
      </c>
      <c r="H60" s="6">
        <v>268000</v>
      </c>
      <c r="I60" s="6">
        <v>268000</v>
      </c>
      <c r="J60" s="6">
        <v>268000</v>
      </c>
      <c r="K60" s="6">
        <v>268000</v>
      </c>
      <c r="L60" s="6">
        <v>268000</v>
      </c>
      <c r="M60" s="6">
        <v>268000</v>
      </c>
      <c r="N60" s="6">
        <v>268000</v>
      </c>
      <c r="O60" s="6">
        <v>268000</v>
      </c>
      <c r="R60" s="7"/>
    </row>
    <row r="61" spans="2:18" ht="20.100000000000001" customHeight="1" x14ac:dyDescent="0.25">
      <c r="C61" s="130" t="s">
        <v>96</v>
      </c>
      <c r="E61" s="130"/>
      <c r="F61" s="6">
        <f>F39</f>
        <v>38285.714285714283</v>
      </c>
      <c r="G61" s="6">
        <f t="shared" ref="G61:L61" si="30">F61+G39</f>
        <v>76571.428571428565</v>
      </c>
      <c r="H61" s="6">
        <f t="shared" si="30"/>
        <v>114857.14285714284</v>
      </c>
      <c r="I61" s="6">
        <f t="shared" si="30"/>
        <v>153142.85714285713</v>
      </c>
      <c r="J61" s="6">
        <f t="shared" si="30"/>
        <v>191428.57142857142</v>
      </c>
      <c r="K61" s="6">
        <f t="shared" si="30"/>
        <v>229714.28571428571</v>
      </c>
      <c r="L61" s="6">
        <f t="shared" si="30"/>
        <v>268000</v>
      </c>
      <c r="M61" s="6">
        <f>L61</f>
        <v>268000</v>
      </c>
      <c r="N61" s="6">
        <f>M61</f>
        <v>268000</v>
      </c>
      <c r="O61" s="6">
        <f>N61</f>
        <v>268000</v>
      </c>
      <c r="R61" s="7"/>
    </row>
    <row r="62" spans="2:18" ht="20.100000000000001" customHeight="1" x14ac:dyDescent="0.25">
      <c r="C62" s="122" t="s">
        <v>89</v>
      </c>
      <c r="F62" s="6">
        <f>F60-F61</f>
        <v>229714.28571428571</v>
      </c>
      <c r="G62" s="6">
        <f>G60-G61</f>
        <v>191428.57142857142</v>
      </c>
      <c r="H62" s="6">
        <f>H60-H61</f>
        <v>153142.85714285716</v>
      </c>
      <c r="I62" s="6">
        <f>I60-I61</f>
        <v>114857.14285714287</v>
      </c>
      <c r="J62" s="6">
        <f t="shared" ref="J62:O62" si="31">J60-J61</f>
        <v>76571.42857142858</v>
      </c>
      <c r="K62" s="6">
        <f t="shared" si="31"/>
        <v>38285.71428571429</v>
      </c>
      <c r="L62" s="6">
        <f t="shared" si="31"/>
        <v>0</v>
      </c>
      <c r="M62" s="6">
        <f t="shared" si="31"/>
        <v>0</v>
      </c>
      <c r="N62" s="6">
        <f t="shared" si="31"/>
        <v>0</v>
      </c>
      <c r="O62" s="6">
        <f t="shared" si="31"/>
        <v>0</v>
      </c>
      <c r="R62" s="7"/>
    </row>
    <row r="63" spans="2:18" ht="20.100000000000001" customHeight="1" x14ac:dyDescent="0.25">
      <c r="C63" s="130" t="s">
        <v>100</v>
      </c>
      <c r="F63" s="6">
        <v>100000</v>
      </c>
      <c r="G63" s="6">
        <f>F63</f>
        <v>100000</v>
      </c>
      <c r="H63" s="6">
        <f t="shared" ref="H63:O63" si="32">G63</f>
        <v>100000</v>
      </c>
      <c r="I63" s="6">
        <f t="shared" si="32"/>
        <v>100000</v>
      </c>
      <c r="J63" s="6">
        <f t="shared" si="32"/>
        <v>100000</v>
      </c>
      <c r="K63" s="6">
        <f t="shared" si="32"/>
        <v>100000</v>
      </c>
      <c r="L63" s="6">
        <f t="shared" si="32"/>
        <v>100000</v>
      </c>
      <c r="M63" s="6">
        <f t="shared" si="32"/>
        <v>100000</v>
      </c>
      <c r="N63" s="6">
        <f t="shared" si="32"/>
        <v>100000</v>
      </c>
      <c r="O63" s="6">
        <f t="shared" si="32"/>
        <v>100000</v>
      </c>
      <c r="R63" s="7"/>
    </row>
    <row r="64" spans="2:18" ht="20.100000000000001" customHeight="1" x14ac:dyDescent="0.25">
      <c r="C64" s="130"/>
      <c r="F64" s="6"/>
      <c r="G64" s="6"/>
      <c r="H64" s="6"/>
      <c r="I64" s="6"/>
      <c r="J64" s="6"/>
      <c r="K64" s="6"/>
      <c r="L64" s="6"/>
      <c r="M64" s="6"/>
      <c r="N64" s="6"/>
      <c r="O64" s="6"/>
      <c r="R64" s="7"/>
    </row>
    <row r="65" spans="2:18" ht="20.100000000000001" customHeight="1" x14ac:dyDescent="0.25">
      <c r="B65" s="4" t="s">
        <v>13</v>
      </c>
      <c r="F65" s="165">
        <f t="shared" ref="F65:O65" si="33">SUM(F51:F54)+F62+F59+F63</f>
        <v>1112979.1258969342</v>
      </c>
      <c r="G65" s="165">
        <f t="shared" si="33"/>
        <v>1048225.9778212655</v>
      </c>
      <c r="H65" s="165">
        <f t="shared" si="33"/>
        <v>988490.85574552463</v>
      </c>
      <c r="I65" s="165">
        <f t="shared" si="33"/>
        <v>1031225.8785584829</v>
      </c>
      <c r="J65" s="165">
        <f t="shared" si="33"/>
        <v>1076131.7462159761</v>
      </c>
      <c r="K65" s="165">
        <f t="shared" si="33"/>
        <v>1126079.6498059183</v>
      </c>
      <c r="L65" s="165">
        <f t="shared" si="33"/>
        <v>1180435.3772910403</v>
      </c>
      <c r="M65" s="165">
        <f t="shared" si="33"/>
        <v>1239331.0085890251</v>
      </c>
      <c r="N65" s="165">
        <f t="shared" si="33"/>
        <v>1304880.6543332052</v>
      </c>
      <c r="O65" s="165">
        <f t="shared" si="33"/>
        <v>1293211.0988762877</v>
      </c>
      <c r="R65" s="7"/>
    </row>
    <row r="66" spans="2:18" ht="20.100000000000001" customHeight="1" x14ac:dyDescent="0.25">
      <c r="F66" s="19"/>
      <c r="G66" s="19"/>
      <c r="H66" s="19"/>
      <c r="I66" s="19"/>
      <c r="J66" s="19"/>
      <c r="K66" s="19"/>
      <c r="L66" s="19"/>
      <c r="M66" s="19"/>
      <c r="N66" s="19"/>
      <c r="O66" s="19"/>
      <c r="R66" s="7"/>
    </row>
    <row r="67" spans="2:18" ht="20.100000000000001" customHeight="1" x14ac:dyDescent="0.25">
      <c r="B67" s="4" t="s">
        <v>178</v>
      </c>
      <c r="F67" s="6"/>
      <c r="G67" s="6"/>
      <c r="H67" s="6"/>
      <c r="I67" s="6"/>
      <c r="J67" s="6"/>
      <c r="K67" s="6"/>
      <c r="L67" s="6"/>
      <c r="M67" s="6"/>
      <c r="N67" s="6"/>
      <c r="O67" s="6"/>
      <c r="R67" s="7"/>
    </row>
    <row r="68" spans="2:18" ht="20.100000000000001" customHeight="1" x14ac:dyDescent="0.25">
      <c r="C68" s="1" t="s">
        <v>15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5"/>
      <c r="R68" s="13"/>
    </row>
    <row r="69" spans="2:18" ht="20.100000000000001" customHeight="1" x14ac:dyDescent="0.25">
      <c r="C69" s="1" t="s">
        <v>16</v>
      </c>
      <c r="F69" s="6">
        <f t="shared" ref="F69:O69" si="34">F43</f>
        <v>20034.123887760012</v>
      </c>
      <c r="G69" s="6">
        <f t="shared" si="34"/>
        <v>25134.497892680578</v>
      </c>
      <c r="H69" s="6">
        <f t="shared" si="34"/>
        <v>31122.839030693351</v>
      </c>
      <c r="I69" s="6">
        <f t="shared" si="34"/>
        <v>34031.662762722226</v>
      </c>
      <c r="J69" s="6">
        <f t="shared" si="34"/>
        <v>36239.263939049706</v>
      </c>
      <c r="K69" s="6">
        <f t="shared" si="34"/>
        <v>39302.970154514209</v>
      </c>
      <c r="L69" s="6">
        <f t="shared" si="34"/>
        <v>42463.457412145952</v>
      </c>
      <c r="M69" s="6">
        <f t="shared" si="34"/>
        <v>45723.887113880308</v>
      </c>
      <c r="N69" s="6">
        <f t="shared" si="34"/>
        <v>49858.947321438267</v>
      </c>
      <c r="O69" s="6">
        <f t="shared" si="34"/>
        <v>53329.176469478632</v>
      </c>
      <c r="R69" s="7"/>
    </row>
    <row r="70" spans="2:18" ht="20.100000000000001" customHeight="1" x14ac:dyDescent="0.25">
      <c r="C70" s="130" t="s">
        <v>94</v>
      </c>
      <c r="F70" s="6">
        <f>Loan!Q5</f>
        <v>688198.93503925309</v>
      </c>
      <c r="G70" s="6">
        <f>Loan!R5</f>
        <v>675886.43887308578</v>
      </c>
      <c r="H70" s="6">
        <f>Loan!S5</f>
        <v>663040.34724100621</v>
      </c>
      <c r="I70" s="6">
        <f>Loan!T5</f>
        <v>649637.53533408826</v>
      </c>
      <c r="J70" s="6">
        <f>Loan!U5</f>
        <v>635653.87616699724</v>
      </c>
      <c r="K70" s="6">
        <f>Loan!V5</f>
        <v>621064.19714595203</v>
      </c>
      <c r="L70" s="6">
        <f>Loan!W5</f>
        <v>605842.23475444457</v>
      </c>
      <c r="M70" s="6">
        <f>Loan!X5</f>
        <v>589960.58727513859</v>
      </c>
      <c r="N70" s="6">
        <f>Loan!Y5</f>
        <v>573390.66546284489</v>
      </c>
      <c r="O70" s="6">
        <f>Loan!Z5</f>
        <v>556102.64107977762</v>
      </c>
      <c r="R70" s="7"/>
    </row>
    <row r="71" spans="2:18" ht="20.100000000000001" customHeight="1" x14ac:dyDescent="0.25">
      <c r="C71" s="1" t="s">
        <v>17</v>
      </c>
      <c r="F71" s="6">
        <v>198410.64242752726</v>
      </c>
      <c r="G71" s="6">
        <v>101556.6839117333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R71" s="7"/>
    </row>
    <row r="72" spans="2:18" ht="20.100000000000001" customHeight="1" x14ac:dyDescent="0.25">
      <c r="F72" s="6"/>
      <c r="G72" s="6"/>
      <c r="H72" s="6"/>
      <c r="I72" s="6"/>
      <c r="J72" s="6"/>
      <c r="K72" s="6"/>
      <c r="L72" s="6"/>
      <c r="M72" s="6"/>
      <c r="N72" s="6"/>
      <c r="O72" s="6"/>
      <c r="R72" s="7"/>
    </row>
    <row r="73" spans="2:18" ht="20.100000000000001" customHeight="1" x14ac:dyDescent="0.25">
      <c r="B73" s="4" t="s">
        <v>18</v>
      </c>
      <c r="G73" s="6"/>
      <c r="H73" s="6"/>
      <c r="I73" s="6"/>
      <c r="K73" s="6"/>
      <c r="L73" s="6"/>
      <c r="M73" s="6"/>
      <c r="O73" s="6"/>
      <c r="R73" s="13"/>
    </row>
    <row r="74" spans="2:18" ht="20.100000000000001" customHeight="1" x14ac:dyDescent="0.25">
      <c r="C74" s="1" t="s">
        <v>19</v>
      </c>
      <c r="F74" s="6">
        <v>175000</v>
      </c>
      <c r="G74" s="6">
        <f>F74</f>
        <v>175000</v>
      </c>
      <c r="H74" s="6">
        <f t="shared" ref="H74:N74" si="35">G74</f>
        <v>175000</v>
      </c>
      <c r="I74" s="6">
        <f t="shared" si="35"/>
        <v>175000</v>
      </c>
      <c r="J74" s="6">
        <f t="shared" si="35"/>
        <v>175000</v>
      </c>
      <c r="K74" s="6">
        <f t="shared" si="35"/>
        <v>175000</v>
      </c>
      <c r="L74" s="6">
        <f t="shared" si="35"/>
        <v>175000</v>
      </c>
      <c r="M74" s="6">
        <f t="shared" si="35"/>
        <v>175000</v>
      </c>
      <c r="N74" s="6">
        <f t="shared" si="35"/>
        <v>175000</v>
      </c>
      <c r="O74" s="6">
        <v>93735.938120719482</v>
      </c>
      <c r="R74" s="7"/>
    </row>
    <row r="75" spans="2:18" ht="20.100000000000001" customHeight="1" x14ac:dyDescent="0.25">
      <c r="C75" s="1" t="s">
        <v>20</v>
      </c>
      <c r="F75" s="6">
        <f>F45</f>
        <v>31335.424542393863</v>
      </c>
      <c r="G75" s="6">
        <f t="shared" ref="G75:O75" si="36">F75+G45</f>
        <v>70648.357143766043</v>
      </c>
      <c r="H75" s="6">
        <f t="shared" si="36"/>
        <v>119327.66947382488</v>
      </c>
      <c r="I75" s="6">
        <f t="shared" si="36"/>
        <v>172556.68046167245</v>
      </c>
      <c r="J75" s="6">
        <f t="shared" si="36"/>
        <v>229238.60610992968</v>
      </c>
      <c r="K75" s="6">
        <f t="shared" si="36"/>
        <v>290712.48250545189</v>
      </c>
      <c r="L75" s="6">
        <f t="shared" si="36"/>
        <v>357129.68512444943</v>
      </c>
      <c r="M75" s="6">
        <f t="shared" si="36"/>
        <v>428646.53420000582</v>
      </c>
      <c r="N75" s="6">
        <f t="shared" si="36"/>
        <v>506631.04154892208</v>
      </c>
      <c r="O75" s="6">
        <f t="shared" si="36"/>
        <v>590043.34320631169</v>
      </c>
      <c r="R75" s="7"/>
    </row>
    <row r="76" spans="2:18" ht="20.100000000000001" customHeight="1" x14ac:dyDescent="0.25">
      <c r="F76" s="6"/>
      <c r="G76" s="6"/>
      <c r="H76" s="6"/>
      <c r="I76" s="6"/>
      <c r="J76" s="6"/>
      <c r="K76" s="6"/>
      <c r="L76" s="6"/>
      <c r="M76" s="6"/>
      <c r="N76" s="6"/>
      <c r="O76" s="6"/>
      <c r="R76" s="7"/>
    </row>
    <row r="77" spans="2:18" ht="20.100000000000001" customHeight="1" x14ac:dyDescent="0.25">
      <c r="B77" s="4" t="s">
        <v>21</v>
      </c>
      <c r="F77" s="165">
        <f t="shared" ref="F77:O77" si="37">SUM(F68:F75)</f>
        <v>1112979.1258969342</v>
      </c>
      <c r="G77" s="165">
        <f t="shared" si="37"/>
        <v>1048225.9778212657</v>
      </c>
      <c r="H77" s="165">
        <f t="shared" si="37"/>
        <v>988490.85574552452</v>
      </c>
      <c r="I77" s="165">
        <f t="shared" si="37"/>
        <v>1031225.878558483</v>
      </c>
      <c r="J77" s="165">
        <f t="shared" si="37"/>
        <v>1076131.7462159765</v>
      </c>
      <c r="K77" s="165">
        <f t="shared" si="37"/>
        <v>1126079.6498059181</v>
      </c>
      <c r="L77" s="165">
        <f t="shared" si="37"/>
        <v>1180435.37729104</v>
      </c>
      <c r="M77" s="165">
        <f t="shared" si="37"/>
        <v>1239331.0085890247</v>
      </c>
      <c r="N77" s="165">
        <f t="shared" si="37"/>
        <v>1304880.6543332052</v>
      </c>
      <c r="O77" s="165">
        <f t="shared" si="37"/>
        <v>1293211.0988762875</v>
      </c>
      <c r="R77" s="11"/>
    </row>
    <row r="78" spans="2:18" ht="20.100000000000001" customHeight="1" x14ac:dyDescent="0.25">
      <c r="F78" s="6"/>
      <c r="G78" s="6"/>
      <c r="H78" s="6"/>
      <c r="I78" s="6"/>
      <c r="J78" s="6"/>
      <c r="K78" s="6"/>
      <c r="L78" s="6"/>
      <c r="M78" s="6"/>
      <c r="N78" s="6"/>
      <c r="O78" s="6"/>
    </row>
    <row r="79" spans="2:18" ht="20.100000000000001" customHeight="1" x14ac:dyDescent="0.25">
      <c r="F79" s="6"/>
      <c r="G79" s="6"/>
      <c r="H79" s="6"/>
      <c r="I79" s="6"/>
      <c r="J79" s="6"/>
      <c r="K79" s="6"/>
      <c r="L79" s="6"/>
      <c r="M79" s="6"/>
      <c r="N79" s="6"/>
      <c r="O79" s="6"/>
    </row>
    <row r="80" spans="2:18" s="150" customFormat="1" ht="20.100000000000001" customHeight="1" x14ac:dyDescent="0.25">
      <c r="B80" s="168" t="s">
        <v>172</v>
      </c>
      <c r="C80" s="169"/>
      <c r="D80" s="169"/>
      <c r="E80" s="168"/>
      <c r="F80" s="169"/>
      <c r="G80" s="169"/>
      <c r="H80" s="169"/>
      <c r="I80" s="169"/>
      <c r="J80" s="169"/>
      <c r="K80" s="169"/>
      <c r="L80" s="169"/>
      <c r="M80" s="169"/>
      <c r="N80" s="169"/>
      <c r="O80" s="169"/>
      <c r="P80" s="170"/>
      <c r="Q80" s="170"/>
      <c r="R80" s="171"/>
    </row>
    <row r="81" spans="2:18" s="150" customFormat="1" ht="20.100000000000001" customHeight="1" x14ac:dyDescent="0.25">
      <c r="B81" s="168"/>
      <c r="C81" s="169"/>
      <c r="D81" s="169"/>
      <c r="E81" s="168"/>
      <c r="F81" s="169"/>
      <c r="G81" s="169"/>
      <c r="H81" s="169"/>
      <c r="I81" s="169"/>
      <c r="J81" s="169"/>
      <c r="K81" s="169"/>
      <c r="L81" s="169"/>
      <c r="M81" s="169"/>
      <c r="N81" s="169"/>
      <c r="O81" s="169"/>
      <c r="P81" s="172"/>
      <c r="Q81" s="172"/>
      <c r="R81" s="169"/>
    </row>
    <row r="82" spans="2:18" ht="20.100000000000001" customHeight="1" x14ac:dyDescent="0.25">
      <c r="B82" s="130" t="s">
        <v>102</v>
      </c>
      <c r="F82" s="136">
        <f>Loan!D5</f>
        <v>4.2500000000000003E-2</v>
      </c>
    </row>
    <row r="84" spans="2:18" ht="20.100000000000001" customHeight="1" x14ac:dyDescent="0.25">
      <c r="B84" s="130" t="s">
        <v>103</v>
      </c>
      <c r="F84" s="1">
        <v>1.46</v>
      </c>
    </row>
    <row r="85" spans="2:18" ht="20.100000000000001" customHeight="1" x14ac:dyDescent="0.25">
      <c r="B85" s="130" t="s">
        <v>105</v>
      </c>
      <c r="F85" s="125">
        <f>SUM(O70:O71)/SUM(O70:O75)</f>
        <v>0.44851258094020235</v>
      </c>
    </row>
    <row r="86" spans="2:18" ht="20.100000000000001" customHeight="1" x14ac:dyDescent="0.25">
      <c r="B86" s="130" t="s">
        <v>104</v>
      </c>
      <c r="F86" s="125">
        <f>SUM(O74:O75)/SUM(O70:O75)</f>
        <v>0.55148741905979748</v>
      </c>
    </row>
    <row r="87" spans="2:18" ht="20.100000000000001" customHeight="1" x14ac:dyDescent="0.25">
      <c r="B87" s="137" t="s">
        <v>118</v>
      </c>
      <c r="F87" s="125">
        <f>P43</f>
        <v>0.39</v>
      </c>
    </row>
    <row r="89" spans="2:18" ht="20.100000000000001" customHeight="1" x14ac:dyDescent="0.25">
      <c r="B89" s="130" t="s">
        <v>106</v>
      </c>
    </row>
    <row r="90" spans="2:18" ht="20.100000000000001" customHeight="1" x14ac:dyDescent="0.25">
      <c r="B90" s="130" t="s">
        <v>107</v>
      </c>
      <c r="F90" s="125">
        <v>0.12</v>
      </c>
    </row>
    <row r="91" spans="2:18" ht="20.100000000000001" customHeight="1" x14ac:dyDescent="0.25">
      <c r="B91" s="130" t="s">
        <v>108</v>
      </c>
      <c r="F91" s="125">
        <v>0.01</v>
      </c>
    </row>
    <row r="92" spans="2:18" ht="20.100000000000001" customHeight="1" x14ac:dyDescent="0.25">
      <c r="B92" s="130" t="s">
        <v>109</v>
      </c>
      <c r="F92" s="125">
        <f>F91+F84*(F90-F91)</f>
        <v>0.1706</v>
      </c>
    </row>
    <row r="94" spans="2:18" ht="20.100000000000001" customHeight="1" x14ac:dyDescent="0.25">
      <c r="B94" s="130" t="s">
        <v>110</v>
      </c>
      <c r="F94" s="164">
        <f>F82*(1-F87)*F85+F92*F86</f>
        <v>0.10571144235247619</v>
      </c>
    </row>
    <row r="96" spans="2:18" s="150" customFormat="1" ht="20.100000000000001" customHeight="1" x14ac:dyDescent="0.25">
      <c r="B96" s="168" t="s">
        <v>163</v>
      </c>
      <c r="C96" s="169"/>
      <c r="D96" s="168"/>
      <c r="E96" s="188">
        <v>0</v>
      </c>
      <c r="F96" s="177">
        <v>1</v>
      </c>
      <c r="G96" s="177">
        <v>2</v>
      </c>
      <c r="H96" s="177">
        <v>3</v>
      </c>
      <c r="I96" s="177">
        <v>4</v>
      </c>
      <c r="J96" s="177">
        <v>5</v>
      </c>
      <c r="K96" s="177">
        <v>6</v>
      </c>
      <c r="L96" s="177">
        <v>7</v>
      </c>
      <c r="M96" s="177">
        <v>8</v>
      </c>
      <c r="N96" s="177">
        <v>9</v>
      </c>
      <c r="O96" s="177">
        <v>10</v>
      </c>
      <c r="P96" s="170"/>
      <c r="Q96" s="170"/>
      <c r="R96" s="171"/>
    </row>
    <row r="98" spans="2:17" ht="20.100000000000001" customHeight="1" x14ac:dyDescent="0.25">
      <c r="B98" s="166" t="s">
        <v>119</v>
      </c>
      <c r="C98" s="138"/>
    </row>
    <row r="99" spans="2:17" ht="20.100000000000001" customHeight="1" x14ac:dyDescent="0.25">
      <c r="B99" s="138"/>
      <c r="C99" s="138" t="s">
        <v>120</v>
      </c>
      <c r="F99" s="10">
        <f t="shared" ref="F99:O99" si="38">F35</f>
        <v>135050</v>
      </c>
      <c r="G99" s="10">
        <f t="shared" si="38"/>
        <v>139868.13417721516</v>
      </c>
      <c r="H99" s="10">
        <f t="shared" si="38"/>
        <v>146564.72486506333</v>
      </c>
      <c r="I99" s="10">
        <f t="shared" si="38"/>
        <v>153466.52698004257</v>
      </c>
      <c r="J99" s="10">
        <f t="shared" si="38"/>
        <v>158546.19555660657</v>
      </c>
      <c r="K99" s="10">
        <f t="shared" si="38"/>
        <v>165795.8326653823</v>
      </c>
      <c r="L99" s="10">
        <f t="shared" si="38"/>
        <v>173267.36277602694</v>
      </c>
      <c r="M99" s="10">
        <f t="shared" si="38"/>
        <v>180967.75384652137</v>
      </c>
      <c r="N99" s="10">
        <f t="shared" si="38"/>
        <v>190882.19799445174</v>
      </c>
      <c r="O99" s="10">
        <f t="shared" si="38"/>
        <v>199062.11888019182</v>
      </c>
    </row>
    <row r="100" spans="2:17" ht="20.100000000000001" customHeight="1" x14ac:dyDescent="0.25">
      <c r="B100" s="138"/>
      <c r="C100" s="138" t="s">
        <v>121</v>
      </c>
      <c r="F100" s="10">
        <f t="shared" ref="F100:O100" si="39">F38++F39</f>
        <v>64952.380952380947</v>
      </c>
      <c r="G100" s="10">
        <f t="shared" si="39"/>
        <v>64952.380952380947</v>
      </c>
      <c r="H100" s="10">
        <f t="shared" si="39"/>
        <v>64952.380952380947</v>
      </c>
      <c r="I100" s="10">
        <f t="shared" si="39"/>
        <v>64952.380952380947</v>
      </c>
      <c r="J100" s="10">
        <f t="shared" si="39"/>
        <v>64952.380952380947</v>
      </c>
      <c r="K100" s="10">
        <f t="shared" si="39"/>
        <v>64952.380952380947</v>
      </c>
      <c r="L100" s="10">
        <f t="shared" si="39"/>
        <v>64952.380952380947</v>
      </c>
      <c r="M100" s="10">
        <f t="shared" si="39"/>
        <v>64952.380952380947</v>
      </c>
      <c r="N100" s="10">
        <f t="shared" si="39"/>
        <v>64952.380952380947</v>
      </c>
      <c r="O100" s="10">
        <f t="shared" si="39"/>
        <v>69594.501110080266</v>
      </c>
    </row>
    <row r="101" spans="2:17" ht="20.100000000000001" customHeight="1" x14ac:dyDescent="0.25">
      <c r="B101" s="138"/>
      <c r="C101" s="138" t="s">
        <v>122</v>
      </c>
      <c r="F101" s="10">
        <f>F99-F100</f>
        <v>70097.619047619053</v>
      </c>
      <c r="G101" s="10">
        <f t="shared" ref="G101:O101" si="40">G99-G100</f>
        <v>74915.753224834218</v>
      </c>
      <c r="H101" s="10">
        <f t="shared" si="40"/>
        <v>81612.34391268238</v>
      </c>
      <c r="I101" s="10">
        <f t="shared" si="40"/>
        <v>88514.146027661627</v>
      </c>
      <c r="J101" s="10">
        <f t="shared" si="40"/>
        <v>93593.814604225627</v>
      </c>
      <c r="K101" s="10">
        <f t="shared" si="40"/>
        <v>100843.45171300136</v>
      </c>
      <c r="L101" s="10">
        <f t="shared" si="40"/>
        <v>108314.981823646</v>
      </c>
      <c r="M101" s="10">
        <f t="shared" si="40"/>
        <v>116015.37289414043</v>
      </c>
      <c r="N101" s="10">
        <f t="shared" si="40"/>
        <v>125929.81704207079</v>
      </c>
      <c r="O101" s="10">
        <f t="shared" si="40"/>
        <v>129467.61777011155</v>
      </c>
    </row>
    <row r="102" spans="2:17" ht="20.100000000000001" customHeight="1" x14ac:dyDescent="0.25">
      <c r="B102" s="138"/>
      <c r="C102" s="138" t="s">
        <v>162</v>
      </c>
      <c r="F102" s="10">
        <f>F101*$F$87</f>
        <v>27338.071428571431</v>
      </c>
      <c r="G102" s="10">
        <f t="shared" ref="G102:O102" si="41">G101*$F$87</f>
        <v>29217.143757685346</v>
      </c>
      <c r="H102" s="10">
        <f t="shared" si="41"/>
        <v>31828.81412594613</v>
      </c>
      <c r="I102" s="10">
        <f t="shared" si="41"/>
        <v>34520.516950788035</v>
      </c>
      <c r="J102" s="10">
        <f t="shared" si="41"/>
        <v>36501.587695647999</v>
      </c>
      <c r="K102" s="10">
        <f t="shared" si="41"/>
        <v>39328.946168070528</v>
      </c>
      <c r="L102" s="10">
        <f t="shared" si="41"/>
        <v>42242.842911221938</v>
      </c>
      <c r="M102" s="10">
        <f t="shared" si="41"/>
        <v>45245.99542871477</v>
      </c>
      <c r="N102" s="10">
        <f t="shared" si="41"/>
        <v>49112.628646407611</v>
      </c>
      <c r="O102" s="10">
        <f t="shared" si="41"/>
        <v>50492.37093034351</v>
      </c>
    </row>
    <row r="103" spans="2:17" ht="20.100000000000001" customHeight="1" x14ac:dyDescent="0.25">
      <c r="B103" s="138"/>
      <c r="C103" s="138" t="s">
        <v>124</v>
      </c>
      <c r="F103" s="10">
        <f>F100</f>
        <v>64952.380952380947</v>
      </c>
      <c r="G103" s="10">
        <f t="shared" ref="G103:O103" si="42">G100</f>
        <v>64952.380952380947</v>
      </c>
      <c r="H103" s="10">
        <f t="shared" si="42"/>
        <v>64952.380952380947</v>
      </c>
      <c r="I103" s="10">
        <f t="shared" si="42"/>
        <v>64952.380952380947</v>
      </c>
      <c r="J103" s="10">
        <f t="shared" si="42"/>
        <v>64952.380952380947</v>
      </c>
      <c r="K103" s="10">
        <f t="shared" si="42"/>
        <v>64952.380952380947</v>
      </c>
      <c r="L103" s="10">
        <f t="shared" si="42"/>
        <v>64952.380952380947</v>
      </c>
      <c r="M103" s="10">
        <f t="shared" si="42"/>
        <v>64952.380952380947</v>
      </c>
      <c r="N103" s="10">
        <f t="shared" si="42"/>
        <v>64952.380952380947</v>
      </c>
      <c r="O103" s="10">
        <f t="shared" si="42"/>
        <v>69594.501110080266</v>
      </c>
    </row>
    <row r="104" spans="2:17" ht="20.100000000000001" customHeight="1" x14ac:dyDescent="0.25">
      <c r="B104" s="138"/>
      <c r="C104" s="138" t="s">
        <v>125</v>
      </c>
      <c r="F104" s="14">
        <f>F101+F103-F102</f>
        <v>107711.92857142857</v>
      </c>
      <c r="G104" s="14">
        <f t="shared" ref="G104:O104" si="43">G101+G103-G102</f>
        <v>110650.99041952981</v>
      </c>
      <c r="H104" s="14">
        <f t="shared" si="43"/>
        <v>114735.9107391172</v>
      </c>
      <c r="I104" s="14">
        <f t="shared" si="43"/>
        <v>118946.01002925454</v>
      </c>
      <c r="J104" s="14">
        <f t="shared" si="43"/>
        <v>122044.60786095858</v>
      </c>
      <c r="K104" s="14">
        <f t="shared" si="43"/>
        <v>126466.88649731177</v>
      </c>
      <c r="L104" s="14">
        <f t="shared" si="43"/>
        <v>131024.51986480501</v>
      </c>
      <c r="M104" s="14">
        <f t="shared" si="43"/>
        <v>135721.75841780659</v>
      </c>
      <c r="N104" s="14">
        <f t="shared" si="43"/>
        <v>141769.56934804411</v>
      </c>
      <c r="O104" s="14">
        <f t="shared" si="43"/>
        <v>148569.7479498483</v>
      </c>
    </row>
    <row r="105" spans="2:17" ht="20.100000000000001" customHeight="1" x14ac:dyDescent="0.25">
      <c r="B105" s="166" t="s">
        <v>164</v>
      </c>
      <c r="C105" s="138"/>
    </row>
    <row r="106" spans="2:17" ht="20.100000000000001" customHeight="1" x14ac:dyDescent="0.25">
      <c r="B106" s="138"/>
      <c r="C106" s="138" t="s">
        <v>127</v>
      </c>
      <c r="E106" s="6">
        <f>-F57</f>
        <v>-800000</v>
      </c>
      <c r="F106" s="8">
        <v>0</v>
      </c>
      <c r="G106" s="8">
        <v>0</v>
      </c>
      <c r="H106" s="8">
        <v>0</v>
      </c>
      <c r="I106" s="8">
        <v>0</v>
      </c>
      <c r="J106" s="8">
        <v>0</v>
      </c>
      <c r="K106" s="8">
        <v>0</v>
      </c>
      <c r="L106" s="8">
        <v>0</v>
      </c>
      <c r="M106" s="8">
        <v>0</v>
      </c>
      <c r="N106" s="8">
        <v>0</v>
      </c>
      <c r="O106" s="8">
        <v>0</v>
      </c>
    </row>
    <row r="107" spans="2:17" ht="20.100000000000001" customHeight="1" x14ac:dyDescent="0.25">
      <c r="B107" s="138"/>
      <c r="C107" s="138" t="s">
        <v>128</v>
      </c>
      <c r="E107" s="8">
        <v>0</v>
      </c>
      <c r="F107" s="8">
        <v>0</v>
      </c>
      <c r="G107" s="8">
        <v>0</v>
      </c>
      <c r="H107" s="8">
        <v>0</v>
      </c>
      <c r="I107" s="8">
        <v>0</v>
      </c>
      <c r="J107" s="8">
        <v>0</v>
      </c>
      <c r="K107" s="8">
        <v>0</v>
      </c>
      <c r="L107" s="8">
        <v>0</v>
      </c>
      <c r="M107" s="8">
        <v>0</v>
      </c>
      <c r="N107" s="8">
        <v>0</v>
      </c>
      <c r="O107" s="10">
        <f>Q107*Q108</f>
        <v>935136.74506925896</v>
      </c>
      <c r="P107" s="138" t="s">
        <v>136</v>
      </c>
      <c r="Q107" s="139">
        <f>O57-O58</f>
        <v>667954.81790661358</v>
      </c>
    </row>
    <row r="108" spans="2:17" ht="20.100000000000001" customHeight="1" x14ac:dyDescent="0.25">
      <c r="B108" s="138"/>
      <c r="C108" s="138" t="s">
        <v>129</v>
      </c>
      <c r="E108" s="8">
        <v>0</v>
      </c>
      <c r="F108" s="8">
        <v>0</v>
      </c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  <c r="N108" s="8">
        <v>0</v>
      </c>
      <c r="O108" s="6">
        <f>(O107-Q107)*-F87</f>
        <v>-104200.9515934317</v>
      </c>
      <c r="P108" s="138" t="s">
        <v>137</v>
      </c>
      <c r="Q108" s="140">
        <v>1.4</v>
      </c>
    </row>
    <row r="109" spans="2:17" ht="20.100000000000001" customHeight="1" x14ac:dyDescent="0.25">
      <c r="B109" s="138"/>
      <c r="C109" s="138" t="s">
        <v>142</v>
      </c>
      <c r="E109" s="10">
        <f>-F60</f>
        <v>-268000</v>
      </c>
      <c r="F109" s="8">
        <v>0</v>
      </c>
      <c r="G109" s="8">
        <v>0</v>
      </c>
      <c r="H109" s="8">
        <v>0</v>
      </c>
      <c r="I109" s="8">
        <v>0</v>
      </c>
      <c r="J109" s="8">
        <v>0</v>
      </c>
      <c r="K109" s="8">
        <v>0</v>
      </c>
      <c r="L109" s="8">
        <v>0</v>
      </c>
      <c r="M109" s="8">
        <v>0</v>
      </c>
      <c r="N109" s="8">
        <v>0</v>
      </c>
      <c r="O109" s="8">
        <v>0</v>
      </c>
      <c r="P109" s="138"/>
      <c r="Q109" s="140"/>
    </row>
    <row r="110" spans="2:17" ht="20.100000000000001" customHeight="1" x14ac:dyDescent="0.25">
      <c r="B110" s="138"/>
      <c r="C110" s="138" t="s">
        <v>143</v>
      </c>
      <c r="E110" s="8">
        <v>0</v>
      </c>
      <c r="F110" s="8">
        <v>0</v>
      </c>
      <c r="G110" s="8">
        <v>0</v>
      </c>
      <c r="H110" s="8">
        <v>0</v>
      </c>
      <c r="I110" s="8">
        <v>0</v>
      </c>
      <c r="J110" s="8">
        <v>0</v>
      </c>
      <c r="K110" s="8">
        <v>0</v>
      </c>
      <c r="L110" s="8">
        <v>0</v>
      </c>
      <c r="M110" s="8">
        <v>0</v>
      </c>
      <c r="N110" s="8">
        <v>0</v>
      </c>
      <c r="O110" s="6">
        <f>-Q111*E109</f>
        <v>67000</v>
      </c>
      <c r="P110" s="138" t="s">
        <v>136</v>
      </c>
      <c r="Q110" s="143">
        <f>O62</f>
        <v>0</v>
      </c>
    </row>
    <row r="111" spans="2:17" ht="20.100000000000001" customHeight="1" x14ac:dyDescent="0.25">
      <c r="B111" s="138"/>
      <c r="C111" s="138" t="s">
        <v>144</v>
      </c>
      <c r="E111" s="8">
        <v>0</v>
      </c>
      <c r="F111" s="8">
        <v>0</v>
      </c>
      <c r="G111" s="8">
        <v>0</v>
      </c>
      <c r="H111" s="8">
        <v>0</v>
      </c>
      <c r="I111" s="8">
        <v>0</v>
      </c>
      <c r="J111" s="8">
        <v>0</v>
      </c>
      <c r="K111" s="8">
        <v>0</v>
      </c>
      <c r="L111" s="8">
        <v>0</v>
      </c>
      <c r="M111" s="8">
        <v>0</v>
      </c>
      <c r="N111" s="8">
        <v>0</v>
      </c>
      <c r="O111" s="6">
        <f>(O110-Q110)*-F87</f>
        <v>-26130</v>
      </c>
      <c r="P111" s="138" t="s">
        <v>145</v>
      </c>
      <c r="Q111" s="2">
        <v>0.25</v>
      </c>
    </row>
    <row r="112" spans="2:17" ht="20.100000000000001" customHeight="1" x14ac:dyDescent="0.25">
      <c r="B112" s="138"/>
      <c r="C112" s="138" t="s">
        <v>165</v>
      </c>
    </row>
    <row r="113" spans="2:23" ht="20.100000000000001" customHeight="1" x14ac:dyDescent="0.25">
      <c r="B113" s="166" t="s">
        <v>130</v>
      </c>
      <c r="C113" s="138"/>
    </row>
    <row r="114" spans="2:23" ht="20.100000000000001" customHeight="1" x14ac:dyDescent="0.25">
      <c r="B114" s="138"/>
      <c r="C114" s="138" t="str">
        <f>C119</f>
        <v>Accounts Receivable</v>
      </c>
      <c r="F114" s="10">
        <f t="shared" ref="F114:O114" si="44">-(F53-E53)</f>
        <v>-4931.5068493150684</v>
      </c>
      <c r="G114" s="10">
        <f t="shared" si="44"/>
        <v>-199.23287671232902</v>
      </c>
      <c r="H114" s="10">
        <f t="shared" si="44"/>
        <v>-207.28188493150719</v>
      </c>
      <c r="I114" s="10">
        <f t="shared" si="44"/>
        <v>-215.65607308274048</v>
      </c>
      <c r="J114" s="10">
        <f t="shared" si="44"/>
        <v>-224.36857843528287</v>
      </c>
      <c r="K114" s="10">
        <f t="shared" si="44"/>
        <v>-233.43306900406787</v>
      </c>
      <c r="L114" s="10">
        <f t="shared" si="44"/>
        <v>-242.8637649918328</v>
      </c>
      <c r="M114" s="10">
        <f t="shared" si="44"/>
        <v>-252.67546109750219</v>
      </c>
      <c r="N114" s="10">
        <f t="shared" si="44"/>
        <v>-262.88354972584148</v>
      </c>
      <c r="O114" s="10">
        <f t="shared" si="44"/>
        <v>-273.50404513476587</v>
      </c>
    </row>
    <row r="115" spans="2:23" ht="20.100000000000001" customHeight="1" x14ac:dyDescent="0.25">
      <c r="B115" s="138"/>
      <c r="C115" s="138" t="str">
        <f>C120</f>
        <v>Inventory</v>
      </c>
      <c r="F115" s="10">
        <f t="shared" ref="F115:O115" si="45">-(F54-E54)</f>
        <v>0</v>
      </c>
      <c r="G115" s="10">
        <f t="shared" si="45"/>
        <v>0</v>
      </c>
      <c r="H115" s="10">
        <f t="shared" si="45"/>
        <v>0</v>
      </c>
      <c r="I115" s="10">
        <f t="shared" si="45"/>
        <v>0</v>
      </c>
      <c r="J115" s="10">
        <f t="shared" si="45"/>
        <v>0</v>
      </c>
      <c r="K115" s="10">
        <f t="shared" si="45"/>
        <v>0</v>
      </c>
      <c r="L115" s="10">
        <f t="shared" si="45"/>
        <v>0</v>
      </c>
      <c r="M115" s="10">
        <f t="shared" si="45"/>
        <v>0</v>
      </c>
      <c r="N115" s="10">
        <f t="shared" si="45"/>
        <v>0</v>
      </c>
      <c r="O115" s="10">
        <f t="shared" si="45"/>
        <v>0</v>
      </c>
    </row>
    <row r="116" spans="2:23" ht="20.100000000000001" customHeight="1" x14ac:dyDescent="0.25">
      <c r="B116" s="138"/>
      <c r="C116" s="138" t="str">
        <f>C121</f>
        <v>Income Tax Payable</v>
      </c>
      <c r="F116" s="10">
        <f t="shared" ref="F116:O116" si="46">F102-E102</f>
        <v>27338.071428571431</v>
      </c>
      <c r="G116" s="10">
        <f t="shared" si="46"/>
        <v>1879.0723291139147</v>
      </c>
      <c r="H116" s="10">
        <f t="shared" si="46"/>
        <v>2611.670368260784</v>
      </c>
      <c r="I116" s="10">
        <f t="shared" si="46"/>
        <v>2691.7028248419047</v>
      </c>
      <c r="J116" s="10">
        <f t="shared" si="46"/>
        <v>1981.0707448599642</v>
      </c>
      <c r="K116" s="10">
        <f t="shared" si="46"/>
        <v>2827.3584724225293</v>
      </c>
      <c r="L116" s="10">
        <f t="shared" si="46"/>
        <v>2913.8967431514102</v>
      </c>
      <c r="M116" s="10">
        <f t="shared" si="46"/>
        <v>3003.152517492832</v>
      </c>
      <c r="N116" s="10">
        <f t="shared" si="46"/>
        <v>3866.6332176928408</v>
      </c>
      <c r="O116" s="10">
        <f t="shared" si="46"/>
        <v>1379.7422839358987</v>
      </c>
      <c r="U116" s="158"/>
      <c r="V116" s="160"/>
    </row>
    <row r="117" spans="2:23" ht="20.100000000000001" customHeight="1" x14ac:dyDescent="0.25">
      <c r="B117" s="138"/>
      <c r="C117" s="138" t="str">
        <f>C122</f>
        <v>Accounts Payable - COGS</v>
      </c>
      <c r="F117" s="10">
        <f t="shared" ref="F117:O117" si="47">F68-E68</f>
        <v>0</v>
      </c>
      <c r="G117" s="10">
        <f t="shared" si="47"/>
        <v>0</v>
      </c>
      <c r="H117" s="10">
        <f t="shared" si="47"/>
        <v>0</v>
      </c>
      <c r="I117" s="10">
        <f t="shared" si="47"/>
        <v>0</v>
      </c>
      <c r="J117" s="10">
        <f t="shared" si="47"/>
        <v>0</v>
      </c>
      <c r="K117" s="10">
        <f t="shared" si="47"/>
        <v>0</v>
      </c>
      <c r="L117" s="10">
        <f t="shared" si="47"/>
        <v>0</v>
      </c>
      <c r="M117" s="10">
        <f t="shared" si="47"/>
        <v>0</v>
      </c>
      <c r="N117" s="10">
        <f t="shared" si="47"/>
        <v>0</v>
      </c>
      <c r="O117" s="10">
        <f t="shared" si="47"/>
        <v>0</v>
      </c>
      <c r="U117" s="158"/>
      <c r="V117" s="160"/>
    </row>
    <row r="118" spans="2:23" ht="20.100000000000001" customHeight="1" x14ac:dyDescent="0.25">
      <c r="B118" s="166" t="s">
        <v>131</v>
      </c>
      <c r="C118" s="138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</row>
    <row r="119" spans="2:23" ht="20.100000000000001" customHeight="1" x14ac:dyDescent="0.25">
      <c r="B119" s="138"/>
      <c r="C119" s="138" t="s">
        <v>132</v>
      </c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>
        <f>O53</f>
        <v>7043.4061524309382</v>
      </c>
    </row>
    <row r="120" spans="2:23" ht="20.100000000000001" customHeight="1" x14ac:dyDescent="0.25">
      <c r="B120" s="138"/>
      <c r="C120" s="138" t="s">
        <v>133</v>
      </c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>
        <f>O54</f>
        <v>0</v>
      </c>
    </row>
    <row r="121" spans="2:23" ht="20.100000000000001" customHeight="1" x14ac:dyDescent="0.25">
      <c r="B121" s="138"/>
      <c r="C121" s="138" t="s">
        <v>134</v>
      </c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>
        <f>-O102</f>
        <v>-50492.37093034351</v>
      </c>
    </row>
    <row r="122" spans="2:23" ht="20.100000000000001" customHeight="1" x14ac:dyDescent="0.25">
      <c r="B122" s="138"/>
      <c r="C122" s="138" t="s">
        <v>135</v>
      </c>
      <c r="F122" s="6"/>
      <c r="G122" s="6"/>
      <c r="H122" s="6"/>
      <c r="I122" s="6"/>
      <c r="J122" s="6"/>
      <c r="K122" s="6"/>
      <c r="L122" s="6"/>
      <c r="M122" s="6"/>
      <c r="N122" s="6"/>
      <c r="O122" s="6">
        <f>-O68</f>
        <v>0</v>
      </c>
    </row>
    <row r="123" spans="2:23" ht="13.5" customHeight="1" x14ac:dyDescent="0.25">
      <c r="B123" s="224"/>
      <c r="C123" s="224"/>
      <c r="D123" s="224"/>
      <c r="F123" s="151"/>
      <c r="G123" s="151"/>
      <c r="H123" s="151"/>
      <c r="I123" s="151"/>
      <c r="J123" s="6"/>
      <c r="K123" s="6"/>
      <c r="L123" s="6"/>
      <c r="M123" s="6"/>
      <c r="N123" s="6"/>
      <c r="O123" s="6"/>
    </row>
    <row r="124" spans="2:23" ht="20.100000000000001" customHeight="1" x14ac:dyDescent="0.25">
      <c r="B124" s="186" t="s">
        <v>168</v>
      </c>
      <c r="C124" s="187"/>
      <c r="D124" s="187"/>
      <c r="E124" s="159">
        <f>SUM(E104:E122)</f>
        <v>-1068000</v>
      </c>
      <c r="F124" s="159">
        <f>SUM(F104:F122)</f>
        <v>130118.49315068494</v>
      </c>
      <c r="G124" s="159">
        <f>SUM(G104:G122)</f>
        <v>112330.8298719314</v>
      </c>
      <c r="H124" s="159">
        <f>SUM(H104:H122)</f>
        <v>117140.29922244648</v>
      </c>
      <c r="I124" s="159">
        <f>SUM(I104:I122)</f>
        <v>121422.05678101371</v>
      </c>
      <c r="J124" s="162">
        <f t="shared" ref="J124:O124" si="48">SUM(J104:J122)</f>
        <v>123801.31002738327</v>
      </c>
      <c r="K124" s="162">
        <f t="shared" si="48"/>
        <v>129060.81190073024</v>
      </c>
      <c r="L124" s="162">
        <f t="shared" si="48"/>
        <v>133695.55284296459</v>
      </c>
      <c r="M124" s="162">
        <f t="shared" si="48"/>
        <v>138472.23547420191</v>
      </c>
      <c r="N124" s="162">
        <f t="shared" si="48"/>
        <v>145373.31901601111</v>
      </c>
      <c r="O124" s="162">
        <f t="shared" si="48"/>
        <v>978032.81488656416</v>
      </c>
    </row>
    <row r="125" spans="2:23" ht="20.100000000000001" customHeight="1" x14ac:dyDescent="0.25">
      <c r="B125" s="186" t="s">
        <v>169</v>
      </c>
      <c r="C125" s="187"/>
      <c r="D125" s="187"/>
      <c r="E125" s="159">
        <f>'Bad Market Calc'!D121</f>
        <v>-1068000</v>
      </c>
      <c r="F125" s="159">
        <f>'Bad Market Calc'!E121</f>
        <v>33234.931506849316</v>
      </c>
      <c r="G125" s="159">
        <f>'Bad Market Calc'!F121</f>
        <v>37612.043960149393</v>
      </c>
      <c r="H125" s="159">
        <f>'Bad Market Calc'!G121</f>
        <v>41179.046645230424</v>
      </c>
      <c r="I125" s="159">
        <f>'Bad Market Calc'!H121</f>
        <v>44851.456766886782</v>
      </c>
      <c r="J125" s="159">
        <f>'Bad Market Calc'!I121</f>
        <v>48742.592877475698</v>
      </c>
      <c r="K125" s="159">
        <f>'Bad Market Calc'!J121</f>
        <v>52639.833093364556</v>
      </c>
      <c r="L125" s="159">
        <f>'Bad Market Calc'!K121</f>
        <v>56652.419272890795</v>
      </c>
      <c r="M125" s="159">
        <f>'Bad Market Calc'!L121</f>
        <v>60783.810605594641</v>
      </c>
      <c r="N125" s="159">
        <f>'Bad Market Calc'!M121</f>
        <v>67015.571182680491</v>
      </c>
      <c r="O125" s="159">
        <f>'Bad Market Calc'!N121</f>
        <v>317051.70968068403</v>
      </c>
    </row>
    <row r="126" spans="2:23" ht="12.75" customHeight="1" x14ac:dyDescent="0.25"/>
    <row r="127" spans="2:23" ht="20.100000000000001" customHeight="1" x14ac:dyDescent="0.25">
      <c r="B127" s="4" t="s">
        <v>167</v>
      </c>
      <c r="C127" s="4"/>
      <c r="D127" s="4"/>
      <c r="E127" s="191">
        <f>E136*F136+E134*F134</f>
        <v>-275991.12793282408</v>
      </c>
      <c r="F127" s="161"/>
      <c r="G127" s="161"/>
      <c r="H127" s="161"/>
      <c r="I127" s="161"/>
      <c r="J127" s="163"/>
      <c r="K127" s="163"/>
      <c r="L127" s="163"/>
      <c r="M127" s="163"/>
      <c r="N127" s="163"/>
      <c r="O127" s="163"/>
      <c r="W127" s="150"/>
    </row>
    <row r="128" spans="2:23" ht="20.100000000000001" customHeight="1" x14ac:dyDescent="0.25">
      <c r="B128" s="174" t="s">
        <v>171</v>
      </c>
      <c r="C128" s="150"/>
      <c r="D128" s="150"/>
      <c r="E128" s="160" t="str">
        <f>IF(E127&lt;250000,"DON’T INVEST", "INVEST")</f>
        <v>DON’T INVEST</v>
      </c>
      <c r="F128" s="161"/>
      <c r="G128" s="161"/>
      <c r="H128" s="161"/>
      <c r="I128" s="161"/>
      <c r="J128" s="163"/>
      <c r="K128" s="163"/>
      <c r="L128" s="163"/>
      <c r="M128" s="163"/>
      <c r="N128" s="163"/>
      <c r="O128" s="163"/>
    </row>
    <row r="129" spans="2:19" ht="20.100000000000001" customHeight="1" x14ac:dyDescent="0.25">
      <c r="B129" s="150"/>
      <c r="C129" s="150"/>
      <c r="D129" s="150"/>
      <c r="E129" s="161"/>
      <c r="F129" s="161"/>
      <c r="G129" s="161"/>
      <c r="H129" s="161"/>
      <c r="I129" s="161"/>
      <c r="J129" s="163"/>
      <c r="K129" s="163"/>
      <c r="L129" s="163"/>
      <c r="M129" s="163"/>
      <c r="N129" s="163"/>
      <c r="O129" s="163"/>
    </row>
    <row r="130" spans="2:19" ht="20.100000000000001" customHeight="1" x14ac:dyDescent="0.25">
      <c r="B130" s="174" t="s">
        <v>186</v>
      </c>
      <c r="C130" s="150"/>
      <c r="D130" s="150"/>
      <c r="F130" s="190">
        <f>F4</f>
        <v>2012</v>
      </c>
      <c r="G130" s="190">
        <f t="shared" ref="G130:O130" si="49">G4</f>
        <v>2013</v>
      </c>
      <c r="H130" s="190">
        <f t="shared" si="49"/>
        <v>2014</v>
      </c>
      <c r="I130" s="190">
        <f t="shared" si="49"/>
        <v>2015</v>
      </c>
      <c r="J130" s="190">
        <f t="shared" si="49"/>
        <v>2016</v>
      </c>
      <c r="K130" s="190">
        <f t="shared" si="49"/>
        <v>2017</v>
      </c>
      <c r="L130" s="190">
        <f t="shared" si="49"/>
        <v>2018</v>
      </c>
      <c r="M130" s="190">
        <f t="shared" si="49"/>
        <v>2019</v>
      </c>
      <c r="N130" s="190">
        <f t="shared" si="49"/>
        <v>2020</v>
      </c>
      <c r="O130" s="190">
        <f t="shared" si="49"/>
        <v>2021</v>
      </c>
    </row>
    <row r="131" spans="2:19" ht="20.100000000000001" customHeight="1" x14ac:dyDescent="0.25">
      <c r="B131" s="150"/>
      <c r="C131" s="150"/>
      <c r="D131" s="150"/>
      <c r="E131" s="161"/>
      <c r="F131" s="161"/>
      <c r="G131" s="161"/>
      <c r="H131" s="161"/>
      <c r="I131" s="161"/>
      <c r="J131" s="163"/>
      <c r="K131" s="163"/>
      <c r="L131" s="163"/>
      <c r="M131" s="163"/>
      <c r="N131" s="163"/>
      <c r="O131" s="163"/>
    </row>
    <row r="132" spans="2:19" ht="20.100000000000001" customHeight="1" x14ac:dyDescent="0.25">
      <c r="C132" s="4" t="s">
        <v>170</v>
      </c>
      <c r="S132" s="146"/>
    </row>
    <row r="133" spans="2:19" ht="20.100000000000001" customHeight="1" x14ac:dyDescent="0.25">
      <c r="B133" s="156"/>
      <c r="D133" s="167" t="s">
        <v>180</v>
      </c>
      <c r="E133" s="161">
        <f t="shared" ref="E133:O133" si="50">-PV($F$94,E96,,E125)</f>
        <v>-1068000</v>
      </c>
      <c r="F133" s="161">
        <f t="shared" si="50"/>
        <v>30057.508888702232</v>
      </c>
      <c r="G133" s="161">
        <f t="shared" si="50"/>
        <v>30764.037161239332</v>
      </c>
      <c r="H133" s="161">
        <f t="shared" si="50"/>
        <v>30461.471310370245</v>
      </c>
      <c r="I133" s="161">
        <f t="shared" si="50"/>
        <v>30006.085189281221</v>
      </c>
      <c r="J133" s="161">
        <f t="shared" si="50"/>
        <v>29491.686491725006</v>
      </c>
      <c r="K133" s="161">
        <f t="shared" si="50"/>
        <v>28804.721484243859</v>
      </c>
      <c r="L133" s="161">
        <f t="shared" si="50"/>
        <v>28036.631499659481</v>
      </c>
      <c r="M133" s="161">
        <f t="shared" si="50"/>
        <v>27205.298288835402</v>
      </c>
      <c r="N133" s="161">
        <f t="shared" si="50"/>
        <v>27126.857664860348</v>
      </c>
      <c r="O133" s="161">
        <f t="shared" si="50"/>
        <v>116067.88231557694</v>
      </c>
    </row>
    <row r="134" spans="2:19" ht="20.100000000000001" customHeight="1" x14ac:dyDescent="0.25">
      <c r="B134" s="156"/>
      <c r="D134" s="156" t="s">
        <v>160</v>
      </c>
      <c r="E134" s="142">
        <f>SUM(E133:O133)</f>
        <v>-689977.81970550586</v>
      </c>
      <c r="F134" s="178">
        <v>0.4</v>
      </c>
      <c r="G134" s="142"/>
      <c r="H134" s="142"/>
      <c r="I134" s="142"/>
      <c r="J134" s="142"/>
      <c r="K134" s="142"/>
      <c r="L134" s="142"/>
      <c r="M134" s="142"/>
      <c r="N134" s="142"/>
      <c r="O134" s="142"/>
    </row>
    <row r="135" spans="2:19" ht="20.100000000000001" customHeight="1" x14ac:dyDescent="0.25">
      <c r="B135" s="158"/>
      <c r="D135" s="187" t="s">
        <v>181</v>
      </c>
      <c r="E135" s="161">
        <f t="shared" ref="E135:O135" si="51">-PV($F$94,E96,,E124)</f>
        <v>-1068000</v>
      </c>
      <c r="F135" s="161">
        <f t="shared" si="51"/>
        <v>117678.52639188487</v>
      </c>
      <c r="G135" s="161">
        <f t="shared" si="51"/>
        <v>91878.80956946603</v>
      </c>
      <c r="H135" s="161">
        <f t="shared" si="51"/>
        <v>86652.464171752144</v>
      </c>
      <c r="I135" s="161">
        <f t="shared" si="51"/>
        <v>81232.602957920244</v>
      </c>
      <c r="J135" s="163">
        <f t="shared" si="51"/>
        <v>74905.93353887093</v>
      </c>
      <c r="K135" s="163">
        <f t="shared" si="51"/>
        <v>70622.578432900307</v>
      </c>
      <c r="L135" s="163">
        <f t="shared" si="51"/>
        <v>66164.393265286621</v>
      </c>
      <c r="M135" s="163">
        <f t="shared" si="51"/>
        <v>61976.67492815564</v>
      </c>
      <c r="N135" s="163">
        <f t="shared" si="51"/>
        <v>58844.851481842379</v>
      </c>
      <c r="O135" s="163">
        <f t="shared" si="51"/>
        <v>358043.16517755127</v>
      </c>
    </row>
    <row r="136" spans="2:19" ht="20.100000000000001" customHeight="1" x14ac:dyDescent="0.25">
      <c r="B136" s="158"/>
      <c r="D136" s="158" t="s">
        <v>161</v>
      </c>
      <c r="E136" s="161">
        <f>SUM(E135:O135)</f>
        <v>-8.4369559772312641E-5</v>
      </c>
      <c r="F136" s="179">
        <v>0.6</v>
      </c>
      <c r="G136" s="161"/>
      <c r="H136" s="161"/>
      <c r="I136" s="161"/>
      <c r="J136" s="163"/>
      <c r="K136" s="163"/>
      <c r="L136" s="163"/>
      <c r="M136" s="163"/>
      <c r="N136" s="163"/>
      <c r="O136" s="163"/>
    </row>
    <row r="137" spans="2:19" ht="20.100000000000001" customHeight="1" x14ac:dyDescent="0.25">
      <c r="B137" s="146"/>
      <c r="E137" s="142"/>
    </row>
    <row r="138" spans="2:19" ht="20.100000000000001" customHeight="1" x14ac:dyDescent="0.25">
      <c r="C138" s="4" t="s">
        <v>166</v>
      </c>
    </row>
    <row r="139" spans="2:19" ht="20.100000000000001" customHeight="1" x14ac:dyDescent="0.25">
      <c r="D139" s="146" t="s">
        <v>150</v>
      </c>
      <c r="E139" s="6">
        <f t="shared" ref="E139:O139" si="52">E124</f>
        <v>-1068000</v>
      </c>
      <c r="F139" s="6">
        <f t="shared" si="52"/>
        <v>130118.49315068494</v>
      </c>
      <c r="G139" s="6">
        <f t="shared" si="52"/>
        <v>112330.8298719314</v>
      </c>
      <c r="H139" s="6">
        <f t="shared" si="52"/>
        <v>117140.29922244648</v>
      </c>
      <c r="I139" s="6">
        <f t="shared" si="52"/>
        <v>121422.05678101371</v>
      </c>
      <c r="J139" s="6">
        <f t="shared" si="52"/>
        <v>123801.31002738327</v>
      </c>
      <c r="K139" s="6">
        <f t="shared" si="52"/>
        <v>129060.81190073024</v>
      </c>
      <c r="L139" s="6">
        <f t="shared" si="52"/>
        <v>133695.55284296459</v>
      </c>
      <c r="M139" s="6">
        <f t="shared" si="52"/>
        <v>138472.23547420191</v>
      </c>
      <c r="N139" s="6">
        <f t="shared" si="52"/>
        <v>145373.31901601111</v>
      </c>
      <c r="O139" s="6">
        <f t="shared" si="52"/>
        <v>978032.81488656416</v>
      </c>
    </row>
    <row r="140" spans="2:19" ht="20.100000000000001" customHeight="1" x14ac:dyDescent="0.25">
      <c r="D140" s="146" t="s">
        <v>149</v>
      </c>
      <c r="E140" s="6">
        <f>'Bad Market Calc'!D121</f>
        <v>-1068000</v>
      </c>
      <c r="F140" s="6">
        <f>'Bad Market Calc'!E121</f>
        <v>33234.931506849316</v>
      </c>
      <c r="G140" s="6">
        <f>'Bad Market Calc'!F121</f>
        <v>37612.043960149393</v>
      </c>
      <c r="H140" s="6">
        <f>'Bad Market Calc'!G121</f>
        <v>41179.046645230424</v>
      </c>
      <c r="I140" s="6">
        <f>'Bad Market Calc'!H121</f>
        <v>44851.456766886782</v>
      </c>
      <c r="J140" s="6">
        <f>'Bad Market Calc'!I121</f>
        <v>48742.592877475698</v>
      </c>
      <c r="K140" s="6">
        <f>'Bad Market Calc'!J121</f>
        <v>52639.833093364556</v>
      </c>
      <c r="L140" s="6">
        <f>'Bad Market Calc'!K121</f>
        <v>56652.419272890795</v>
      </c>
      <c r="M140" s="6">
        <f>'Bad Market Calc'!L121</f>
        <v>60783.810605594641</v>
      </c>
      <c r="N140" s="6">
        <f>'Bad Market Calc'!M121</f>
        <v>67015.571182680491</v>
      </c>
      <c r="O140" s="6">
        <f>'Bad Market Calc'!N121</f>
        <v>317051.70968068403</v>
      </c>
    </row>
    <row r="141" spans="2:19" ht="20.100000000000001" customHeight="1" x14ac:dyDescent="0.25">
      <c r="D141" s="14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</row>
    <row r="142" spans="2:19" ht="20.100000000000001" customHeight="1" x14ac:dyDescent="0.25">
      <c r="D142" s="156" t="s">
        <v>157</v>
      </c>
      <c r="E142" s="6">
        <f>STDEV(F139:R139)</f>
        <v>269005.07014184305</v>
      </c>
      <c r="F142" s="125">
        <f t="shared" ref="F142:O142" si="53">F139/$E$142</f>
        <v>0.48370275356548137</v>
      </c>
      <c r="G142" s="125">
        <f t="shared" si="53"/>
        <v>0.41757885757580981</v>
      </c>
      <c r="H142" s="125">
        <f t="shared" si="53"/>
        <v>0.43545758881302815</v>
      </c>
      <c r="I142" s="125">
        <f t="shared" si="53"/>
        <v>0.45137460315149214</v>
      </c>
      <c r="J142" s="125">
        <f t="shared" si="53"/>
        <v>0.46021924405404091</v>
      </c>
      <c r="K142" s="125">
        <f t="shared" si="53"/>
        <v>0.4797709271155301</v>
      </c>
      <c r="L142" s="125">
        <f t="shared" si="53"/>
        <v>0.49700012260909648</v>
      </c>
      <c r="M142" s="125">
        <f t="shared" si="53"/>
        <v>0.51475697242876206</v>
      </c>
      <c r="N142" s="125">
        <f t="shared" si="53"/>
        <v>0.5404110745546824</v>
      </c>
      <c r="O142" s="125">
        <f t="shared" si="53"/>
        <v>3.6357411939145217</v>
      </c>
    </row>
    <row r="143" spans="2:19" ht="20.100000000000001" customHeight="1" x14ac:dyDescent="0.25">
      <c r="D143" s="156" t="s">
        <v>158</v>
      </c>
      <c r="E143" s="6">
        <f>STDEV(F140:R140)</f>
        <v>85353.111532676019</v>
      </c>
      <c r="F143" s="125">
        <f t="shared" ref="F143:O143" si="54">F140/$E$142</f>
        <v>0.12354760261330743</v>
      </c>
      <c r="G143" s="125">
        <f t="shared" si="54"/>
        <v>0.13981908943321042</v>
      </c>
      <c r="H143" s="125">
        <f t="shared" si="54"/>
        <v>0.15307907253761879</v>
      </c>
      <c r="I143" s="125">
        <f t="shared" si="54"/>
        <v>0.16673089746314879</v>
      </c>
      <c r="J143" s="125">
        <f t="shared" si="54"/>
        <v>0.18119581482897082</v>
      </c>
      <c r="K143" s="125">
        <f t="shared" si="54"/>
        <v>0.19568342360836627</v>
      </c>
      <c r="L143" s="125">
        <f t="shared" si="54"/>
        <v>0.21059981970978717</v>
      </c>
      <c r="M143" s="125">
        <f t="shared" si="54"/>
        <v>0.22595786233153184</v>
      </c>
      <c r="N143" s="125">
        <f t="shared" si="54"/>
        <v>0.24912382189430113</v>
      </c>
      <c r="O143" s="125">
        <f t="shared" si="54"/>
        <v>1.1786086764591708</v>
      </c>
    </row>
    <row r="144" spans="2:19" ht="20.100000000000001" customHeight="1" x14ac:dyDescent="0.25">
      <c r="G144" s="124"/>
      <c r="H144" s="124"/>
      <c r="I144" s="124"/>
      <c r="J144" s="124"/>
      <c r="K144" s="124"/>
      <c r="L144" s="124"/>
      <c r="M144" s="124"/>
      <c r="N144" s="124"/>
      <c r="O144" s="124"/>
    </row>
    <row r="145" spans="2:15" ht="20.100000000000001" customHeight="1" x14ac:dyDescent="0.25">
      <c r="D145" s="167" t="s">
        <v>182</v>
      </c>
      <c r="E145" s="145">
        <f>AVERAGE(F142:O142)</f>
        <v>0.79160133377824449</v>
      </c>
    </row>
    <row r="146" spans="2:15" ht="20.100000000000001" customHeight="1" x14ac:dyDescent="0.25">
      <c r="D146" s="167" t="s">
        <v>183</v>
      </c>
      <c r="E146" s="145">
        <f>AVERAGE(F143:O143)</f>
        <v>0.28243460808794135</v>
      </c>
    </row>
    <row r="147" spans="2:15" ht="20.100000000000001" customHeight="1" x14ac:dyDescent="0.25">
      <c r="D147" s="156"/>
      <c r="E147" s="145"/>
    </row>
    <row r="148" spans="2:15" ht="20.100000000000001" customHeight="1" x14ac:dyDescent="0.25">
      <c r="D148" s="187" t="s">
        <v>184</v>
      </c>
      <c r="E148" s="160">
        <f>IRR(E124:O124)</f>
        <v>0.10571144233865248</v>
      </c>
    </row>
    <row r="149" spans="2:15" ht="20.100000000000001" customHeight="1" x14ac:dyDescent="0.25">
      <c r="D149" s="187" t="s">
        <v>185</v>
      </c>
      <c r="E149" s="160">
        <f>IRR(E125:O125)</f>
        <v>-4.3863339427381187E-2</v>
      </c>
    </row>
    <row r="151" spans="2:15" ht="20.100000000000001" customHeight="1" x14ac:dyDescent="0.25">
      <c r="B151" s="223" t="s">
        <v>187</v>
      </c>
    </row>
    <row r="152" spans="2:15" ht="20.100000000000001" customHeight="1" x14ac:dyDescent="0.25">
      <c r="D152" s="221" t="s">
        <v>188</v>
      </c>
      <c r="E152" s="6">
        <v>-1068000</v>
      </c>
      <c r="F152" s="6">
        <v>33234.931506849316</v>
      </c>
      <c r="G152" s="6">
        <v>37612.043960149393</v>
      </c>
      <c r="H152" s="6">
        <v>41179.046645230424</v>
      </c>
      <c r="I152" s="6">
        <v>44851.456766886782</v>
      </c>
      <c r="J152" s="6">
        <v>48742.592877475698</v>
      </c>
      <c r="K152" s="6">
        <v>52639.833093364556</v>
      </c>
      <c r="L152" s="6">
        <v>56652.419272890795</v>
      </c>
      <c r="M152" s="6">
        <v>60783.810605594641</v>
      </c>
      <c r="N152" s="6">
        <v>67015.571182680491</v>
      </c>
      <c r="O152" s="6">
        <v>317051.70968068403</v>
      </c>
    </row>
    <row r="153" spans="2:15" ht="20.100000000000001" customHeight="1" x14ac:dyDescent="0.25">
      <c r="D153" s="221" t="s">
        <v>139</v>
      </c>
      <c r="E153" s="222">
        <v>-4.3863339427381187E-2</v>
      </c>
    </row>
    <row r="155" spans="2:15" ht="20.100000000000001" customHeight="1" x14ac:dyDescent="0.25">
      <c r="D155" s="221" t="s">
        <v>189</v>
      </c>
      <c r="E155" s="6">
        <v>-1068000</v>
      </c>
      <c r="F155" s="6">
        <v>32107.106241067406</v>
      </c>
      <c r="G155" s="6">
        <v>35102.632641238502</v>
      </c>
      <c r="H155" s="6">
        <v>37127.475392830085</v>
      </c>
      <c r="I155" s="6">
        <v>39066.280273755649</v>
      </c>
      <c r="J155" s="6">
        <v>41014.791959839655</v>
      </c>
      <c r="K155" s="6">
        <v>42791.032506554628</v>
      </c>
      <c r="L155" s="6">
        <v>44490.071098067201</v>
      </c>
      <c r="M155" s="6">
        <v>46114.652379487547</v>
      </c>
      <c r="N155" s="6">
        <v>49117.145202146778</v>
      </c>
      <c r="O155" s="6">
        <v>224488.38194478379</v>
      </c>
    </row>
    <row r="157" spans="2:15" ht="20.100000000000001" customHeight="1" x14ac:dyDescent="0.25">
      <c r="D157" s="221" t="s">
        <v>141</v>
      </c>
      <c r="E157" s="6">
        <v>-476580.43036022881</v>
      </c>
    </row>
  </sheetData>
  <mergeCells count="1">
    <mergeCell ref="B123:D123"/>
  </mergeCells>
  <hyperlinks>
    <hyperlink ref="M1" r:id="rId1"/>
  </hyperlinks>
  <pageMargins left="0.75" right="0.75" top="1" bottom="1" header="0.5" footer="0.5"/>
  <pageSetup scale="70" orientation="landscape" horizontalDpi="4294967292" verticalDpi="4294967292" r:id="rId2"/>
  <rowBreaks count="5" manualBreakCount="5">
    <brk id="19" min="1" max="14" man="1"/>
    <brk id="46" min="1" max="14" man="1"/>
    <brk id="79" min="1" max="14" man="1"/>
    <brk id="95" min="1" max="14" man="1"/>
    <brk id="129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P39"/>
  <sheetViews>
    <sheetView view="pageBreakPreview" topLeftCell="AI1" zoomScale="60" zoomScaleNormal="100" workbookViewId="0">
      <selection activeCell="BE22" sqref="BE22"/>
    </sheetView>
  </sheetViews>
  <sheetFormatPr defaultRowHeight="12.75" x14ac:dyDescent="0.2"/>
  <cols>
    <col min="1" max="1" width="2.375" style="200" customWidth="1"/>
    <col min="2" max="2" width="18.625" style="200" customWidth="1"/>
    <col min="3" max="11" width="9.625" style="200" customWidth="1"/>
    <col min="12" max="12" width="9" style="200"/>
    <col min="13" max="13" width="4.125" style="200" customWidth="1"/>
    <col min="14" max="14" width="3.125" style="200" customWidth="1"/>
    <col min="15" max="15" width="25.625" style="200" customWidth="1"/>
    <col min="16" max="25" width="8.75" style="200" customWidth="1"/>
    <col min="26" max="26" width="3.875" style="200" customWidth="1"/>
    <col min="27" max="31" width="8.875" style="201" customWidth="1"/>
    <col min="32" max="32" width="2.875" style="201" customWidth="1"/>
    <col min="33" max="35" width="8.875" style="201" customWidth="1"/>
    <col min="36" max="36" width="3.125" style="201" customWidth="1"/>
    <col min="37" max="39" width="8.875" style="201" customWidth="1"/>
    <col min="40" max="41" width="9" style="200"/>
    <col min="42" max="42" width="3" style="200" customWidth="1"/>
    <col min="43" max="43" width="24.5" style="200" customWidth="1"/>
    <col min="44" max="44" width="9.5" style="200" customWidth="1"/>
    <col min="45" max="54" width="8.25" style="200" customWidth="1"/>
    <col min="55" max="55" width="2.875" style="200" customWidth="1"/>
    <col min="56" max="56" width="2.625" style="200" customWidth="1"/>
    <col min="57" max="57" width="17.25" style="200" customWidth="1"/>
    <col min="58" max="16384" width="9" style="200"/>
  </cols>
  <sheetData>
    <row r="2" spans="1:68" x14ac:dyDescent="0.2">
      <c r="A2" s="207" t="str">
        <f>Financials!B20</f>
        <v xml:space="preserve">Income Statement </v>
      </c>
      <c r="C2" s="202">
        <f>Financials!G4</f>
        <v>2013</v>
      </c>
      <c r="D2" s="202">
        <f>Financials!H4</f>
        <v>2014</v>
      </c>
      <c r="E2" s="202">
        <f>Financials!I4</f>
        <v>2015</v>
      </c>
      <c r="F2" s="202">
        <f>Financials!J4</f>
        <v>2016</v>
      </c>
      <c r="G2" s="202">
        <f>Financials!K4</f>
        <v>2017</v>
      </c>
      <c r="H2" s="202">
        <f>Financials!L4</f>
        <v>2018</v>
      </c>
      <c r="I2" s="202">
        <f>Financials!M4</f>
        <v>2019</v>
      </c>
      <c r="J2" s="202">
        <f>Financials!N4</f>
        <v>2020</v>
      </c>
      <c r="K2" s="202">
        <f>Financials!O4</f>
        <v>2021</v>
      </c>
      <c r="N2" s="208" t="str">
        <f>Financials!B47 &amp; " (In 000s)"</f>
        <v>Balance Sheet (In 000s)</v>
      </c>
      <c r="O2" s="201"/>
      <c r="P2" s="202">
        <f>Financials!F47</f>
        <v>2012</v>
      </c>
      <c r="Q2" s="202">
        <f>Financials!G47</f>
        <v>2013</v>
      </c>
      <c r="R2" s="202">
        <f>Financials!H47</f>
        <v>2014</v>
      </c>
      <c r="S2" s="202">
        <f>Financials!I47</f>
        <v>2015</v>
      </c>
      <c r="T2" s="202">
        <f>Financials!J47</f>
        <v>2016</v>
      </c>
      <c r="U2" s="202">
        <f>Financials!K47</f>
        <v>2017</v>
      </c>
      <c r="V2" s="202">
        <f>Financials!L47</f>
        <v>2018</v>
      </c>
      <c r="W2" s="202">
        <f>Financials!M47</f>
        <v>2019</v>
      </c>
      <c r="X2" s="202">
        <f>Financials!N47</f>
        <v>2020</v>
      </c>
      <c r="Y2" s="202">
        <f>Financials!O47</f>
        <v>2021</v>
      </c>
      <c r="Z2" s="201"/>
      <c r="AP2" s="207" t="str">
        <f>Financials!B96</f>
        <v>Statement of Free Cash Flows</v>
      </c>
      <c r="AR2" s="202">
        <f>Financials!E96</f>
        <v>0</v>
      </c>
      <c r="AS2" s="202">
        <f>Financials!F96</f>
        <v>1</v>
      </c>
      <c r="AT2" s="202">
        <f>Financials!G96</f>
        <v>2</v>
      </c>
      <c r="AU2" s="202">
        <f>Financials!H96</f>
        <v>3</v>
      </c>
      <c r="AV2" s="202">
        <f>Financials!I96</f>
        <v>4</v>
      </c>
      <c r="AW2" s="202">
        <f>Financials!J96</f>
        <v>5</v>
      </c>
      <c r="AX2" s="202">
        <f>Financials!K96</f>
        <v>6</v>
      </c>
      <c r="AY2" s="202">
        <f>Financials!L96</f>
        <v>7</v>
      </c>
      <c r="AZ2" s="202">
        <f>Financials!M96</f>
        <v>8</v>
      </c>
      <c r="BA2" s="202">
        <f>Financials!N96</f>
        <v>9</v>
      </c>
      <c r="BB2" s="202">
        <f>Financials!O96</f>
        <v>10</v>
      </c>
      <c r="BC2" s="201"/>
      <c r="BD2" s="207" t="str">
        <f>Financials!B130</f>
        <v xml:space="preserve">Appendix:  Assumptions </v>
      </c>
    </row>
    <row r="3" spans="1:68" x14ac:dyDescent="0.2">
      <c r="C3" s="201"/>
      <c r="D3" s="201"/>
      <c r="E3" s="201"/>
      <c r="F3" s="201"/>
      <c r="G3" s="201"/>
      <c r="H3" s="201"/>
      <c r="I3" s="201"/>
      <c r="J3" s="201"/>
      <c r="K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</row>
    <row r="4" spans="1:68" x14ac:dyDescent="0.2">
      <c r="A4" s="200" t="str">
        <f>Financials!B21</f>
        <v xml:space="preserve">Revenue </v>
      </c>
      <c r="N4" s="208" t="str">
        <f>Financials!B49</f>
        <v>Assets</v>
      </c>
      <c r="O4" s="201"/>
      <c r="P4" s="201"/>
      <c r="Q4" s="201"/>
      <c r="R4" s="201"/>
      <c r="S4" s="201"/>
      <c r="T4" s="201"/>
      <c r="U4" s="201"/>
      <c r="V4" s="201"/>
      <c r="W4" s="201"/>
      <c r="X4" s="201"/>
      <c r="AF4" s="216"/>
      <c r="AG4" s="225" t="str">
        <f>Financials!B80</f>
        <v xml:space="preserve">Weighted Average Cost of Captial </v>
      </c>
      <c r="AH4" s="225"/>
      <c r="AI4" s="225"/>
      <c r="AJ4" s="217"/>
      <c r="AP4" s="207" t="str">
        <f>Financials!B98</f>
        <v>Cash from Operations</v>
      </c>
      <c r="BD4" s="207" t="str">
        <f>Financials!B4</f>
        <v xml:space="preserve">Revenue &amp; Expense Drivers </v>
      </c>
      <c r="BG4" s="202">
        <f>Financials!F4</f>
        <v>2012</v>
      </c>
      <c r="BH4" s="202">
        <f>Financials!G4</f>
        <v>2013</v>
      </c>
      <c r="BI4" s="202">
        <f>Financials!H4</f>
        <v>2014</v>
      </c>
      <c r="BJ4" s="202">
        <f>Financials!I4</f>
        <v>2015</v>
      </c>
      <c r="BK4" s="202">
        <f>Financials!J4</f>
        <v>2016</v>
      </c>
      <c r="BL4" s="202">
        <f>Financials!K4</f>
        <v>2017</v>
      </c>
      <c r="BM4" s="202">
        <f>Financials!L4</f>
        <v>2018</v>
      </c>
      <c r="BN4" s="202">
        <f>Financials!M4</f>
        <v>2019</v>
      </c>
      <c r="BO4" s="202">
        <f>Financials!N4</f>
        <v>2020</v>
      </c>
      <c r="BP4" s="202">
        <f>Financials!O4</f>
        <v>2021</v>
      </c>
    </row>
    <row r="5" spans="1:68" x14ac:dyDescent="0.2">
      <c r="B5" s="200" t="str">
        <f>Financials!C22</f>
        <v>Memeberships</v>
      </c>
      <c r="C5" s="203">
        <f>Financials!F22</f>
        <v>120000</v>
      </c>
      <c r="D5" s="203">
        <f>Financials!G22</f>
        <v>122400</v>
      </c>
      <c r="E5" s="203">
        <f>Financials!H22</f>
        <v>124848.00000000001</v>
      </c>
      <c r="F5" s="203">
        <f>Financials!I22</f>
        <v>127344.96000000001</v>
      </c>
      <c r="G5" s="203">
        <f>Financials!J22</f>
        <v>129891.85920000001</v>
      </c>
      <c r="H5" s="203">
        <f>Financials!K22</f>
        <v>132489.69638400001</v>
      </c>
      <c r="I5" s="203">
        <f>Financials!L22</f>
        <v>135139.49031168001</v>
      </c>
      <c r="J5" s="203">
        <f>Financials!M22</f>
        <v>137842.28011791361</v>
      </c>
      <c r="K5" s="203">
        <f>Financials!N22</f>
        <v>140599.12572027187</v>
      </c>
      <c r="N5" s="201" t="str">
        <f>Financials!B50</f>
        <v>Current Assets</v>
      </c>
      <c r="O5" s="201"/>
      <c r="P5" s="206"/>
      <c r="Q5" s="206"/>
      <c r="R5" s="206"/>
      <c r="S5" s="206"/>
      <c r="T5" s="206"/>
      <c r="U5" s="206"/>
      <c r="V5" s="206"/>
      <c r="W5" s="206"/>
      <c r="X5" s="206"/>
      <c r="AE5" s="206"/>
      <c r="AF5" s="211"/>
      <c r="AJ5" s="212"/>
      <c r="AK5" s="206"/>
      <c r="AL5" s="206"/>
      <c r="AQ5" s="200" t="str">
        <f>Financials!C99</f>
        <v>Operating Income</v>
      </c>
      <c r="AR5" s="203">
        <f>Financials!E99</f>
        <v>0</v>
      </c>
      <c r="AS5" s="203">
        <f>Financials!F99</f>
        <v>135050</v>
      </c>
      <c r="AT5" s="203">
        <f>Financials!G99</f>
        <v>139868.13417721516</v>
      </c>
      <c r="AU5" s="203">
        <f>Financials!H99</f>
        <v>146564.72486506333</v>
      </c>
      <c r="AV5" s="203">
        <f>Financials!I99</f>
        <v>153466.52698004257</v>
      </c>
      <c r="AW5" s="203">
        <f>Financials!J99</f>
        <v>158546.19555660657</v>
      </c>
      <c r="AX5" s="203">
        <f>Financials!K99</f>
        <v>165795.8326653823</v>
      </c>
      <c r="AY5" s="203">
        <f>Financials!L99</f>
        <v>173267.36277602694</v>
      </c>
      <c r="AZ5" s="203">
        <f>Financials!M99</f>
        <v>180967.75384652137</v>
      </c>
      <c r="BA5" s="203">
        <f>Financials!N99</f>
        <v>190882.19799445174</v>
      </c>
      <c r="BB5" s="203">
        <f>Financials!O99</f>
        <v>199062.11888019182</v>
      </c>
      <c r="BC5" s="203"/>
      <c r="BE5" s="200" t="str">
        <f>Financials!C6</f>
        <v>Memberships sales</v>
      </c>
      <c r="BG5" s="203">
        <f>Financials!F6</f>
        <v>400</v>
      </c>
      <c r="BH5" s="203">
        <f>Financials!G6</f>
        <v>408</v>
      </c>
      <c r="BI5" s="203">
        <f>Financials!H6</f>
        <v>416.16</v>
      </c>
      <c r="BJ5" s="203">
        <f>Financials!I6</f>
        <v>424.48320000000001</v>
      </c>
      <c r="BK5" s="203">
        <f>Financials!J6</f>
        <v>432.97286400000002</v>
      </c>
      <c r="BL5" s="203">
        <f>Financials!K6</f>
        <v>441.63232128000004</v>
      </c>
      <c r="BM5" s="203">
        <f>Financials!L6</f>
        <v>450.46496770560003</v>
      </c>
      <c r="BN5" s="203">
        <f>Financials!M6</f>
        <v>459.47426705971202</v>
      </c>
      <c r="BO5" s="203">
        <f>Financials!N6</f>
        <v>468.66375240090628</v>
      </c>
      <c r="BP5" s="203">
        <f>Financials!O6</f>
        <v>478.03702744892439</v>
      </c>
    </row>
    <row r="6" spans="1:68" x14ac:dyDescent="0.2">
      <c r="B6" s="200" t="str">
        <f>Financials!C23</f>
        <v xml:space="preserve">General admissions </v>
      </c>
      <c r="C6" s="203">
        <f>Financials!F23</f>
        <v>135000</v>
      </c>
      <c r="D6" s="203">
        <f>Financials!G23</f>
        <v>140454</v>
      </c>
      <c r="E6" s="203">
        <f>Financials!H23</f>
        <v>146128.34160000001</v>
      </c>
      <c r="F6" s="203">
        <f>Financials!I23</f>
        <v>152031.92660064003</v>
      </c>
      <c r="G6" s="203">
        <f>Financials!J23</f>
        <v>146144.57808240002</v>
      </c>
      <c r="H6" s="203">
        <f>Financials!K23</f>
        <v>152048.81903692902</v>
      </c>
      <c r="I6" s="203">
        <f>Financials!L23</f>
        <v>158191.59132602095</v>
      </c>
      <c r="J6" s="203">
        <f>Financials!M23</f>
        <v>164582.53161559219</v>
      </c>
      <c r="K6" s="203">
        <f>Financials!N23</f>
        <v>171231.66589286213</v>
      </c>
      <c r="N6" s="201"/>
      <c r="O6" s="201" t="str">
        <f>Financials!C51</f>
        <v>Minimum Cash</v>
      </c>
      <c r="P6" s="206">
        <f>Financials!F51/1000</f>
        <v>5</v>
      </c>
      <c r="Q6" s="206">
        <f>Financials!G51/1000</f>
        <v>5</v>
      </c>
      <c r="R6" s="206">
        <f>Financials!H51/1000</f>
        <v>5</v>
      </c>
      <c r="S6" s="206">
        <f>Financials!I51/1000</f>
        <v>5</v>
      </c>
      <c r="T6" s="206">
        <f>Financials!J51/1000</f>
        <v>5</v>
      </c>
      <c r="U6" s="206">
        <f>Financials!K51/1000</f>
        <v>5</v>
      </c>
      <c r="V6" s="206">
        <f>Financials!L51/1000</f>
        <v>5</v>
      </c>
      <c r="W6" s="206">
        <f>Financials!M51/1000</f>
        <v>5</v>
      </c>
      <c r="X6" s="206">
        <f>Financials!N51/1000</f>
        <v>5</v>
      </c>
      <c r="Y6" s="206">
        <f>Financials!O51/1000</f>
        <v>5</v>
      </c>
      <c r="Z6" s="206"/>
      <c r="AE6" s="206"/>
      <c r="AF6" s="211"/>
      <c r="AG6" s="201" t="str">
        <f>Financials!B82</f>
        <v>Blended Cost of Debt</v>
      </c>
      <c r="AI6" s="209">
        <f>Financials!F82</f>
        <v>4.2500000000000003E-2</v>
      </c>
      <c r="AJ6" s="212"/>
      <c r="AK6" s="206"/>
      <c r="AL6" s="206"/>
      <c r="AM6" s="206"/>
      <c r="AQ6" s="200" t="str">
        <f>Financials!C100</f>
        <v>Less Depreciation</v>
      </c>
      <c r="AR6" s="203">
        <f>Financials!E100</f>
        <v>0</v>
      </c>
      <c r="AS6" s="203">
        <f>Financials!F100</f>
        <v>64952.380952380947</v>
      </c>
      <c r="AT6" s="203">
        <f>Financials!G100</f>
        <v>64952.380952380947</v>
      </c>
      <c r="AU6" s="203">
        <f>Financials!H100</f>
        <v>64952.380952380947</v>
      </c>
      <c r="AV6" s="203">
        <f>Financials!I100</f>
        <v>64952.380952380947</v>
      </c>
      <c r="AW6" s="203">
        <f>Financials!J100</f>
        <v>64952.380952380947</v>
      </c>
      <c r="AX6" s="203">
        <f>Financials!K100</f>
        <v>64952.380952380947</v>
      </c>
      <c r="AY6" s="203">
        <f>Financials!L100</f>
        <v>64952.380952380947</v>
      </c>
      <c r="AZ6" s="203">
        <f>Financials!M100</f>
        <v>64952.380952380947</v>
      </c>
      <c r="BA6" s="203">
        <f>Financials!N100</f>
        <v>64952.380952380947</v>
      </c>
      <c r="BB6" s="203">
        <f>Financials!O100</f>
        <v>69594.501110080266</v>
      </c>
      <c r="BC6" s="203"/>
      <c r="BE6" s="200" t="str">
        <f>Financials!C7</f>
        <v>General Admissions</v>
      </c>
      <c r="BG6" s="203">
        <f>Financials!F7</f>
        <v>9000</v>
      </c>
      <c r="BH6" s="203">
        <f>Financials!G7</f>
        <v>9180</v>
      </c>
      <c r="BI6" s="203">
        <f>Financials!H7</f>
        <v>9363.6</v>
      </c>
      <c r="BJ6" s="203">
        <f>Financials!I7</f>
        <v>9550.8720000000012</v>
      </c>
      <c r="BK6" s="203">
        <f>Financials!J7</f>
        <v>9001</v>
      </c>
      <c r="BL6" s="203">
        <f>Financials!K7</f>
        <v>9181.02</v>
      </c>
      <c r="BM6" s="203">
        <f>Financials!L7</f>
        <v>9364.6404000000002</v>
      </c>
      <c r="BN6" s="203">
        <f>Financials!M7</f>
        <v>9551.9332080000004</v>
      </c>
      <c r="BO6" s="203">
        <f>Financials!N7</f>
        <v>9742.9718721600002</v>
      </c>
      <c r="BP6" s="203">
        <f>Financials!O7</f>
        <v>9937.8313096031998</v>
      </c>
    </row>
    <row r="7" spans="1:68" x14ac:dyDescent="0.2">
      <c r="B7" s="200" t="str">
        <f>Financials!C24</f>
        <v xml:space="preserve">Commissions </v>
      </c>
      <c r="C7" s="203">
        <f>Financials!F24</f>
        <v>337500</v>
      </c>
      <c r="D7" s="203">
        <f>Financials!G24</f>
        <v>347692.5</v>
      </c>
      <c r="E7" s="203">
        <f>Financials!H24</f>
        <v>358192.81349999999</v>
      </c>
      <c r="F7" s="203">
        <f>Financials!I24</f>
        <v>369010.23646770004</v>
      </c>
      <c r="G7" s="203">
        <f>Financials!J24</f>
        <v>380154.34560902452</v>
      </c>
      <c r="H7" s="203">
        <f>Financials!K24</f>
        <v>391635.00684641709</v>
      </c>
      <c r="I7" s="203">
        <f>Financials!L24</f>
        <v>403462.38405317889</v>
      </c>
      <c r="J7" s="203">
        <f>Financials!M24</f>
        <v>415646.94805158494</v>
      </c>
      <c r="K7" s="203">
        <f>Financials!N24</f>
        <v>428199.4858827428</v>
      </c>
      <c r="N7" s="201"/>
      <c r="O7" s="201" t="str">
        <f>Financials!C52</f>
        <v xml:space="preserve">Cash Above Minimum </v>
      </c>
      <c r="P7" s="206">
        <f>Financials!F52/1000</f>
        <v>0</v>
      </c>
      <c r="Q7" s="206">
        <f>Financials!G52/1000</f>
        <v>0</v>
      </c>
      <c r="R7" s="206">
        <f>Financials!H52/1000</f>
        <v>5.00997699170851</v>
      </c>
      <c r="S7" s="206">
        <f>Financials!I52/1000</f>
        <v>112.481724683965</v>
      </c>
      <c r="T7" s="206">
        <f>Financials!J52/1000</f>
        <v>222.115604715404</v>
      </c>
      <c r="U7" s="206">
        <f>Financials!K52/1000</f>
        <v>336.78245618872296</v>
      </c>
      <c r="V7" s="206">
        <f>Financials!L52/1000</f>
        <v>455.84770086123399</v>
      </c>
      <c r="W7" s="206">
        <f>Financials!M52/1000</f>
        <v>541.157323364788</v>
      </c>
      <c r="X7" s="206">
        <f>Financials!N52/1000</f>
        <v>633.11075222590898</v>
      </c>
      <c r="Y7" s="206">
        <f>Financials!O52/1000</f>
        <v>513.21287481724301</v>
      </c>
      <c r="Z7" s="206"/>
      <c r="AE7" s="206"/>
      <c r="AF7" s="211"/>
      <c r="AI7" s="209"/>
      <c r="AJ7" s="212"/>
      <c r="AK7" s="206"/>
      <c r="AL7" s="206"/>
      <c r="AM7" s="206"/>
      <c r="AQ7" s="200" t="str">
        <f>Financials!C101</f>
        <v>Taxable Operating Income</v>
      </c>
      <c r="AR7" s="203">
        <f>Financials!E101</f>
        <v>0</v>
      </c>
      <c r="AS7" s="203">
        <f>Financials!F101</f>
        <v>70097.619047619053</v>
      </c>
      <c r="AT7" s="203">
        <f>Financials!G101</f>
        <v>74915.753224834218</v>
      </c>
      <c r="AU7" s="203">
        <f>Financials!H101</f>
        <v>81612.34391268238</v>
      </c>
      <c r="AV7" s="203">
        <f>Financials!I101</f>
        <v>88514.146027661627</v>
      </c>
      <c r="AW7" s="203">
        <f>Financials!J101</f>
        <v>93593.814604225627</v>
      </c>
      <c r="AX7" s="203">
        <f>Financials!K101</f>
        <v>100843.45171300136</v>
      </c>
      <c r="AY7" s="203">
        <f>Financials!L101</f>
        <v>108314.981823646</v>
      </c>
      <c r="AZ7" s="203">
        <f>Financials!M101</f>
        <v>116015.37289414043</v>
      </c>
      <c r="BA7" s="203">
        <f>Financials!N101</f>
        <v>125929.81704207079</v>
      </c>
      <c r="BB7" s="203">
        <f>Financials!O101</f>
        <v>129467.61777011155</v>
      </c>
      <c r="BC7" s="203"/>
      <c r="BE7" s="200" t="str">
        <f>Financials!C8</f>
        <v xml:space="preserve">Art Sales </v>
      </c>
      <c r="BG7" s="203">
        <f>Financials!F8</f>
        <v>2500</v>
      </c>
      <c r="BH7" s="203">
        <f>Financials!G8</f>
        <v>2550</v>
      </c>
      <c r="BI7" s="203">
        <f>Financials!H8</f>
        <v>2601</v>
      </c>
      <c r="BJ7" s="203">
        <f>Financials!I8</f>
        <v>2653.02</v>
      </c>
      <c r="BK7" s="203">
        <f>Financials!J8</f>
        <v>2706.0803999999998</v>
      </c>
      <c r="BL7" s="203">
        <f>Financials!K8</f>
        <v>2760.2020079999998</v>
      </c>
      <c r="BM7" s="203">
        <f>Financials!L8</f>
        <v>2815.40604816</v>
      </c>
      <c r="BN7" s="203">
        <f>Financials!M8</f>
        <v>2871.7141691232</v>
      </c>
      <c r="BO7" s="203">
        <f>Financials!N8</f>
        <v>2929.148452505664</v>
      </c>
      <c r="BP7" s="203">
        <f>Financials!O8</f>
        <v>2987.7314215557772</v>
      </c>
    </row>
    <row r="8" spans="1:68" x14ac:dyDescent="0.2">
      <c r="A8" s="200" t="str">
        <f>Financials!B25</f>
        <v xml:space="preserve">Total Revenue </v>
      </c>
      <c r="C8" s="204">
        <f>Financials!F25</f>
        <v>592500</v>
      </c>
      <c r="D8" s="204">
        <f>Financials!G25</f>
        <v>610546.5</v>
      </c>
      <c r="E8" s="204">
        <f>Financials!H25</f>
        <v>629169.15510000009</v>
      </c>
      <c r="F8" s="204">
        <f>Financials!I25</f>
        <v>648387.12306834012</v>
      </c>
      <c r="G8" s="204">
        <f>Financials!J25</f>
        <v>656190.78289142461</v>
      </c>
      <c r="H8" s="204">
        <f>Financials!K25</f>
        <v>676173.52226734615</v>
      </c>
      <c r="I8" s="204">
        <f>Financials!L25</f>
        <v>696793.46569087985</v>
      </c>
      <c r="J8" s="204">
        <f>Financials!M25</f>
        <v>718071.75978509081</v>
      </c>
      <c r="K8" s="204">
        <f>Financials!N25</f>
        <v>740030.27749587677</v>
      </c>
      <c r="N8" s="201"/>
      <c r="O8" s="201" t="str">
        <f>Financials!C53</f>
        <v xml:space="preserve">Accounts Receivable </v>
      </c>
      <c r="P8" s="206">
        <f>Financials!F53/1000</f>
        <v>4.9315068493150687</v>
      </c>
      <c r="Q8" s="206">
        <f>Financials!G53/1000</f>
        <v>5.1307397260273975</v>
      </c>
      <c r="R8" s="206">
        <f>Financials!H53/1000</f>
        <v>5.3380216109589043</v>
      </c>
      <c r="S8" s="206">
        <f>Financials!I53/1000</f>
        <v>5.5536776840416451</v>
      </c>
      <c r="T8" s="206">
        <f>Financials!J53/1000</f>
        <v>5.778046262476928</v>
      </c>
      <c r="U8" s="206">
        <f>Financials!K53/1000</f>
        <v>6.011479331480996</v>
      </c>
      <c r="V8" s="206">
        <f>Financials!L53/1000</f>
        <v>6.2543430964728284</v>
      </c>
      <c r="W8" s="206">
        <f>Financials!M53/1000</f>
        <v>6.5070185575703308</v>
      </c>
      <c r="X8" s="206">
        <f>Financials!N53/1000</f>
        <v>6.769902107296172</v>
      </c>
      <c r="Y8" s="206">
        <f>Financials!O53/1000</f>
        <v>7.0434061524309381</v>
      </c>
      <c r="Z8" s="206"/>
      <c r="AE8" s="206"/>
      <c r="AF8" s="211"/>
      <c r="AG8" s="201" t="str">
        <f>Financials!B84</f>
        <v>Unlevered Beta</v>
      </c>
      <c r="AI8" s="209">
        <f>Financials!F84</f>
        <v>1.46</v>
      </c>
      <c r="AJ8" s="212"/>
      <c r="AK8" s="206"/>
      <c r="AL8" s="206"/>
      <c r="AM8" s="206"/>
      <c r="AQ8" s="200" t="str">
        <f>Financials!C102</f>
        <v>Taxes on Operations</v>
      </c>
      <c r="AR8" s="203">
        <f>Financials!E102</f>
        <v>0</v>
      </c>
      <c r="AS8" s="203">
        <f>Financials!F102</f>
        <v>27338.071428571431</v>
      </c>
      <c r="AT8" s="203">
        <f>Financials!G102</f>
        <v>29217.143757685346</v>
      </c>
      <c r="AU8" s="203">
        <f>Financials!H102</f>
        <v>31828.81412594613</v>
      </c>
      <c r="AV8" s="203">
        <f>Financials!I102</f>
        <v>34520.516950788035</v>
      </c>
      <c r="AW8" s="203">
        <f>Financials!J102</f>
        <v>36501.587695647999</v>
      </c>
      <c r="AX8" s="203">
        <f>Financials!K102</f>
        <v>39328.946168070528</v>
      </c>
      <c r="AY8" s="203">
        <f>Financials!L102</f>
        <v>42242.842911221938</v>
      </c>
      <c r="AZ8" s="203">
        <f>Financials!M102</f>
        <v>45245.99542871477</v>
      </c>
      <c r="BA8" s="203">
        <f>Financials!N102</f>
        <v>49112.628646407611</v>
      </c>
      <c r="BB8" s="203">
        <f>Financials!O102</f>
        <v>50492.37093034351</v>
      </c>
      <c r="BC8" s="203"/>
      <c r="BG8" s="203"/>
      <c r="BH8" s="203"/>
      <c r="BI8" s="203"/>
      <c r="BJ8" s="203"/>
      <c r="BK8" s="203"/>
      <c r="BL8" s="203"/>
      <c r="BM8" s="203"/>
      <c r="BN8" s="203"/>
      <c r="BO8" s="203"/>
      <c r="BP8" s="203"/>
    </row>
    <row r="9" spans="1:68" x14ac:dyDescent="0.2">
      <c r="C9" s="203"/>
      <c r="D9" s="203"/>
      <c r="E9" s="203"/>
      <c r="F9" s="203"/>
      <c r="G9" s="203"/>
      <c r="H9" s="203"/>
      <c r="I9" s="203"/>
      <c r="J9" s="203"/>
      <c r="K9" s="203"/>
      <c r="N9" s="201"/>
      <c r="O9" s="201" t="str">
        <f>Financials!C54</f>
        <v xml:space="preserve">Inventory </v>
      </c>
      <c r="P9" s="206">
        <f>Financials!F54/1000</f>
        <v>0</v>
      </c>
      <c r="Q9" s="206">
        <f>Financials!G54/1000</f>
        <v>0</v>
      </c>
      <c r="R9" s="206">
        <f>Financials!H54/1000</f>
        <v>0</v>
      </c>
      <c r="S9" s="206">
        <f>Financials!I54/1000</f>
        <v>0</v>
      </c>
      <c r="T9" s="206">
        <f>Financials!J54/1000</f>
        <v>0</v>
      </c>
      <c r="U9" s="206">
        <f>Financials!K54/1000</f>
        <v>0</v>
      </c>
      <c r="V9" s="206">
        <f>Financials!L54/1000</f>
        <v>0</v>
      </c>
      <c r="W9" s="206">
        <f>Financials!M54/1000</f>
        <v>0</v>
      </c>
      <c r="X9" s="206">
        <f>Financials!N54/1000</f>
        <v>0</v>
      </c>
      <c r="Y9" s="206">
        <f>Financials!O54/1000</f>
        <v>0</v>
      </c>
      <c r="Z9" s="206"/>
      <c r="AE9" s="206"/>
      <c r="AF9" s="211"/>
      <c r="AG9" s="201" t="str">
        <f>Financials!B85</f>
        <v>Current Debt %</v>
      </c>
      <c r="AI9" s="209">
        <f>Financials!F85</f>
        <v>0.44851258094020235</v>
      </c>
      <c r="AJ9" s="212"/>
      <c r="AK9" s="206"/>
      <c r="AL9" s="206"/>
      <c r="AM9" s="206"/>
      <c r="AQ9" s="200" t="str">
        <f>Financials!C103</f>
        <v>Add back: Depreciation</v>
      </c>
      <c r="AR9" s="203">
        <f>Financials!E103</f>
        <v>0</v>
      </c>
      <c r="AS9" s="203">
        <f>Financials!F103</f>
        <v>64952.380952380947</v>
      </c>
      <c r="AT9" s="203">
        <f>Financials!G103</f>
        <v>64952.380952380947</v>
      </c>
      <c r="AU9" s="203">
        <f>Financials!H103</f>
        <v>64952.380952380947</v>
      </c>
      <c r="AV9" s="203">
        <f>Financials!I103</f>
        <v>64952.380952380947</v>
      </c>
      <c r="AW9" s="203">
        <f>Financials!J103</f>
        <v>64952.380952380947</v>
      </c>
      <c r="AX9" s="203">
        <f>Financials!K103</f>
        <v>64952.380952380947</v>
      </c>
      <c r="AY9" s="203">
        <f>Financials!L103</f>
        <v>64952.380952380947</v>
      </c>
      <c r="AZ9" s="203">
        <f>Financials!M103</f>
        <v>64952.380952380947</v>
      </c>
      <c r="BA9" s="203">
        <f>Financials!N103</f>
        <v>64952.380952380947</v>
      </c>
      <c r="BB9" s="203">
        <f>Financials!O103</f>
        <v>69594.501110080266</v>
      </c>
      <c r="BC9" s="203"/>
      <c r="BE9" s="200" t="str">
        <f>Financials!C10</f>
        <v>Membership price</v>
      </c>
      <c r="BG9" s="203">
        <f>Financials!F10</f>
        <v>300</v>
      </c>
      <c r="BH9" s="203">
        <f>Financials!G10</f>
        <v>300</v>
      </c>
      <c r="BI9" s="203">
        <f>Financials!H10</f>
        <v>300</v>
      </c>
      <c r="BJ9" s="203">
        <f>Financials!I10</f>
        <v>300</v>
      </c>
      <c r="BK9" s="203">
        <f>Financials!J10</f>
        <v>300</v>
      </c>
      <c r="BL9" s="203">
        <f>Financials!K10</f>
        <v>300</v>
      </c>
      <c r="BM9" s="203">
        <f>Financials!L10</f>
        <v>300</v>
      </c>
      <c r="BN9" s="203">
        <f>Financials!M10</f>
        <v>300</v>
      </c>
      <c r="BO9" s="203">
        <f>Financials!N10</f>
        <v>300</v>
      </c>
      <c r="BP9" s="203">
        <f>Financials!O10</f>
        <v>300</v>
      </c>
    </row>
    <row r="10" spans="1:68" x14ac:dyDescent="0.2">
      <c r="A10" s="200" t="str">
        <f>Financials!B27</f>
        <v>Operating Expenses</v>
      </c>
      <c r="C10" s="203"/>
      <c r="D10" s="203"/>
      <c r="E10" s="203"/>
      <c r="F10" s="203"/>
      <c r="G10" s="203"/>
      <c r="H10" s="203"/>
      <c r="I10" s="203"/>
      <c r="J10" s="203"/>
      <c r="K10" s="203"/>
      <c r="N10" s="201"/>
      <c r="O10" s="201"/>
      <c r="P10" s="206"/>
      <c r="Q10" s="206"/>
      <c r="R10" s="206"/>
      <c r="S10" s="206"/>
      <c r="T10" s="206"/>
      <c r="U10" s="206"/>
      <c r="V10" s="206"/>
      <c r="W10" s="206"/>
      <c r="X10" s="206"/>
      <c r="Y10" s="206"/>
      <c r="Z10" s="206"/>
      <c r="AE10" s="206"/>
      <c r="AF10" s="211"/>
      <c r="AG10" s="201" t="str">
        <f>Financials!B86</f>
        <v>Current Equity %</v>
      </c>
      <c r="AI10" s="209">
        <f>Financials!F86</f>
        <v>0.55148741905979748</v>
      </c>
      <c r="AJ10" s="212"/>
      <c r="AK10" s="206"/>
      <c r="AL10" s="206"/>
      <c r="AM10" s="206"/>
      <c r="AQ10" s="200" t="str">
        <f>Financials!C104</f>
        <v>CASH FROM OPERATIONS</v>
      </c>
      <c r="AR10" s="204">
        <f>Financials!E104</f>
        <v>0</v>
      </c>
      <c r="AS10" s="204">
        <f>Financials!F104</f>
        <v>107711.92857142857</v>
      </c>
      <c r="AT10" s="204">
        <f>Financials!G104</f>
        <v>110650.99041952981</v>
      </c>
      <c r="AU10" s="204">
        <f>Financials!H104</f>
        <v>114735.9107391172</v>
      </c>
      <c r="AV10" s="204">
        <f>Financials!I104</f>
        <v>118946.01002925454</v>
      </c>
      <c r="AW10" s="204">
        <f>Financials!J104</f>
        <v>122044.60786095858</v>
      </c>
      <c r="AX10" s="204">
        <f>Financials!K104</f>
        <v>126466.88649731177</v>
      </c>
      <c r="AY10" s="204">
        <f>Financials!L104</f>
        <v>131024.51986480501</v>
      </c>
      <c r="AZ10" s="204">
        <f>Financials!M104</f>
        <v>135721.75841780659</v>
      </c>
      <c r="BA10" s="204">
        <f>Financials!N104</f>
        <v>141769.56934804411</v>
      </c>
      <c r="BB10" s="204">
        <f>Financials!O104</f>
        <v>148569.7479498483</v>
      </c>
      <c r="BC10" s="206"/>
      <c r="BE10" s="200" t="str">
        <f>Financials!C11</f>
        <v xml:space="preserve">Admissions cost </v>
      </c>
      <c r="BG10" s="203">
        <f>Financials!F11</f>
        <v>15</v>
      </c>
      <c r="BH10" s="203">
        <f>Financials!G11</f>
        <v>15.3</v>
      </c>
      <c r="BI10" s="203">
        <f>Financials!H11</f>
        <v>15.606000000000002</v>
      </c>
      <c r="BJ10" s="203">
        <f>Financials!I11</f>
        <v>15.918120000000002</v>
      </c>
      <c r="BK10" s="203">
        <f>Financials!J11</f>
        <v>16.236482400000003</v>
      </c>
      <c r="BL10" s="203">
        <f>Financials!K11</f>
        <v>16.561212048000005</v>
      </c>
      <c r="BM10" s="203">
        <f>Financials!L11</f>
        <v>16.892436288960006</v>
      </c>
      <c r="BN10" s="203">
        <f>Financials!M11</f>
        <v>17.230285014739206</v>
      </c>
      <c r="BO10" s="203">
        <f>Financials!N11</f>
        <v>17.574890715033991</v>
      </c>
      <c r="BP10" s="203">
        <f>Financials!O11</f>
        <v>17.92638852933467</v>
      </c>
    </row>
    <row r="11" spans="1:68" x14ac:dyDescent="0.2">
      <c r="C11" s="203"/>
      <c r="D11" s="203"/>
      <c r="E11" s="203"/>
      <c r="F11" s="203"/>
      <c r="G11" s="203"/>
      <c r="H11" s="203"/>
      <c r="I11" s="203"/>
      <c r="J11" s="203"/>
      <c r="K11" s="203"/>
      <c r="N11" s="201"/>
      <c r="O11" s="201"/>
      <c r="P11" s="206"/>
      <c r="Q11" s="206"/>
      <c r="R11" s="206"/>
      <c r="S11" s="206"/>
      <c r="T11" s="206"/>
      <c r="U11" s="206"/>
      <c r="V11" s="206"/>
      <c r="W11" s="206"/>
      <c r="X11" s="206"/>
      <c r="Y11" s="206"/>
      <c r="Z11" s="206"/>
      <c r="AE11" s="206"/>
      <c r="AF11" s="211"/>
      <c r="AI11" s="209"/>
      <c r="AJ11" s="212"/>
      <c r="AK11" s="206"/>
      <c r="AL11" s="206"/>
      <c r="AM11" s="206"/>
      <c r="AR11" s="206"/>
      <c r="AS11" s="206"/>
      <c r="AT11" s="206"/>
      <c r="AU11" s="206"/>
      <c r="AV11" s="206"/>
      <c r="AW11" s="206"/>
      <c r="AX11" s="206"/>
      <c r="AY11" s="206"/>
      <c r="AZ11" s="206"/>
      <c r="BA11" s="206"/>
      <c r="BB11" s="206"/>
      <c r="BC11" s="206"/>
      <c r="BE11" s="200" t="str">
        <f>Financials!C12</f>
        <v>Art commission rate</v>
      </c>
      <c r="BG11" s="219">
        <f>Financials!F12</f>
        <v>0.15</v>
      </c>
      <c r="BH11" s="219">
        <f>Financials!G12</f>
        <v>0.15</v>
      </c>
      <c r="BI11" s="219">
        <f>Financials!H12</f>
        <v>0.15</v>
      </c>
      <c r="BJ11" s="219">
        <f>Financials!I12</f>
        <v>0.15</v>
      </c>
      <c r="BK11" s="219">
        <f>Financials!J12</f>
        <v>0.15</v>
      </c>
      <c r="BL11" s="219">
        <f>Financials!K12</f>
        <v>0.15</v>
      </c>
      <c r="BM11" s="219">
        <f>Financials!L12</f>
        <v>0.15</v>
      </c>
      <c r="BN11" s="219">
        <f>Financials!M12</f>
        <v>0.15</v>
      </c>
      <c r="BO11" s="219">
        <f>Financials!N12</f>
        <v>0.15</v>
      </c>
      <c r="BP11" s="219">
        <f>Financials!O12</f>
        <v>0.15</v>
      </c>
    </row>
    <row r="12" spans="1:68" x14ac:dyDescent="0.2">
      <c r="B12" s="200" t="str">
        <f>Financials!C28</f>
        <v>Gallary Labor</v>
      </c>
      <c r="C12" s="203">
        <f>Financials!F28</f>
        <v>80000</v>
      </c>
      <c r="D12" s="203">
        <f>Financials!G28</f>
        <v>82464</v>
      </c>
      <c r="E12" s="203">
        <f>Financials!H28</f>
        <v>85012.185600000012</v>
      </c>
      <c r="F12" s="203">
        <f>Financials!I28</f>
        <v>87647.650698240002</v>
      </c>
      <c r="G12" s="203">
        <f>Financials!J28</f>
        <v>86599.666598400014</v>
      </c>
      <c r="H12" s="203">
        <f>Financials!K28</f>
        <v>89266.985230095393</v>
      </c>
      <c r="I12" s="203">
        <f>Financials!L28</f>
        <v>92025.437376533635</v>
      </c>
      <c r="J12" s="203">
        <f>Financials!M28</f>
        <v>94878.372308550839</v>
      </c>
      <c r="K12" s="203">
        <f>Financials!N28</f>
        <v>97829.267957061631</v>
      </c>
      <c r="N12" s="201" t="str">
        <f>Financials!B56</f>
        <v>Long-Term Assets</v>
      </c>
      <c r="O12" s="201"/>
      <c r="P12" s="206">
        <f>Financials!F56/1000</f>
        <v>0</v>
      </c>
      <c r="Q12" s="206">
        <f>Financials!G56/1000</f>
        <v>0</v>
      </c>
      <c r="R12" s="206">
        <f>Financials!H56/1000</f>
        <v>0</v>
      </c>
      <c r="S12" s="206">
        <f>Financials!I56/1000</f>
        <v>0</v>
      </c>
      <c r="T12" s="206">
        <f>Financials!J56/1000</f>
        <v>0</v>
      </c>
      <c r="U12" s="206">
        <f>Financials!K56/1000</f>
        <v>0</v>
      </c>
      <c r="V12" s="206">
        <f>Financials!L56/1000</f>
        <v>0</v>
      </c>
      <c r="W12" s="206">
        <f>Financials!M56/1000</f>
        <v>0</v>
      </c>
      <c r="X12" s="206">
        <f>Financials!N56/1000</f>
        <v>0</v>
      </c>
      <c r="Y12" s="206">
        <f>Financials!O56/1000</f>
        <v>0</v>
      </c>
      <c r="Z12" s="206"/>
      <c r="AE12" s="206"/>
      <c r="AF12" s="211"/>
      <c r="AG12" s="201" t="str">
        <f>Financials!B87</f>
        <v>Tax Rate</v>
      </c>
      <c r="AI12" s="209">
        <f>Financials!F87</f>
        <v>0.39</v>
      </c>
      <c r="AJ12" s="212"/>
      <c r="AK12" s="206"/>
      <c r="AL12" s="206"/>
      <c r="AM12" s="206"/>
      <c r="AP12" s="207" t="str">
        <f>Financials!B105</f>
        <v>Cash from Capital Expenditures</v>
      </c>
      <c r="AR12" s="203">
        <f>Financials!E105</f>
        <v>0</v>
      </c>
      <c r="AS12" s="203">
        <f>Financials!F105</f>
        <v>0</v>
      </c>
      <c r="AT12" s="203">
        <f>Financials!G105</f>
        <v>0</v>
      </c>
      <c r="AU12" s="203">
        <f>Financials!H105</f>
        <v>0</v>
      </c>
      <c r="AV12" s="203">
        <f>Financials!I105</f>
        <v>0</v>
      </c>
      <c r="AW12" s="203">
        <f>Financials!J105</f>
        <v>0</v>
      </c>
      <c r="AX12" s="203">
        <f>Financials!K105</f>
        <v>0</v>
      </c>
      <c r="AY12" s="203">
        <f>Financials!L105</f>
        <v>0</v>
      </c>
      <c r="AZ12" s="203">
        <f>Financials!M105</f>
        <v>0</v>
      </c>
      <c r="BA12" s="203">
        <f>Financials!N105</f>
        <v>0</v>
      </c>
      <c r="BB12" s="203">
        <f>Financials!O105</f>
        <v>0</v>
      </c>
      <c r="BC12" s="203"/>
      <c r="BE12" s="200" t="str">
        <f>Financials!C13</f>
        <v xml:space="preserve">Average art price </v>
      </c>
      <c r="BG12" s="203">
        <f>Financials!F13</f>
        <v>900</v>
      </c>
      <c r="BH12" s="203">
        <f>Financials!G13</f>
        <v>909</v>
      </c>
      <c r="BI12" s="203">
        <f>Financials!H13</f>
        <v>918.09</v>
      </c>
      <c r="BJ12" s="203">
        <f>Financials!I13</f>
        <v>927.2709000000001</v>
      </c>
      <c r="BK12" s="203">
        <f>Financials!J13</f>
        <v>936.54360900000006</v>
      </c>
      <c r="BL12" s="203">
        <f>Financials!K13</f>
        <v>945.90904509000006</v>
      </c>
      <c r="BM12" s="203">
        <f>Financials!L13</f>
        <v>955.36813554090008</v>
      </c>
      <c r="BN12" s="203">
        <f>Financials!M13</f>
        <v>964.92181689630911</v>
      </c>
      <c r="BO12" s="203">
        <f>Financials!N13</f>
        <v>974.57103506527221</v>
      </c>
      <c r="BP12" s="203">
        <f>Financials!O13</f>
        <v>984.31674541592497</v>
      </c>
    </row>
    <row r="13" spans="1:68" x14ac:dyDescent="0.2">
      <c r="B13" s="200" t="str">
        <f>Financials!C29</f>
        <v xml:space="preserve">Event Labor </v>
      </c>
      <c r="C13" s="203">
        <f>Financials!F29</f>
        <v>35000</v>
      </c>
      <c r="D13" s="203">
        <f>Financials!G29</f>
        <v>50622.6</v>
      </c>
      <c r="E13" s="203">
        <f>Financials!H29</f>
        <v>52299.971639999996</v>
      </c>
      <c r="F13" s="203">
        <f>Financials!I29</f>
        <v>54034.002095976</v>
      </c>
      <c r="G13" s="203">
        <f>Financials!J29</f>
        <v>54579.147642073658</v>
      </c>
      <c r="H13" s="203">
        <f>Financials!K29</f>
        <v>56382.026387902559</v>
      </c>
      <c r="I13" s="203">
        <f>Financials!L29</f>
        <v>58245.59744673183</v>
      </c>
      <c r="J13" s="203">
        <f>Financials!M29</f>
        <v>60171.946039559116</v>
      </c>
      <c r="K13" s="203">
        <f>Financials!N29</f>
        <v>62163.230554507179</v>
      </c>
      <c r="N13" s="201"/>
      <c r="O13" s="201" t="str">
        <f>Financials!C57</f>
        <v>Building</v>
      </c>
      <c r="P13" s="206">
        <f>Financials!F57/1000</f>
        <v>800</v>
      </c>
      <c r="Q13" s="206">
        <f>Financials!G57/1000</f>
        <v>800</v>
      </c>
      <c r="R13" s="206">
        <f>Financials!H57/1000</f>
        <v>800</v>
      </c>
      <c r="S13" s="206">
        <f>Financials!I57/1000</f>
        <v>800</v>
      </c>
      <c r="T13" s="206">
        <f>Financials!J57/1000</f>
        <v>800</v>
      </c>
      <c r="U13" s="206">
        <f>Financials!K57/1000</f>
        <v>800</v>
      </c>
      <c r="V13" s="206">
        <f>Financials!L57/1000</f>
        <v>800</v>
      </c>
      <c r="W13" s="206">
        <f>Financials!M57/1000</f>
        <v>800</v>
      </c>
      <c r="X13" s="206">
        <f>Financials!N57/1000</f>
        <v>800</v>
      </c>
      <c r="Y13" s="206">
        <f>Financials!O57/1000</f>
        <v>939.26360473097952</v>
      </c>
      <c r="Z13" s="206"/>
      <c r="AE13" s="206"/>
      <c r="AF13" s="211"/>
      <c r="AI13" s="209"/>
      <c r="AJ13" s="212"/>
      <c r="AK13" s="206"/>
      <c r="AL13" s="206"/>
      <c r="AM13" s="206"/>
      <c r="AQ13" s="200" t="str">
        <f>Financials!C106</f>
        <v>Buy Building</v>
      </c>
      <c r="AR13" s="203">
        <f>Financials!E106</f>
        <v>-800000</v>
      </c>
      <c r="AS13" s="203">
        <f>Financials!F106</f>
        <v>0</v>
      </c>
      <c r="AT13" s="203">
        <f>Financials!G106</f>
        <v>0</v>
      </c>
      <c r="AU13" s="203">
        <f>Financials!H106</f>
        <v>0</v>
      </c>
      <c r="AV13" s="203">
        <f>Financials!I106</f>
        <v>0</v>
      </c>
      <c r="AW13" s="203">
        <f>Financials!J106</f>
        <v>0</v>
      </c>
      <c r="AX13" s="203">
        <f>Financials!K106</f>
        <v>0</v>
      </c>
      <c r="AY13" s="203">
        <f>Financials!L106</f>
        <v>0</v>
      </c>
      <c r="AZ13" s="203">
        <f>Financials!M106</f>
        <v>0</v>
      </c>
      <c r="BA13" s="203">
        <f>Financials!N106</f>
        <v>0</v>
      </c>
      <c r="BB13" s="203">
        <f>Financials!O106</f>
        <v>0</v>
      </c>
      <c r="BC13" s="203"/>
      <c r="BG13" s="203"/>
      <c r="BH13" s="203"/>
      <c r="BI13" s="203"/>
      <c r="BJ13" s="203"/>
      <c r="BK13" s="203"/>
      <c r="BL13" s="203"/>
      <c r="BM13" s="203"/>
      <c r="BN13" s="203"/>
      <c r="BO13" s="203"/>
      <c r="BP13" s="203"/>
    </row>
    <row r="14" spans="1:68" x14ac:dyDescent="0.2">
      <c r="B14" s="200" t="str">
        <f>Financials!C30</f>
        <v xml:space="preserve">Buildings Maintainence </v>
      </c>
      <c r="C14" s="203">
        <f>Financials!F30</f>
        <v>31450</v>
      </c>
      <c r="D14" s="203">
        <f>Financials!G30</f>
        <v>17149.5</v>
      </c>
      <c r="E14" s="203">
        <f>Financials!H30</f>
        <v>17149.5</v>
      </c>
      <c r="F14" s="203">
        <f>Financials!I30</f>
        <v>17149.5</v>
      </c>
      <c r="G14" s="203">
        <f>Financials!J30</f>
        <v>17149.5</v>
      </c>
      <c r="H14" s="203">
        <f>Financials!K30</f>
        <v>17149.5</v>
      </c>
      <c r="I14" s="203">
        <f>Financials!L30</f>
        <v>17149.5</v>
      </c>
      <c r="J14" s="203">
        <f>Financials!M30</f>
        <v>17149.5</v>
      </c>
      <c r="K14" s="203">
        <f>Financials!N30</f>
        <v>17149.5</v>
      </c>
      <c r="N14" s="201"/>
      <c r="O14" s="201" t="str">
        <f>Financials!C58</f>
        <v>Accumulated Depreciation - Bldg</v>
      </c>
      <c r="P14" s="206">
        <f>Financials!F58/1000</f>
        <v>26.666666666666668</v>
      </c>
      <c r="Q14" s="206">
        <f>Financials!G58/1000</f>
        <v>53.333333333333336</v>
      </c>
      <c r="R14" s="206">
        <f>Financials!H58/1000</f>
        <v>80</v>
      </c>
      <c r="S14" s="206">
        <f>Financials!I58/1000</f>
        <v>106.66666666666667</v>
      </c>
      <c r="T14" s="206">
        <f>Financials!J58/1000</f>
        <v>133.33333333333334</v>
      </c>
      <c r="U14" s="206">
        <f>Financials!K58/1000</f>
        <v>160</v>
      </c>
      <c r="V14" s="206">
        <f>Financials!L58/1000</f>
        <v>186.66666666666666</v>
      </c>
      <c r="W14" s="206">
        <f>Financials!M58/1000</f>
        <v>213.33333333333331</v>
      </c>
      <c r="X14" s="206">
        <f>Financials!N58/1000</f>
        <v>239.99999999999997</v>
      </c>
      <c r="Y14" s="206">
        <f>Financials!O58/1000</f>
        <v>271.30878682436594</v>
      </c>
      <c r="Z14" s="206"/>
      <c r="AE14" s="206"/>
      <c r="AF14" s="211"/>
      <c r="AG14" s="201" t="str">
        <f>Financials!B89</f>
        <v>Releverd Beta</v>
      </c>
      <c r="AI14" s="209"/>
      <c r="AJ14" s="212"/>
      <c r="AK14" s="206"/>
      <c r="AL14" s="206"/>
      <c r="AM14" s="206"/>
      <c r="AQ14" s="200" t="str">
        <f>Financials!C107</f>
        <v>Sale of Building</v>
      </c>
      <c r="AR14" s="203">
        <f>Financials!E107</f>
        <v>0</v>
      </c>
      <c r="AS14" s="203">
        <f>Financials!F107</f>
        <v>0</v>
      </c>
      <c r="AT14" s="203">
        <f>Financials!G107</f>
        <v>0</v>
      </c>
      <c r="AU14" s="203">
        <f>Financials!H107</f>
        <v>0</v>
      </c>
      <c r="AV14" s="203">
        <f>Financials!I107</f>
        <v>0</v>
      </c>
      <c r="AW14" s="203">
        <f>Financials!J107</f>
        <v>0</v>
      </c>
      <c r="AX14" s="203">
        <f>Financials!K107</f>
        <v>0</v>
      </c>
      <c r="AY14" s="203">
        <f>Financials!L107</f>
        <v>0</v>
      </c>
      <c r="AZ14" s="203">
        <f>Financials!M107</f>
        <v>0</v>
      </c>
      <c r="BA14" s="203">
        <f>Financials!N107</f>
        <v>0</v>
      </c>
      <c r="BB14" s="203">
        <f>Financials!O107</f>
        <v>935136.74506925896</v>
      </c>
      <c r="BC14" s="203"/>
      <c r="BE14" s="200" t="str">
        <f>Financials!C15</f>
        <v xml:space="preserve">Days of Inventory </v>
      </c>
      <c r="BG14" s="203">
        <f>Financials!F15</f>
        <v>0</v>
      </c>
      <c r="BH14" s="203">
        <f>Financials!G15</f>
        <v>0</v>
      </c>
      <c r="BI14" s="203">
        <f>Financials!H15</f>
        <v>0</v>
      </c>
      <c r="BJ14" s="203">
        <f>Financials!I15</f>
        <v>0</v>
      </c>
      <c r="BK14" s="203">
        <f>Financials!J15</f>
        <v>0</v>
      </c>
      <c r="BL14" s="203">
        <f>Financials!K15</f>
        <v>0</v>
      </c>
      <c r="BM14" s="203">
        <f>Financials!L15</f>
        <v>0</v>
      </c>
      <c r="BN14" s="203">
        <f>Financials!M15</f>
        <v>0</v>
      </c>
      <c r="BO14" s="203">
        <f>Financials!N15</f>
        <v>0</v>
      </c>
      <c r="BP14" s="203">
        <f>Financials!O15</f>
        <v>0</v>
      </c>
    </row>
    <row r="15" spans="1:68" x14ac:dyDescent="0.2">
      <c r="B15" s="200" t="str">
        <f>Financials!C31</f>
        <v>Legal Fees</v>
      </c>
      <c r="C15" s="203">
        <f>Financials!F31</f>
        <v>66000</v>
      </c>
      <c r="D15" s="203">
        <f>Financials!G31</f>
        <v>67980</v>
      </c>
      <c r="E15" s="203">
        <f>Financials!H31</f>
        <v>67980</v>
      </c>
      <c r="F15" s="203">
        <f>Financials!I31</f>
        <v>67980</v>
      </c>
      <c r="G15" s="203">
        <f>Financials!J31</f>
        <v>67980</v>
      </c>
      <c r="H15" s="203">
        <f>Financials!K31</f>
        <v>67980</v>
      </c>
      <c r="I15" s="203">
        <f>Financials!L31</f>
        <v>67980</v>
      </c>
      <c r="J15" s="203">
        <f>Financials!M31</f>
        <v>67980</v>
      </c>
      <c r="K15" s="203">
        <f>Financials!N31</f>
        <v>66002</v>
      </c>
      <c r="N15" s="201"/>
      <c r="O15" s="201" t="str">
        <f>Financials!C59</f>
        <v>Building Net</v>
      </c>
      <c r="P15" s="206">
        <f>Financials!F59/1000</f>
        <v>773.33333333333337</v>
      </c>
      <c r="Q15" s="206">
        <f>Financials!G59/1000</f>
        <v>746.66666666666663</v>
      </c>
      <c r="R15" s="206">
        <f>Financials!H59/1000</f>
        <v>720</v>
      </c>
      <c r="S15" s="206">
        <f>Financials!I59/1000</f>
        <v>693.33333333333337</v>
      </c>
      <c r="T15" s="206">
        <f>Financials!J59/1000</f>
        <v>666.66666666666663</v>
      </c>
      <c r="U15" s="206">
        <f>Financials!K59/1000</f>
        <v>640</v>
      </c>
      <c r="V15" s="206">
        <f>Financials!L59/1000</f>
        <v>613.33333333333337</v>
      </c>
      <c r="W15" s="206">
        <f>Financials!M59/1000</f>
        <v>586.66666666666674</v>
      </c>
      <c r="X15" s="206">
        <f>Financials!N59/1000</f>
        <v>560</v>
      </c>
      <c r="Y15" s="206">
        <f>Financials!O59/1000</f>
        <v>667.95481790661358</v>
      </c>
      <c r="Z15" s="206"/>
      <c r="AE15" s="206"/>
      <c r="AF15" s="211"/>
      <c r="AG15" s="201" t="str">
        <f>Financials!B90</f>
        <v>S&amp;P</v>
      </c>
      <c r="AI15" s="209">
        <f>Financials!F90</f>
        <v>0.12</v>
      </c>
      <c r="AJ15" s="212"/>
      <c r="AK15" s="206"/>
      <c r="AL15" s="206"/>
      <c r="AM15" s="206"/>
      <c r="AQ15" s="200" t="str">
        <f>Financials!C108</f>
        <v>Taxes on sale of building</v>
      </c>
      <c r="AR15" s="203">
        <f>Financials!E108</f>
        <v>0</v>
      </c>
      <c r="AS15" s="203">
        <f>Financials!F108</f>
        <v>0</v>
      </c>
      <c r="AT15" s="203">
        <f>Financials!G108</f>
        <v>0</v>
      </c>
      <c r="AU15" s="203">
        <f>Financials!H108</f>
        <v>0</v>
      </c>
      <c r="AV15" s="203">
        <f>Financials!I108</f>
        <v>0</v>
      </c>
      <c r="AW15" s="203">
        <f>Financials!J108</f>
        <v>0</v>
      </c>
      <c r="AX15" s="203">
        <f>Financials!K108</f>
        <v>0</v>
      </c>
      <c r="AY15" s="203">
        <f>Financials!L108</f>
        <v>0</v>
      </c>
      <c r="AZ15" s="203">
        <f>Financials!M108</f>
        <v>0</v>
      </c>
      <c r="BA15" s="203">
        <f>Financials!N108</f>
        <v>0</v>
      </c>
      <c r="BB15" s="203">
        <f>Financials!O108</f>
        <v>-104200.9515934317</v>
      </c>
      <c r="BC15" s="203"/>
      <c r="BE15" s="200" t="str">
        <f>Financials!C16</f>
        <v>Days of A/R</v>
      </c>
      <c r="BG15" s="203">
        <f>Financials!F16</f>
        <v>15</v>
      </c>
      <c r="BH15" s="203">
        <f>Financials!G16</f>
        <v>15.3</v>
      </c>
      <c r="BI15" s="203">
        <f>Financials!H16</f>
        <v>15.606000000000002</v>
      </c>
      <c r="BJ15" s="203">
        <f>Financials!I16</f>
        <v>15.918120000000002</v>
      </c>
      <c r="BK15" s="203">
        <f>Financials!J16</f>
        <v>16.236482400000003</v>
      </c>
      <c r="BL15" s="203">
        <f>Financials!K16</f>
        <v>16.561212048000005</v>
      </c>
      <c r="BM15" s="203">
        <f>Financials!L16</f>
        <v>16.892436288960006</v>
      </c>
      <c r="BN15" s="203">
        <f>Financials!M16</f>
        <v>17.230285014739206</v>
      </c>
      <c r="BO15" s="203">
        <f>Financials!N16</f>
        <v>17.574890715033991</v>
      </c>
      <c r="BP15" s="203">
        <f>Financials!O16</f>
        <v>17.92638852933467</v>
      </c>
    </row>
    <row r="16" spans="1:68" x14ac:dyDescent="0.2">
      <c r="B16" s="200" t="str">
        <f>Financials!C32</f>
        <v xml:space="preserve">General Admin </v>
      </c>
      <c r="C16" s="203">
        <f>Financials!F32</f>
        <v>245000</v>
      </c>
      <c r="D16" s="203">
        <f>Financials!G32</f>
        <v>252462.2658227848</v>
      </c>
      <c r="E16" s="203">
        <f>Financials!H32</f>
        <v>260162.77299493673</v>
      </c>
      <c r="F16" s="203">
        <f>Financials!I32</f>
        <v>268109.44329408155</v>
      </c>
      <c r="G16" s="203">
        <f>Financials!J32</f>
        <v>271336.27309434436</v>
      </c>
      <c r="H16" s="203">
        <f>Financials!K32</f>
        <v>279599.1779839659</v>
      </c>
      <c r="I16" s="203">
        <f>Financials!L32</f>
        <v>288125.56809158745</v>
      </c>
      <c r="J16" s="203">
        <f>Financials!M32</f>
        <v>296924.18759045948</v>
      </c>
      <c r="K16" s="203">
        <f>Financials!N32</f>
        <v>306004.08098985621</v>
      </c>
      <c r="N16" s="201"/>
      <c r="O16" s="201" t="str">
        <f>Financials!C60</f>
        <v xml:space="preserve">Furniture, Fixtures, &amp; Equipment </v>
      </c>
      <c r="P16" s="206">
        <f>Financials!F60/1000</f>
        <v>268</v>
      </c>
      <c r="Q16" s="206">
        <f>Financials!G60/1000</f>
        <v>268</v>
      </c>
      <c r="R16" s="206">
        <f>Financials!H60/1000</f>
        <v>268</v>
      </c>
      <c r="S16" s="206">
        <f>Financials!I60/1000</f>
        <v>268</v>
      </c>
      <c r="T16" s="206">
        <f>Financials!J60/1000</f>
        <v>268</v>
      </c>
      <c r="U16" s="206">
        <f>Financials!K60/1000</f>
        <v>268</v>
      </c>
      <c r="V16" s="206">
        <f>Financials!L60/1000</f>
        <v>268</v>
      </c>
      <c r="W16" s="206">
        <f>Financials!M60/1000</f>
        <v>268</v>
      </c>
      <c r="X16" s="206">
        <f>Financials!N60/1000</f>
        <v>268</v>
      </c>
      <c r="Y16" s="206">
        <f>Financials!O60/1000</f>
        <v>268</v>
      </c>
      <c r="Z16" s="206"/>
      <c r="AE16" s="206"/>
      <c r="AF16" s="211"/>
      <c r="AG16" s="201" t="str">
        <f>Financials!B91</f>
        <v>T-bills</v>
      </c>
      <c r="AI16" s="209">
        <f>Financials!F91</f>
        <v>0.01</v>
      </c>
      <c r="AJ16" s="212"/>
      <c r="AK16" s="206"/>
      <c r="AL16" s="206"/>
      <c r="AM16" s="206"/>
      <c r="AQ16" s="200" t="str">
        <f>Financials!C109</f>
        <v>Buy FF&amp;E</v>
      </c>
      <c r="AR16" s="203">
        <f>Financials!E109</f>
        <v>-268000</v>
      </c>
      <c r="AS16" s="203">
        <f>Financials!F109</f>
        <v>0</v>
      </c>
      <c r="AT16" s="203">
        <f>Financials!G109</f>
        <v>0</v>
      </c>
      <c r="AU16" s="203">
        <f>Financials!H109</f>
        <v>0</v>
      </c>
      <c r="AV16" s="203">
        <f>Financials!I109</f>
        <v>0</v>
      </c>
      <c r="AW16" s="203">
        <f>Financials!J109</f>
        <v>0</v>
      </c>
      <c r="AX16" s="203">
        <f>Financials!K109</f>
        <v>0</v>
      </c>
      <c r="AY16" s="203">
        <f>Financials!L109</f>
        <v>0</v>
      </c>
      <c r="AZ16" s="203">
        <f>Financials!M109</f>
        <v>0</v>
      </c>
      <c r="BA16" s="203">
        <f>Financials!N109</f>
        <v>0</v>
      </c>
      <c r="BB16" s="203">
        <f>Financials!O109</f>
        <v>0</v>
      </c>
      <c r="BC16" s="203"/>
      <c r="BE16" s="200" t="str">
        <f>Financials!C17</f>
        <v xml:space="preserve">Days of A/P </v>
      </c>
      <c r="BG16" s="203">
        <f>Financials!F17</f>
        <v>20</v>
      </c>
      <c r="BH16" s="203">
        <f>Financials!G17</f>
        <v>19.600000000000001</v>
      </c>
      <c r="BI16" s="203">
        <f>Financials!H17</f>
        <v>19.208000000000002</v>
      </c>
      <c r="BJ16" s="203">
        <f>Financials!I17</f>
        <v>18.823840000000001</v>
      </c>
      <c r="BK16" s="203">
        <f>Financials!J17</f>
        <v>18.447363200000002</v>
      </c>
      <c r="BL16" s="203">
        <f>Financials!K17</f>
        <v>18.078415936000003</v>
      </c>
      <c r="BM16" s="203">
        <f>Financials!L17</f>
        <v>17.716847617280003</v>
      </c>
      <c r="BN16" s="203">
        <f>Financials!M17</f>
        <v>17.362510664934401</v>
      </c>
      <c r="BO16" s="203">
        <f>Financials!N17</f>
        <v>17.015260451635712</v>
      </c>
      <c r="BP16" s="203">
        <f>Financials!O17</f>
        <v>16.674955242602998</v>
      </c>
    </row>
    <row r="17" spans="1:56" x14ac:dyDescent="0.2">
      <c r="A17" s="200" t="str">
        <f>Financials!B33</f>
        <v>Total Expenses</v>
      </c>
      <c r="C17" s="204">
        <f>Financials!F33</f>
        <v>457450</v>
      </c>
      <c r="D17" s="204">
        <f>Financials!G33</f>
        <v>470678.36582278484</v>
      </c>
      <c r="E17" s="204">
        <f>Financials!H33</f>
        <v>482604.43023493676</v>
      </c>
      <c r="F17" s="204">
        <f>Financials!I33</f>
        <v>494920.59608829755</v>
      </c>
      <c r="G17" s="204">
        <f>Financials!J33</f>
        <v>497644.58733481803</v>
      </c>
      <c r="H17" s="204">
        <f>Financials!K33</f>
        <v>510377.68960196385</v>
      </c>
      <c r="I17" s="204">
        <f>Financials!L33</f>
        <v>523526.10291485291</v>
      </c>
      <c r="J17" s="204">
        <f>Financials!M33</f>
        <v>537104.00593856943</v>
      </c>
      <c r="K17" s="204">
        <f>Financials!N33</f>
        <v>549148.07950142503</v>
      </c>
      <c r="N17" s="201"/>
      <c r="O17" s="201" t="str">
        <f>Financials!C61</f>
        <v>Accumulated Depreciation - Equip</v>
      </c>
      <c r="P17" s="206">
        <f>Financials!F61/1000</f>
        <v>38.285714285714285</v>
      </c>
      <c r="Q17" s="206">
        <f>Financials!G61/1000</f>
        <v>76.571428571428569</v>
      </c>
      <c r="R17" s="206">
        <f>Financials!H61/1000</f>
        <v>114.85714285714285</v>
      </c>
      <c r="S17" s="206">
        <f>Financials!I61/1000</f>
        <v>153.14285714285714</v>
      </c>
      <c r="T17" s="206">
        <f>Financials!J61/1000</f>
        <v>191.42857142857142</v>
      </c>
      <c r="U17" s="206">
        <f>Financials!K61/1000</f>
        <v>229.71428571428572</v>
      </c>
      <c r="V17" s="206">
        <f>Financials!L61/1000</f>
        <v>268</v>
      </c>
      <c r="W17" s="206">
        <f>Financials!M61/1000</f>
        <v>268</v>
      </c>
      <c r="X17" s="206">
        <f>Financials!N61/1000</f>
        <v>268</v>
      </c>
      <c r="Y17" s="206">
        <f>Financials!O61/1000</f>
        <v>268</v>
      </c>
      <c r="Z17" s="206"/>
      <c r="AE17" s="206"/>
      <c r="AF17" s="211"/>
      <c r="AG17" s="201" t="str">
        <f>Financials!B92</f>
        <v>CAPM (cost of equity)</v>
      </c>
      <c r="AI17" s="209">
        <f>Financials!F92</f>
        <v>0.1706</v>
      </c>
      <c r="AJ17" s="212"/>
      <c r="AK17" s="206"/>
      <c r="AL17" s="206"/>
      <c r="AM17" s="206"/>
      <c r="AQ17" s="200" t="str">
        <f>Financials!C110</f>
        <v>Sale of FF&amp;E</v>
      </c>
      <c r="AR17" s="203">
        <f>Financials!E110</f>
        <v>0</v>
      </c>
      <c r="AS17" s="203">
        <f>Financials!F110</f>
        <v>0</v>
      </c>
      <c r="AT17" s="203">
        <f>Financials!G110</f>
        <v>0</v>
      </c>
      <c r="AU17" s="203">
        <f>Financials!H110</f>
        <v>0</v>
      </c>
      <c r="AV17" s="203">
        <f>Financials!I110</f>
        <v>0</v>
      </c>
      <c r="AW17" s="203">
        <f>Financials!J110</f>
        <v>0</v>
      </c>
      <c r="AX17" s="203">
        <f>Financials!K110</f>
        <v>0</v>
      </c>
      <c r="AY17" s="203">
        <f>Financials!L110</f>
        <v>0</v>
      </c>
      <c r="AZ17" s="203">
        <f>Financials!M110</f>
        <v>0</v>
      </c>
      <c r="BA17" s="203">
        <f>Financials!N110</f>
        <v>0</v>
      </c>
      <c r="BB17" s="203">
        <f>Financials!O110</f>
        <v>67000</v>
      </c>
      <c r="BC17" s="203"/>
    </row>
    <row r="18" spans="1:56" x14ac:dyDescent="0.2">
      <c r="C18" s="203"/>
      <c r="D18" s="203"/>
      <c r="E18" s="203"/>
      <c r="F18" s="203"/>
      <c r="G18" s="203"/>
      <c r="H18" s="203"/>
      <c r="I18" s="203"/>
      <c r="J18" s="203"/>
      <c r="K18" s="203"/>
      <c r="N18" s="201"/>
      <c r="O18" s="201" t="str">
        <f>Financials!C62</f>
        <v xml:space="preserve">Furnishings &amp; Equipment Net </v>
      </c>
      <c r="P18" s="206">
        <f>Financials!F62/1000</f>
        <v>229.71428571428572</v>
      </c>
      <c r="Q18" s="206">
        <f>Financials!G62/1000</f>
        <v>191.42857142857142</v>
      </c>
      <c r="R18" s="206">
        <f>Financials!H62/1000</f>
        <v>153.14285714285717</v>
      </c>
      <c r="S18" s="206">
        <f>Financials!I62/1000</f>
        <v>114.85714285714288</v>
      </c>
      <c r="T18" s="206">
        <f>Financials!J62/1000</f>
        <v>76.571428571428584</v>
      </c>
      <c r="U18" s="206">
        <f>Financials!K62/1000</f>
        <v>38.285714285714292</v>
      </c>
      <c r="V18" s="206">
        <f>Financials!L62/1000</f>
        <v>0</v>
      </c>
      <c r="W18" s="206">
        <f>Financials!M62/1000</f>
        <v>0</v>
      </c>
      <c r="X18" s="206">
        <f>Financials!N62/1000</f>
        <v>0</v>
      </c>
      <c r="Y18" s="206">
        <f>Financials!O62/1000</f>
        <v>0</v>
      </c>
      <c r="Z18" s="206"/>
      <c r="AE18" s="206"/>
      <c r="AF18" s="211"/>
      <c r="AI18" s="209"/>
      <c r="AJ18" s="212"/>
      <c r="AK18" s="206"/>
      <c r="AL18" s="206"/>
      <c r="AM18" s="206"/>
      <c r="AQ18" s="200" t="str">
        <f>Financials!C111</f>
        <v>Taxes on sale of FF&amp;E</v>
      </c>
      <c r="AR18" s="203">
        <f>Financials!E111</f>
        <v>0</v>
      </c>
      <c r="AS18" s="203">
        <f>Financials!F111</f>
        <v>0</v>
      </c>
      <c r="AT18" s="203">
        <f>Financials!G111</f>
        <v>0</v>
      </c>
      <c r="AU18" s="203">
        <f>Financials!H111</f>
        <v>0</v>
      </c>
      <c r="AV18" s="203">
        <f>Financials!I111</f>
        <v>0</v>
      </c>
      <c r="AW18" s="203">
        <f>Financials!J111</f>
        <v>0</v>
      </c>
      <c r="AX18" s="203">
        <f>Financials!K111</f>
        <v>0</v>
      </c>
      <c r="AY18" s="203">
        <f>Financials!L111</f>
        <v>0</v>
      </c>
      <c r="AZ18" s="203">
        <f>Financials!M111</f>
        <v>0</v>
      </c>
      <c r="BA18" s="203">
        <f>Financials!N111</f>
        <v>0</v>
      </c>
      <c r="BB18" s="203">
        <f>Financials!O111</f>
        <v>-26130</v>
      </c>
      <c r="BC18" s="203"/>
    </row>
    <row r="19" spans="1:56" x14ac:dyDescent="0.2">
      <c r="A19" s="200" t="str">
        <f>Financials!B35</f>
        <v>EBITDA</v>
      </c>
      <c r="C19" s="205">
        <f>Financials!F35</f>
        <v>135050</v>
      </c>
      <c r="D19" s="205">
        <f>Financials!G35</f>
        <v>139868.13417721516</v>
      </c>
      <c r="E19" s="205">
        <f>Financials!H35</f>
        <v>146564.72486506333</v>
      </c>
      <c r="F19" s="205">
        <f>Financials!I35</f>
        <v>153466.52698004257</v>
      </c>
      <c r="G19" s="205">
        <f>Financials!J35</f>
        <v>158546.19555660657</v>
      </c>
      <c r="H19" s="205">
        <f>Financials!K35</f>
        <v>165795.8326653823</v>
      </c>
      <c r="I19" s="205">
        <f>Financials!L35</f>
        <v>173267.36277602694</v>
      </c>
      <c r="J19" s="205">
        <f>Financials!M35</f>
        <v>180967.75384652137</v>
      </c>
      <c r="K19" s="205">
        <f>Financials!N35</f>
        <v>190882.19799445174</v>
      </c>
      <c r="N19" s="201"/>
      <c r="O19" s="201" t="str">
        <f>Financials!C63</f>
        <v>Land</v>
      </c>
      <c r="P19" s="206">
        <f>Financials!F63/1000</f>
        <v>100</v>
      </c>
      <c r="Q19" s="206">
        <f>Financials!G63/1000</f>
        <v>100</v>
      </c>
      <c r="R19" s="206">
        <f>Financials!H63/1000</f>
        <v>100</v>
      </c>
      <c r="S19" s="206">
        <f>Financials!I63/1000</f>
        <v>100</v>
      </c>
      <c r="T19" s="206">
        <f>Financials!J63/1000</f>
        <v>100</v>
      </c>
      <c r="U19" s="206">
        <f>Financials!K63/1000</f>
        <v>100</v>
      </c>
      <c r="V19" s="206">
        <f>Financials!L63/1000</f>
        <v>100</v>
      </c>
      <c r="W19" s="206">
        <f>Financials!M63/1000</f>
        <v>100</v>
      </c>
      <c r="X19" s="206">
        <f>Financials!N63/1000</f>
        <v>100</v>
      </c>
      <c r="Y19" s="206">
        <f>Financials!O63/1000</f>
        <v>100</v>
      </c>
      <c r="Z19" s="206"/>
      <c r="AE19" s="206"/>
      <c r="AF19" s="211"/>
      <c r="AG19" s="208" t="str">
        <f>Financials!B94</f>
        <v>WAAC</v>
      </c>
      <c r="AI19" s="210">
        <f>Financials!F94</f>
        <v>0.10571144235247619</v>
      </c>
      <c r="AJ19" s="212"/>
      <c r="AK19" s="206"/>
      <c r="AL19" s="206"/>
      <c r="AM19" s="206"/>
      <c r="AQ19" s="200" t="str">
        <f>Financials!C112</f>
        <v>CASH FROM CAPITAL EXPENDITURES</v>
      </c>
      <c r="AR19" s="203">
        <f>Financials!E112</f>
        <v>0</v>
      </c>
      <c r="AS19" s="203">
        <f>Financials!F112</f>
        <v>0</v>
      </c>
      <c r="AT19" s="203">
        <f>Financials!G112</f>
        <v>0</v>
      </c>
      <c r="AU19" s="203">
        <f>Financials!H112</f>
        <v>0</v>
      </c>
      <c r="AV19" s="203">
        <f>Financials!I112</f>
        <v>0</v>
      </c>
      <c r="AW19" s="203">
        <f>Financials!J112</f>
        <v>0</v>
      </c>
      <c r="AX19" s="203">
        <f>Financials!K112</f>
        <v>0</v>
      </c>
      <c r="AY19" s="203">
        <f>Financials!L112</f>
        <v>0</v>
      </c>
      <c r="AZ19" s="203">
        <f>Financials!M112</f>
        <v>0</v>
      </c>
      <c r="BA19" s="203">
        <f>Financials!N112</f>
        <v>0</v>
      </c>
      <c r="BB19" s="203">
        <f>Financials!O112</f>
        <v>0</v>
      </c>
      <c r="BC19" s="203"/>
      <c r="BD19" s="207"/>
    </row>
    <row r="20" spans="1:56" x14ac:dyDescent="0.2">
      <c r="C20" s="206"/>
      <c r="D20" s="206"/>
      <c r="E20" s="206"/>
      <c r="F20" s="206"/>
      <c r="G20" s="206"/>
      <c r="H20" s="206"/>
      <c r="I20" s="206"/>
      <c r="J20" s="206"/>
      <c r="K20" s="206"/>
      <c r="N20" s="201"/>
      <c r="O20" s="201"/>
      <c r="P20" s="206"/>
      <c r="Q20" s="206"/>
      <c r="R20" s="206"/>
      <c r="S20" s="206"/>
      <c r="T20" s="206"/>
      <c r="U20" s="206"/>
      <c r="V20" s="206"/>
      <c r="W20" s="206"/>
      <c r="X20" s="206"/>
      <c r="Y20" s="206"/>
      <c r="Z20" s="206"/>
      <c r="AE20" s="206"/>
      <c r="AF20" s="211"/>
      <c r="AG20" s="208"/>
      <c r="AI20" s="218"/>
      <c r="AJ20" s="212"/>
      <c r="AK20" s="206"/>
      <c r="AL20" s="206"/>
      <c r="AM20" s="206"/>
      <c r="AR20" s="203"/>
      <c r="AS20" s="203"/>
      <c r="AT20" s="203"/>
      <c r="AU20" s="203"/>
      <c r="AV20" s="203"/>
      <c r="AW20" s="203"/>
      <c r="AX20" s="203"/>
      <c r="AY20" s="203"/>
      <c r="AZ20" s="203"/>
      <c r="BA20" s="203"/>
      <c r="BB20" s="203"/>
      <c r="BC20" s="203"/>
    </row>
    <row r="21" spans="1:56" x14ac:dyDescent="0.2">
      <c r="B21" s="200" t="str">
        <f>Financials!C36</f>
        <v xml:space="preserve">Mortgage Interest </v>
      </c>
      <c r="C21" s="203">
        <f>Financials!F36</f>
        <v>29521.885889929654</v>
      </c>
      <c r="D21" s="203">
        <f>Financials!G36</f>
        <v>29010.454684509456</v>
      </c>
      <c r="E21" s="203">
        <f>Financials!H36</f>
        <v>28476.859218596874</v>
      </c>
      <c r="F21" s="203">
        <f>Financials!I36</f>
        <v>27920.138943758488</v>
      </c>
      <c r="G21" s="203">
        <f>Financials!J36</f>
        <v>27339.291683585347</v>
      </c>
      <c r="H21" s="203">
        <f>Financials!K36</f>
        <v>26733.271829631587</v>
      </c>
      <c r="I21" s="203">
        <f>Financials!L36</f>
        <v>26100.988459169184</v>
      </c>
      <c r="J21" s="203">
        <f>Financials!M36</f>
        <v>25441.303371370403</v>
      </c>
      <c r="K21" s="203">
        <f>Financials!N36</f>
        <v>24753.029038382912</v>
      </c>
      <c r="N21" s="201"/>
      <c r="O21" s="201"/>
      <c r="P21" s="206">
        <f>Financials!F64/1000</f>
        <v>0</v>
      </c>
      <c r="Q21" s="206">
        <f>Financials!G64/1000</f>
        <v>0</v>
      </c>
      <c r="R21" s="206">
        <f>Financials!H64/1000</f>
        <v>0</v>
      </c>
      <c r="S21" s="206">
        <f>Financials!I64/1000</f>
        <v>0</v>
      </c>
      <c r="T21" s="206">
        <f>Financials!J64/1000</f>
        <v>0</v>
      </c>
      <c r="U21" s="206">
        <f>Financials!K64/1000</f>
        <v>0</v>
      </c>
      <c r="V21" s="206">
        <f>Financials!L64/1000</f>
        <v>0</v>
      </c>
      <c r="W21" s="206">
        <f>Financials!M64/1000</f>
        <v>0</v>
      </c>
      <c r="X21" s="206">
        <f>Financials!N64/1000</f>
        <v>0</v>
      </c>
      <c r="Y21" s="206">
        <f>Financials!O64/1000</f>
        <v>0</v>
      </c>
      <c r="Z21" s="206"/>
      <c r="AE21" s="206"/>
      <c r="AF21" s="211"/>
      <c r="AJ21" s="212"/>
      <c r="AK21" s="206"/>
      <c r="AL21" s="206"/>
      <c r="AM21" s="206"/>
      <c r="AP21" s="207" t="str">
        <f>Financials!B113</f>
        <v>Cash from Changes in Working Capital</v>
      </c>
      <c r="AR21" s="203">
        <f>Financials!E113</f>
        <v>0</v>
      </c>
      <c r="AS21" s="203">
        <f>Financials!F113</f>
        <v>0</v>
      </c>
      <c r="AT21" s="203">
        <f>Financials!G113</f>
        <v>0</v>
      </c>
      <c r="AU21" s="203">
        <f>Financials!H113</f>
        <v>0</v>
      </c>
      <c r="AV21" s="203">
        <f>Financials!I113</f>
        <v>0</v>
      </c>
      <c r="AW21" s="203">
        <f>Financials!J113</f>
        <v>0</v>
      </c>
      <c r="AX21" s="203">
        <f>Financials!K113</f>
        <v>0</v>
      </c>
      <c r="AY21" s="203">
        <f>Financials!L113</f>
        <v>0</v>
      </c>
      <c r="AZ21" s="203">
        <f>Financials!M113</f>
        <v>0</v>
      </c>
      <c r="BA21" s="203">
        <f>Financials!N113</f>
        <v>0</v>
      </c>
      <c r="BB21" s="203">
        <f>Financials!O113</f>
        <v>0</v>
      </c>
      <c r="BC21" s="203"/>
    </row>
    <row r="22" spans="1:56" x14ac:dyDescent="0.2">
      <c r="B22" s="200" t="str">
        <f>Financials!C37</f>
        <v>Extra Bank Loan Interest</v>
      </c>
      <c r="C22" s="203">
        <f>Financials!F37</f>
        <v>15872.851394202182</v>
      </c>
      <c r="D22" s="203">
        <f>Financials!G37</f>
        <v>8124.5347129386646</v>
      </c>
      <c r="E22" s="203">
        <f>Financials!H37</f>
        <v>0</v>
      </c>
      <c r="F22" s="203">
        <f>Financials!I37</f>
        <v>0</v>
      </c>
      <c r="G22" s="203">
        <f>Financials!J37</f>
        <v>0</v>
      </c>
      <c r="H22" s="203">
        <f>Financials!K37</f>
        <v>0</v>
      </c>
      <c r="I22" s="203">
        <f>Financials!L37</f>
        <v>0</v>
      </c>
      <c r="J22" s="203">
        <f>Financials!M37</f>
        <v>0</v>
      </c>
      <c r="K22" s="203">
        <f>Financials!N37</f>
        <v>0</v>
      </c>
      <c r="N22" s="201" t="str">
        <f>Financials!B65</f>
        <v>Total Assets</v>
      </c>
      <c r="O22" s="201"/>
      <c r="P22" s="205">
        <f>Financials!F65/1000</f>
        <v>1112.9791258969342</v>
      </c>
      <c r="Q22" s="205">
        <f>Financials!G65/1000</f>
        <v>1048.2259778212654</v>
      </c>
      <c r="R22" s="205">
        <f>Financials!H65/1000</f>
        <v>988.49085574552464</v>
      </c>
      <c r="S22" s="205">
        <f>Financials!I65/1000</f>
        <v>1031.2258785584829</v>
      </c>
      <c r="T22" s="205">
        <f>Financials!J65/1000</f>
        <v>1076.1317462159761</v>
      </c>
      <c r="U22" s="205">
        <f>Financials!K65/1000</f>
        <v>1126.0796498059183</v>
      </c>
      <c r="V22" s="205">
        <f>Financials!L65/1000</f>
        <v>1180.4353772910404</v>
      </c>
      <c r="W22" s="205">
        <f>Financials!M65/1000</f>
        <v>1239.331008589025</v>
      </c>
      <c r="X22" s="205">
        <f>Financials!N65/1000</f>
        <v>1304.8806543332053</v>
      </c>
      <c r="Y22" s="205">
        <f>Financials!O65/1000</f>
        <v>1293.2110988762877</v>
      </c>
      <c r="Z22" s="206"/>
      <c r="AE22" s="206"/>
      <c r="AF22" s="213"/>
      <c r="AG22" s="214"/>
      <c r="AH22" s="214"/>
      <c r="AI22" s="214"/>
      <c r="AJ22" s="215"/>
      <c r="AK22" s="206"/>
      <c r="AL22" s="206"/>
      <c r="AM22" s="206"/>
      <c r="AQ22" s="200" t="str">
        <f>Financials!C114</f>
        <v>Accounts Receivable</v>
      </c>
      <c r="AR22" s="203">
        <f>Financials!E114</f>
        <v>0</v>
      </c>
      <c r="AS22" s="203">
        <f>Financials!F114</f>
        <v>-4931.5068493150684</v>
      </c>
      <c r="AT22" s="203">
        <f>Financials!G114</f>
        <v>-199.23287671232902</v>
      </c>
      <c r="AU22" s="203">
        <f>Financials!H114</f>
        <v>-207.28188493150719</v>
      </c>
      <c r="AV22" s="203">
        <f>Financials!I114</f>
        <v>-215.65607308274048</v>
      </c>
      <c r="AW22" s="203">
        <f>Financials!J114</f>
        <v>-224.36857843528287</v>
      </c>
      <c r="AX22" s="203">
        <f>Financials!K114</f>
        <v>-233.43306900406787</v>
      </c>
      <c r="AY22" s="203">
        <f>Financials!L114</f>
        <v>-242.8637649918328</v>
      </c>
      <c r="AZ22" s="203">
        <f>Financials!M114</f>
        <v>-252.67546109750219</v>
      </c>
      <c r="BA22" s="203">
        <f>Financials!N114</f>
        <v>-262.88354972584148</v>
      </c>
      <c r="BB22" s="203">
        <f>Financials!O114</f>
        <v>-273.50404513476587</v>
      </c>
      <c r="BC22" s="203"/>
    </row>
    <row r="23" spans="1:56" x14ac:dyDescent="0.2">
      <c r="B23" s="200" t="str">
        <f>Financials!C38</f>
        <v>Depreciation -Bldg</v>
      </c>
      <c r="C23" s="203">
        <f>Financials!F38</f>
        <v>26666.666666666668</v>
      </c>
      <c r="D23" s="203">
        <f>Financials!G38</f>
        <v>26666.666666666668</v>
      </c>
      <c r="E23" s="203">
        <f>Financials!H38</f>
        <v>26666.666666666668</v>
      </c>
      <c r="F23" s="203">
        <f>Financials!I38</f>
        <v>26666.666666666668</v>
      </c>
      <c r="G23" s="203">
        <f>Financials!J38</f>
        <v>26666.666666666668</v>
      </c>
      <c r="H23" s="203">
        <f>Financials!K38</f>
        <v>26666.666666666668</v>
      </c>
      <c r="I23" s="203">
        <f>Financials!L38</f>
        <v>26666.666666666668</v>
      </c>
      <c r="J23" s="203">
        <f>Financials!M38</f>
        <v>26666.666666666668</v>
      </c>
      <c r="K23" s="203">
        <f>Financials!N38</f>
        <v>26666.666666666668</v>
      </c>
      <c r="N23" s="201"/>
      <c r="O23" s="201"/>
      <c r="P23" s="206"/>
      <c r="Q23" s="206"/>
      <c r="R23" s="206"/>
      <c r="S23" s="206"/>
      <c r="T23" s="206"/>
      <c r="U23" s="206"/>
      <c r="V23" s="206"/>
      <c r="W23" s="206"/>
      <c r="X23" s="206"/>
      <c r="Y23" s="206"/>
      <c r="Z23" s="206"/>
      <c r="AE23" s="206"/>
      <c r="AF23" s="206"/>
      <c r="AG23" s="206"/>
      <c r="AH23" s="206"/>
      <c r="AI23" s="206"/>
      <c r="AJ23" s="206"/>
      <c r="AK23" s="206"/>
      <c r="AL23" s="206"/>
      <c r="AM23" s="206"/>
      <c r="AQ23" s="200" t="str">
        <f>Financials!C115</f>
        <v>Inventory</v>
      </c>
      <c r="AR23" s="203">
        <f>Financials!E115</f>
        <v>0</v>
      </c>
      <c r="AS23" s="203">
        <f>Financials!F115</f>
        <v>0</v>
      </c>
      <c r="AT23" s="203">
        <f>Financials!G115</f>
        <v>0</v>
      </c>
      <c r="AU23" s="203">
        <f>Financials!H115</f>
        <v>0</v>
      </c>
      <c r="AV23" s="203">
        <f>Financials!I115</f>
        <v>0</v>
      </c>
      <c r="AW23" s="203">
        <f>Financials!J115</f>
        <v>0</v>
      </c>
      <c r="AX23" s="203">
        <f>Financials!K115</f>
        <v>0</v>
      </c>
      <c r="AY23" s="203">
        <f>Financials!L115</f>
        <v>0</v>
      </c>
      <c r="AZ23" s="203">
        <f>Financials!M115</f>
        <v>0</v>
      </c>
      <c r="BA23" s="203">
        <f>Financials!N115</f>
        <v>0</v>
      </c>
      <c r="BB23" s="203">
        <f>Financials!O115</f>
        <v>0</v>
      </c>
      <c r="BC23" s="203"/>
    </row>
    <row r="24" spans="1:56" x14ac:dyDescent="0.2">
      <c r="B24" s="200" t="str">
        <f>Financials!C39</f>
        <v>Depreciation -Equip</v>
      </c>
      <c r="C24" s="203">
        <f>Financials!F39</f>
        <v>38285.714285714283</v>
      </c>
      <c r="D24" s="203">
        <f>Financials!G39</f>
        <v>38285.714285714283</v>
      </c>
      <c r="E24" s="203">
        <f>Financials!H39</f>
        <v>38285.714285714283</v>
      </c>
      <c r="F24" s="203">
        <f>Financials!I39</f>
        <v>38285.714285714283</v>
      </c>
      <c r="G24" s="203">
        <f>Financials!J39</f>
        <v>38285.714285714283</v>
      </c>
      <c r="H24" s="203">
        <f>Financials!K39</f>
        <v>38285.714285714283</v>
      </c>
      <c r="I24" s="203">
        <f>Financials!L39</f>
        <v>38285.714285714283</v>
      </c>
      <c r="J24" s="203">
        <f>Financials!M39</f>
        <v>38285.714285714283</v>
      </c>
      <c r="K24" s="203">
        <f>Financials!N39</f>
        <v>38285.714285714283</v>
      </c>
      <c r="N24" s="208" t="str">
        <f>Financials!B67</f>
        <v xml:space="preserve">Liabilities &amp; Stockholders Equity </v>
      </c>
      <c r="O24" s="201"/>
      <c r="P24" s="206"/>
      <c r="Q24" s="206"/>
      <c r="R24" s="206"/>
      <c r="S24" s="206"/>
      <c r="T24" s="206"/>
      <c r="U24" s="206"/>
      <c r="V24" s="206"/>
      <c r="W24" s="206"/>
      <c r="X24" s="206"/>
      <c r="Y24" s="206"/>
      <c r="Z24" s="206"/>
      <c r="AA24" s="208"/>
      <c r="AE24" s="206"/>
      <c r="AF24" s="206"/>
      <c r="AG24" s="206"/>
      <c r="AH24" s="206"/>
      <c r="AI24" s="206"/>
      <c r="AJ24" s="206"/>
      <c r="AK24" s="206"/>
      <c r="AL24" s="206"/>
      <c r="AM24" s="206"/>
      <c r="AQ24" s="200" t="str">
        <f>Financials!C116</f>
        <v>Income Tax Payable</v>
      </c>
      <c r="AR24" s="203">
        <f>Financials!E116</f>
        <v>0</v>
      </c>
      <c r="AS24" s="203">
        <f>Financials!F116</f>
        <v>27338.071428571431</v>
      </c>
      <c r="AT24" s="203">
        <f>Financials!G116</f>
        <v>1879.0723291139147</v>
      </c>
      <c r="AU24" s="203">
        <f>Financials!H116</f>
        <v>2611.670368260784</v>
      </c>
      <c r="AV24" s="203">
        <f>Financials!I116</f>
        <v>2691.7028248419047</v>
      </c>
      <c r="AW24" s="203">
        <f>Financials!J116</f>
        <v>1981.0707448599642</v>
      </c>
      <c r="AX24" s="203">
        <f>Financials!K116</f>
        <v>2827.3584724225293</v>
      </c>
      <c r="AY24" s="203">
        <f>Financials!L116</f>
        <v>2913.8967431514102</v>
      </c>
      <c r="AZ24" s="203">
        <f>Financials!M116</f>
        <v>3003.152517492832</v>
      </c>
      <c r="BA24" s="203">
        <f>Financials!N116</f>
        <v>3866.6332176928408</v>
      </c>
      <c r="BB24" s="203">
        <f>Financials!O116</f>
        <v>1379.7422839358987</v>
      </c>
      <c r="BC24" s="203"/>
    </row>
    <row r="25" spans="1:56" x14ac:dyDescent="0.2">
      <c r="B25" s="200" t="str">
        <f>Financials!C40</f>
        <v xml:space="preserve">Amoritizaion </v>
      </c>
      <c r="C25" s="203">
        <v>0</v>
      </c>
      <c r="D25" s="203">
        <v>0</v>
      </c>
      <c r="E25" s="203">
        <v>0</v>
      </c>
      <c r="F25" s="203">
        <v>0</v>
      </c>
      <c r="G25" s="203">
        <v>0</v>
      </c>
      <c r="H25" s="203">
        <v>0</v>
      </c>
      <c r="I25" s="203">
        <v>0</v>
      </c>
      <c r="J25" s="203">
        <v>0</v>
      </c>
      <c r="K25" s="203">
        <v>0</v>
      </c>
      <c r="N25" s="201"/>
      <c r="O25" s="201" t="str">
        <f>Financials!C68</f>
        <v xml:space="preserve">Accounts Payable </v>
      </c>
      <c r="P25" s="206">
        <f>Financials!F68/1000</f>
        <v>0</v>
      </c>
      <c r="Q25" s="206">
        <f>Financials!G68/1000</f>
        <v>0</v>
      </c>
      <c r="R25" s="206">
        <f>Financials!H68/1000</f>
        <v>0</v>
      </c>
      <c r="S25" s="206">
        <f>Financials!I68/1000</f>
        <v>0</v>
      </c>
      <c r="T25" s="206">
        <f>Financials!J68/1000</f>
        <v>0</v>
      </c>
      <c r="U25" s="206">
        <f>Financials!K68/1000</f>
        <v>0</v>
      </c>
      <c r="V25" s="206">
        <f>Financials!L68/1000</f>
        <v>0</v>
      </c>
      <c r="W25" s="206">
        <f>Financials!M68/1000</f>
        <v>0</v>
      </c>
      <c r="X25" s="206">
        <f>Financials!N68/1000</f>
        <v>0</v>
      </c>
      <c r="Y25" s="206">
        <f>Financials!O68/1000</f>
        <v>0</v>
      </c>
      <c r="Z25" s="206"/>
      <c r="AE25" s="206"/>
      <c r="AF25" s="206"/>
      <c r="AG25" s="206"/>
      <c r="AH25" s="206"/>
      <c r="AI25" s="206"/>
      <c r="AJ25" s="206"/>
      <c r="AK25" s="206"/>
      <c r="AL25" s="206"/>
      <c r="AM25" s="206"/>
      <c r="AQ25" s="200" t="str">
        <f>Financials!C117</f>
        <v>Accounts Payable - COGS</v>
      </c>
      <c r="AR25" s="203">
        <f>Financials!E117</f>
        <v>0</v>
      </c>
      <c r="AS25" s="203">
        <f>Financials!F117</f>
        <v>0</v>
      </c>
      <c r="AT25" s="203">
        <f>Financials!G117</f>
        <v>0</v>
      </c>
      <c r="AU25" s="203">
        <f>Financials!H117</f>
        <v>0</v>
      </c>
      <c r="AV25" s="203">
        <f>Financials!I117</f>
        <v>0</v>
      </c>
      <c r="AW25" s="203">
        <f>Financials!J117</f>
        <v>0</v>
      </c>
      <c r="AX25" s="203">
        <f>Financials!K117</f>
        <v>0</v>
      </c>
      <c r="AY25" s="203">
        <f>Financials!L117</f>
        <v>0</v>
      </c>
      <c r="AZ25" s="203">
        <f>Financials!M117</f>
        <v>0</v>
      </c>
      <c r="BA25" s="203">
        <f>Financials!N117</f>
        <v>0</v>
      </c>
      <c r="BB25" s="203">
        <f>Financials!O117</f>
        <v>0</v>
      </c>
      <c r="BC25" s="203"/>
    </row>
    <row r="26" spans="1:56" x14ac:dyDescent="0.2">
      <c r="C26" s="203"/>
      <c r="D26" s="203"/>
      <c r="E26" s="203"/>
      <c r="F26" s="203"/>
      <c r="G26" s="203"/>
      <c r="H26" s="203"/>
      <c r="I26" s="203"/>
      <c r="J26" s="203"/>
      <c r="K26" s="203"/>
      <c r="N26" s="201"/>
      <c r="O26" s="201"/>
      <c r="P26" s="206"/>
      <c r="Q26" s="206"/>
      <c r="R26" s="206"/>
      <c r="S26" s="206"/>
      <c r="T26" s="206"/>
      <c r="U26" s="206"/>
      <c r="V26" s="206"/>
      <c r="W26" s="206"/>
      <c r="X26" s="206"/>
      <c r="Y26" s="206"/>
      <c r="Z26" s="206"/>
      <c r="AE26" s="206"/>
      <c r="AF26" s="206"/>
      <c r="AG26" s="206"/>
      <c r="AH26" s="206"/>
      <c r="AI26" s="206"/>
      <c r="AJ26" s="206"/>
      <c r="AK26" s="206"/>
      <c r="AL26" s="206"/>
      <c r="AM26" s="206"/>
      <c r="AR26" s="203"/>
      <c r="AS26" s="203"/>
      <c r="AT26" s="203"/>
      <c r="AU26" s="203"/>
      <c r="AV26" s="203"/>
      <c r="AW26" s="203"/>
      <c r="AX26" s="203"/>
      <c r="AY26" s="203"/>
      <c r="AZ26" s="203"/>
      <c r="BA26" s="203"/>
      <c r="BB26" s="203"/>
      <c r="BC26" s="203"/>
    </row>
    <row r="27" spans="1:56" x14ac:dyDescent="0.2">
      <c r="C27" s="203"/>
      <c r="D27" s="203"/>
      <c r="E27" s="203"/>
      <c r="F27" s="203"/>
      <c r="G27" s="203"/>
      <c r="H27" s="203"/>
      <c r="I27" s="203"/>
      <c r="J27" s="203"/>
      <c r="K27" s="203"/>
      <c r="N27" s="201"/>
      <c r="O27" s="201" t="str">
        <f>Financials!C69</f>
        <v xml:space="preserve">Taxes Payable </v>
      </c>
      <c r="P27" s="206">
        <f>Financials!F69/1000</f>
        <v>20.034123887760011</v>
      </c>
      <c r="Q27" s="206">
        <f>Financials!G69/1000</f>
        <v>25.134497892680578</v>
      </c>
      <c r="R27" s="206">
        <f>Financials!H69/1000</f>
        <v>31.122839030693349</v>
      </c>
      <c r="S27" s="206">
        <f>Financials!I69/1000</f>
        <v>34.031662762722227</v>
      </c>
      <c r="T27" s="206">
        <f>Financials!J69/1000</f>
        <v>36.239263939049707</v>
      </c>
      <c r="U27" s="206">
        <f>Financials!K69/1000</f>
        <v>39.302970154514206</v>
      </c>
      <c r="V27" s="206">
        <f>Financials!L69/1000</f>
        <v>42.463457412145949</v>
      </c>
      <c r="W27" s="206">
        <f>Financials!M69/1000</f>
        <v>45.723887113880309</v>
      </c>
      <c r="X27" s="206">
        <f>Financials!N69/1000</f>
        <v>49.858947321438265</v>
      </c>
      <c r="Y27" s="206">
        <f>Financials!O69/1000</f>
        <v>53.329176469478632</v>
      </c>
      <c r="Z27" s="206"/>
      <c r="AE27" s="206"/>
      <c r="AF27" s="206"/>
      <c r="AG27" s="206"/>
      <c r="AH27" s="206"/>
      <c r="AI27" s="206"/>
      <c r="AJ27" s="206"/>
      <c r="AK27" s="206"/>
      <c r="AL27" s="206"/>
      <c r="AM27" s="206"/>
      <c r="AP27" s="207" t="str">
        <f>Financials!B118</f>
        <v>Cash from Liquidating Working Capital</v>
      </c>
      <c r="AR27" s="203">
        <f>Financials!E118</f>
        <v>0</v>
      </c>
      <c r="AS27" s="203">
        <f>Financials!F118</f>
        <v>0</v>
      </c>
      <c r="AT27" s="203">
        <f>Financials!G118</f>
        <v>0</v>
      </c>
      <c r="AU27" s="203">
        <f>Financials!H118</f>
        <v>0</v>
      </c>
      <c r="AV27" s="203">
        <f>Financials!I118</f>
        <v>0</v>
      </c>
      <c r="AW27" s="203">
        <f>Financials!J118</f>
        <v>0</v>
      </c>
      <c r="AX27" s="203">
        <f>Financials!K118</f>
        <v>0</v>
      </c>
      <c r="AY27" s="203">
        <f>Financials!L118</f>
        <v>0</v>
      </c>
      <c r="AZ27" s="203">
        <f>Financials!M118</f>
        <v>0</v>
      </c>
      <c r="BA27" s="203">
        <f>Financials!N118</f>
        <v>0</v>
      </c>
      <c r="BB27" s="203">
        <f>Financials!O118</f>
        <v>0</v>
      </c>
      <c r="BC27" s="203"/>
    </row>
    <row r="28" spans="1:56" x14ac:dyDescent="0.2">
      <c r="A28" s="200" t="str">
        <f>Financials!B42</f>
        <v xml:space="preserve">Taxable Income </v>
      </c>
      <c r="C28" s="203">
        <f>Financials!F42</f>
        <v>51369.548430153875</v>
      </c>
      <c r="D28" s="203">
        <f>Financials!G42</f>
        <v>64447.430494052758</v>
      </c>
      <c r="E28" s="203">
        <f>Financials!H42</f>
        <v>79802.151360752177</v>
      </c>
      <c r="F28" s="203">
        <f>Financials!I42</f>
        <v>87260.673750569811</v>
      </c>
      <c r="G28" s="203">
        <f>Financials!J42</f>
        <v>92921.18958730693</v>
      </c>
      <c r="H28" s="203">
        <f>Financials!K42</f>
        <v>100776.84655003643</v>
      </c>
      <c r="I28" s="203">
        <f>Financials!L42</f>
        <v>108880.66003114346</v>
      </c>
      <c r="J28" s="203">
        <f>Financials!M42</f>
        <v>117240.73618943669</v>
      </c>
      <c r="K28" s="203">
        <f>Financials!N42</f>
        <v>127843.45467035452</v>
      </c>
      <c r="N28" s="201"/>
      <c r="O28" s="201" t="str">
        <f>Financials!C70</f>
        <v>Mortgage</v>
      </c>
      <c r="P28" s="206">
        <f>Financials!F70/1000</f>
        <v>688.19893503925312</v>
      </c>
      <c r="Q28" s="206">
        <f>Financials!G70/1000</f>
        <v>675.88643887308581</v>
      </c>
      <c r="R28" s="206">
        <f>Financials!H70/1000</f>
        <v>663.0403472410062</v>
      </c>
      <c r="S28" s="206">
        <f>Financials!I70/1000</f>
        <v>649.63753533408828</v>
      </c>
      <c r="T28" s="206">
        <f>Financials!J70/1000</f>
        <v>635.65387616699729</v>
      </c>
      <c r="U28" s="206">
        <f>Financials!K70/1000</f>
        <v>621.06419714595199</v>
      </c>
      <c r="V28" s="206">
        <f>Financials!L70/1000</f>
        <v>605.84223475444458</v>
      </c>
      <c r="W28" s="206">
        <f>Financials!M70/1000</f>
        <v>589.96058727513855</v>
      </c>
      <c r="X28" s="206">
        <f>Financials!N70/1000</f>
        <v>573.39066546284494</v>
      </c>
      <c r="Y28" s="206">
        <f>Financials!O70/1000</f>
        <v>556.10264107977764</v>
      </c>
      <c r="Z28" s="206"/>
      <c r="AE28" s="206"/>
      <c r="AF28" s="206"/>
      <c r="AG28" s="206"/>
      <c r="AH28" s="206"/>
      <c r="AI28" s="206"/>
      <c r="AJ28" s="206"/>
      <c r="AK28" s="206"/>
      <c r="AL28" s="206"/>
      <c r="AM28" s="206"/>
      <c r="AQ28" s="200" t="str">
        <f>Financials!C119</f>
        <v>Accounts Receivable</v>
      </c>
      <c r="AR28" s="203">
        <f>Financials!E119</f>
        <v>0</v>
      </c>
      <c r="AS28" s="203">
        <f>Financials!F119</f>
        <v>0</v>
      </c>
      <c r="AT28" s="203">
        <f>Financials!G119</f>
        <v>0</v>
      </c>
      <c r="AU28" s="203">
        <f>Financials!H119</f>
        <v>0</v>
      </c>
      <c r="AV28" s="203">
        <f>Financials!I119</f>
        <v>0</v>
      </c>
      <c r="AW28" s="203">
        <f>Financials!J119</f>
        <v>0</v>
      </c>
      <c r="AX28" s="203">
        <f>Financials!K119</f>
        <v>0</v>
      </c>
      <c r="AY28" s="203">
        <f>Financials!L119</f>
        <v>0</v>
      </c>
      <c r="AZ28" s="203">
        <f>Financials!M119</f>
        <v>0</v>
      </c>
      <c r="BA28" s="203">
        <f>Financials!N119</f>
        <v>0</v>
      </c>
      <c r="BB28" s="203">
        <f>Financials!O119</f>
        <v>7043.4061524309382</v>
      </c>
      <c r="BC28" s="203"/>
    </row>
    <row r="29" spans="1:56" x14ac:dyDescent="0.2">
      <c r="B29" s="200" t="str">
        <f>Financials!C43</f>
        <v xml:space="preserve">Taxes </v>
      </c>
      <c r="C29" s="203">
        <f>Financials!F43</f>
        <v>20034.123887760012</v>
      </c>
      <c r="D29" s="203">
        <f>Financials!G43</f>
        <v>25134.497892680578</v>
      </c>
      <c r="E29" s="203">
        <f>Financials!H43</f>
        <v>31122.839030693351</v>
      </c>
      <c r="F29" s="203">
        <f>Financials!I43</f>
        <v>34031.662762722226</v>
      </c>
      <c r="G29" s="203">
        <f>Financials!J43</f>
        <v>36239.263939049706</v>
      </c>
      <c r="H29" s="203">
        <f>Financials!K43</f>
        <v>39302.970154514209</v>
      </c>
      <c r="I29" s="203">
        <f>Financials!L43</f>
        <v>42463.457412145952</v>
      </c>
      <c r="J29" s="203">
        <f>Financials!M43</f>
        <v>45723.887113880308</v>
      </c>
      <c r="K29" s="203">
        <f>Financials!N43</f>
        <v>49858.947321438267</v>
      </c>
      <c r="N29" s="201"/>
      <c r="O29" s="201" t="str">
        <f>Financials!C71</f>
        <v>Extra Bank Loan</v>
      </c>
      <c r="P29" s="206">
        <f>Financials!F71/1000</f>
        <v>198.41064242752725</v>
      </c>
      <c r="Q29" s="206">
        <f>Financials!G71/1000</f>
        <v>101.5566839117333</v>
      </c>
      <c r="R29" s="206">
        <f>Financials!H71/1000</f>
        <v>0</v>
      </c>
      <c r="S29" s="206">
        <f>Financials!I71/1000</f>
        <v>0</v>
      </c>
      <c r="T29" s="206">
        <f>Financials!J71/1000</f>
        <v>0</v>
      </c>
      <c r="U29" s="206">
        <f>Financials!K71/1000</f>
        <v>0</v>
      </c>
      <c r="V29" s="206">
        <f>Financials!L71/1000</f>
        <v>0</v>
      </c>
      <c r="W29" s="206">
        <f>Financials!M71/1000</f>
        <v>0</v>
      </c>
      <c r="X29" s="206">
        <f>Financials!N71/1000</f>
        <v>0</v>
      </c>
      <c r="Y29" s="206">
        <f>Financials!O71/1000</f>
        <v>0</v>
      </c>
      <c r="Z29" s="206"/>
      <c r="AE29" s="206"/>
      <c r="AF29" s="206"/>
      <c r="AG29" s="206"/>
      <c r="AH29" s="206"/>
      <c r="AI29" s="206"/>
      <c r="AJ29" s="206"/>
      <c r="AK29" s="206"/>
      <c r="AL29" s="206"/>
      <c r="AM29" s="206"/>
      <c r="AQ29" s="200" t="str">
        <f>Financials!C120</f>
        <v>Inventory</v>
      </c>
      <c r="AR29" s="203">
        <f>Financials!E120</f>
        <v>0</v>
      </c>
      <c r="AS29" s="203">
        <f>Financials!F120</f>
        <v>0</v>
      </c>
      <c r="AT29" s="203">
        <f>Financials!G120</f>
        <v>0</v>
      </c>
      <c r="AU29" s="203">
        <f>Financials!H120</f>
        <v>0</v>
      </c>
      <c r="AV29" s="203">
        <f>Financials!I120</f>
        <v>0</v>
      </c>
      <c r="AW29" s="203">
        <f>Financials!J120</f>
        <v>0</v>
      </c>
      <c r="AX29" s="203">
        <f>Financials!K120</f>
        <v>0</v>
      </c>
      <c r="AY29" s="203">
        <f>Financials!L120</f>
        <v>0</v>
      </c>
      <c r="AZ29" s="203">
        <f>Financials!M120</f>
        <v>0</v>
      </c>
      <c r="BA29" s="203">
        <f>Financials!N120</f>
        <v>0</v>
      </c>
      <c r="BB29" s="203">
        <f>Financials!O120</f>
        <v>0</v>
      </c>
      <c r="BC29" s="203"/>
    </row>
    <row r="30" spans="1:56" x14ac:dyDescent="0.2">
      <c r="C30" s="203"/>
      <c r="D30" s="203"/>
      <c r="E30" s="203"/>
      <c r="F30" s="203"/>
      <c r="G30" s="203"/>
      <c r="H30" s="203"/>
      <c r="I30" s="203"/>
      <c r="J30" s="203"/>
      <c r="K30" s="203"/>
      <c r="N30" s="201"/>
      <c r="O30" s="201"/>
      <c r="P30" s="206"/>
      <c r="Q30" s="206"/>
      <c r="R30" s="206"/>
      <c r="S30" s="206"/>
      <c r="T30" s="206"/>
      <c r="U30" s="206"/>
      <c r="V30" s="206"/>
      <c r="W30" s="206"/>
      <c r="X30" s="206"/>
      <c r="Y30" s="206"/>
      <c r="Z30" s="206"/>
      <c r="AE30" s="206"/>
      <c r="AF30" s="206"/>
      <c r="AG30" s="206"/>
      <c r="AH30" s="206"/>
      <c r="AI30" s="206"/>
      <c r="AJ30" s="206"/>
      <c r="AK30" s="206"/>
      <c r="AL30" s="206"/>
      <c r="AM30" s="206"/>
      <c r="AQ30" s="200" t="str">
        <f>Financials!C121</f>
        <v>Income Tax Payable</v>
      </c>
      <c r="AR30" s="203">
        <f>Financials!E121</f>
        <v>0</v>
      </c>
      <c r="AS30" s="203">
        <f>Financials!F121</f>
        <v>0</v>
      </c>
      <c r="AT30" s="203">
        <f>Financials!G121</f>
        <v>0</v>
      </c>
      <c r="AU30" s="203">
        <f>Financials!H121</f>
        <v>0</v>
      </c>
      <c r="AV30" s="203">
        <f>Financials!I121</f>
        <v>0</v>
      </c>
      <c r="AW30" s="203">
        <f>Financials!J121</f>
        <v>0</v>
      </c>
      <c r="AX30" s="203">
        <f>Financials!K121</f>
        <v>0</v>
      </c>
      <c r="AY30" s="203">
        <f>Financials!L121</f>
        <v>0</v>
      </c>
      <c r="AZ30" s="203">
        <f>Financials!M121</f>
        <v>0</v>
      </c>
      <c r="BA30" s="203">
        <f>Financials!N121</f>
        <v>0</v>
      </c>
      <c r="BB30" s="203">
        <f>Financials!O121</f>
        <v>-50492.37093034351</v>
      </c>
      <c r="BC30" s="203"/>
    </row>
    <row r="31" spans="1:56" x14ac:dyDescent="0.2">
      <c r="A31" s="200" t="str">
        <f>Financials!B45</f>
        <v xml:space="preserve">Net Income </v>
      </c>
      <c r="C31" s="205">
        <f>Financials!F45</f>
        <v>31335.424542393863</v>
      </c>
      <c r="D31" s="205">
        <f>Financials!G45</f>
        <v>39312.93260137218</v>
      </c>
      <c r="E31" s="205">
        <f>Financials!H45</f>
        <v>48679.312330058827</v>
      </c>
      <c r="F31" s="205">
        <f>Financials!I45</f>
        <v>53229.010987847585</v>
      </c>
      <c r="G31" s="205">
        <f>Financials!J45</f>
        <v>56681.925648257224</v>
      </c>
      <c r="H31" s="205">
        <f>Financials!K45</f>
        <v>61473.876395522217</v>
      </c>
      <c r="I31" s="205">
        <f>Financials!L45</f>
        <v>66417.202618997515</v>
      </c>
      <c r="J31" s="205">
        <f>Financials!M45</f>
        <v>71516.849075556383</v>
      </c>
      <c r="K31" s="205">
        <f>Financials!N45</f>
        <v>77984.507348916261</v>
      </c>
      <c r="N31" s="201" t="str">
        <f>Financials!B73</f>
        <v xml:space="preserve">Equity </v>
      </c>
      <c r="O31" s="201"/>
      <c r="P31" s="206"/>
      <c r="Q31" s="206"/>
      <c r="R31" s="206"/>
      <c r="S31" s="206"/>
      <c r="T31" s="206"/>
      <c r="U31" s="206"/>
      <c r="V31" s="206"/>
      <c r="W31" s="206"/>
      <c r="X31" s="206"/>
      <c r="Y31" s="206"/>
      <c r="Z31" s="206"/>
      <c r="AE31" s="206"/>
      <c r="AF31" s="206"/>
      <c r="AG31" s="206"/>
      <c r="AH31" s="206"/>
      <c r="AI31" s="206"/>
      <c r="AJ31" s="206"/>
      <c r="AK31" s="206"/>
      <c r="AL31" s="206"/>
      <c r="AM31" s="206"/>
      <c r="AQ31" s="200" t="str">
        <f>Financials!C122</f>
        <v>Accounts Payable - COGS</v>
      </c>
      <c r="AR31" s="203">
        <f>Financials!E122</f>
        <v>0</v>
      </c>
      <c r="AS31" s="203">
        <f>Financials!F122</f>
        <v>0</v>
      </c>
      <c r="AT31" s="203">
        <f>Financials!G122</f>
        <v>0</v>
      </c>
      <c r="AU31" s="203">
        <f>Financials!H122</f>
        <v>0</v>
      </c>
      <c r="AV31" s="203">
        <f>Financials!I122</f>
        <v>0</v>
      </c>
      <c r="AW31" s="203">
        <f>Financials!J122</f>
        <v>0</v>
      </c>
      <c r="AX31" s="203">
        <f>Financials!K122</f>
        <v>0</v>
      </c>
      <c r="AY31" s="203">
        <f>Financials!L122</f>
        <v>0</v>
      </c>
      <c r="AZ31" s="203">
        <f>Financials!M122</f>
        <v>0</v>
      </c>
      <c r="BA31" s="203">
        <f>Financials!N122</f>
        <v>0</v>
      </c>
      <c r="BB31" s="203">
        <f>Financials!O122</f>
        <v>0</v>
      </c>
      <c r="BC31" s="203"/>
    </row>
    <row r="32" spans="1:56" x14ac:dyDescent="0.2">
      <c r="N32" s="201"/>
      <c r="O32" s="201" t="str">
        <f>Financials!C74</f>
        <v>Common Stock</v>
      </c>
      <c r="P32" s="206">
        <f>Financials!F74/1000</f>
        <v>175</v>
      </c>
      <c r="Q32" s="206">
        <f>Financials!G74/1000</f>
        <v>175</v>
      </c>
      <c r="R32" s="206">
        <f>Financials!H74/1000</f>
        <v>175</v>
      </c>
      <c r="S32" s="206">
        <f>Financials!I74/1000</f>
        <v>175</v>
      </c>
      <c r="T32" s="206">
        <f>Financials!J74/1000</f>
        <v>175</v>
      </c>
      <c r="U32" s="206">
        <f>Financials!K74/1000</f>
        <v>175</v>
      </c>
      <c r="V32" s="206">
        <f>Financials!L74/1000</f>
        <v>175</v>
      </c>
      <c r="W32" s="206">
        <f>Financials!M74/1000</f>
        <v>175</v>
      </c>
      <c r="X32" s="206">
        <f>Financials!N74/1000</f>
        <v>175</v>
      </c>
      <c r="Y32" s="206">
        <f>Financials!O74/1000</f>
        <v>93.735938120719482</v>
      </c>
      <c r="Z32" s="206"/>
      <c r="AE32" s="206"/>
      <c r="AF32" s="206"/>
      <c r="AG32" s="206"/>
      <c r="AH32" s="206"/>
      <c r="AI32" s="206"/>
      <c r="AJ32" s="206"/>
      <c r="AK32" s="206"/>
      <c r="AL32" s="206"/>
      <c r="AM32" s="206"/>
      <c r="AR32" s="203"/>
      <c r="AS32" s="203"/>
      <c r="AT32" s="203"/>
      <c r="AU32" s="203"/>
      <c r="AV32" s="203"/>
      <c r="AW32" s="203"/>
      <c r="AX32" s="203"/>
      <c r="AY32" s="203"/>
      <c r="AZ32" s="203"/>
      <c r="BA32" s="203"/>
      <c r="BB32" s="203"/>
      <c r="BC32" s="203"/>
    </row>
    <row r="33" spans="14:55" x14ac:dyDescent="0.2">
      <c r="N33" s="201"/>
      <c r="O33" s="201" t="str">
        <f>Financials!C75</f>
        <v xml:space="preserve">Retained Earnings </v>
      </c>
      <c r="P33" s="206">
        <f>Financials!F75/1000</f>
        <v>31.335424542393863</v>
      </c>
      <c r="Q33" s="206">
        <f>Financials!G75/1000</f>
        <v>70.648357143766049</v>
      </c>
      <c r="R33" s="206">
        <f>Financials!H75/1000</f>
        <v>119.32766947382488</v>
      </c>
      <c r="S33" s="206">
        <f>Financials!I75/1000</f>
        <v>172.55668046167244</v>
      </c>
      <c r="T33" s="206">
        <f>Financials!J75/1000</f>
        <v>229.23860610992969</v>
      </c>
      <c r="U33" s="206">
        <f>Financials!K75/1000</f>
        <v>290.71248250545187</v>
      </c>
      <c r="V33" s="206">
        <f>Financials!L75/1000</f>
        <v>357.12968512444945</v>
      </c>
      <c r="W33" s="206">
        <f>Financials!M75/1000</f>
        <v>428.64653420000582</v>
      </c>
      <c r="X33" s="206">
        <f>Financials!N75/1000</f>
        <v>506.6310415489221</v>
      </c>
      <c r="Y33" s="206">
        <f>Financials!O75/1000</f>
        <v>590.04334320631165</v>
      </c>
      <c r="Z33" s="206"/>
      <c r="AE33" s="206"/>
      <c r="AF33" s="206"/>
      <c r="AG33" s="206"/>
      <c r="AH33" s="206"/>
      <c r="AI33" s="206"/>
      <c r="AJ33" s="206"/>
      <c r="AK33" s="206"/>
      <c r="AL33" s="206"/>
      <c r="AM33" s="206"/>
      <c r="AP33" s="207" t="str">
        <f>Financials!B124</f>
        <v>TOTAL FREE CASH FLOWS - GOOD</v>
      </c>
      <c r="AR33" s="203">
        <f>Financials!E124</f>
        <v>-1068000</v>
      </c>
      <c r="AS33" s="203">
        <f>Financials!F124</f>
        <v>130118.49315068494</v>
      </c>
      <c r="AT33" s="203">
        <f>Financials!G124</f>
        <v>112330.8298719314</v>
      </c>
      <c r="AU33" s="203">
        <f>Financials!H124</f>
        <v>117140.29922244648</v>
      </c>
      <c r="AV33" s="203">
        <f>Financials!I124</f>
        <v>121422.05678101371</v>
      </c>
      <c r="AW33" s="203">
        <f>Financials!J124</f>
        <v>123801.31002738327</v>
      </c>
      <c r="AX33" s="203">
        <f>Financials!K124</f>
        <v>129060.81190073024</v>
      </c>
      <c r="AY33" s="203">
        <f>Financials!L124</f>
        <v>133695.55284296459</v>
      </c>
      <c r="AZ33" s="203">
        <f>Financials!M124</f>
        <v>138472.23547420191</v>
      </c>
      <c r="BA33" s="203">
        <f>Financials!N124</f>
        <v>145373.31901601111</v>
      </c>
      <c r="BB33" s="203">
        <f>Financials!O124</f>
        <v>978032.81488656416</v>
      </c>
      <c r="BC33" s="203"/>
    </row>
    <row r="34" spans="14:55" x14ac:dyDescent="0.2">
      <c r="N34" s="201"/>
      <c r="O34" s="201"/>
      <c r="P34" s="206">
        <f>Financials!F76/1000</f>
        <v>0</v>
      </c>
      <c r="Q34" s="206">
        <f>Financials!G76/1000</f>
        <v>0</v>
      </c>
      <c r="R34" s="206">
        <f>Financials!H76/1000</f>
        <v>0</v>
      </c>
      <c r="S34" s="206">
        <f>Financials!I76/1000</f>
        <v>0</v>
      </c>
      <c r="T34" s="206">
        <f>Financials!J76/1000</f>
        <v>0</v>
      </c>
      <c r="U34" s="206">
        <f>Financials!K76/1000</f>
        <v>0</v>
      </c>
      <c r="V34" s="206">
        <f>Financials!L76/1000</f>
        <v>0</v>
      </c>
      <c r="W34" s="206">
        <f>Financials!M76/1000</f>
        <v>0</v>
      </c>
      <c r="X34" s="206">
        <f>Financials!N76/1000</f>
        <v>0</v>
      </c>
      <c r="Y34" s="206">
        <f>Financials!O76/1000</f>
        <v>0</v>
      </c>
      <c r="Z34" s="206"/>
      <c r="AE34" s="206"/>
      <c r="AF34" s="206"/>
      <c r="AG34" s="206"/>
      <c r="AH34" s="206"/>
      <c r="AI34" s="206"/>
      <c r="AJ34" s="206"/>
      <c r="AK34" s="206"/>
      <c r="AL34" s="206"/>
      <c r="AM34" s="206"/>
      <c r="AP34" s="207" t="str">
        <f>Financials!B125</f>
        <v>TOTAL FREE CASH FLOWS - BAD</v>
      </c>
      <c r="AR34" s="203">
        <f>Financials!E125</f>
        <v>-1068000</v>
      </c>
      <c r="AS34" s="203">
        <f>Financials!F125</f>
        <v>33234.931506849316</v>
      </c>
      <c r="AT34" s="203">
        <f>Financials!G125</f>
        <v>37612.043960149393</v>
      </c>
      <c r="AU34" s="203">
        <f>Financials!H125</f>
        <v>41179.046645230424</v>
      </c>
      <c r="AV34" s="203">
        <f>Financials!I125</f>
        <v>44851.456766886782</v>
      </c>
      <c r="AW34" s="203">
        <f>Financials!J125</f>
        <v>48742.592877475698</v>
      </c>
      <c r="AX34" s="203">
        <f>Financials!K125</f>
        <v>52639.833093364556</v>
      </c>
      <c r="AY34" s="203">
        <f>Financials!L125</f>
        <v>56652.419272890795</v>
      </c>
      <c r="AZ34" s="203">
        <f>Financials!M125</f>
        <v>60783.810605594641</v>
      </c>
      <c r="BA34" s="203">
        <f>Financials!N125</f>
        <v>67015.571182680491</v>
      </c>
      <c r="BB34" s="203">
        <f>Financials!O125</f>
        <v>317051.70968068403</v>
      </c>
      <c r="BC34" s="203"/>
    </row>
    <row r="35" spans="14:55" x14ac:dyDescent="0.2">
      <c r="N35" s="208" t="str">
        <f>Financials!B77</f>
        <v xml:space="preserve">Total Liabilities &amp; Equity </v>
      </c>
      <c r="P35" s="205">
        <f>Financials!F77/1000</f>
        <v>1112.9791258969342</v>
      </c>
      <c r="Q35" s="205">
        <f>Financials!G77/1000</f>
        <v>1048.2259778212656</v>
      </c>
      <c r="R35" s="205">
        <f>Financials!H77/1000</f>
        <v>988.49085574552453</v>
      </c>
      <c r="S35" s="205">
        <f>Financials!I77/1000</f>
        <v>1031.2258785584829</v>
      </c>
      <c r="T35" s="205">
        <f>Financials!J77/1000</f>
        <v>1076.1317462159766</v>
      </c>
      <c r="U35" s="205">
        <f>Financials!K77/1000</f>
        <v>1126.0796498059181</v>
      </c>
      <c r="V35" s="205">
        <f>Financials!L77/1000</f>
        <v>1180.4353772910401</v>
      </c>
      <c r="W35" s="205">
        <f>Financials!M77/1000</f>
        <v>1239.3310085890246</v>
      </c>
      <c r="X35" s="205">
        <f>Financials!N77/1000</f>
        <v>1304.8806543332053</v>
      </c>
      <c r="Y35" s="205">
        <f>Financials!O77/1000</f>
        <v>1293.2110988762875</v>
      </c>
      <c r="Z35" s="206"/>
      <c r="AA35" s="208"/>
      <c r="AE35" s="206"/>
      <c r="AF35" s="206"/>
      <c r="AG35" s="206"/>
      <c r="AH35" s="206"/>
      <c r="AI35" s="206"/>
      <c r="AJ35" s="206"/>
      <c r="AK35" s="206"/>
      <c r="AL35" s="206"/>
      <c r="AM35" s="206"/>
      <c r="AR35" s="203"/>
      <c r="AS35" s="203"/>
      <c r="AT35" s="203"/>
      <c r="AU35" s="203"/>
      <c r="AV35" s="203"/>
      <c r="AW35" s="203"/>
      <c r="AX35" s="203"/>
      <c r="AY35" s="203"/>
      <c r="AZ35" s="203"/>
      <c r="BA35" s="203"/>
      <c r="BB35" s="203"/>
      <c r="BC35" s="203"/>
    </row>
    <row r="36" spans="14:55" x14ac:dyDescent="0.2">
      <c r="N36" s="201"/>
      <c r="AS36" s="203"/>
      <c r="AT36" s="203"/>
      <c r="AU36" s="203"/>
      <c r="AV36" s="203"/>
      <c r="AW36" s="203"/>
      <c r="AX36" s="203"/>
      <c r="AY36" s="203"/>
      <c r="AZ36" s="203"/>
      <c r="BA36" s="203"/>
      <c r="BB36" s="203"/>
      <c r="BC36" s="203"/>
    </row>
    <row r="37" spans="14:55" x14ac:dyDescent="0.2">
      <c r="N37" s="201"/>
      <c r="AP37" s="207" t="str">
        <f>Financials!B127</f>
        <v xml:space="preserve">Expected NPV - Whole Project </v>
      </c>
      <c r="AR37" s="203">
        <f>Financials!E127</f>
        <v>-275991.12793282408</v>
      </c>
      <c r="AS37" s="203"/>
      <c r="AU37" s="220" t="str">
        <f>Financials!D145</f>
        <v>Standard Deviation - Good</v>
      </c>
      <c r="AV37" s="219">
        <f>Financials!E145</f>
        <v>0.79160133377824449</v>
      </c>
      <c r="AW37" s="219"/>
      <c r="AX37" s="220" t="str">
        <f>Financials!D148</f>
        <v>IRR - Good</v>
      </c>
      <c r="AY37" s="219">
        <f>Financials!E148</f>
        <v>0.10571144233865248</v>
      </c>
      <c r="AZ37" s="203"/>
      <c r="BA37" s="203"/>
      <c r="BB37" s="203"/>
      <c r="BC37" s="203"/>
    </row>
    <row r="38" spans="14:55" x14ac:dyDescent="0.2">
      <c r="N38" s="201"/>
      <c r="AP38" s="207" t="str">
        <f>Financials!B128</f>
        <v xml:space="preserve">Investment Recommendation </v>
      </c>
      <c r="AR38" s="203" t="str">
        <f>Financials!E128</f>
        <v>DON’T INVEST</v>
      </c>
      <c r="AU38" s="220" t="str">
        <f>Financials!D146</f>
        <v>Standard Deviation - Bad</v>
      </c>
      <c r="AV38" s="219">
        <f>Financials!E146</f>
        <v>0.28243460808794135</v>
      </c>
      <c r="AX38" s="220" t="str">
        <f>Financials!D149</f>
        <v>IRR - Bad</v>
      </c>
      <c r="AY38" s="219">
        <f>Financials!E149</f>
        <v>-4.3863339427381187E-2</v>
      </c>
    </row>
    <row r="39" spans="14:55" x14ac:dyDescent="0.2">
      <c r="N39" s="201"/>
    </row>
  </sheetData>
  <mergeCells count="1">
    <mergeCell ref="AG4:AI4"/>
  </mergeCells>
  <printOptions horizontalCentered="1" verticalCentered="1"/>
  <pageMargins left="0.25" right="0.25" top="0.75" bottom="0.75" header="0.3" footer="0.3"/>
  <pageSetup orientation="landscape" horizontalDpi="4294967293" r:id="rId1"/>
  <colBreaks count="4" manualBreakCount="4">
    <brk id="13" max="1048575" man="1"/>
    <brk id="26" max="1048575" man="1"/>
    <brk id="41" max="1048575" man="1"/>
    <brk id="5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0"/>
  <sheetViews>
    <sheetView showGridLines="0" topLeftCell="A111" zoomScale="80" zoomScaleNormal="80" workbookViewId="0">
      <selection activeCell="D121" sqref="D121:N126"/>
    </sheetView>
  </sheetViews>
  <sheetFormatPr defaultColWidth="12.375" defaultRowHeight="15" outlineLevelCol="2" x14ac:dyDescent="0.25"/>
  <cols>
    <col min="1" max="2" width="2" style="1" customWidth="1"/>
    <col min="3" max="3" width="38.125" style="1" customWidth="1"/>
    <col min="4" max="4" width="14.875" style="1" customWidth="1"/>
    <col min="5" max="14" width="12" style="1" customWidth="1"/>
    <col min="15" max="15" width="12" style="2" customWidth="1" outlineLevel="1"/>
    <col min="16" max="16" width="9.375" style="2" customWidth="1" outlineLevel="1"/>
    <col min="17" max="17" width="86.25" style="1" customWidth="1" outlineLevel="2"/>
    <col min="18" max="18" width="12.375" style="1" customWidth="1"/>
    <col min="19" max="16384" width="12.375" style="1"/>
  </cols>
  <sheetData>
    <row r="1" spans="1:17" ht="20.100000000000001" customHeight="1" x14ac:dyDescent="0.25">
      <c r="E1" s="4">
        <v>2012</v>
      </c>
      <c r="F1" s="4">
        <v>2013</v>
      </c>
      <c r="G1" s="4">
        <v>2014</v>
      </c>
      <c r="H1" s="4">
        <v>2015</v>
      </c>
      <c r="I1" s="4">
        <v>2016</v>
      </c>
      <c r="J1" s="4">
        <v>2017</v>
      </c>
      <c r="K1" s="4">
        <v>2018</v>
      </c>
      <c r="L1" s="4">
        <v>2019</v>
      </c>
      <c r="M1" s="4">
        <v>2020</v>
      </c>
      <c r="N1" s="4">
        <v>2021</v>
      </c>
      <c r="O1" s="5" t="s">
        <v>22</v>
      </c>
      <c r="P1" s="5"/>
      <c r="Q1" s="4"/>
    </row>
    <row r="2" spans="1:17" s="20" customFormat="1" ht="20.100000000000001" customHeight="1" x14ac:dyDescent="0.25">
      <c r="A2" s="20" t="s">
        <v>0</v>
      </c>
      <c r="O2" s="21"/>
      <c r="P2" s="21"/>
      <c r="Q2" s="123" t="s">
        <v>70</v>
      </c>
    </row>
    <row r="3" spans="1:17" ht="20.100000000000001" customHeight="1" x14ac:dyDescent="0.25">
      <c r="B3" s="122" t="s">
        <v>80</v>
      </c>
      <c r="E3" s="1">
        <v>350</v>
      </c>
      <c r="F3" s="124">
        <f t="shared" ref="F3:N3" si="0">E3*(1+$O$3)</f>
        <v>357</v>
      </c>
      <c r="G3" s="124">
        <f t="shared" si="0"/>
        <v>364.14</v>
      </c>
      <c r="H3" s="124">
        <f t="shared" si="0"/>
        <v>371.4228</v>
      </c>
      <c r="I3" s="124">
        <f t="shared" si="0"/>
        <v>378.85125599999998</v>
      </c>
      <c r="J3" s="124">
        <f t="shared" si="0"/>
        <v>386.42828112000001</v>
      </c>
      <c r="K3" s="124">
        <f t="shared" si="0"/>
        <v>394.15684674240003</v>
      </c>
      <c r="L3" s="124">
        <f t="shared" si="0"/>
        <v>402.03998367724802</v>
      </c>
      <c r="M3" s="124">
        <f t="shared" si="0"/>
        <v>410.08078335079301</v>
      </c>
      <c r="N3" s="124">
        <f t="shared" si="0"/>
        <v>418.28239901780887</v>
      </c>
      <c r="O3" s="2">
        <v>0.02</v>
      </c>
      <c r="Q3" s="3"/>
    </row>
    <row r="4" spans="1:17" ht="20.100000000000001" customHeight="1" x14ac:dyDescent="0.25">
      <c r="B4" s="122" t="s">
        <v>81</v>
      </c>
      <c r="E4" s="6">
        <v>8000</v>
      </c>
      <c r="F4" s="6">
        <f>E4*(1+$O$4)</f>
        <v>8160</v>
      </c>
      <c r="G4" s="6">
        <f>F4*(1+$O$4)</f>
        <v>8323.2000000000007</v>
      </c>
      <c r="H4" s="6">
        <f>G4*(1+$O$4)</f>
        <v>8489.6640000000007</v>
      </c>
      <c r="I4" s="6">
        <v>9001</v>
      </c>
      <c r="J4" s="6">
        <f>I4*(1+$O$4)</f>
        <v>9181.02</v>
      </c>
      <c r="K4" s="6">
        <f>J4*(1+$O$4)</f>
        <v>9364.6404000000002</v>
      </c>
      <c r="L4" s="6">
        <f>K4*(1+$O$4)</f>
        <v>9551.9332080000004</v>
      </c>
      <c r="M4" s="6">
        <f>L4*(1+$O$4)</f>
        <v>9742.9718721600002</v>
      </c>
      <c r="N4" s="6">
        <f>M4*(1+$O$4)</f>
        <v>9937.8313096031998</v>
      </c>
      <c r="O4" s="2">
        <v>0.02</v>
      </c>
      <c r="Q4" s="7"/>
    </row>
    <row r="5" spans="1:17" ht="20.100000000000001" customHeight="1" x14ac:dyDescent="0.25">
      <c r="B5" s="122" t="s">
        <v>77</v>
      </c>
      <c r="E5" s="6">
        <v>2000</v>
      </c>
      <c r="F5" s="6">
        <f t="shared" ref="F5:N5" si="1">E5*(1+$O$5)</f>
        <v>2040</v>
      </c>
      <c r="G5" s="6">
        <f t="shared" si="1"/>
        <v>2080.8000000000002</v>
      </c>
      <c r="H5" s="6">
        <f t="shared" si="1"/>
        <v>2122.4160000000002</v>
      </c>
      <c r="I5" s="6">
        <f t="shared" si="1"/>
        <v>2164.8643200000001</v>
      </c>
      <c r="J5" s="6">
        <f t="shared" si="1"/>
        <v>2208.1616064</v>
      </c>
      <c r="K5" s="6">
        <f t="shared" si="1"/>
        <v>2252.3248385279999</v>
      </c>
      <c r="L5" s="6">
        <f t="shared" si="1"/>
        <v>2297.3713352985601</v>
      </c>
      <c r="M5" s="6">
        <f t="shared" si="1"/>
        <v>2343.3187620045314</v>
      </c>
      <c r="N5" s="6">
        <f t="shared" si="1"/>
        <v>2390.1851372446222</v>
      </c>
      <c r="O5" s="2">
        <v>0.02</v>
      </c>
      <c r="Q5" s="7"/>
    </row>
    <row r="6" spans="1:17" ht="20.100000000000001" customHeight="1" x14ac:dyDescent="0.25">
      <c r="E6" s="8"/>
      <c r="F6" s="6"/>
      <c r="G6" s="6"/>
      <c r="H6" s="6"/>
      <c r="I6" s="8"/>
      <c r="J6" s="6"/>
      <c r="K6" s="6"/>
      <c r="L6" s="6"/>
      <c r="M6" s="8"/>
      <c r="N6" s="6"/>
      <c r="Q6" s="7"/>
    </row>
    <row r="7" spans="1:17" ht="20.100000000000001" customHeight="1" x14ac:dyDescent="0.25">
      <c r="B7" s="122" t="s">
        <v>76</v>
      </c>
      <c r="E7" s="6">
        <v>300</v>
      </c>
      <c r="F7" s="6">
        <f t="shared" ref="F7:N7" si="2">E7*(1+$O$7)</f>
        <v>300</v>
      </c>
      <c r="G7" s="6">
        <f t="shared" si="2"/>
        <v>300</v>
      </c>
      <c r="H7" s="6">
        <f t="shared" si="2"/>
        <v>300</v>
      </c>
      <c r="I7" s="6">
        <f t="shared" si="2"/>
        <v>300</v>
      </c>
      <c r="J7" s="6">
        <f t="shared" si="2"/>
        <v>300</v>
      </c>
      <c r="K7" s="6">
        <f t="shared" si="2"/>
        <v>300</v>
      </c>
      <c r="L7" s="6">
        <f t="shared" si="2"/>
        <v>300</v>
      </c>
      <c r="M7" s="6">
        <f t="shared" si="2"/>
        <v>300</v>
      </c>
      <c r="N7" s="6">
        <f t="shared" si="2"/>
        <v>300</v>
      </c>
      <c r="O7" s="2">
        <v>0</v>
      </c>
      <c r="Q7" s="7"/>
    </row>
    <row r="8" spans="1:17" ht="20.100000000000001" customHeight="1" x14ac:dyDescent="0.25">
      <c r="B8" s="122" t="s">
        <v>79</v>
      </c>
      <c r="E8" s="6">
        <v>15</v>
      </c>
      <c r="F8" s="6">
        <f t="shared" ref="F8:N8" si="3">E8*(1+$O$8)</f>
        <v>15.3</v>
      </c>
      <c r="G8" s="6">
        <f t="shared" si="3"/>
        <v>15.606000000000002</v>
      </c>
      <c r="H8" s="6">
        <f t="shared" si="3"/>
        <v>15.918120000000002</v>
      </c>
      <c r="I8" s="6">
        <f t="shared" si="3"/>
        <v>16.236482400000003</v>
      </c>
      <c r="J8" s="6">
        <f t="shared" si="3"/>
        <v>16.561212048000005</v>
      </c>
      <c r="K8" s="6">
        <f t="shared" si="3"/>
        <v>16.892436288960006</v>
      </c>
      <c r="L8" s="6">
        <f t="shared" si="3"/>
        <v>17.230285014739206</v>
      </c>
      <c r="M8" s="6">
        <f t="shared" si="3"/>
        <v>17.574890715033991</v>
      </c>
      <c r="N8" s="6">
        <f t="shared" si="3"/>
        <v>17.92638852933467</v>
      </c>
      <c r="O8" s="2">
        <v>0.02</v>
      </c>
      <c r="Q8" s="7"/>
    </row>
    <row r="9" spans="1:17" ht="20.100000000000001" customHeight="1" x14ac:dyDescent="0.25">
      <c r="B9" s="122" t="s">
        <v>78</v>
      </c>
      <c r="E9" s="125">
        <v>0.15</v>
      </c>
      <c r="F9" s="125">
        <v>0.15</v>
      </c>
      <c r="G9" s="125">
        <v>0.15</v>
      </c>
      <c r="H9" s="125">
        <v>0.15</v>
      </c>
      <c r="I9" s="125">
        <v>0.15</v>
      </c>
      <c r="J9" s="125">
        <v>0.15</v>
      </c>
      <c r="K9" s="125">
        <v>0.15</v>
      </c>
      <c r="L9" s="125">
        <v>0.15</v>
      </c>
      <c r="M9" s="125">
        <v>0.15</v>
      </c>
      <c r="N9" s="125">
        <v>0.15</v>
      </c>
      <c r="Q9" s="7"/>
    </row>
    <row r="10" spans="1:17" ht="20.100000000000001" customHeight="1" x14ac:dyDescent="0.25">
      <c r="B10" s="122" t="s">
        <v>84</v>
      </c>
      <c r="E10" s="6">
        <v>900</v>
      </c>
      <c r="F10" s="6">
        <f t="shared" ref="F10:N10" si="4">E10*(1+$O$10)</f>
        <v>909</v>
      </c>
      <c r="G10" s="6">
        <f t="shared" si="4"/>
        <v>918.09</v>
      </c>
      <c r="H10" s="6">
        <f t="shared" si="4"/>
        <v>927.2709000000001</v>
      </c>
      <c r="I10" s="6">
        <f t="shared" si="4"/>
        <v>936.54360900000006</v>
      </c>
      <c r="J10" s="6">
        <f t="shared" si="4"/>
        <v>945.90904509000006</v>
      </c>
      <c r="K10" s="6">
        <f t="shared" si="4"/>
        <v>955.36813554090008</v>
      </c>
      <c r="L10" s="6">
        <f t="shared" si="4"/>
        <v>964.92181689630911</v>
      </c>
      <c r="M10" s="6">
        <f t="shared" si="4"/>
        <v>974.57103506527221</v>
      </c>
      <c r="N10" s="6">
        <f t="shared" si="4"/>
        <v>984.31674541592497</v>
      </c>
      <c r="O10" s="2">
        <v>0.01</v>
      </c>
      <c r="Q10" s="7"/>
    </row>
    <row r="11" spans="1:17" ht="20.100000000000001" customHeight="1" x14ac:dyDescent="0.25">
      <c r="Q11" s="7"/>
    </row>
    <row r="12" spans="1:17" ht="20.100000000000001" customHeight="1" x14ac:dyDescent="0.25">
      <c r="B12" s="122" t="s">
        <v>67</v>
      </c>
      <c r="Q12" s="7"/>
    </row>
    <row r="13" spans="1:17" ht="20.100000000000001" customHeight="1" x14ac:dyDescent="0.25">
      <c r="B13" s="122" t="s">
        <v>68</v>
      </c>
      <c r="E13" s="10">
        <v>15</v>
      </c>
      <c r="F13" s="10">
        <f t="shared" ref="F13:N13" si="5">E13*(1+$O$13)</f>
        <v>15.3</v>
      </c>
      <c r="G13" s="10">
        <f t="shared" si="5"/>
        <v>15.606000000000002</v>
      </c>
      <c r="H13" s="10">
        <f t="shared" si="5"/>
        <v>15.918120000000002</v>
      </c>
      <c r="I13" s="10">
        <f t="shared" si="5"/>
        <v>16.236482400000003</v>
      </c>
      <c r="J13" s="10">
        <f t="shared" si="5"/>
        <v>16.561212048000005</v>
      </c>
      <c r="K13" s="10">
        <f t="shared" si="5"/>
        <v>16.892436288960006</v>
      </c>
      <c r="L13" s="10">
        <f t="shared" si="5"/>
        <v>17.230285014739206</v>
      </c>
      <c r="M13" s="10">
        <f t="shared" si="5"/>
        <v>17.574890715033991</v>
      </c>
      <c r="N13" s="10">
        <f t="shared" si="5"/>
        <v>17.92638852933467</v>
      </c>
      <c r="O13" s="2">
        <v>0.02</v>
      </c>
      <c r="Q13" s="11"/>
    </row>
    <row r="14" spans="1:17" ht="20.100000000000001" customHeight="1" x14ac:dyDescent="0.25">
      <c r="B14" s="122" t="s">
        <v>69</v>
      </c>
      <c r="E14" s="10">
        <v>20</v>
      </c>
      <c r="F14" s="10">
        <f t="shared" ref="F14:N14" si="6">E14*(1-$O$13)</f>
        <v>19.600000000000001</v>
      </c>
      <c r="G14" s="10">
        <f t="shared" si="6"/>
        <v>19.208000000000002</v>
      </c>
      <c r="H14" s="10">
        <f t="shared" si="6"/>
        <v>18.823840000000001</v>
      </c>
      <c r="I14" s="10">
        <f t="shared" si="6"/>
        <v>18.447363200000002</v>
      </c>
      <c r="J14" s="10">
        <f t="shared" si="6"/>
        <v>18.078415936000003</v>
      </c>
      <c r="K14" s="10">
        <f t="shared" si="6"/>
        <v>17.716847617280003</v>
      </c>
      <c r="L14" s="10">
        <f t="shared" si="6"/>
        <v>17.362510664934401</v>
      </c>
      <c r="M14" s="10">
        <f t="shared" si="6"/>
        <v>17.015260451635712</v>
      </c>
      <c r="N14" s="10">
        <f t="shared" si="6"/>
        <v>16.674955242602998</v>
      </c>
      <c r="O14" s="2">
        <v>0.03</v>
      </c>
      <c r="Q14" s="12"/>
    </row>
    <row r="15" spans="1:17" ht="20.100000000000001" customHeight="1" x14ac:dyDescent="0.25">
      <c r="Q15" s="12"/>
    </row>
    <row r="16" spans="1:17" s="20" customFormat="1" ht="20.100000000000001" customHeight="1" x14ac:dyDescent="0.25">
      <c r="A16" s="20" t="s">
        <v>7</v>
      </c>
      <c r="O16" s="21"/>
      <c r="P16" s="21"/>
    </row>
    <row r="17" spans="1:17" x14ac:dyDescent="0.25">
      <c r="Q17" s="3"/>
    </row>
    <row r="18" spans="1:17" x14ac:dyDescent="0.25">
      <c r="A18" s="1" t="s">
        <v>3</v>
      </c>
      <c r="Q18" s="7"/>
    </row>
    <row r="19" spans="1:17" x14ac:dyDescent="0.25">
      <c r="B19" s="122" t="s">
        <v>71</v>
      </c>
      <c r="E19" s="10">
        <f t="shared" ref="E19:N19" si="7">E7*E3</f>
        <v>105000</v>
      </c>
      <c r="F19" s="10">
        <f t="shared" si="7"/>
        <v>107100</v>
      </c>
      <c r="G19" s="10">
        <f t="shared" si="7"/>
        <v>109242</v>
      </c>
      <c r="H19" s="10">
        <f t="shared" si="7"/>
        <v>111426.84</v>
      </c>
      <c r="I19" s="10">
        <f t="shared" si="7"/>
        <v>113655.3768</v>
      </c>
      <c r="J19" s="10">
        <f t="shared" si="7"/>
        <v>115928.48433600001</v>
      </c>
      <c r="K19" s="10">
        <f t="shared" si="7"/>
        <v>118247.05402272001</v>
      </c>
      <c r="L19" s="10">
        <f t="shared" si="7"/>
        <v>120611.9951031744</v>
      </c>
      <c r="M19" s="10">
        <f t="shared" si="7"/>
        <v>123024.2350052379</v>
      </c>
      <c r="N19" s="10">
        <f t="shared" si="7"/>
        <v>125484.71970534266</v>
      </c>
      <c r="Q19" s="13"/>
    </row>
    <row r="20" spans="1:17" x14ac:dyDescent="0.25">
      <c r="B20" s="122" t="s">
        <v>82</v>
      </c>
      <c r="E20" s="10">
        <f t="shared" ref="E20:N20" si="8">E4*E8</f>
        <v>120000</v>
      </c>
      <c r="F20" s="10">
        <f t="shared" si="8"/>
        <v>124848</v>
      </c>
      <c r="G20" s="10">
        <f t="shared" si="8"/>
        <v>129891.85920000002</v>
      </c>
      <c r="H20" s="10">
        <f t="shared" si="8"/>
        <v>135139.49031168001</v>
      </c>
      <c r="I20" s="10">
        <f t="shared" si="8"/>
        <v>146144.57808240002</v>
      </c>
      <c r="J20" s="10">
        <f t="shared" si="8"/>
        <v>152048.81903692902</v>
      </c>
      <c r="K20" s="10">
        <f t="shared" si="8"/>
        <v>158191.59132602095</v>
      </c>
      <c r="L20" s="10">
        <f t="shared" si="8"/>
        <v>164582.53161559219</v>
      </c>
      <c r="M20" s="10">
        <f t="shared" si="8"/>
        <v>171231.66589286213</v>
      </c>
      <c r="N20" s="10">
        <f t="shared" si="8"/>
        <v>178149.42519493375</v>
      </c>
      <c r="Q20" s="13"/>
    </row>
    <row r="21" spans="1:17" x14ac:dyDescent="0.25">
      <c r="B21" s="122" t="s">
        <v>83</v>
      </c>
      <c r="E21" s="6">
        <f t="shared" ref="E21:N21" si="9">(E10*E5)*E9</f>
        <v>270000</v>
      </c>
      <c r="F21" s="6">
        <f t="shared" si="9"/>
        <v>278154</v>
      </c>
      <c r="G21" s="6">
        <f t="shared" si="9"/>
        <v>286554.25080000004</v>
      </c>
      <c r="H21" s="6">
        <f t="shared" si="9"/>
        <v>295208.18917416001</v>
      </c>
      <c r="I21" s="6">
        <f t="shared" si="9"/>
        <v>304123.47648721968</v>
      </c>
      <c r="J21" s="6">
        <f t="shared" si="9"/>
        <v>313308.00547713367</v>
      </c>
      <c r="K21" s="6">
        <f t="shared" si="9"/>
        <v>322769.90724254312</v>
      </c>
      <c r="L21" s="6">
        <f t="shared" si="9"/>
        <v>332517.55844126799</v>
      </c>
      <c r="M21" s="6">
        <f t="shared" si="9"/>
        <v>342559.58870619425</v>
      </c>
      <c r="N21" s="6">
        <f t="shared" si="9"/>
        <v>352904.88828512136</v>
      </c>
      <c r="Q21" s="128" t="s">
        <v>92</v>
      </c>
    </row>
    <row r="22" spans="1:17" x14ac:dyDescent="0.25">
      <c r="A22" s="1" t="s">
        <v>2</v>
      </c>
      <c r="E22" s="14">
        <f t="shared" ref="E22:N22" si="10">SUM(E19:E21)</f>
        <v>495000</v>
      </c>
      <c r="F22" s="14">
        <f t="shared" si="10"/>
        <v>510102</v>
      </c>
      <c r="G22" s="14">
        <f t="shared" si="10"/>
        <v>525688.1100000001</v>
      </c>
      <c r="H22" s="14">
        <f t="shared" si="10"/>
        <v>541774.51948583999</v>
      </c>
      <c r="I22" s="14">
        <f t="shared" si="10"/>
        <v>563923.43136961968</v>
      </c>
      <c r="J22" s="14">
        <f t="shared" si="10"/>
        <v>581285.30885006278</v>
      </c>
      <c r="K22" s="14">
        <f t="shared" si="10"/>
        <v>599208.55259128404</v>
      </c>
      <c r="L22" s="14">
        <f t="shared" si="10"/>
        <v>617712.08516003459</v>
      </c>
      <c r="M22" s="14">
        <f t="shared" si="10"/>
        <v>636815.4896042943</v>
      </c>
      <c r="N22" s="14">
        <f t="shared" si="10"/>
        <v>656539.03318539774</v>
      </c>
      <c r="Q22" s="7"/>
    </row>
    <row r="23" spans="1:17" x14ac:dyDescent="0.25">
      <c r="E23" s="10"/>
      <c r="F23" s="10"/>
      <c r="G23" s="10"/>
      <c r="H23" s="10"/>
      <c r="I23" s="10"/>
      <c r="J23" s="10"/>
      <c r="K23" s="10"/>
      <c r="L23" s="10"/>
      <c r="M23" s="10"/>
      <c r="N23" s="10"/>
      <c r="Q23" s="7"/>
    </row>
    <row r="24" spans="1:17" x14ac:dyDescent="0.25">
      <c r="A24" s="1" t="s">
        <v>1</v>
      </c>
      <c r="Q24" s="7"/>
    </row>
    <row r="25" spans="1:17" x14ac:dyDescent="0.25">
      <c r="B25" s="122" t="s">
        <v>85</v>
      </c>
      <c r="E25" s="6">
        <v>80000</v>
      </c>
      <c r="F25" s="6">
        <f t="shared" ref="F25:N25" si="11">SUM(F19:F20)*$O$25</f>
        <v>82470.400000000009</v>
      </c>
      <c r="G25" s="6">
        <f t="shared" si="11"/>
        <v>85025.372159999999</v>
      </c>
      <c r="H25" s="6">
        <f t="shared" si="11"/>
        <v>87668.028555264013</v>
      </c>
      <c r="I25" s="6">
        <f t="shared" si="11"/>
        <v>92373.317291520012</v>
      </c>
      <c r="J25" s="6">
        <f t="shared" si="11"/>
        <v>95280.818977041446</v>
      </c>
      <c r="K25" s="6">
        <f t="shared" si="11"/>
        <v>98289.296123996799</v>
      </c>
      <c r="L25" s="6">
        <f t="shared" si="11"/>
        <v>101402.49838889479</v>
      </c>
      <c r="M25" s="6">
        <f t="shared" si="11"/>
        <v>104624.32031932447</v>
      </c>
      <c r="N25" s="6">
        <f t="shared" si="11"/>
        <v>107958.80707565385</v>
      </c>
      <c r="O25" s="2">
        <f>E25/SUM(E19:E20)</f>
        <v>0.35555555555555557</v>
      </c>
      <c r="Q25" s="126" t="s">
        <v>87</v>
      </c>
    </row>
    <row r="26" spans="1:17" x14ac:dyDescent="0.25">
      <c r="B26" s="122" t="s">
        <v>86</v>
      </c>
      <c r="E26" s="6">
        <v>35000</v>
      </c>
      <c r="F26" s="6">
        <f t="shared" ref="F26:N26" si="12">SUM(F20:F21)*$O$26</f>
        <v>52241</v>
      </c>
      <c r="G26" s="6">
        <f t="shared" si="12"/>
        <v>53983.755000000005</v>
      </c>
      <c r="H26" s="6">
        <f t="shared" si="12"/>
        <v>55785.810303719998</v>
      </c>
      <c r="I26" s="6">
        <f t="shared" si="12"/>
        <v>58368.081147913661</v>
      </c>
      <c r="J26" s="6">
        <f t="shared" si="12"/>
        <v>60324.032807378499</v>
      </c>
      <c r="K26" s="6">
        <f t="shared" si="12"/>
        <v>62346.860925554596</v>
      </c>
      <c r="L26" s="6">
        <f t="shared" si="12"/>
        <v>64438.900562926319</v>
      </c>
      <c r="M26" s="6">
        <f t="shared" si="12"/>
        <v>66602.570040618419</v>
      </c>
      <c r="N26" s="6">
        <f t="shared" si="12"/>
        <v>68840.37396963677</v>
      </c>
      <c r="O26" s="2">
        <f>E26/E21</f>
        <v>0.12962962962962962</v>
      </c>
      <c r="Q26" s="126" t="s">
        <v>87</v>
      </c>
    </row>
    <row r="27" spans="1:17" x14ac:dyDescent="0.25">
      <c r="B27" s="122" t="s">
        <v>72</v>
      </c>
      <c r="E27" s="6">
        <f>3700*8.5</f>
        <v>31450</v>
      </c>
      <c r="F27" s="6">
        <f t="shared" ref="F27:N27" si="13">3700*4.5*(1+$O$27)</f>
        <v>17149.5</v>
      </c>
      <c r="G27" s="6">
        <f t="shared" si="13"/>
        <v>17149.5</v>
      </c>
      <c r="H27" s="6">
        <f t="shared" si="13"/>
        <v>17149.5</v>
      </c>
      <c r="I27" s="6">
        <f t="shared" si="13"/>
        <v>17149.5</v>
      </c>
      <c r="J27" s="6">
        <f t="shared" si="13"/>
        <v>17149.5</v>
      </c>
      <c r="K27" s="6">
        <f t="shared" si="13"/>
        <v>17149.5</v>
      </c>
      <c r="L27" s="6">
        <f t="shared" si="13"/>
        <v>17149.5</v>
      </c>
      <c r="M27" s="6">
        <f t="shared" si="13"/>
        <v>17149.5</v>
      </c>
      <c r="N27" s="6">
        <f t="shared" si="13"/>
        <v>17149.5</v>
      </c>
      <c r="O27" s="2">
        <v>0.03</v>
      </c>
      <c r="Q27" s="127" t="s">
        <v>91</v>
      </c>
    </row>
    <row r="28" spans="1:17" x14ac:dyDescent="0.25">
      <c r="B28" s="144" t="s">
        <v>146</v>
      </c>
      <c r="E28" s="6">
        <v>66000</v>
      </c>
      <c r="F28" s="6">
        <f t="shared" ref="F28:L28" si="14">E28*(1+O28)</f>
        <v>67980</v>
      </c>
      <c r="G28" s="6">
        <f t="shared" si="14"/>
        <v>67980</v>
      </c>
      <c r="H28" s="6">
        <f t="shared" si="14"/>
        <v>67980</v>
      </c>
      <c r="I28" s="6">
        <f t="shared" si="14"/>
        <v>67980</v>
      </c>
      <c r="J28" s="6">
        <f t="shared" si="14"/>
        <v>67980</v>
      </c>
      <c r="K28" s="6">
        <f t="shared" si="14"/>
        <v>67980</v>
      </c>
      <c r="L28" s="6">
        <f t="shared" si="14"/>
        <v>67980</v>
      </c>
      <c r="M28" s="6">
        <v>66002</v>
      </c>
      <c r="N28" s="6">
        <f>M28*(1+W28)</f>
        <v>66002</v>
      </c>
      <c r="O28" s="2">
        <v>0.03</v>
      </c>
      <c r="Q28" s="127"/>
    </row>
    <row r="29" spans="1:17" x14ac:dyDescent="0.25">
      <c r="B29" s="122" t="s">
        <v>73</v>
      </c>
      <c r="E29" s="6">
        <v>245000</v>
      </c>
      <c r="F29" s="6">
        <f t="shared" ref="F29:N29" si="15">F22*$O$29</f>
        <v>252474.72727272729</v>
      </c>
      <c r="G29" s="6">
        <f t="shared" si="15"/>
        <v>260189.0645454546</v>
      </c>
      <c r="H29" s="6">
        <f t="shared" si="15"/>
        <v>268151.02479602181</v>
      </c>
      <c r="I29" s="6">
        <f t="shared" si="15"/>
        <v>279113.61754657945</v>
      </c>
      <c r="J29" s="6">
        <f t="shared" si="15"/>
        <v>287706.87003689975</v>
      </c>
      <c r="K29" s="6">
        <f t="shared" si="15"/>
        <v>296577.97047447396</v>
      </c>
      <c r="L29" s="6">
        <f t="shared" si="15"/>
        <v>305736.28457415855</v>
      </c>
      <c r="M29" s="6">
        <f t="shared" si="15"/>
        <v>315191.50495566084</v>
      </c>
      <c r="N29" s="6">
        <f t="shared" si="15"/>
        <v>324953.66288974235</v>
      </c>
      <c r="O29" s="2">
        <f>E29/E22</f>
        <v>0.49494949494949497</v>
      </c>
      <c r="Q29" s="13"/>
    </row>
    <row r="30" spans="1:17" x14ac:dyDescent="0.25">
      <c r="A30" s="1" t="s">
        <v>4</v>
      </c>
      <c r="E30" s="15">
        <f t="shared" ref="E30:N30" si="16">SUM(E25:E29)</f>
        <v>457450</v>
      </c>
      <c r="F30" s="15">
        <f t="shared" si="16"/>
        <v>472315.62727272732</v>
      </c>
      <c r="G30" s="15">
        <f t="shared" si="16"/>
        <v>484327.69170545461</v>
      </c>
      <c r="H30" s="15">
        <f t="shared" si="16"/>
        <v>496734.36365500581</v>
      </c>
      <c r="I30" s="15">
        <f t="shared" si="16"/>
        <v>514984.51598601311</v>
      </c>
      <c r="J30" s="15">
        <f t="shared" si="16"/>
        <v>528441.22182131966</v>
      </c>
      <c r="K30" s="15">
        <f t="shared" si="16"/>
        <v>542343.62752402539</v>
      </c>
      <c r="L30" s="15">
        <f t="shared" si="16"/>
        <v>556707.18352597964</v>
      </c>
      <c r="M30" s="15">
        <f t="shared" si="16"/>
        <v>569569.8953156037</v>
      </c>
      <c r="N30" s="15">
        <f t="shared" si="16"/>
        <v>584904.34393503296</v>
      </c>
      <c r="Q30" s="16"/>
    </row>
    <row r="31" spans="1:17" x14ac:dyDescent="0.25">
      <c r="Q31" s="7"/>
    </row>
    <row r="32" spans="1:17" x14ac:dyDescent="0.25">
      <c r="A32" s="1" t="s">
        <v>5</v>
      </c>
      <c r="E32" s="10">
        <f t="shared" ref="E32:N32" si="17">E22-E30</f>
        <v>37550</v>
      </c>
      <c r="F32" s="10">
        <f t="shared" si="17"/>
        <v>37786.372727272683</v>
      </c>
      <c r="G32" s="10">
        <f t="shared" si="17"/>
        <v>41360.418294545496</v>
      </c>
      <c r="H32" s="10">
        <f t="shared" si="17"/>
        <v>45040.155830834177</v>
      </c>
      <c r="I32" s="10">
        <f t="shared" si="17"/>
        <v>48938.915383606567</v>
      </c>
      <c r="J32" s="10">
        <f t="shared" si="17"/>
        <v>52844.087028743117</v>
      </c>
      <c r="K32" s="10">
        <f t="shared" si="17"/>
        <v>56864.92506725865</v>
      </c>
      <c r="L32" s="10">
        <f t="shared" si="17"/>
        <v>61004.901634054957</v>
      </c>
      <c r="M32" s="10">
        <f t="shared" si="17"/>
        <v>67245.594288690598</v>
      </c>
      <c r="N32" s="10">
        <f t="shared" si="17"/>
        <v>71634.689250364783</v>
      </c>
      <c r="Q32" s="7"/>
    </row>
    <row r="33" spans="1:18" ht="19.5" customHeight="1" x14ac:dyDescent="0.25">
      <c r="B33" s="130" t="s">
        <v>98</v>
      </c>
      <c r="E33" s="10">
        <f>Loan!Q4</f>
        <v>29521.885889929654</v>
      </c>
      <c r="F33" s="10">
        <f>Loan!R4</f>
        <v>29010.454684509456</v>
      </c>
      <c r="G33" s="10">
        <f>Loan!S4</f>
        <v>28476.859218596874</v>
      </c>
      <c r="H33" s="10">
        <f>Loan!T4</f>
        <v>27920.138943758488</v>
      </c>
      <c r="I33" s="10">
        <f>Loan!U4</f>
        <v>27339.291683585347</v>
      </c>
      <c r="J33" s="10">
        <f>Loan!V4</f>
        <v>26733.271829631587</v>
      </c>
      <c r="K33" s="10">
        <f>Loan!W4</f>
        <v>26100.988459169184</v>
      </c>
      <c r="L33" s="10">
        <f>Loan!X4</f>
        <v>25441.303371370403</v>
      </c>
      <c r="M33" s="10">
        <f>Loan!Y4</f>
        <v>24753.029038382912</v>
      </c>
      <c r="N33" s="10">
        <f>Loan!Z4</f>
        <v>24034.926467609228</v>
      </c>
      <c r="Q33" s="7"/>
    </row>
    <row r="34" spans="1:18" ht="20.100000000000001" customHeight="1" x14ac:dyDescent="0.25">
      <c r="B34" s="122" t="s">
        <v>74</v>
      </c>
      <c r="E34" s="10">
        <f>$O$34*E67</f>
        <v>24297.508928448759</v>
      </c>
      <c r="F34" s="10">
        <f t="shared" ref="F34:N34" si="18">$O$34*F67</f>
        <v>22564.052980771641</v>
      </c>
      <c r="G34" s="10">
        <f t="shared" si="18"/>
        <v>20453.834660971574</v>
      </c>
      <c r="H34" s="10">
        <f t="shared" si="18"/>
        <v>18051.645619972187</v>
      </c>
      <c r="I34" s="10">
        <f t="shared" si="18"/>
        <v>15327.347632950259</v>
      </c>
      <c r="J34" s="10">
        <f t="shared" si="18"/>
        <v>12271.570051935045</v>
      </c>
      <c r="K34" s="10">
        <f t="shared" si="18"/>
        <v>0</v>
      </c>
      <c r="L34" s="10">
        <f t="shared" si="18"/>
        <v>0</v>
      </c>
      <c r="M34" s="10">
        <f t="shared" si="18"/>
        <v>0</v>
      </c>
      <c r="N34" s="10">
        <f t="shared" si="18"/>
        <v>0</v>
      </c>
      <c r="O34" s="2">
        <v>0.08</v>
      </c>
      <c r="Q34" s="7"/>
    </row>
    <row r="35" spans="1:18" ht="20.100000000000001" customHeight="1" x14ac:dyDescent="0.25">
      <c r="B35" s="130" t="s">
        <v>115</v>
      </c>
      <c r="E35" s="10">
        <f>E53*$O$35</f>
        <v>26666.666666666668</v>
      </c>
      <c r="F35" s="10">
        <f t="shared" ref="F35:M35" si="19">F53*$O$35</f>
        <v>26666.666666666668</v>
      </c>
      <c r="G35" s="10">
        <f t="shared" si="19"/>
        <v>26666.666666666668</v>
      </c>
      <c r="H35" s="10">
        <f t="shared" si="19"/>
        <v>26666.666666666668</v>
      </c>
      <c r="I35" s="10">
        <f t="shared" si="19"/>
        <v>26666.666666666668</v>
      </c>
      <c r="J35" s="10">
        <f t="shared" si="19"/>
        <v>26666.666666666668</v>
      </c>
      <c r="K35" s="10">
        <f t="shared" si="19"/>
        <v>0</v>
      </c>
      <c r="L35" s="10">
        <f t="shared" si="19"/>
        <v>0</v>
      </c>
      <c r="M35" s="10">
        <f t="shared" si="19"/>
        <v>0</v>
      </c>
      <c r="N35" s="10">
        <f>N53*$O$35</f>
        <v>0</v>
      </c>
      <c r="O35" s="2">
        <f>1/30</f>
        <v>3.3333333333333333E-2</v>
      </c>
      <c r="Q35" s="131" t="s">
        <v>116</v>
      </c>
    </row>
    <row r="36" spans="1:18" ht="20.100000000000001" customHeight="1" x14ac:dyDescent="0.25">
      <c r="B36" s="130" t="s">
        <v>114</v>
      </c>
      <c r="E36" s="6">
        <f t="shared" ref="E36:J36" si="20">E56*$O$36</f>
        <v>38285.714285714283</v>
      </c>
      <c r="F36" s="6">
        <f t="shared" si="20"/>
        <v>38285.714285714283</v>
      </c>
      <c r="G36" s="6">
        <f t="shared" si="20"/>
        <v>38285.714285714283</v>
      </c>
      <c r="H36" s="6">
        <f t="shared" si="20"/>
        <v>38285.714285714283</v>
      </c>
      <c r="I36" s="6">
        <f t="shared" si="20"/>
        <v>38285.714285714283</v>
      </c>
      <c r="J36" s="6">
        <f t="shared" si="20"/>
        <v>38285.714285714283</v>
      </c>
      <c r="K36" s="6">
        <v>0</v>
      </c>
      <c r="L36" s="6">
        <v>0</v>
      </c>
      <c r="M36" s="6">
        <v>0</v>
      </c>
      <c r="N36" s="6">
        <v>0</v>
      </c>
      <c r="O36" s="2">
        <f>1/7</f>
        <v>0.14285714285714285</v>
      </c>
      <c r="Q36" s="131" t="s">
        <v>97</v>
      </c>
      <c r="R36" s="9"/>
    </row>
    <row r="37" spans="1:18" ht="20.100000000000001" customHeight="1" x14ac:dyDescent="0.25">
      <c r="B37" s="1" t="s">
        <v>24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Q37" s="7"/>
    </row>
    <row r="38" spans="1:18" ht="20.100000000000001" customHeight="1" x14ac:dyDescent="0.25">
      <c r="E38" s="10"/>
      <c r="F38" s="10"/>
      <c r="G38" s="10"/>
      <c r="H38" s="10"/>
      <c r="I38" s="10"/>
      <c r="J38" s="10"/>
      <c r="K38" s="10"/>
      <c r="L38" s="10"/>
      <c r="M38" s="10"/>
      <c r="N38" s="10"/>
      <c r="Q38" s="7"/>
    </row>
    <row r="39" spans="1:18" ht="20.100000000000001" customHeight="1" x14ac:dyDescent="0.25">
      <c r="A39" s="122" t="s">
        <v>75</v>
      </c>
      <c r="E39" s="10">
        <f t="shared" ref="E39:N39" si="21">E32-E33-E34-E36-E37</f>
        <v>-54555.109104092699</v>
      </c>
      <c r="F39" s="10">
        <f t="shared" si="21"/>
        <v>-52073.849223722696</v>
      </c>
      <c r="G39" s="10">
        <f t="shared" si="21"/>
        <v>-45855.989870737234</v>
      </c>
      <c r="H39" s="10">
        <f t="shared" si="21"/>
        <v>-39217.34301861078</v>
      </c>
      <c r="I39" s="10">
        <f t="shared" si="21"/>
        <v>-32013.438218643321</v>
      </c>
      <c r="J39" s="10">
        <f t="shared" si="21"/>
        <v>-24446.469138537796</v>
      </c>
      <c r="K39" s="10">
        <f t="shared" si="21"/>
        <v>30763.936608089465</v>
      </c>
      <c r="L39" s="10">
        <f t="shared" si="21"/>
        <v>35563.598262684551</v>
      </c>
      <c r="M39" s="10">
        <f t="shared" si="21"/>
        <v>42492.565250307685</v>
      </c>
      <c r="N39" s="10">
        <f t="shared" si="21"/>
        <v>47599.762782755555</v>
      </c>
      <c r="Q39" s="7"/>
    </row>
    <row r="40" spans="1:18" ht="20.100000000000001" customHeight="1" x14ac:dyDescent="0.25">
      <c r="B40" s="1" t="s">
        <v>23</v>
      </c>
      <c r="E40" s="10">
        <f t="shared" ref="E40:N40" si="22">E39*$O$40</f>
        <v>-21276.492550596155</v>
      </c>
      <c r="F40" s="10">
        <f t="shared" si="22"/>
        <v>-20308.801197251851</v>
      </c>
      <c r="G40" s="10">
        <f t="shared" si="22"/>
        <v>-17883.83604958752</v>
      </c>
      <c r="H40" s="10">
        <f t="shared" si="22"/>
        <v>-15294.763777258204</v>
      </c>
      <c r="I40" s="10">
        <f t="shared" si="22"/>
        <v>-12485.240905270895</v>
      </c>
      <c r="J40" s="10">
        <f t="shared" si="22"/>
        <v>-9534.1229640297406</v>
      </c>
      <c r="K40" s="10">
        <f t="shared" si="22"/>
        <v>11997.935277154891</v>
      </c>
      <c r="L40" s="10">
        <f t="shared" si="22"/>
        <v>13869.803322446975</v>
      </c>
      <c r="M40" s="10">
        <f t="shared" si="22"/>
        <v>16572.10044762</v>
      </c>
      <c r="N40" s="10">
        <f t="shared" si="22"/>
        <v>18563.907485274667</v>
      </c>
      <c r="O40" s="2">
        <v>0.39</v>
      </c>
      <c r="Q40" s="7"/>
    </row>
    <row r="41" spans="1:18" ht="20.100000000000001" customHeight="1" x14ac:dyDescent="0.25">
      <c r="E41" s="17"/>
      <c r="F41" s="17"/>
      <c r="G41" s="17"/>
      <c r="H41" s="17"/>
      <c r="I41" s="17"/>
      <c r="J41" s="17"/>
      <c r="K41" s="17"/>
      <c r="L41" s="17"/>
      <c r="M41" s="17"/>
      <c r="N41" s="17"/>
      <c r="Q41" s="7"/>
    </row>
    <row r="42" spans="1:18" ht="20.100000000000001" customHeight="1" x14ac:dyDescent="0.25">
      <c r="A42" s="1" t="s">
        <v>25</v>
      </c>
      <c r="E42" s="14">
        <f t="shared" ref="E42:N42" si="23">E39-E40</f>
        <v>-33278.61655349654</v>
      </c>
      <c r="F42" s="14">
        <f t="shared" si="23"/>
        <v>-31765.048026470846</v>
      </c>
      <c r="G42" s="14">
        <f t="shared" si="23"/>
        <v>-27972.153821149714</v>
      </c>
      <c r="H42" s="14">
        <f t="shared" si="23"/>
        <v>-23922.579241352578</v>
      </c>
      <c r="I42" s="14">
        <f t="shared" si="23"/>
        <v>-19528.197313372424</v>
      </c>
      <c r="J42" s="14">
        <f t="shared" si="23"/>
        <v>-14912.346174508055</v>
      </c>
      <c r="K42" s="14">
        <f t="shared" si="23"/>
        <v>18766.001330934574</v>
      </c>
      <c r="L42" s="14">
        <f t="shared" si="23"/>
        <v>21693.794940237574</v>
      </c>
      <c r="M42" s="14">
        <f t="shared" si="23"/>
        <v>25920.464802687686</v>
      </c>
      <c r="N42" s="14">
        <f t="shared" si="23"/>
        <v>29035.855297480888</v>
      </c>
      <c r="Q42" s="11"/>
    </row>
    <row r="44" spans="1:18" s="20" customFormat="1" ht="27.95" customHeight="1" x14ac:dyDescent="0.25">
      <c r="A44" s="20" t="s">
        <v>6</v>
      </c>
      <c r="O44" s="21"/>
      <c r="P44" s="21"/>
    </row>
    <row r="45" spans="1:18" ht="22.5" customHeight="1" x14ac:dyDescent="0.25">
      <c r="Q45" s="3"/>
    </row>
    <row r="46" spans="1:18" ht="20.100000000000001" customHeight="1" x14ac:dyDescent="0.25">
      <c r="A46" s="4" t="s">
        <v>8</v>
      </c>
      <c r="E46" s="6"/>
      <c r="F46" s="6"/>
      <c r="G46" s="6"/>
      <c r="H46" s="6"/>
      <c r="I46" s="6"/>
      <c r="J46" s="6"/>
      <c r="K46" s="6"/>
      <c r="L46" s="6"/>
      <c r="M46" s="6"/>
      <c r="N46" s="6"/>
      <c r="Q46" s="7"/>
    </row>
    <row r="47" spans="1:18" ht="20.100000000000001" customHeight="1" x14ac:dyDescent="0.25">
      <c r="A47" s="4" t="s">
        <v>113</v>
      </c>
      <c r="E47" s="6"/>
      <c r="F47" s="6"/>
      <c r="G47" s="6"/>
      <c r="H47" s="6"/>
      <c r="I47" s="6"/>
      <c r="J47" s="6"/>
      <c r="K47" s="6"/>
      <c r="L47" s="6"/>
      <c r="M47" s="6"/>
      <c r="N47" s="6"/>
      <c r="Q47" s="7"/>
    </row>
    <row r="48" spans="1:18" ht="20.100000000000001" customHeight="1" x14ac:dyDescent="0.25">
      <c r="B48" s="9" t="s">
        <v>9</v>
      </c>
      <c r="E48" s="6">
        <v>5000</v>
      </c>
      <c r="F48" s="6">
        <v>5000</v>
      </c>
      <c r="G48" s="6">
        <v>5000</v>
      </c>
      <c r="H48" s="6">
        <v>5000</v>
      </c>
      <c r="I48" s="6">
        <v>5000</v>
      </c>
      <c r="J48" s="6">
        <v>5000</v>
      </c>
      <c r="K48" s="6">
        <v>5000</v>
      </c>
      <c r="L48" s="6">
        <v>5000</v>
      </c>
      <c r="M48" s="6">
        <v>5000</v>
      </c>
      <c r="N48" s="6">
        <v>5000</v>
      </c>
      <c r="Q48" s="7"/>
    </row>
    <row r="49" spans="1:17" x14ac:dyDescent="0.25">
      <c r="B49" s="1" t="s">
        <v>10</v>
      </c>
      <c r="E49" s="6"/>
      <c r="F49" s="6"/>
      <c r="G49" s="6"/>
      <c r="H49" s="6"/>
      <c r="I49" s="6"/>
      <c r="J49" s="6"/>
      <c r="K49" s="6">
        <v>511468.96573705599</v>
      </c>
      <c r="L49" s="6">
        <v>518931.890214819</v>
      </c>
      <c r="M49" s="6">
        <v>530754.70722437603</v>
      </c>
      <c r="N49" s="6">
        <v>462990.967257671</v>
      </c>
      <c r="Q49" s="13"/>
    </row>
    <row r="50" spans="1:17" x14ac:dyDescent="0.25">
      <c r="B50" s="1" t="s">
        <v>11</v>
      </c>
      <c r="E50" s="6">
        <f t="shared" ref="E50:N50" si="24">E19/365*E13</f>
        <v>4315.0684931506848</v>
      </c>
      <c r="F50" s="6">
        <f t="shared" si="24"/>
        <v>4489.3972602739732</v>
      </c>
      <c r="G50" s="6">
        <f t="shared" si="24"/>
        <v>4670.7689095890419</v>
      </c>
      <c r="H50" s="6">
        <f t="shared" si="24"/>
        <v>4859.4679735364389</v>
      </c>
      <c r="I50" s="6">
        <f t="shared" si="24"/>
        <v>5055.790479667311</v>
      </c>
      <c r="J50" s="6">
        <f t="shared" si="24"/>
        <v>5260.0444150458716</v>
      </c>
      <c r="K50" s="6">
        <f t="shared" si="24"/>
        <v>5472.5502094137255</v>
      </c>
      <c r="L50" s="6">
        <f t="shared" si="24"/>
        <v>5693.6412378740397</v>
      </c>
      <c r="M50" s="6">
        <f t="shared" si="24"/>
        <v>5923.664343884152</v>
      </c>
      <c r="N50" s="6">
        <f t="shared" si="24"/>
        <v>6162.9803833770711</v>
      </c>
      <c r="Q50" s="18"/>
    </row>
    <row r="51" spans="1:17" x14ac:dyDescent="0.25">
      <c r="B51" s="1" t="s">
        <v>12</v>
      </c>
      <c r="E51" s="6">
        <f t="shared" ref="E51:N51" si="25">$Q$52*E8</f>
        <v>0</v>
      </c>
      <c r="F51" s="6">
        <f t="shared" si="25"/>
        <v>0</v>
      </c>
      <c r="G51" s="6">
        <f t="shared" si="25"/>
        <v>0</v>
      </c>
      <c r="H51" s="6">
        <f t="shared" si="25"/>
        <v>0</v>
      </c>
      <c r="I51" s="6">
        <f t="shared" si="25"/>
        <v>0</v>
      </c>
      <c r="J51" s="6">
        <f t="shared" si="25"/>
        <v>0</v>
      </c>
      <c r="K51" s="6">
        <f t="shared" si="25"/>
        <v>0</v>
      </c>
      <c r="L51" s="6">
        <f t="shared" si="25"/>
        <v>0</v>
      </c>
      <c r="M51" s="6">
        <f t="shared" si="25"/>
        <v>0</v>
      </c>
      <c r="N51" s="6">
        <f t="shared" si="25"/>
        <v>0</v>
      </c>
      <c r="Q51" s="13"/>
    </row>
    <row r="52" spans="1:17" x14ac:dyDescent="0.25">
      <c r="A52" s="4" t="s">
        <v>112</v>
      </c>
      <c r="E52" s="6"/>
      <c r="F52" s="6"/>
      <c r="G52" s="6"/>
      <c r="H52" s="6"/>
      <c r="I52" s="6"/>
      <c r="J52" s="6"/>
      <c r="K52" s="6"/>
      <c r="L52" s="6"/>
      <c r="M52" s="6"/>
      <c r="N52" s="6"/>
      <c r="Q52" s="18"/>
    </row>
    <row r="53" spans="1:17" x14ac:dyDescent="0.25">
      <c r="B53" s="130" t="s">
        <v>95</v>
      </c>
      <c r="E53" s="6">
        <v>800000</v>
      </c>
      <c r="F53" s="6">
        <v>800000</v>
      </c>
      <c r="G53" s="6">
        <v>800000</v>
      </c>
      <c r="H53" s="6">
        <v>800000</v>
      </c>
      <c r="I53" s="6">
        <v>800000</v>
      </c>
      <c r="J53" s="6">
        <v>800000</v>
      </c>
      <c r="K53" s="6"/>
      <c r="L53" s="6"/>
      <c r="M53" s="6"/>
      <c r="N53" s="6"/>
      <c r="Q53" s="18"/>
    </row>
    <row r="54" spans="1:17" x14ac:dyDescent="0.25">
      <c r="C54" s="130" t="s">
        <v>99</v>
      </c>
      <c r="D54" s="130"/>
      <c r="E54" s="6">
        <f>E35</f>
        <v>26666.666666666668</v>
      </c>
      <c r="F54" s="6">
        <f>E54+F35</f>
        <v>53333.333333333336</v>
      </c>
      <c r="G54" s="6">
        <f t="shared" ref="G54:J54" si="26">F54+G35</f>
        <v>80000</v>
      </c>
      <c r="H54" s="6">
        <f t="shared" si="26"/>
        <v>106666.66666666667</v>
      </c>
      <c r="I54" s="6">
        <f t="shared" si="26"/>
        <v>133333.33333333334</v>
      </c>
      <c r="J54" s="6">
        <f t="shared" si="26"/>
        <v>160000</v>
      </c>
      <c r="K54" s="6"/>
      <c r="L54" s="6"/>
      <c r="M54" s="6"/>
      <c r="N54" s="6"/>
      <c r="Q54" s="18"/>
    </row>
    <row r="55" spans="1:17" x14ac:dyDescent="0.25">
      <c r="B55" s="130" t="s">
        <v>117</v>
      </c>
      <c r="C55" s="130"/>
      <c r="D55" s="130"/>
      <c r="E55" s="6">
        <f>E53-E54</f>
        <v>773333.33333333337</v>
      </c>
      <c r="F55" s="6">
        <f>F53-F54</f>
        <v>746666.66666666663</v>
      </c>
      <c r="G55" s="6">
        <f t="shared" ref="G55:N55" si="27">G53-G54</f>
        <v>720000</v>
      </c>
      <c r="H55" s="6">
        <f t="shared" si="27"/>
        <v>693333.33333333337</v>
      </c>
      <c r="I55" s="6">
        <f t="shared" si="27"/>
        <v>666666.66666666663</v>
      </c>
      <c r="J55" s="6">
        <f t="shared" si="27"/>
        <v>640000</v>
      </c>
      <c r="K55" s="6">
        <f t="shared" si="27"/>
        <v>0</v>
      </c>
      <c r="L55" s="6">
        <f t="shared" si="27"/>
        <v>0</v>
      </c>
      <c r="M55" s="6">
        <f t="shared" si="27"/>
        <v>0</v>
      </c>
      <c r="N55" s="6">
        <f t="shared" si="27"/>
        <v>0</v>
      </c>
      <c r="Q55" s="18"/>
    </row>
    <row r="56" spans="1:17" x14ac:dyDescent="0.25">
      <c r="B56" s="122" t="s">
        <v>88</v>
      </c>
      <c r="E56" s="6">
        <v>268000</v>
      </c>
      <c r="F56" s="6">
        <v>268000</v>
      </c>
      <c r="G56" s="6">
        <v>268000</v>
      </c>
      <c r="H56" s="6">
        <v>268000</v>
      </c>
      <c r="I56" s="6">
        <v>268000</v>
      </c>
      <c r="J56" s="6">
        <v>268000</v>
      </c>
      <c r="K56" s="6">
        <v>268000</v>
      </c>
      <c r="L56" s="6">
        <v>268000</v>
      </c>
      <c r="M56" s="6">
        <v>268000</v>
      </c>
      <c r="N56" s="6">
        <v>268000</v>
      </c>
      <c r="Q56" s="7"/>
    </row>
    <row r="57" spans="1:17" x14ac:dyDescent="0.25">
      <c r="C57" s="130" t="s">
        <v>96</v>
      </c>
      <c r="D57" s="130"/>
      <c r="E57" s="6">
        <f>E36</f>
        <v>38285.714285714283</v>
      </c>
      <c r="F57" s="6">
        <f t="shared" ref="F57:K57" si="28">E57+F36</f>
        <v>76571.428571428565</v>
      </c>
      <c r="G57" s="6">
        <f t="shared" si="28"/>
        <v>114857.14285714284</v>
      </c>
      <c r="H57" s="6">
        <f t="shared" si="28"/>
        <v>153142.85714285713</v>
      </c>
      <c r="I57" s="6">
        <f t="shared" si="28"/>
        <v>191428.57142857142</v>
      </c>
      <c r="J57" s="6">
        <f t="shared" si="28"/>
        <v>229714.28571428571</v>
      </c>
      <c r="K57" s="6">
        <f t="shared" si="28"/>
        <v>229714.28571428571</v>
      </c>
      <c r="L57" s="6">
        <f>K57</f>
        <v>229714.28571428571</v>
      </c>
      <c r="M57" s="6">
        <f>L57</f>
        <v>229714.28571428571</v>
      </c>
      <c r="N57" s="6">
        <f>M57</f>
        <v>229714.28571428571</v>
      </c>
      <c r="Q57" s="7"/>
    </row>
    <row r="58" spans="1:17" x14ac:dyDescent="0.25">
      <c r="B58" s="122" t="s">
        <v>89</v>
      </c>
      <c r="E58" s="6">
        <f>E56-E57</f>
        <v>229714.28571428571</v>
      </c>
      <c r="F58" s="6">
        <f>F56-F57</f>
        <v>191428.57142857142</v>
      </c>
      <c r="G58" s="6">
        <f>G56-G57</f>
        <v>153142.85714285716</v>
      </c>
      <c r="H58" s="6">
        <f>H56-H57</f>
        <v>114857.14285714287</v>
      </c>
      <c r="I58" s="6">
        <f t="shared" ref="I58:N58" si="29">I56-I57</f>
        <v>76571.42857142858</v>
      </c>
      <c r="J58" s="6">
        <f t="shared" si="29"/>
        <v>38285.71428571429</v>
      </c>
      <c r="K58" s="6">
        <f t="shared" si="29"/>
        <v>38285.71428571429</v>
      </c>
      <c r="L58" s="6">
        <f t="shared" si="29"/>
        <v>38285.71428571429</v>
      </c>
      <c r="M58" s="6">
        <f t="shared" si="29"/>
        <v>38285.71428571429</v>
      </c>
      <c r="N58" s="6">
        <f t="shared" si="29"/>
        <v>38285.71428571429</v>
      </c>
      <c r="Q58" s="7"/>
    </row>
    <row r="59" spans="1:17" x14ac:dyDescent="0.25">
      <c r="B59" s="130" t="s">
        <v>100</v>
      </c>
      <c r="E59" s="6">
        <v>100000</v>
      </c>
      <c r="F59" s="6">
        <f>E59</f>
        <v>100000</v>
      </c>
      <c r="G59" s="6">
        <f t="shared" ref="G59:N59" si="30">F59</f>
        <v>100000</v>
      </c>
      <c r="H59" s="6">
        <f t="shared" si="30"/>
        <v>100000</v>
      </c>
      <c r="I59" s="6">
        <f t="shared" si="30"/>
        <v>100000</v>
      </c>
      <c r="J59" s="6">
        <f t="shared" si="30"/>
        <v>100000</v>
      </c>
      <c r="K59" s="6">
        <f t="shared" si="30"/>
        <v>100000</v>
      </c>
      <c r="L59" s="6">
        <f t="shared" si="30"/>
        <v>100000</v>
      </c>
      <c r="M59" s="6">
        <f t="shared" si="30"/>
        <v>100000</v>
      </c>
      <c r="N59" s="6">
        <f t="shared" si="30"/>
        <v>100000</v>
      </c>
      <c r="Q59" s="7"/>
    </row>
    <row r="60" spans="1:17" x14ac:dyDescent="0.25">
      <c r="A60" s="4" t="s">
        <v>13</v>
      </c>
      <c r="E60" s="15">
        <f t="shared" ref="E60:N60" si="31">SUM(E48:E51)+E58+E55+E59</f>
        <v>1112362.6875407698</v>
      </c>
      <c r="F60" s="15">
        <f t="shared" si="31"/>
        <v>1047584.635355512</v>
      </c>
      <c r="G60" s="15">
        <f t="shared" si="31"/>
        <v>982813.6260524462</v>
      </c>
      <c r="H60" s="15">
        <f t="shared" si="31"/>
        <v>918049.94416401268</v>
      </c>
      <c r="I60" s="15">
        <f t="shared" si="31"/>
        <v>853293.88571776252</v>
      </c>
      <c r="J60" s="15">
        <f t="shared" si="31"/>
        <v>788545.7587007602</v>
      </c>
      <c r="K60" s="15">
        <f t="shared" si="31"/>
        <v>660227.23023218405</v>
      </c>
      <c r="L60" s="15">
        <f t="shared" si="31"/>
        <v>667911.24573840736</v>
      </c>
      <c r="M60" s="15">
        <f t="shared" si="31"/>
        <v>679964.08585397445</v>
      </c>
      <c r="N60" s="15">
        <f t="shared" si="31"/>
        <v>612439.66192676232</v>
      </c>
      <c r="Q60" s="7"/>
    </row>
    <row r="61" spans="1:17" x14ac:dyDescent="0.25">
      <c r="E61" s="19"/>
      <c r="F61" s="19"/>
      <c r="G61" s="19"/>
      <c r="H61" s="19"/>
      <c r="I61" s="19"/>
      <c r="J61" s="19"/>
      <c r="K61" s="19"/>
      <c r="L61" s="19"/>
      <c r="M61" s="19"/>
      <c r="N61" s="19"/>
      <c r="Q61" s="7"/>
    </row>
    <row r="62" spans="1:17" x14ac:dyDescent="0.25">
      <c r="E62" s="6"/>
      <c r="F62" s="6"/>
      <c r="G62" s="6"/>
      <c r="H62" s="6"/>
      <c r="I62" s="6"/>
      <c r="J62" s="6"/>
      <c r="K62" s="6"/>
      <c r="L62" s="6"/>
      <c r="M62" s="6"/>
      <c r="N62" s="6"/>
      <c r="Q62" s="7"/>
    </row>
    <row r="63" spans="1:17" x14ac:dyDescent="0.25">
      <c r="A63" s="4" t="s">
        <v>14</v>
      </c>
      <c r="E63" s="6"/>
      <c r="F63" s="6"/>
      <c r="G63" s="6"/>
      <c r="H63" s="6"/>
      <c r="I63" s="6"/>
      <c r="J63" s="6"/>
      <c r="K63" s="6"/>
      <c r="L63" s="6"/>
      <c r="M63" s="6"/>
      <c r="N63" s="6"/>
      <c r="Q63" s="7"/>
    </row>
    <row r="64" spans="1:17" x14ac:dyDescent="0.25">
      <c r="B64" s="1" t="s">
        <v>15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5"/>
      <c r="Q64" s="13"/>
    </row>
    <row r="65" spans="1:17" x14ac:dyDescent="0.25">
      <c r="B65" s="1" t="s">
        <v>16</v>
      </c>
      <c r="E65" s="6">
        <f t="shared" ref="E65:N65" si="32">E40</f>
        <v>-21276.492550596155</v>
      </c>
      <c r="F65" s="6">
        <f t="shared" si="32"/>
        <v>-20308.801197251851</v>
      </c>
      <c r="G65" s="6">
        <f t="shared" si="32"/>
        <v>-17883.83604958752</v>
      </c>
      <c r="H65" s="6">
        <f t="shared" si="32"/>
        <v>-15294.763777258204</v>
      </c>
      <c r="I65" s="6">
        <f t="shared" si="32"/>
        <v>-12485.240905270895</v>
      </c>
      <c r="J65" s="6">
        <f t="shared" si="32"/>
        <v>-9534.1229640297406</v>
      </c>
      <c r="K65" s="6">
        <f t="shared" si="32"/>
        <v>11997.935277154891</v>
      </c>
      <c r="L65" s="6">
        <f t="shared" si="32"/>
        <v>13869.803322446975</v>
      </c>
      <c r="M65" s="6">
        <f t="shared" si="32"/>
        <v>16572.10044762</v>
      </c>
      <c r="N65" s="6">
        <f t="shared" si="32"/>
        <v>18563.907485274667</v>
      </c>
      <c r="Q65" s="7"/>
    </row>
    <row r="66" spans="1:17" x14ac:dyDescent="0.25">
      <c r="B66" s="130" t="s">
        <v>94</v>
      </c>
      <c r="E66" s="6">
        <f>Loan!Q5</f>
        <v>688198.93503925309</v>
      </c>
      <c r="F66" s="6">
        <f>Loan!R5</f>
        <v>675886.43887308578</v>
      </c>
      <c r="G66" s="6">
        <f>Loan!S5</f>
        <v>663040.34724100621</v>
      </c>
      <c r="H66" s="6">
        <f>Loan!T5</f>
        <v>649637.53533408826</v>
      </c>
      <c r="I66" s="6">
        <f>Loan!U5</f>
        <v>635653.87616699724</v>
      </c>
      <c r="J66" s="6">
        <f>Loan!V5</f>
        <v>621064.19714595203</v>
      </c>
      <c r="K66" s="6">
        <f>Loan!W5</f>
        <v>605842.23475444457</v>
      </c>
      <c r="L66" s="6">
        <f>Loan!X5</f>
        <v>589960.58727513859</v>
      </c>
      <c r="M66" s="6">
        <f>Loan!Y5</f>
        <v>573390.66546284489</v>
      </c>
      <c r="N66" s="6">
        <f>Loan!Z5</f>
        <v>556102.64107977762</v>
      </c>
      <c r="Q66" s="7"/>
    </row>
    <row r="67" spans="1:17" x14ac:dyDescent="0.25">
      <c r="B67" s="1" t="s">
        <v>17</v>
      </c>
      <c r="E67" s="6">
        <v>303718.86160560948</v>
      </c>
      <c r="F67" s="6">
        <v>282050.66225964553</v>
      </c>
      <c r="G67" s="6">
        <v>255672.93326214468</v>
      </c>
      <c r="H67" s="6">
        <v>225645.57024965232</v>
      </c>
      <c r="I67" s="6">
        <v>191591.84541187822</v>
      </c>
      <c r="J67" s="6">
        <v>153394.62564918806</v>
      </c>
      <c r="K67" s="6"/>
      <c r="L67" s="6"/>
      <c r="M67" s="6"/>
      <c r="N67" s="6"/>
      <c r="Q67" s="7"/>
    </row>
    <row r="68" spans="1:17" x14ac:dyDescent="0.25">
      <c r="E68" s="6"/>
      <c r="F68" s="6"/>
      <c r="G68" s="6"/>
      <c r="H68" s="6"/>
      <c r="I68" s="6"/>
      <c r="J68" s="6"/>
      <c r="K68" s="6"/>
      <c r="L68" s="6"/>
      <c r="M68" s="6"/>
      <c r="N68" s="6"/>
      <c r="Q68" s="7"/>
    </row>
    <row r="69" spans="1:17" x14ac:dyDescent="0.25">
      <c r="E69" s="6"/>
      <c r="F69" s="6"/>
      <c r="G69" s="6"/>
      <c r="H69" s="6"/>
      <c r="I69" s="6"/>
      <c r="J69" s="6"/>
      <c r="K69" s="6"/>
      <c r="L69" s="6"/>
      <c r="M69" s="6"/>
      <c r="N69" s="6"/>
      <c r="Q69" s="7"/>
    </row>
    <row r="70" spans="1:17" x14ac:dyDescent="0.25">
      <c r="A70" s="4" t="s">
        <v>18</v>
      </c>
      <c r="F70" s="6"/>
      <c r="G70" s="6"/>
      <c r="H70" s="6"/>
      <c r="J70" s="6"/>
      <c r="K70" s="6"/>
      <c r="L70" s="6"/>
      <c r="N70" s="6"/>
      <c r="Q70" s="13"/>
    </row>
    <row r="71" spans="1:17" x14ac:dyDescent="0.25">
      <c r="B71" s="1" t="s">
        <v>19</v>
      </c>
      <c r="E71" s="6">
        <v>175000</v>
      </c>
      <c r="F71" s="6">
        <f>E71</f>
        <v>175000</v>
      </c>
      <c r="G71" s="6">
        <f t="shared" ref="G71:M71" si="33">F71</f>
        <v>175000</v>
      </c>
      <c r="H71" s="6">
        <f t="shared" si="33"/>
        <v>175000</v>
      </c>
      <c r="I71" s="6">
        <f t="shared" si="33"/>
        <v>175000</v>
      </c>
      <c r="J71" s="6">
        <f t="shared" si="33"/>
        <v>175000</v>
      </c>
      <c r="K71" s="6">
        <f t="shared" si="33"/>
        <v>175000</v>
      </c>
      <c r="L71" s="6">
        <f t="shared" si="33"/>
        <v>175000</v>
      </c>
      <c r="M71" s="6">
        <f t="shared" si="33"/>
        <v>175000</v>
      </c>
      <c r="N71" s="6">
        <v>93735.938120719482</v>
      </c>
      <c r="Q71" s="7"/>
    </row>
    <row r="72" spans="1:17" x14ac:dyDescent="0.25">
      <c r="B72" s="1" t="s">
        <v>20</v>
      </c>
      <c r="E72" s="6">
        <f>E42</f>
        <v>-33278.61655349654</v>
      </c>
      <c r="F72" s="6">
        <f t="shared" ref="F72:N72" si="34">E72+F42</f>
        <v>-65043.664579967386</v>
      </c>
      <c r="G72" s="6">
        <f t="shared" si="34"/>
        <v>-93015.818401117096</v>
      </c>
      <c r="H72" s="6">
        <f t="shared" si="34"/>
        <v>-116938.39764246967</v>
      </c>
      <c r="I72" s="6">
        <f t="shared" si="34"/>
        <v>-136466.5949558421</v>
      </c>
      <c r="J72" s="6">
        <f t="shared" si="34"/>
        <v>-151378.94113035014</v>
      </c>
      <c r="K72" s="6">
        <f t="shared" si="34"/>
        <v>-132612.93979941556</v>
      </c>
      <c r="L72" s="6">
        <f t="shared" si="34"/>
        <v>-110919.14485917799</v>
      </c>
      <c r="M72" s="6">
        <f t="shared" si="34"/>
        <v>-84998.68005649031</v>
      </c>
      <c r="N72" s="6">
        <f t="shared" si="34"/>
        <v>-55962.824759009425</v>
      </c>
      <c r="Q72" s="7"/>
    </row>
    <row r="73" spans="1:17" x14ac:dyDescent="0.25">
      <c r="E73" s="6"/>
      <c r="F73" s="6"/>
      <c r="G73" s="6"/>
      <c r="H73" s="6"/>
      <c r="I73" s="6"/>
      <c r="J73" s="6"/>
      <c r="K73" s="6"/>
      <c r="L73" s="6"/>
      <c r="M73" s="6"/>
      <c r="N73" s="6"/>
      <c r="Q73" s="7"/>
    </row>
    <row r="74" spans="1:17" x14ac:dyDescent="0.25">
      <c r="A74" s="4" t="s">
        <v>21</v>
      </c>
      <c r="E74" s="15">
        <f>SUM(E64:E72)</f>
        <v>1112362.6875407698</v>
      </c>
      <c r="F74" s="15">
        <f t="shared" ref="F74:N74" si="35">SUM(F64:F72)</f>
        <v>1047584.635355512</v>
      </c>
      <c r="G74" s="15">
        <f t="shared" si="35"/>
        <v>982813.62605244643</v>
      </c>
      <c r="H74" s="15">
        <f t="shared" si="35"/>
        <v>918049.94416401256</v>
      </c>
      <c r="I74" s="15">
        <f t="shared" si="35"/>
        <v>853293.8857177624</v>
      </c>
      <c r="J74" s="15">
        <f t="shared" si="35"/>
        <v>788545.7587007602</v>
      </c>
      <c r="K74" s="15">
        <f t="shared" si="35"/>
        <v>660227.23023218394</v>
      </c>
      <c r="L74" s="15">
        <f t="shared" si="35"/>
        <v>667911.2457384076</v>
      </c>
      <c r="M74" s="15">
        <f t="shared" si="35"/>
        <v>679964.08585397457</v>
      </c>
      <c r="N74" s="15">
        <f t="shared" si="35"/>
        <v>612439.66192676243</v>
      </c>
      <c r="Q74" s="11"/>
    </row>
    <row r="75" spans="1:17" x14ac:dyDescent="0.25">
      <c r="E75" s="6"/>
      <c r="F75" s="6"/>
      <c r="G75" s="6"/>
      <c r="H75" s="6"/>
      <c r="I75" s="6"/>
      <c r="J75" s="6"/>
      <c r="K75" s="6"/>
      <c r="L75" s="6"/>
      <c r="M75" s="6"/>
      <c r="N75" s="6"/>
    </row>
    <row r="76" spans="1:17" x14ac:dyDescent="0.25">
      <c r="B76" s="129" t="s">
        <v>93</v>
      </c>
      <c r="E76" s="135">
        <f t="shared" ref="E76:N76" si="36">E60-E74</f>
        <v>0</v>
      </c>
      <c r="F76" s="135">
        <f t="shared" si="36"/>
        <v>0</v>
      </c>
      <c r="G76" s="135">
        <f t="shared" si="36"/>
        <v>0</v>
      </c>
      <c r="H76" s="135">
        <f t="shared" si="36"/>
        <v>0</v>
      </c>
      <c r="I76" s="135">
        <f t="shared" si="36"/>
        <v>0</v>
      </c>
      <c r="J76" s="135">
        <f t="shared" si="36"/>
        <v>0</v>
      </c>
      <c r="K76" s="135">
        <f t="shared" si="36"/>
        <v>0</v>
      </c>
      <c r="L76" s="135">
        <f t="shared" si="36"/>
        <v>0</v>
      </c>
      <c r="M76" s="135">
        <f t="shared" si="36"/>
        <v>0</v>
      </c>
      <c r="N76" s="135">
        <f t="shared" si="36"/>
        <v>0</v>
      </c>
    </row>
    <row r="77" spans="1:17" x14ac:dyDescent="0.25">
      <c r="E77" s="6"/>
      <c r="F77" s="6"/>
      <c r="G77" s="6"/>
      <c r="H77" s="6"/>
      <c r="I77" s="6"/>
      <c r="J77" s="6"/>
      <c r="K77" s="6"/>
      <c r="L77" s="6"/>
      <c r="M77" s="6"/>
      <c r="N77" s="6"/>
    </row>
    <row r="78" spans="1:17" x14ac:dyDescent="0.25">
      <c r="A78" s="132"/>
      <c r="B78" s="132"/>
      <c r="C78" s="134" t="s">
        <v>101</v>
      </c>
      <c r="D78" s="134"/>
      <c r="E78" s="132"/>
      <c r="F78" s="132"/>
      <c r="G78" s="132"/>
      <c r="H78" s="132"/>
      <c r="I78" s="132"/>
      <c r="J78" s="132"/>
      <c r="K78" s="132"/>
      <c r="L78" s="132"/>
      <c r="M78" s="132"/>
      <c r="N78" s="132"/>
      <c r="O78" s="133"/>
      <c r="P78" s="133"/>
      <c r="Q78" s="132"/>
    </row>
    <row r="79" spans="1:17" x14ac:dyDescent="0.25">
      <c r="A79" s="130" t="s">
        <v>102</v>
      </c>
      <c r="E79" s="136">
        <f>Loan!D5</f>
        <v>4.2500000000000003E-2</v>
      </c>
    </row>
    <row r="81" spans="1:17" x14ac:dyDescent="0.25">
      <c r="A81" s="130" t="s">
        <v>103</v>
      </c>
      <c r="E81" s="1">
        <v>1.46</v>
      </c>
    </row>
    <row r="82" spans="1:17" x14ac:dyDescent="0.25">
      <c r="A82" s="130" t="s">
        <v>105</v>
      </c>
      <c r="E82" s="125">
        <f>SUM(N66:N67)/SUM(N66:N72)</f>
        <v>0.93639559608350409</v>
      </c>
    </row>
    <row r="83" spans="1:17" x14ac:dyDescent="0.25">
      <c r="A83" s="130" t="s">
        <v>104</v>
      </c>
      <c r="E83" s="125">
        <f>SUM(N71:N72)/SUM(N66:N72)</f>
        <v>6.36044039164958E-2</v>
      </c>
    </row>
    <row r="84" spans="1:17" x14ac:dyDescent="0.25">
      <c r="A84" s="137" t="s">
        <v>118</v>
      </c>
      <c r="E84" s="125">
        <f>O40</f>
        <v>0.39</v>
      </c>
    </row>
    <row r="86" spans="1:17" x14ac:dyDescent="0.25">
      <c r="A86" s="130" t="s">
        <v>106</v>
      </c>
    </row>
    <row r="87" spans="1:17" x14ac:dyDescent="0.25">
      <c r="A87" s="130" t="s">
        <v>107</v>
      </c>
      <c r="E87" s="125">
        <v>0.12</v>
      </c>
    </row>
    <row r="88" spans="1:17" x14ac:dyDescent="0.25">
      <c r="A88" s="130" t="s">
        <v>108</v>
      </c>
      <c r="E88" s="125">
        <v>0.01</v>
      </c>
    </row>
    <row r="89" spans="1:17" x14ac:dyDescent="0.25">
      <c r="A89" s="130" t="s">
        <v>109</v>
      </c>
      <c r="E89" s="125">
        <f>E88+E81*(E87-E88)</f>
        <v>0.1706</v>
      </c>
    </row>
    <row r="91" spans="1:17" x14ac:dyDescent="0.25">
      <c r="A91" s="130" t="s">
        <v>110</v>
      </c>
      <c r="E91" s="149">
        <f>E79*(1-E84)*E82+E89*E83</f>
        <v>3.5126967136619031E-2</v>
      </c>
    </row>
    <row r="93" spans="1:17" x14ac:dyDescent="0.25">
      <c r="A93" s="132"/>
      <c r="B93" s="132"/>
      <c r="C93" s="134" t="s">
        <v>111</v>
      </c>
      <c r="D93" s="134"/>
      <c r="E93" s="132"/>
      <c r="F93" s="132"/>
      <c r="G93" s="132"/>
      <c r="H93" s="132"/>
      <c r="I93" s="132"/>
      <c r="J93" s="132"/>
      <c r="K93" s="132"/>
      <c r="L93" s="132"/>
      <c r="M93" s="132"/>
      <c r="N93" s="132"/>
      <c r="O93" s="133"/>
      <c r="P93" s="133"/>
      <c r="Q93" s="132"/>
    </row>
    <row r="94" spans="1:17" x14ac:dyDescent="0.25">
      <c r="D94" s="1">
        <v>0</v>
      </c>
      <c r="E94" s="1">
        <v>1</v>
      </c>
      <c r="F94" s="1">
        <v>2</v>
      </c>
      <c r="G94" s="1">
        <v>3</v>
      </c>
      <c r="H94" s="1">
        <v>4</v>
      </c>
      <c r="I94" s="1">
        <v>5</v>
      </c>
      <c r="J94" s="1">
        <v>6</v>
      </c>
      <c r="K94" s="1">
        <v>7</v>
      </c>
      <c r="L94" s="1">
        <v>8</v>
      </c>
      <c r="M94" s="1">
        <v>9</v>
      </c>
      <c r="N94" s="1">
        <v>10</v>
      </c>
    </row>
    <row r="95" spans="1:17" x14ac:dyDescent="0.25">
      <c r="A95" s="138" t="s">
        <v>119</v>
      </c>
      <c r="B95" s="138"/>
    </row>
    <row r="96" spans="1:17" x14ac:dyDescent="0.25">
      <c r="A96" s="138"/>
      <c r="B96" s="138" t="s">
        <v>120</v>
      </c>
      <c r="E96" s="10">
        <f>E32</f>
        <v>37550</v>
      </c>
      <c r="F96" s="10">
        <f t="shared" ref="F96:N96" si="37">F32</f>
        <v>37786.372727272683</v>
      </c>
      <c r="G96" s="10">
        <f t="shared" si="37"/>
        <v>41360.418294545496</v>
      </c>
      <c r="H96" s="10">
        <f t="shared" si="37"/>
        <v>45040.155830834177</v>
      </c>
      <c r="I96" s="10">
        <f t="shared" si="37"/>
        <v>48938.915383606567</v>
      </c>
      <c r="J96" s="10">
        <f t="shared" si="37"/>
        <v>52844.087028743117</v>
      </c>
      <c r="K96" s="10">
        <f t="shared" si="37"/>
        <v>56864.92506725865</v>
      </c>
      <c r="L96" s="10">
        <f t="shared" si="37"/>
        <v>61004.901634054957</v>
      </c>
      <c r="M96" s="10">
        <f t="shared" si="37"/>
        <v>67245.594288690598</v>
      </c>
      <c r="N96" s="10">
        <f t="shared" si="37"/>
        <v>71634.689250364783</v>
      </c>
    </row>
    <row r="97" spans="1:17" x14ac:dyDescent="0.25">
      <c r="A97" s="138"/>
      <c r="B97" s="138" t="s">
        <v>121</v>
      </c>
      <c r="E97" s="10">
        <f>E35++E36</f>
        <v>64952.380952380947</v>
      </c>
      <c r="F97" s="10">
        <f t="shared" ref="F97:J97" si="38">F35++F36</f>
        <v>64952.380952380947</v>
      </c>
      <c r="G97" s="10">
        <f t="shared" si="38"/>
        <v>64952.380952380947</v>
      </c>
      <c r="H97" s="10">
        <f t="shared" si="38"/>
        <v>64952.380952380947</v>
      </c>
      <c r="I97" s="10">
        <f t="shared" si="38"/>
        <v>64952.380952380947</v>
      </c>
      <c r="J97" s="10">
        <f t="shared" si="38"/>
        <v>64952.380952380947</v>
      </c>
      <c r="K97" s="10">
        <f>J97</f>
        <v>64952.380952380947</v>
      </c>
      <c r="L97" s="10">
        <f>K97</f>
        <v>64952.380952380947</v>
      </c>
      <c r="M97" s="10">
        <f>L97</f>
        <v>64952.380952380947</v>
      </c>
      <c r="N97" s="10">
        <f>M97</f>
        <v>64952.380952380947</v>
      </c>
    </row>
    <row r="98" spans="1:17" x14ac:dyDescent="0.25">
      <c r="A98" s="138"/>
      <c r="B98" s="138" t="s">
        <v>122</v>
      </c>
      <c r="E98" s="10">
        <f>E96-E97</f>
        <v>-27402.380952380947</v>
      </c>
      <c r="F98" s="10">
        <f t="shared" ref="F98:N98" si="39">F96-F97</f>
        <v>-27166.008225108264</v>
      </c>
      <c r="G98" s="10">
        <f t="shared" si="39"/>
        <v>-23591.962657835451</v>
      </c>
      <c r="H98" s="10">
        <f t="shared" si="39"/>
        <v>-19912.22512154677</v>
      </c>
      <c r="I98" s="10">
        <f t="shared" si="39"/>
        <v>-16013.46556877438</v>
      </c>
      <c r="J98" s="10">
        <f t="shared" si="39"/>
        <v>-12108.29392363783</v>
      </c>
      <c r="K98" s="10">
        <f t="shared" si="39"/>
        <v>-8087.4558851222973</v>
      </c>
      <c r="L98" s="10">
        <f t="shared" si="39"/>
        <v>-3947.4793183259899</v>
      </c>
      <c r="M98" s="10">
        <f t="shared" si="39"/>
        <v>2293.2133363096509</v>
      </c>
      <c r="N98" s="10">
        <f t="shared" si="39"/>
        <v>6682.3082979838364</v>
      </c>
    </row>
    <row r="99" spans="1:17" x14ac:dyDescent="0.25">
      <c r="A99" s="138"/>
      <c r="B99" s="138" t="s">
        <v>123</v>
      </c>
      <c r="E99" s="10">
        <f>IF(E98&lt;0,0,E98*$E$84)</f>
        <v>0</v>
      </c>
      <c r="F99" s="10">
        <f t="shared" ref="F99:Q99" si="40">IF(F98&lt;0,0,F98*$E$84)</f>
        <v>0</v>
      </c>
      <c r="G99" s="10">
        <f t="shared" si="40"/>
        <v>0</v>
      </c>
      <c r="H99" s="10">
        <f t="shared" si="40"/>
        <v>0</v>
      </c>
      <c r="I99" s="10">
        <f t="shared" si="40"/>
        <v>0</v>
      </c>
      <c r="J99" s="10">
        <f t="shared" si="40"/>
        <v>0</v>
      </c>
      <c r="K99" s="10">
        <f t="shared" si="40"/>
        <v>0</v>
      </c>
      <c r="L99" s="10">
        <f t="shared" si="40"/>
        <v>0</v>
      </c>
      <c r="M99" s="10">
        <f t="shared" si="40"/>
        <v>894.35320116076389</v>
      </c>
      <c r="N99" s="10">
        <f t="shared" si="40"/>
        <v>2606.1002362136965</v>
      </c>
      <c r="O99" s="10">
        <f t="shared" si="40"/>
        <v>0</v>
      </c>
      <c r="P99" s="10">
        <f t="shared" si="40"/>
        <v>0</v>
      </c>
      <c r="Q99" s="10">
        <f t="shared" si="40"/>
        <v>0</v>
      </c>
    </row>
    <row r="100" spans="1:17" x14ac:dyDescent="0.25">
      <c r="A100" s="138"/>
      <c r="B100" s="138" t="s">
        <v>124</v>
      </c>
      <c r="E100" s="10">
        <f>E97</f>
        <v>64952.380952380947</v>
      </c>
      <c r="F100" s="10">
        <f t="shared" ref="F100:N100" si="41">F97</f>
        <v>64952.380952380947</v>
      </c>
      <c r="G100" s="10">
        <f t="shared" si="41"/>
        <v>64952.380952380947</v>
      </c>
      <c r="H100" s="10">
        <f t="shared" si="41"/>
        <v>64952.380952380947</v>
      </c>
      <c r="I100" s="10">
        <f t="shared" si="41"/>
        <v>64952.380952380947</v>
      </c>
      <c r="J100" s="10">
        <f t="shared" si="41"/>
        <v>64952.380952380947</v>
      </c>
      <c r="K100" s="10">
        <f t="shared" si="41"/>
        <v>64952.380952380947</v>
      </c>
      <c r="L100" s="10">
        <f t="shared" si="41"/>
        <v>64952.380952380947</v>
      </c>
      <c r="M100" s="10">
        <f t="shared" si="41"/>
        <v>64952.380952380947</v>
      </c>
      <c r="N100" s="10">
        <f t="shared" si="41"/>
        <v>64952.380952380947</v>
      </c>
    </row>
    <row r="101" spans="1:17" x14ac:dyDescent="0.25">
      <c r="A101" s="138"/>
      <c r="B101" s="138" t="s">
        <v>125</v>
      </c>
      <c r="E101" s="10">
        <f>E98+E100-E99</f>
        <v>37550</v>
      </c>
      <c r="F101" s="10">
        <f t="shared" ref="F101:N101" si="42">F98+F100-F99</f>
        <v>37786.372727272683</v>
      </c>
      <c r="G101" s="10">
        <f t="shared" si="42"/>
        <v>41360.418294545496</v>
      </c>
      <c r="H101" s="10">
        <f t="shared" si="42"/>
        <v>45040.155830834177</v>
      </c>
      <c r="I101" s="10">
        <f t="shared" si="42"/>
        <v>48938.915383606567</v>
      </c>
      <c r="J101" s="10">
        <f t="shared" si="42"/>
        <v>52844.087028743117</v>
      </c>
      <c r="K101" s="10">
        <f t="shared" si="42"/>
        <v>56864.92506725865</v>
      </c>
      <c r="L101" s="10">
        <f t="shared" si="42"/>
        <v>61004.901634054957</v>
      </c>
      <c r="M101" s="10">
        <f t="shared" si="42"/>
        <v>66351.241087529837</v>
      </c>
      <c r="N101" s="10">
        <f t="shared" si="42"/>
        <v>69028.58901415109</v>
      </c>
    </row>
    <row r="102" spans="1:17" x14ac:dyDescent="0.25">
      <c r="A102" s="138" t="s">
        <v>126</v>
      </c>
      <c r="B102" s="138"/>
    </row>
    <row r="103" spans="1:17" x14ac:dyDescent="0.25">
      <c r="A103" s="138"/>
      <c r="B103" s="138" t="s">
        <v>127</v>
      </c>
      <c r="D103" s="6">
        <f>-E53</f>
        <v>-800000</v>
      </c>
    </row>
    <row r="104" spans="1:17" x14ac:dyDescent="0.25">
      <c r="A104" s="138"/>
      <c r="B104" s="138" t="s">
        <v>128</v>
      </c>
      <c r="J104" s="10"/>
      <c r="N104" s="17">
        <f>P104*P105</f>
        <v>210666.66666666674</v>
      </c>
      <c r="O104" s="138" t="s">
        <v>136</v>
      </c>
      <c r="P104" s="139">
        <f>800000-SUM(E97:N97)</f>
        <v>150476.19047619053</v>
      </c>
    </row>
    <row r="105" spans="1:17" x14ac:dyDescent="0.25">
      <c r="A105" s="138"/>
      <c r="B105" s="138" t="s">
        <v>129</v>
      </c>
      <c r="J105" s="6"/>
      <c r="N105" s="17">
        <f>-(N104-P104)*E84</f>
        <v>-23474.285714285725</v>
      </c>
      <c r="O105" s="138" t="s">
        <v>137</v>
      </c>
      <c r="P105" s="140">
        <v>1.4</v>
      </c>
    </row>
    <row r="106" spans="1:17" x14ac:dyDescent="0.25">
      <c r="A106" s="138"/>
      <c r="B106" s="138" t="s">
        <v>142</v>
      </c>
      <c r="D106" s="10">
        <f>-E56</f>
        <v>-268000</v>
      </c>
      <c r="N106" s="6"/>
      <c r="O106" s="138"/>
      <c r="P106" s="140"/>
    </row>
    <row r="107" spans="1:17" x14ac:dyDescent="0.25">
      <c r="A107" s="138"/>
      <c r="B107" s="138" t="s">
        <v>143</v>
      </c>
      <c r="N107" s="6">
        <f>-P108*D106</f>
        <v>67000</v>
      </c>
      <c r="O107" s="138" t="s">
        <v>136</v>
      </c>
      <c r="P107" s="143">
        <f>N58</f>
        <v>38285.71428571429</v>
      </c>
    </row>
    <row r="108" spans="1:17" x14ac:dyDescent="0.25">
      <c r="A108" s="138"/>
      <c r="B108" s="138" t="s">
        <v>144</v>
      </c>
      <c r="N108" s="6">
        <f>(N107-P107)*-E84</f>
        <v>-11198.571428571428</v>
      </c>
      <c r="O108" s="138" t="s">
        <v>145</v>
      </c>
      <c r="P108" s="2">
        <v>0.25</v>
      </c>
    </row>
    <row r="109" spans="1:17" x14ac:dyDescent="0.25">
      <c r="A109" s="138"/>
      <c r="B109" s="138"/>
    </row>
    <row r="110" spans="1:17" x14ac:dyDescent="0.25">
      <c r="A110" s="138" t="s">
        <v>130</v>
      </c>
      <c r="B110" s="138"/>
    </row>
    <row r="111" spans="1:17" x14ac:dyDescent="0.25">
      <c r="A111" s="138"/>
      <c r="B111" s="138" t="str">
        <f>B116</f>
        <v>Accounts Receivable</v>
      </c>
      <c r="E111" s="10">
        <f t="shared" ref="E111:N112" si="43">-(E50-D50)</f>
        <v>-4315.0684931506848</v>
      </c>
      <c r="F111" s="10">
        <f t="shared" si="43"/>
        <v>-174.32876712328834</v>
      </c>
      <c r="G111" s="10">
        <f t="shared" si="43"/>
        <v>-181.37164931506868</v>
      </c>
      <c r="H111" s="10">
        <f t="shared" si="43"/>
        <v>-188.69906394739701</v>
      </c>
      <c r="I111" s="10">
        <f t="shared" si="43"/>
        <v>-196.32250613087217</v>
      </c>
      <c r="J111" s="10">
        <f t="shared" si="43"/>
        <v>-204.25393537856053</v>
      </c>
      <c r="K111" s="10">
        <f t="shared" si="43"/>
        <v>-212.50579436785392</v>
      </c>
      <c r="L111" s="10">
        <f t="shared" si="43"/>
        <v>-221.09102846031419</v>
      </c>
      <c r="M111" s="10">
        <f t="shared" si="43"/>
        <v>-230.02310601011231</v>
      </c>
      <c r="N111" s="10">
        <f t="shared" si="43"/>
        <v>-239.31603949291912</v>
      </c>
    </row>
    <row r="112" spans="1:17" x14ac:dyDescent="0.25">
      <c r="A112" s="138"/>
      <c r="B112" s="138" t="str">
        <f>B117</f>
        <v>Inventory</v>
      </c>
      <c r="E112" s="10">
        <f t="shared" si="43"/>
        <v>0</v>
      </c>
      <c r="F112" s="10">
        <f t="shared" si="43"/>
        <v>0</v>
      </c>
      <c r="G112" s="10">
        <f t="shared" si="43"/>
        <v>0</v>
      </c>
      <c r="H112" s="10">
        <f t="shared" si="43"/>
        <v>0</v>
      </c>
      <c r="I112" s="10">
        <f t="shared" si="43"/>
        <v>0</v>
      </c>
      <c r="J112" s="10">
        <f t="shared" si="43"/>
        <v>0</v>
      </c>
      <c r="K112" s="10">
        <f t="shared" si="43"/>
        <v>0</v>
      </c>
      <c r="L112" s="10">
        <f t="shared" si="43"/>
        <v>0</v>
      </c>
      <c r="M112" s="10">
        <f t="shared" si="43"/>
        <v>0</v>
      </c>
      <c r="N112" s="10">
        <f t="shared" si="43"/>
        <v>0</v>
      </c>
    </row>
    <row r="113" spans="1:18" ht="20.100000000000001" customHeight="1" x14ac:dyDescent="0.25">
      <c r="A113" s="138"/>
      <c r="B113" s="138" t="str">
        <f>B118</f>
        <v>Income Tax Payable</v>
      </c>
      <c r="E113" s="10">
        <f t="shared" ref="E113:N113" si="44">E99-D99</f>
        <v>0</v>
      </c>
      <c r="F113" s="10">
        <f t="shared" si="44"/>
        <v>0</v>
      </c>
      <c r="G113" s="10">
        <f t="shared" si="44"/>
        <v>0</v>
      </c>
      <c r="H113" s="10">
        <f t="shared" si="44"/>
        <v>0</v>
      </c>
      <c r="I113" s="10">
        <f t="shared" si="44"/>
        <v>0</v>
      </c>
      <c r="J113" s="10">
        <f t="shared" si="44"/>
        <v>0</v>
      </c>
      <c r="K113" s="10">
        <f t="shared" si="44"/>
        <v>0</v>
      </c>
      <c r="L113" s="10">
        <f t="shared" si="44"/>
        <v>0</v>
      </c>
      <c r="M113" s="10">
        <f t="shared" si="44"/>
        <v>894.35320116076389</v>
      </c>
      <c r="N113" s="10">
        <f t="shared" si="44"/>
        <v>1711.7470350529325</v>
      </c>
    </row>
    <row r="114" spans="1:18" ht="20.100000000000001" customHeight="1" x14ac:dyDescent="0.25">
      <c r="A114" s="138"/>
      <c r="B114" s="138" t="str">
        <f>B119</f>
        <v>Accounts Payable - COGS</v>
      </c>
      <c r="E114" s="10">
        <f t="shared" ref="E114:N114" si="45">E64-D64</f>
        <v>0</v>
      </c>
      <c r="F114" s="10">
        <f t="shared" si="45"/>
        <v>0</v>
      </c>
      <c r="G114" s="10">
        <f t="shared" si="45"/>
        <v>0</v>
      </c>
      <c r="H114" s="10">
        <f t="shared" si="45"/>
        <v>0</v>
      </c>
      <c r="I114" s="10">
        <f t="shared" si="45"/>
        <v>0</v>
      </c>
      <c r="J114" s="10">
        <f t="shared" si="45"/>
        <v>0</v>
      </c>
      <c r="K114" s="10">
        <f t="shared" si="45"/>
        <v>0</v>
      </c>
      <c r="L114" s="10">
        <f t="shared" si="45"/>
        <v>0</v>
      </c>
      <c r="M114" s="10">
        <f t="shared" si="45"/>
        <v>0</v>
      </c>
      <c r="N114" s="10">
        <f t="shared" si="45"/>
        <v>0</v>
      </c>
    </row>
    <row r="115" spans="1:18" ht="20.100000000000001" customHeight="1" x14ac:dyDescent="0.25">
      <c r="A115" s="138" t="s">
        <v>131</v>
      </c>
      <c r="B115" s="138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</row>
    <row r="116" spans="1:18" ht="20.100000000000001" customHeight="1" x14ac:dyDescent="0.25">
      <c r="A116" s="138"/>
      <c r="B116" s="138" t="s">
        <v>132</v>
      </c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>
        <f>N50</f>
        <v>6162.9803833770711</v>
      </c>
    </row>
    <row r="117" spans="1:18" ht="20.100000000000001" customHeight="1" x14ac:dyDescent="0.25">
      <c r="A117" s="138"/>
      <c r="B117" s="138" t="s">
        <v>133</v>
      </c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>
        <f>N51</f>
        <v>0</v>
      </c>
    </row>
    <row r="118" spans="1:18" ht="20.100000000000001" customHeight="1" x14ac:dyDescent="0.25">
      <c r="A118" s="138"/>
      <c r="B118" s="138" t="s">
        <v>134</v>
      </c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>
        <f>-N99</f>
        <v>-2606.1002362136965</v>
      </c>
    </row>
    <row r="119" spans="1:18" ht="20.100000000000001" customHeight="1" x14ac:dyDescent="0.25">
      <c r="A119" s="138"/>
      <c r="B119" s="138" t="s">
        <v>135</v>
      </c>
      <c r="D119" s="147" t="s">
        <v>147</v>
      </c>
      <c r="E119" s="6"/>
      <c r="F119" s="6"/>
      <c r="G119" s="6"/>
      <c r="H119" s="6"/>
      <c r="I119" s="6"/>
      <c r="J119" s="6"/>
      <c r="K119" s="6"/>
      <c r="L119" s="6"/>
      <c r="M119" s="6"/>
      <c r="N119" s="6">
        <f>-N64</f>
        <v>0</v>
      </c>
    </row>
    <row r="120" spans="1:18" ht="20.100000000000001" customHeight="1" x14ac:dyDescent="0.25">
      <c r="A120" s="226" t="s">
        <v>159</v>
      </c>
      <c r="B120" s="227"/>
      <c r="C120" s="227"/>
      <c r="D120" s="125">
        <v>0.4</v>
      </c>
      <c r="E120" s="6"/>
      <c r="F120" s="6"/>
      <c r="G120" s="6"/>
      <c r="H120" s="6"/>
      <c r="I120" s="6"/>
      <c r="J120" s="6"/>
      <c r="K120" s="6"/>
      <c r="L120" s="6"/>
      <c r="M120" s="6"/>
      <c r="N120" s="6"/>
    </row>
    <row r="121" spans="1:18" ht="20.100000000000001" customHeight="1" x14ac:dyDescent="0.25">
      <c r="A121" s="138" t="s">
        <v>138</v>
      </c>
      <c r="D121" s="6">
        <f>SUM(D101:D119)</f>
        <v>-1068000</v>
      </c>
      <c r="E121" s="6">
        <f>SUM(E101:E119)</f>
        <v>33234.931506849316</v>
      </c>
      <c r="F121" s="6">
        <f>SUM(F101:F119)</f>
        <v>37612.043960149393</v>
      </c>
      <c r="G121" s="6">
        <f>SUM(G101:G119)</f>
        <v>41179.046645230424</v>
      </c>
      <c r="H121" s="6">
        <f>SUM(H101:H119)</f>
        <v>44851.456766886782</v>
      </c>
      <c r="I121" s="6">
        <f t="shared" ref="I121:N121" si="46">SUM(I101:I119)</f>
        <v>48742.592877475698</v>
      </c>
      <c r="J121" s="6">
        <f t="shared" si="46"/>
        <v>52639.833093364556</v>
      </c>
      <c r="K121" s="6">
        <f t="shared" si="46"/>
        <v>56652.419272890795</v>
      </c>
      <c r="L121" s="6">
        <f t="shared" si="46"/>
        <v>60783.810605594641</v>
      </c>
      <c r="M121" s="6">
        <f t="shared" si="46"/>
        <v>67015.571182680491</v>
      </c>
      <c r="N121" s="6">
        <f t="shared" si="46"/>
        <v>317051.70968068403</v>
      </c>
    </row>
    <row r="122" spans="1:18" ht="20.100000000000001" customHeight="1" x14ac:dyDescent="0.25">
      <c r="A122" s="137" t="s">
        <v>139</v>
      </c>
      <c r="D122" s="141">
        <f>IRR(D121:N121)</f>
        <v>-4.3863339427381187E-2</v>
      </c>
    </row>
    <row r="124" spans="1:18" ht="20.100000000000001" customHeight="1" x14ac:dyDescent="0.25">
      <c r="A124" s="137" t="s">
        <v>140</v>
      </c>
      <c r="D124" s="142">
        <f t="shared" ref="D124:N124" si="47">-PV($E$91,D94,,D121)</f>
        <v>-1068000</v>
      </c>
      <c r="E124" s="142">
        <f>-PV($E$91,E94,,E121)</f>
        <v>32107.106241067406</v>
      </c>
      <c r="F124" s="142">
        <f t="shared" si="47"/>
        <v>35102.632641238502</v>
      </c>
      <c r="G124" s="142">
        <f t="shared" si="47"/>
        <v>37127.475392830085</v>
      </c>
      <c r="H124" s="142">
        <f t="shared" si="47"/>
        <v>39066.280273755649</v>
      </c>
      <c r="I124" s="142">
        <f t="shared" si="47"/>
        <v>41014.791959839655</v>
      </c>
      <c r="J124" s="142">
        <f t="shared" si="47"/>
        <v>42791.032506554628</v>
      </c>
      <c r="K124" s="142">
        <f t="shared" si="47"/>
        <v>44490.071098067201</v>
      </c>
      <c r="L124" s="142">
        <f t="shared" si="47"/>
        <v>46114.652379487547</v>
      </c>
      <c r="M124" s="142">
        <f t="shared" si="47"/>
        <v>49117.145202146778</v>
      </c>
      <c r="N124" s="142">
        <f t="shared" si="47"/>
        <v>224488.38194478379</v>
      </c>
    </row>
    <row r="125" spans="1:18" ht="20.100000000000001" customHeight="1" x14ac:dyDescent="0.25">
      <c r="D125" s="142"/>
      <c r="E125" s="142"/>
      <c r="F125" s="142"/>
      <c r="G125" s="142"/>
      <c r="H125" s="142"/>
      <c r="I125" s="142"/>
      <c r="J125" s="142"/>
      <c r="K125" s="142"/>
      <c r="L125" s="142"/>
      <c r="M125" s="142"/>
      <c r="N125" s="142"/>
    </row>
    <row r="126" spans="1:18" ht="20.100000000000001" customHeight="1" x14ac:dyDescent="0.25">
      <c r="A126" s="137" t="s">
        <v>141</v>
      </c>
      <c r="D126" s="142">
        <f>SUM(D124:N124)</f>
        <v>-476580.43036022881</v>
      </c>
      <c r="E126" s="142"/>
      <c r="F126" s="142"/>
      <c r="G126" s="142"/>
      <c r="H126" s="142"/>
      <c r="I126" s="142"/>
      <c r="J126" s="142"/>
      <c r="K126" s="142"/>
      <c r="L126" s="142"/>
      <c r="M126" s="142"/>
      <c r="N126" s="142"/>
    </row>
    <row r="127" spans="1:18" ht="20.100000000000001" customHeight="1" x14ac:dyDescent="0.25">
      <c r="A127" s="137"/>
      <c r="D127" s="148"/>
      <c r="E127" s="142"/>
      <c r="F127" s="142"/>
      <c r="G127" s="142"/>
      <c r="H127" s="142"/>
      <c r="I127" s="142"/>
      <c r="J127" s="142"/>
      <c r="K127" s="142"/>
      <c r="L127" s="142"/>
      <c r="M127" s="142"/>
      <c r="N127" s="142"/>
      <c r="R127" s="146"/>
    </row>
    <row r="128" spans="1:18" ht="20.100000000000001" customHeight="1" x14ac:dyDescent="0.25">
      <c r="A128" s="152"/>
      <c r="B128" s="152" t="s">
        <v>151</v>
      </c>
      <c r="C128" s="152"/>
      <c r="D128" s="153">
        <f>SUM(E121:I121)+SUM(K121:N121)</f>
        <v>707123.58249844157</v>
      </c>
      <c r="R128" s="145"/>
    </row>
    <row r="129" spans="1:18" ht="20.100000000000001" customHeight="1" x14ac:dyDescent="0.25">
      <c r="A129" s="152"/>
      <c r="B129" s="152" t="s">
        <v>152</v>
      </c>
      <c r="C129" s="152"/>
      <c r="D129" s="153">
        <f>J121</f>
        <v>52639.833093364556</v>
      </c>
      <c r="E129" s="6"/>
      <c r="F129" s="6"/>
      <c r="G129" s="6"/>
      <c r="H129" s="6"/>
      <c r="I129" s="6"/>
      <c r="J129" s="6"/>
      <c r="K129" s="6"/>
      <c r="L129" s="6"/>
      <c r="M129" s="6"/>
      <c r="N129" s="6"/>
    </row>
    <row r="130" spans="1:18" ht="20.100000000000001" customHeight="1" x14ac:dyDescent="0.25">
      <c r="A130" s="152"/>
      <c r="B130" s="152" t="s">
        <v>153</v>
      </c>
      <c r="C130" s="152"/>
      <c r="D130" s="153">
        <v>6</v>
      </c>
    </row>
    <row r="131" spans="1:18" x14ac:dyDescent="0.25">
      <c r="A131" s="152"/>
      <c r="B131" s="152" t="s">
        <v>154</v>
      </c>
      <c r="C131" s="152"/>
      <c r="D131" s="154">
        <f>E91</f>
        <v>3.5126967136619031E-2</v>
      </c>
    </row>
    <row r="132" spans="1:18" ht="20.100000000000001" customHeight="1" x14ac:dyDescent="0.25">
      <c r="A132" s="152"/>
      <c r="B132" s="152" t="s">
        <v>155</v>
      </c>
      <c r="C132" s="152"/>
      <c r="D132" s="157">
        <f>G140</f>
        <v>0.89014143942595858</v>
      </c>
      <c r="E132" s="142"/>
      <c r="F132" s="142"/>
      <c r="G132" s="142"/>
      <c r="H132" s="142"/>
      <c r="I132" s="142"/>
      <c r="J132" s="142"/>
      <c r="K132" s="142"/>
      <c r="L132" s="142"/>
      <c r="M132" s="142"/>
      <c r="N132" s="142"/>
    </row>
    <row r="133" spans="1:18" x14ac:dyDescent="0.25">
      <c r="A133" s="152"/>
      <c r="B133" s="152"/>
      <c r="C133" s="152"/>
      <c r="D133" s="152"/>
    </row>
    <row r="134" spans="1:18" ht="20.100000000000001" customHeight="1" x14ac:dyDescent="0.25">
      <c r="A134" s="152"/>
      <c r="B134" s="152" t="s">
        <v>156</v>
      </c>
      <c r="C134" s="152"/>
      <c r="D134" s="155">
        <f>(D128*(NORMSDIST((LN(D128/PV(D131,D130,,-D129))+(D131+((D132^2)/2)*D130))/(D132*SQRT(D130)))))-((NORMSDIST(((LN(D128/PV(D131,D130,,-D129))+(D131+((D132^2)/2)*D130))/(D132*SQRT(D130)))-(D132*SQRT(D130))))*PV(D131,D130,,-D129))</f>
        <v>676217.47584038682</v>
      </c>
    </row>
    <row r="135" spans="1:18" ht="20.100000000000001" customHeight="1" x14ac:dyDescent="0.25">
      <c r="D135" s="146" t="s">
        <v>148</v>
      </c>
      <c r="O135" s="124"/>
      <c r="P135" s="124"/>
      <c r="Q135" s="124"/>
      <c r="R135" s="124"/>
    </row>
    <row r="136" spans="1:18" ht="20.100000000000001" customHeight="1" x14ac:dyDescent="0.25">
      <c r="D136" s="124"/>
      <c r="F136" s="124"/>
      <c r="G136" s="124"/>
      <c r="H136" s="124"/>
      <c r="I136" s="124"/>
      <c r="J136" s="124"/>
      <c r="K136" s="124"/>
      <c r="L136" s="124"/>
      <c r="M136" s="124"/>
      <c r="N136" s="124"/>
    </row>
    <row r="137" spans="1:18" x14ac:dyDescent="0.25">
      <c r="E137" s="17">
        <f>E121/$E$138</f>
        <v>0.3893816043733318</v>
      </c>
      <c r="F137" s="17">
        <f t="shared" ref="F137:N137" si="48">F121/$E$138</f>
        <v>0.44066400491738661</v>
      </c>
      <c r="G137" s="17">
        <f t="shared" si="48"/>
        <v>0.48245513146249752</v>
      </c>
      <c r="H137" s="17">
        <f t="shared" si="48"/>
        <v>0.52548121517182356</v>
      </c>
      <c r="I137" s="17">
        <f t="shared" si="48"/>
        <v>0.57106990011506975</v>
      </c>
      <c r="J137" s="17">
        <f t="shared" si="48"/>
        <v>0.6167301009666446</v>
      </c>
      <c r="K137" s="17">
        <f t="shared" si="48"/>
        <v>0.66374169910844272</v>
      </c>
      <c r="L137" s="17">
        <f t="shared" si="48"/>
        <v>0.71214522252448376</v>
      </c>
      <c r="M137" s="17">
        <f t="shared" si="48"/>
        <v>0.78515674448522821</v>
      </c>
      <c r="N137" s="17">
        <f t="shared" si="48"/>
        <v>3.714588771134677</v>
      </c>
    </row>
    <row r="138" spans="1:18" x14ac:dyDescent="0.25">
      <c r="E138" s="124">
        <f>STDEV(E121:N121)</f>
        <v>85353.111532676019</v>
      </c>
    </row>
    <row r="140" spans="1:18" x14ac:dyDescent="0.25">
      <c r="G140" s="125">
        <f>AVERAGE(E137:N137)</f>
        <v>0.89014143942595858</v>
      </c>
    </row>
  </sheetData>
  <mergeCells count="1">
    <mergeCell ref="A120:C12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1"/>
    <pageSetUpPr fitToPage="1"/>
  </sheetPr>
  <dimension ref="A2:Z382"/>
  <sheetViews>
    <sheetView zoomScale="80" zoomScaleNormal="80" workbookViewId="0">
      <selection activeCell="S17" sqref="S17"/>
    </sheetView>
  </sheetViews>
  <sheetFormatPr defaultRowHeight="12.75" x14ac:dyDescent="0.2"/>
  <cols>
    <col min="1" max="1" width="10.25" style="22" customWidth="1"/>
    <col min="2" max="2" width="9.75" style="26" customWidth="1"/>
    <col min="3" max="3" width="13" style="26" customWidth="1"/>
    <col min="4" max="4" width="12.75" style="26" customWidth="1"/>
    <col min="5" max="5" width="1.75" style="26" customWidth="1"/>
    <col min="6" max="6" width="15.375" style="26" customWidth="1"/>
    <col min="7" max="7" width="15.125" style="26" customWidth="1"/>
    <col min="8" max="9" width="14.5" style="26" customWidth="1"/>
    <col min="10" max="10" width="7.375" style="75" customWidth="1"/>
    <col min="11" max="11" width="14.25" style="75" customWidth="1"/>
    <col min="12" max="12" width="12.75" style="26" bestFit="1" customWidth="1"/>
    <col min="13" max="13" width="12.75" style="26" customWidth="1"/>
    <col min="14" max="14" width="9.125" style="26" customWidth="1"/>
    <col min="15" max="15" width="8.875" style="26" customWidth="1"/>
    <col min="16" max="16" width="8.125" style="26" customWidth="1"/>
    <col min="17" max="17" width="8.5" style="26" customWidth="1"/>
    <col min="18" max="18" width="10.5" style="26" bestFit="1" customWidth="1"/>
    <col min="19" max="19" width="11.875" style="26" customWidth="1"/>
    <col min="20" max="23" width="8.75" style="26" customWidth="1"/>
    <col min="24" max="24" width="11.625" style="26" customWidth="1"/>
    <col min="25" max="26" width="10.5" style="26" bestFit="1" customWidth="1"/>
    <col min="27" max="16384" width="9" style="26"/>
  </cols>
  <sheetData>
    <row r="2" spans="1:26" ht="15.75" customHeight="1" x14ac:dyDescent="0.35">
      <c r="B2" s="23" t="s">
        <v>26</v>
      </c>
      <c r="C2" s="24"/>
      <c r="D2" s="25"/>
      <c r="F2" s="23" t="s">
        <v>42</v>
      </c>
      <c r="G2" s="24"/>
      <c r="H2" s="24"/>
      <c r="I2" s="25"/>
      <c r="J2" s="26"/>
      <c r="K2" s="27" t="s">
        <v>43</v>
      </c>
      <c r="L2" s="28"/>
      <c r="M2" s="28"/>
      <c r="N2" s="25"/>
      <c r="P2" s="27" t="s">
        <v>173</v>
      </c>
      <c r="Q2" s="28"/>
      <c r="R2" s="28"/>
      <c r="S2" s="25"/>
      <c r="T2" s="27"/>
      <c r="U2" s="28"/>
      <c r="V2" s="28"/>
      <c r="W2" s="25"/>
      <c r="X2" s="27"/>
      <c r="Y2" s="28"/>
      <c r="Z2" s="28"/>
    </row>
    <row r="3" spans="1:26" x14ac:dyDescent="0.2">
      <c r="B3" s="29" t="s">
        <v>27</v>
      </c>
      <c r="C3" s="30"/>
      <c r="D3" s="31">
        <v>40909</v>
      </c>
      <c r="F3" s="32" t="s">
        <v>28</v>
      </c>
      <c r="G3" s="33"/>
      <c r="H3" s="33"/>
      <c r="I3" s="34">
        <v>40909</v>
      </c>
      <c r="J3" s="26"/>
      <c r="K3" s="35" t="s">
        <v>41</v>
      </c>
      <c r="L3" s="36"/>
      <c r="M3" s="36"/>
      <c r="N3" s="37" t="s">
        <v>44</v>
      </c>
      <c r="P3" s="54" t="s">
        <v>174</v>
      </c>
      <c r="Q3" s="197">
        <v>2012</v>
      </c>
      <c r="R3" s="197">
        <v>2013</v>
      </c>
      <c r="S3" s="197">
        <v>2014</v>
      </c>
      <c r="T3" s="197">
        <v>2015</v>
      </c>
      <c r="U3" s="197">
        <v>2016</v>
      </c>
      <c r="V3" s="197">
        <v>2017</v>
      </c>
      <c r="W3" s="197">
        <v>2018</v>
      </c>
      <c r="X3" s="197">
        <v>2019</v>
      </c>
      <c r="Y3" s="197">
        <v>2020</v>
      </c>
      <c r="Z3" s="198">
        <v>2021</v>
      </c>
    </row>
    <row r="4" spans="1:26" x14ac:dyDescent="0.2">
      <c r="B4" s="38" t="s">
        <v>30</v>
      </c>
      <c r="C4" s="39"/>
      <c r="D4" s="40">
        <v>700000</v>
      </c>
      <c r="F4" s="41" t="s">
        <v>45</v>
      </c>
      <c r="G4" s="42"/>
      <c r="H4" s="42"/>
      <c r="I4" s="43">
        <f>COUNTIF(C22:C382,"&gt;=" &amp;I3)</f>
        <v>360</v>
      </c>
      <c r="J4" s="26"/>
      <c r="K4" s="44">
        <v>0.80010000000000003</v>
      </c>
      <c r="L4" s="45" t="s">
        <v>29</v>
      </c>
      <c r="M4" s="46">
        <v>0.85</v>
      </c>
      <c r="N4" s="47">
        <v>3.2000000000000002E-3</v>
      </c>
      <c r="P4" s="54" t="s">
        <v>90</v>
      </c>
      <c r="Q4" s="192">
        <f>SUM(G23:G34)</f>
        <v>29521.885889929654</v>
      </c>
      <c r="R4" s="192">
        <f>SUM(G35:G46)</f>
        <v>29010.454684509456</v>
      </c>
      <c r="S4" s="192">
        <f>SUM(G47:G58)</f>
        <v>28476.859218596874</v>
      </c>
      <c r="T4" s="192">
        <f>SUM(G59:G70)</f>
        <v>27920.138943758488</v>
      </c>
      <c r="U4" s="192">
        <f>SUM(G71:G82)</f>
        <v>27339.291683585347</v>
      </c>
      <c r="V4" s="192">
        <f>SUM(G83:G94)</f>
        <v>26733.271829631587</v>
      </c>
      <c r="W4" s="192">
        <f>SUM(G95:G106)</f>
        <v>26100.988459169184</v>
      </c>
      <c r="X4" s="192">
        <f>SUM(G107:G118)</f>
        <v>25441.303371370403</v>
      </c>
      <c r="Y4" s="192">
        <f>SUM(G119:G130)</f>
        <v>24753.029038382912</v>
      </c>
      <c r="Z4" s="193">
        <f>SUM(G131:G142)</f>
        <v>24034.926467609228</v>
      </c>
    </row>
    <row r="5" spans="1:26" x14ac:dyDescent="0.2">
      <c r="B5" s="38" t="s">
        <v>31</v>
      </c>
      <c r="C5" s="39"/>
      <c r="D5" s="48">
        <v>4.2500000000000003E-2</v>
      </c>
      <c r="J5" s="26"/>
      <c r="K5" s="44">
        <v>0.85009999999999997</v>
      </c>
      <c r="L5" s="45" t="s">
        <v>29</v>
      </c>
      <c r="M5" s="49">
        <v>0.9</v>
      </c>
      <c r="N5" s="47">
        <v>5.1999999999999998E-3</v>
      </c>
      <c r="P5" s="194" t="s">
        <v>66</v>
      </c>
      <c r="Q5" s="195">
        <f>D34</f>
        <v>688198.93503925309</v>
      </c>
      <c r="R5" s="195">
        <f>D46</f>
        <v>675886.43887308578</v>
      </c>
      <c r="S5" s="195">
        <f>D58</f>
        <v>663040.34724100621</v>
      </c>
      <c r="T5" s="195">
        <f>D70</f>
        <v>649637.53533408826</v>
      </c>
      <c r="U5" s="195">
        <f>D82</f>
        <v>635653.87616699724</v>
      </c>
      <c r="V5" s="195">
        <f>D94</f>
        <v>621064.19714595203</v>
      </c>
      <c r="W5" s="195">
        <f>D106</f>
        <v>605842.23475444457</v>
      </c>
      <c r="X5" s="195">
        <f>D118</f>
        <v>589960.58727513859</v>
      </c>
      <c r="Y5" s="195">
        <f>D130</f>
        <v>573390.66546284489</v>
      </c>
      <c r="Z5" s="196">
        <f>D142</f>
        <v>556102.64107977762</v>
      </c>
    </row>
    <row r="6" spans="1:26" x14ac:dyDescent="0.2">
      <c r="B6" s="38" t="s">
        <v>46</v>
      </c>
      <c r="C6" s="39"/>
      <c r="D6" s="50">
        <v>30</v>
      </c>
      <c r="J6" s="26"/>
      <c r="K6" s="44">
        <v>0.90010000000000001</v>
      </c>
      <c r="L6" s="45" t="s">
        <v>29</v>
      </c>
      <c r="M6" s="49">
        <v>0.95</v>
      </c>
      <c r="N6" s="47">
        <v>7.7999999999999996E-3</v>
      </c>
    </row>
    <row r="7" spans="1:26" x14ac:dyDescent="0.2">
      <c r="B7" s="38" t="s">
        <v>32</v>
      </c>
      <c r="C7" s="39"/>
      <c r="D7" s="50">
        <v>30</v>
      </c>
      <c r="F7" s="51"/>
      <c r="J7" s="26"/>
      <c r="K7" s="44">
        <v>0.95009999999999994</v>
      </c>
      <c r="L7" s="45" t="s">
        <v>29</v>
      </c>
      <c r="M7" s="49">
        <v>0.97</v>
      </c>
      <c r="N7" s="47">
        <v>9.5999999999999992E-3</v>
      </c>
    </row>
    <row r="8" spans="1:26" x14ac:dyDescent="0.2">
      <c r="B8" s="38" t="s">
        <v>33</v>
      </c>
      <c r="C8" s="39"/>
      <c r="D8" s="50">
        <v>12</v>
      </c>
      <c r="E8" s="52"/>
      <c r="F8" s="52"/>
      <c r="G8" s="53"/>
      <c r="J8" s="26"/>
      <c r="K8" s="54" t="s">
        <v>47</v>
      </c>
      <c r="L8" s="55"/>
      <c r="M8" s="55"/>
      <c r="N8" s="56"/>
    </row>
    <row r="9" spans="1:26" x14ac:dyDescent="0.2">
      <c r="B9" s="29" t="s">
        <v>48</v>
      </c>
      <c r="C9" s="57"/>
      <c r="D9" s="58">
        <f>PMT(D5/D8,D6*D8,-D4)</f>
        <v>3443.5792375563856</v>
      </c>
      <c r="J9" s="26"/>
      <c r="K9" s="59" t="s">
        <v>49</v>
      </c>
      <c r="L9" s="60"/>
      <c r="M9" s="60"/>
      <c r="N9" s="61"/>
    </row>
    <row r="10" spans="1:26" x14ac:dyDescent="0.2">
      <c r="A10" s="228"/>
      <c r="B10" s="38" t="s">
        <v>50</v>
      </c>
      <c r="C10" s="62"/>
      <c r="D10" s="63">
        <v>475000</v>
      </c>
      <c r="G10" s="64" t="s">
        <v>34</v>
      </c>
      <c r="H10" s="65" t="s">
        <v>35</v>
      </c>
      <c r="I10" s="64" t="s">
        <v>51</v>
      </c>
      <c r="J10" s="26"/>
      <c r="K10" s="26"/>
    </row>
    <row r="11" spans="1:26" x14ac:dyDescent="0.2">
      <c r="A11" s="228"/>
      <c r="B11" s="38" t="s">
        <v>52</v>
      </c>
      <c r="C11" s="62"/>
      <c r="D11" s="66">
        <f>D4/D10</f>
        <v>1.4736842105263157</v>
      </c>
      <c r="F11" s="67" t="s">
        <v>36</v>
      </c>
      <c r="G11" s="68">
        <f>SUMIF($C$22:$C$382,"&lt;" &amp;$I$3,$G$22:$G$382)</f>
        <v>0</v>
      </c>
      <c r="H11" s="69">
        <f>SUMIF($C$22:$C$382,"&gt;=" &amp;$I$3,$G$22:$G$382)</f>
        <v>539688.52552029956</v>
      </c>
      <c r="I11" s="69">
        <f>SUM(G11:H11)</f>
        <v>539688.52552029956</v>
      </c>
    </row>
    <row r="12" spans="1:26" x14ac:dyDescent="0.2">
      <c r="A12" s="228"/>
      <c r="B12" s="38" t="s">
        <v>53</v>
      </c>
      <c r="C12" s="62"/>
      <c r="D12" s="70">
        <f>IF(D11&lt;K4,0,VLOOKUP(D11,K4:N7,4)/D8*$D$4)</f>
        <v>560</v>
      </c>
      <c r="F12" s="71" t="s">
        <v>37</v>
      </c>
      <c r="G12" s="68">
        <f>SUMIF($C$22:$C$382,"&lt;" &amp;$I$3,$F$22:$F$382)</f>
        <v>0</v>
      </c>
      <c r="H12" s="69">
        <f>SUMIF($C$22:$C$382,"&gt;=" &amp;$I$3,$F$22:$F$382)</f>
        <v>700000.00000000081</v>
      </c>
      <c r="I12" s="69">
        <f>SUM(G12:H12)</f>
        <v>700000.00000000081</v>
      </c>
    </row>
    <row r="13" spans="1:26" x14ac:dyDescent="0.2">
      <c r="A13" s="73"/>
      <c r="B13" s="38" t="s">
        <v>54</v>
      </c>
      <c r="C13" s="62"/>
      <c r="D13" s="74">
        <v>0</v>
      </c>
      <c r="F13" s="71" t="s">
        <v>38</v>
      </c>
      <c r="G13" s="68">
        <f>SUMIF($C$22:$C$382,"&lt;" &amp;$I$3,$H$22:$H$382)</f>
        <v>0</v>
      </c>
      <c r="H13" s="69">
        <f>SUMIF($C$22:$C$382,"&gt;=" &amp;$I$3,$H$22:$H$382)</f>
        <v>0</v>
      </c>
      <c r="I13" s="69">
        <f>SUM(G13:H13)</f>
        <v>0</v>
      </c>
    </row>
    <row r="14" spans="1:26" x14ac:dyDescent="0.2">
      <c r="B14" s="38" t="s">
        <v>39</v>
      </c>
      <c r="C14" s="39"/>
      <c r="D14" s="74">
        <v>0</v>
      </c>
      <c r="F14" s="71" t="s">
        <v>55</v>
      </c>
      <c r="G14" s="68">
        <f>SUMIF($C$22:$C$382,"&lt;" &amp;$I$3,$I$22:$I$382)</f>
        <v>0</v>
      </c>
      <c r="H14" s="69">
        <f>SUMIF($C$22:$C$382,"=&gt;" &amp;$I$3,$I$22:$I$382)</f>
        <v>0</v>
      </c>
      <c r="I14" s="69">
        <f>SUM(G14:H14)</f>
        <v>0</v>
      </c>
      <c r="M14" s="72"/>
    </row>
    <row r="15" spans="1:26" x14ac:dyDescent="0.2">
      <c r="B15" s="76" t="s">
        <v>40</v>
      </c>
      <c r="C15" s="77"/>
      <c r="D15" s="78">
        <v>41306</v>
      </c>
      <c r="F15" s="79" t="s">
        <v>54</v>
      </c>
      <c r="G15" s="68">
        <f>SUMIF($C$22:$C$382,"&lt;" &amp;$I$3,$K$22:$K$382)</f>
        <v>0</v>
      </c>
      <c r="H15" s="69">
        <f>SUMIF($C$22:$C$382,"&gt;=" &amp;$I$3,$K$22:$K$382)</f>
        <v>0</v>
      </c>
      <c r="I15" s="69">
        <f>SUM(G15:H15)</f>
        <v>0</v>
      </c>
      <c r="M15" s="72"/>
      <c r="N15" s="80"/>
      <c r="O15" s="80"/>
      <c r="P15" s="80"/>
      <c r="Q15" s="80"/>
    </row>
    <row r="16" spans="1:26" x14ac:dyDescent="0.2">
      <c r="B16" s="76" t="s">
        <v>56</v>
      </c>
      <c r="C16" s="77"/>
      <c r="D16" s="81">
        <f>D9+D13+D12</f>
        <v>4003.5792375563856</v>
      </c>
      <c r="F16" s="82" t="s">
        <v>51</v>
      </c>
      <c r="G16" s="83">
        <f>SUM(G11:G15)</f>
        <v>0</v>
      </c>
      <c r="H16" s="83">
        <f>SUM(H11:H15)</f>
        <v>1239688.5255203005</v>
      </c>
      <c r="I16" s="83">
        <f>SUM(I11:I15)</f>
        <v>1239688.5255203005</v>
      </c>
      <c r="M16" s="72"/>
      <c r="O16" s="80"/>
      <c r="P16" s="80"/>
      <c r="Q16" s="80"/>
    </row>
    <row r="19" spans="2:17" x14ac:dyDescent="0.2">
      <c r="B19" s="84" t="s">
        <v>57</v>
      </c>
      <c r="C19" s="85"/>
      <c r="D19" s="86"/>
      <c r="E19" s="86"/>
      <c r="F19" s="87">
        <f>SUM(F22:F382)</f>
        <v>700000.00000000081</v>
      </c>
      <c r="G19" s="87">
        <f>SUM(G22:G382)</f>
        <v>539688.52552029956</v>
      </c>
      <c r="H19" s="87">
        <f>SUM(H22:H382)</f>
        <v>0</v>
      </c>
      <c r="I19" s="87">
        <f>SUM(I22:I382)</f>
        <v>126000</v>
      </c>
      <c r="J19" s="87"/>
      <c r="K19" s="87">
        <f>SUM(K23:K382)</f>
        <v>0</v>
      </c>
      <c r="L19" s="87">
        <f>SUM(L22:L382)</f>
        <v>1365688.5255203007</v>
      </c>
    </row>
    <row r="20" spans="2:17" x14ac:dyDescent="0.2">
      <c r="B20" s="88"/>
      <c r="C20" s="89" t="s">
        <v>58</v>
      </c>
      <c r="D20" s="90" t="s">
        <v>59</v>
      </c>
      <c r="E20" s="91"/>
      <c r="F20" s="92" t="s">
        <v>60</v>
      </c>
      <c r="G20" s="92"/>
      <c r="H20" s="92" t="s">
        <v>61</v>
      </c>
      <c r="I20" s="92" t="s">
        <v>62</v>
      </c>
      <c r="J20" s="93"/>
      <c r="K20" s="93"/>
      <c r="L20" s="92" t="s">
        <v>63</v>
      </c>
    </row>
    <row r="21" spans="2:17" x14ac:dyDescent="0.2">
      <c r="B21" s="94" t="s">
        <v>64</v>
      </c>
      <c r="C21" s="94" t="s">
        <v>65</v>
      </c>
      <c r="D21" s="95" t="s">
        <v>58</v>
      </c>
      <c r="E21" s="96"/>
      <c r="F21" s="94" t="s">
        <v>66</v>
      </c>
      <c r="G21" s="94" t="s">
        <v>36</v>
      </c>
      <c r="H21" s="94" t="s">
        <v>58</v>
      </c>
      <c r="I21" s="94" t="s">
        <v>58</v>
      </c>
      <c r="J21" s="94" t="s">
        <v>41</v>
      </c>
      <c r="K21" s="94" t="s">
        <v>54</v>
      </c>
      <c r="L21" s="94" t="s">
        <v>58</v>
      </c>
    </row>
    <row r="22" spans="2:17" x14ac:dyDescent="0.2">
      <c r="B22" s="97">
        <v>0</v>
      </c>
      <c r="C22" s="98"/>
      <c r="D22" s="99">
        <f>D4</f>
        <v>700000</v>
      </c>
      <c r="E22" s="99"/>
      <c r="F22" s="99"/>
      <c r="G22" s="99"/>
      <c r="H22" s="99"/>
      <c r="I22" s="99"/>
      <c r="J22" s="100"/>
      <c r="K22" s="100"/>
      <c r="L22" s="101"/>
      <c r="Q22" s="53"/>
    </row>
    <row r="23" spans="2:17" x14ac:dyDescent="0.2">
      <c r="B23" s="102">
        <f>IF(B22="","",IF(D22&lt;0.01,"",B22+1))</f>
        <v>1</v>
      </c>
      <c r="C23" s="103">
        <f>D3</f>
        <v>40909</v>
      </c>
      <c r="D23" s="104">
        <f>IF(B23="","",D22-F23-H23)</f>
        <v>699035.58742911031</v>
      </c>
      <c r="E23" s="104"/>
      <c r="F23" s="104">
        <f>IF(B23="","",IF(D22&lt;F22,D22,IF($D$7*$D$8=B23,D22,$D$9-G23)))</f>
        <v>964.41257088971861</v>
      </c>
      <c r="G23" s="104">
        <f>IF(B23="","",D22*$D$5/$D$8)</f>
        <v>2479.166666666667</v>
      </c>
      <c r="H23" s="105">
        <f>IF(B23="","",IF(C23&gt;=$D$15,MIN($D$14,D22-F23),0))</f>
        <v>0</v>
      </c>
      <c r="I23" s="106">
        <f>IF(B23="","",IF(J23&gt;0.78,$D$12,IF(B23&lt;60,$D$12,0)))</f>
        <v>560</v>
      </c>
      <c r="J23" s="107">
        <f>IF(B23="","",D22/$D$10)</f>
        <v>1.4736842105263157</v>
      </c>
      <c r="K23" s="108">
        <f>IF(B23="","",IF(D22&gt;0.01,$D$13,""))</f>
        <v>0</v>
      </c>
      <c r="L23" s="109">
        <f>IF(B23="","",SUM(F23:I23,K23))</f>
        <v>4003.5792375563856</v>
      </c>
      <c r="Q23" s="110"/>
    </row>
    <row r="24" spans="2:17" x14ac:dyDescent="0.2">
      <c r="B24" s="102">
        <f t="shared" ref="B24:B87" si="0">IF(B23="","",IF(D23&lt;0.01,"",B23+1))</f>
        <v>2</v>
      </c>
      <c r="C24" s="111">
        <f>IF(B24="","",DATE(YEAR(C23),MONTH(C23)+12/$D$8,DAY(C23)))</f>
        <v>40940</v>
      </c>
      <c r="D24" s="104">
        <f t="shared" ref="D24:D87" si="1">IF(B24="","",D23-F24-H24)</f>
        <v>698067.75923036539</v>
      </c>
      <c r="E24" s="104"/>
      <c r="F24" s="104">
        <f t="shared" ref="F24:F87" si="2">IF(B24="","",IF(D23&lt;F23,D23,IF($D$7*$D$8=B24,D23,$D$9-G24)))</f>
        <v>967.82819874495317</v>
      </c>
      <c r="G24" s="104">
        <f t="shared" ref="G24:G87" si="3">IF(B24="","",D23*$D$5/$D$8)</f>
        <v>2475.7510388114324</v>
      </c>
      <c r="H24" s="105">
        <f t="shared" ref="H24:H87" si="4">IF(B24="","",IF(C24&gt;=$D$15,MIN($D$14,D23-F24),0))</f>
        <v>0</v>
      </c>
      <c r="I24" s="106">
        <f t="shared" ref="I24:I87" si="5">IF(B24="","",IF(J24&gt;0.78,$D$12,IF(B24&lt;60,$D$12,0)))</f>
        <v>560</v>
      </c>
      <c r="J24" s="107">
        <f t="shared" ref="J24:J87" si="6">IF(B24="","",D23/$D$10)</f>
        <v>1.4716538682718112</v>
      </c>
      <c r="K24" s="108">
        <f t="shared" ref="K24:K87" si="7">IF(B24="","",IF(D23&gt;0.01,$D$13,""))</f>
        <v>0</v>
      </c>
      <c r="L24" s="109">
        <f t="shared" ref="L24:L87" si="8">IF(B24="","",SUM(F24:I24,K24))</f>
        <v>4003.5792375563856</v>
      </c>
      <c r="N24" s="112"/>
      <c r="P24" s="113"/>
      <c r="Q24" s="110"/>
    </row>
    <row r="25" spans="2:17" x14ac:dyDescent="0.2">
      <c r="B25" s="102">
        <f t="shared" si="0"/>
        <v>3</v>
      </c>
      <c r="C25" s="111">
        <f t="shared" ref="C25:C88" si="9">IF(B25="","",DATE(YEAR(C24),MONTH(C24)+12/$D$8,DAY(C24)))</f>
        <v>40969</v>
      </c>
      <c r="D25" s="104">
        <f t="shared" si="1"/>
        <v>697096.50330674986</v>
      </c>
      <c r="E25" s="104"/>
      <c r="F25" s="104">
        <f t="shared" si="2"/>
        <v>971.25592361550798</v>
      </c>
      <c r="G25" s="104">
        <f t="shared" si="3"/>
        <v>2472.3233139408776</v>
      </c>
      <c r="H25" s="105">
        <f t="shared" si="4"/>
        <v>0</v>
      </c>
      <c r="I25" s="106">
        <f t="shared" si="5"/>
        <v>560</v>
      </c>
      <c r="J25" s="107">
        <f t="shared" si="6"/>
        <v>1.4696163352218219</v>
      </c>
      <c r="K25" s="108">
        <f t="shared" si="7"/>
        <v>0</v>
      </c>
      <c r="L25" s="109">
        <f t="shared" si="8"/>
        <v>4003.5792375563856</v>
      </c>
      <c r="P25" s="112"/>
      <c r="Q25" s="110"/>
    </row>
    <row r="26" spans="2:17" x14ac:dyDescent="0.2">
      <c r="B26" s="102">
        <f t="shared" si="0"/>
        <v>4</v>
      </c>
      <c r="C26" s="111">
        <f t="shared" si="9"/>
        <v>41000</v>
      </c>
      <c r="D26" s="104">
        <f t="shared" si="1"/>
        <v>696121.80751840491</v>
      </c>
      <c r="E26" s="104"/>
      <c r="F26" s="104">
        <f t="shared" si="2"/>
        <v>974.69578834497952</v>
      </c>
      <c r="G26" s="104">
        <f t="shared" si="3"/>
        <v>2468.8834492114061</v>
      </c>
      <c r="H26" s="105">
        <f t="shared" si="4"/>
        <v>0</v>
      </c>
      <c r="I26" s="106">
        <f t="shared" si="5"/>
        <v>560</v>
      </c>
      <c r="J26" s="107">
        <f t="shared" si="6"/>
        <v>1.4675715859089471</v>
      </c>
      <c r="K26" s="108">
        <f t="shared" si="7"/>
        <v>0</v>
      </c>
      <c r="L26" s="109">
        <f t="shared" si="8"/>
        <v>4003.5792375563856</v>
      </c>
      <c r="Q26" s="110"/>
    </row>
    <row r="27" spans="2:17" x14ac:dyDescent="0.2">
      <c r="B27" s="102">
        <f t="shared" si="0"/>
        <v>5</v>
      </c>
      <c r="C27" s="111">
        <f t="shared" si="9"/>
        <v>41030</v>
      </c>
      <c r="D27" s="104">
        <f t="shared" si="1"/>
        <v>695143.65968247619</v>
      </c>
      <c r="E27" s="104"/>
      <c r="F27" s="104">
        <f t="shared" si="2"/>
        <v>978.14783592870117</v>
      </c>
      <c r="G27" s="104">
        <f t="shared" si="3"/>
        <v>2465.4314016276844</v>
      </c>
      <c r="H27" s="105">
        <f t="shared" si="4"/>
        <v>0</v>
      </c>
      <c r="I27" s="106">
        <f t="shared" si="5"/>
        <v>560</v>
      </c>
      <c r="J27" s="107">
        <f t="shared" si="6"/>
        <v>1.4655195947755892</v>
      </c>
      <c r="K27" s="108">
        <f t="shared" si="7"/>
        <v>0</v>
      </c>
      <c r="L27" s="109">
        <f t="shared" si="8"/>
        <v>4003.5792375563856</v>
      </c>
      <c r="Q27" s="110"/>
    </row>
    <row r="28" spans="2:17" x14ac:dyDescent="0.2">
      <c r="B28" s="102">
        <f t="shared" si="0"/>
        <v>6</v>
      </c>
      <c r="C28" s="111">
        <f t="shared" si="9"/>
        <v>41061</v>
      </c>
      <c r="D28" s="104">
        <f t="shared" si="1"/>
        <v>694162.04757296189</v>
      </c>
      <c r="E28" s="104"/>
      <c r="F28" s="104">
        <f t="shared" si="2"/>
        <v>981.61210951428211</v>
      </c>
      <c r="G28" s="104">
        <f t="shared" si="3"/>
        <v>2461.9671280421035</v>
      </c>
      <c r="H28" s="105">
        <f t="shared" si="4"/>
        <v>0</v>
      </c>
      <c r="I28" s="106">
        <f t="shared" si="5"/>
        <v>560</v>
      </c>
      <c r="J28" s="107">
        <f t="shared" si="6"/>
        <v>1.463460336173634</v>
      </c>
      <c r="K28" s="108">
        <f t="shared" si="7"/>
        <v>0</v>
      </c>
      <c r="L28" s="109">
        <f t="shared" si="8"/>
        <v>4003.5792375563856</v>
      </c>
      <c r="Q28" s="110"/>
    </row>
    <row r="29" spans="2:17" x14ac:dyDescent="0.2">
      <c r="B29" s="102">
        <f t="shared" si="0"/>
        <v>7</v>
      </c>
      <c r="C29" s="111">
        <f t="shared" si="9"/>
        <v>41091</v>
      </c>
      <c r="D29" s="104">
        <f t="shared" si="1"/>
        <v>693176.95892055973</v>
      </c>
      <c r="E29" s="104"/>
      <c r="F29" s="104">
        <f t="shared" si="2"/>
        <v>985.08865240214527</v>
      </c>
      <c r="G29" s="104">
        <f t="shared" si="3"/>
        <v>2458.4905851542403</v>
      </c>
      <c r="H29" s="105">
        <f t="shared" si="4"/>
        <v>0</v>
      </c>
      <c r="I29" s="106">
        <f t="shared" si="5"/>
        <v>560</v>
      </c>
      <c r="J29" s="107">
        <f t="shared" si="6"/>
        <v>1.4613937843641303</v>
      </c>
      <c r="K29" s="108">
        <f t="shared" si="7"/>
        <v>0</v>
      </c>
      <c r="L29" s="109">
        <f t="shared" si="8"/>
        <v>4003.5792375563856</v>
      </c>
      <c r="Q29" s="110"/>
    </row>
    <row r="30" spans="2:17" x14ac:dyDescent="0.2">
      <c r="B30" s="102">
        <f t="shared" si="0"/>
        <v>8</v>
      </c>
      <c r="C30" s="111">
        <f t="shared" si="9"/>
        <v>41122</v>
      </c>
      <c r="D30" s="104">
        <f t="shared" si="1"/>
        <v>692188.38141251367</v>
      </c>
      <c r="E30" s="104"/>
      <c r="F30" s="104">
        <f t="shared" si="2"/>
        <v>988.57750804606985</v>
      </c>
      <c r="G30" s="104">
        <f t="shared" si="3"/>
        <v>2455.0017295103157</v>
      </c>
      <c r="H30" s="105">
        <f t="shared" si="4"/>
        <v>0</v>
      </c>
      <c r="I30" s="106">
        <f t="shared" si="5"/>
        <v>560</v>
      </c>
      <c r="J30" s="107">
        <f t="shared" si="6"/>
        <v>1.4593199135169679</v>
      </c>
      <c r="K30" s="108">
        <f t="shared" si="7"/>
        <v>0</v>
      </c>
      <c r="L30" s="109">
        <f t="shared" si="8"/>
        <v>4003.5792375563856</v>
      </c>
      <c r="Q30" s="110"/>
    </row>
    <row r="31" spans="2:17" x14ac:dyDescent="0.2">
      <c r="B31" s="102">
        <f t="shared" si="0"/>
        <v>9</v>
      </c>
      <c r="C31" s="111">
        <f t="shared" si="9"/>
        <v>41153</v>
      </c>
      <c r="D31" s="104">
        <f t="shared" si="1"/>
        <v>691196.3026924599</v>
      </c>
      <c r="E31" s="104"/>
      <c r="F31" s="104">
        <f t="shared" si="2"/>
        <v>992.07872005373292</v>
      </c>
      <c r="G31" s="104">
        <f t="shared" si="3"/>
        <v>2451.5005175026527</v>
      </c>
      <c r="H31" s="105">
        <f t="shared" si="4"/>
        <v>0</v>
      </c>
      <c r="I31" s="106">
        <f t="shared" si="5"/>
        <v>560</v>
      </c>
      <c r="J31" s="107">
        <f t="shared" si="6"/>
        <v>1.4572386977105551</v>
      </c>
      <c r="K31" s="108">
        <f t="shared" si="7"/>
        <v>0</v>
      </c>
      <c r="L31" s="109">
        <f t="shared" si="8"/>
        <v>4003.5792375563856</v>
      </c>
      <c r="Q31" s="110"/>
    </row>
    <row r="32" spans="2:17" x14ac:dyDescent="0.2">
      <c r="B32" s="102">
        <f t="shared" si="0"/>
        <v>10</v>
      </c>
      <c r="C32" s="111">
        <f t="shared" si="9"/>
        <v>41183</v>
      </c>
      <c r="D32" s="104">
        <f t="shared" si="1"/>
        <v>690200.71036027267</v>
      </c>
      <c r="E32" s="104"/>
      <c r="F32" s="104">
        <f t="shared" si="2"/>
        <v>995.59233218725649</v>
      </c>
      <c r="G32" s="104">
        <f t="shared" si="3"/>
        <v>2447.9869053691291</v>
      </c>
      <c r="H32" s="105">
        <f t="shared" si="4"/>
        <v>0</v>
      </c>
      <c r="I32" s="106">
        <f t="shared" si="5"/>
        <v>560</v>
      </c>
      <c r="J32" s="107">
        <f t="shared" si="6"/>
        <v>1.4551501109314946</v>
      </c>
      <c r="K32" s="108">
        <f t="shared" si="7"/>
        <v>0</v>
      </c>
      <c r="L32" s="109">
        <f t="shared" si="8"/>
        <v>4003.5792375563856</v>
      </c>
      <c r="Q32" s="110"/>
    </row>
    <row r="33" spans="2:17" x14ac:dyDescent="0.2">
      <c r="B33" s="102">
        <f t="shared" si="0"/>
        <v>11</v>
      </c>
      <c r="C33" s="111">
        <f t="shared" si="9"/>
        <v>41214</v>
      </c>
      <c r="D33" s="104">
        <f t="shared" si="1"/>
        <v>689201.59197190893</v>
      </c>
      <c r="E33" s="104"/>
      <c r="F33" s="104">
        <f t="shared" si="2"/>
        <v>999.11838836375318</v>
      </c>
      <c r="G33" s="104">
        <f t="shared" si="3"/>
        <v>2444.4608491926324</v>
      </c>
      <c r="H33" s="105">
        <f t="shared" si="4"/>
        <v>0</v>
      </c>
      <c r="I33" s="106">
        <f t="shared" si="5"/>
        <v>560</v>
      </c>
      <c r="J33" s="107">
        <f t="shared" si="6"/>
        <v>1.4530541270742583</v>
      </c>
      <c r="K33" s="108">
        <f t="shared" si="7"/>
        <v>0</v>
      </c>
      <c r="L33" s="109">
        <f t="shared" si="8"/>
        <v>4003.5792375563856</v>
      </c>
      <c r="Q33" s="110"/>
    </row>
    <row r="34" spans="2:17" x14ac:dyDescent="0.2">
      <c r="B34" s="102">
        <f t="shared" si="0"/>
        <v>12</v>
      </c>
      <c r="C34" s="111">
        <f t="shared" si="9"/>
        <v>41244</v>
      </c>
      <c r="D34" s="104">
        <f t="shared" si="1"/>
        <v>688198.93503925309</v>
      </c>
      <c r="E34" s="104"/>
      <c r="F34" s="104">
        <f t="shared" si="2"/>
        <v>1002.6569326558747</v>
      </c>
      <c r="G34" s="104">
        <f t="shared" si="3"/>
        <v>2440.9223049005109</v>
      </c>
      <c r="H34" s="105">
        <f t="shared" si="4"/>
        <v>0</v>
      </c>
      <c r="I34" s="106">
        <f t="shared" si="5"/>
        <v>560</v>
      </c>
      <c r="J34" s="107">
        <f t="shared" si="6"/>
        <v>1.4509507199408609</v>
      </c>
      <c r="K34" s="108">
        <f t="shared" si="7"/>
        <v>0</v>
      </c>
      <c r="L34" s="109">
        <f t="shared" si="8"/>
        <v>4003.5792375563856</v>
      </c>
      <c r="Q34" s="110"/>
    </row>
    <row r="35" spans="2:17" x14ac:dyDescent="0.2">
      <c r="B35" s="102">
        <f t="shared" si="0"/>
        <v>13</v>
      </c>
      <c r="C35" s="111">
        <f t="shared" si="9"/>
        <v>41275</v>
      </c>
      <c r="D35" s="104">
        <f t="shared" si="1"/>
        <v>687192.72702996072</v>
      </c>
      <c r="E35" s="104"/>
      <c r="F35" s="104">
        <f t="shared" si="2"/>
        <v>1006.2080092923643</v>
      </c>
      <c r="G35" s="104">
        <f t="shared" si="3"/>
        <v>2437.3712282640213</v>
      </c>
      <c r="H35" s="105">
        <f t="shared" si="4"/>
        <v>0</v>
      </c>
      <c r="I35" s="106">
        <f t="shared" si="5"/>
        <v>560</v>
      </c>
      <c r="J35" s="107">
        <f t="shared" si="6"/>
        <v>1.4488398632405328</v>
      </c>
      <c r="K35" s="108">
        <f t="shared" si="7"/>
        <v>0</v>
      </c>
      <c r="L35" s="109">
        <f t="shared" si="8"/>
        <v>4003.5792375563856</v>
      </c>
      <c r="Q35" s="110"/>
    </row>
    <row r="36" spans="2:17" x14ac:dyDescent="0.2">
      <c r="B36" s="102">
        <f t="shared" si="0"/>
        <v>14</v>
      </c>
      <c r="C36" s="111">
        <f t="shared" si="9"/>
        <v>41306</v>
      </c>
      <c r="D36" s="104">
        <f t="shared" si="1"/>
        <v>686182.95536730206</v>
      </c>
      <c r="E36" s="104"/>
      <c r="F36" s="104">
        <f t="shared" si="2"/>
        <v>1009.771662658608</v>
      </c>
      <c r="G36" s="104">
        <f t="shared" si="3"/>
        <v>2433.8075748977776</v>
      </c>
      <c r="H36" s="105">
        <f t="shared" si="4"/>
        <v>0</v>
      </c>
      <c r="I36" s="106">
        <f t="shared" si="5"/>
        <v>560</v>
      </c>
      <c r="J36" s="107">
        <f t="shared" si="6"/>
        <v>1.446721530589391</v>
      </c>
      <c r="K36" s="108">
        <f t="shared" si="7"/>
        <v>0</v>
      </c>
      <c r="L36" s="109">
        <f t="shared" si="8"/>
        <v>4003.5792375563856</v>
      </c>
      <c r="Q36" s="110"/>
    </row>
    <row r="37" spans="2:17" x14ac:dyDescent="0.2">
      <c r="B37" s="102">
        <f t="shared" si="0"/>
        <v>15</v>
      </c>
      <c r="C37" s="111">
        <f t="shared" si="9"/>
        <v>41334</v>
      </c>
      <c r="D37" s="104">
        <f t="shared" si="1"/>
        <v>685169.60743000486</v>
      </c>
      <c r="E37" s="104"/>
      <c r="F37" s="104">
        <f t="shared" si="2"/>
        <v>1013.3479372971906</v>
      </c>
      <c r="G37" s="104">
        <f t="shared" si="3"/>
        <v>2430.231300259195</v>
      </c>
      <c r="H37" s="105">
        <f t="shared" si="4"/>
        <v>0</v>
      </c>
      <c r="I37" s="106">
        <f t="shared" si="5"/>
        <v>560</v>
      </c>
      <c r="J37" s="107">
        <f t="shared" si="6"/>
        <v>1.4445956955101096</v>
      </c>
      <c r="K37" s="108">
        <f t="shared" si="7"/>
        <v>0</v>
      </c>
      <c r="L37" s="109">
        <f t="shared" si="8"/>
        <v>4003.5792375563856</v>
      </c>
      <c r="Q37" s="110"/>
    </row>
    <row r="38" spans="2:17" x14ac:dyDescent="0.2">
      <c r="B38" s="102">
        <f t="shared" si="0"/>
        <v>16</v>
      </c>
      <c r="C38" s="111">
        <f t="shared" si="9"/>
        <v>41365</v>
      </c>
      <c r="D38" s="104">
        <f t="shared" si="1"/>
        <v>684152.67055209645</v>
      </c>
      <c r="E38" s="104"/>
      <c r="F38" s="104">
        <f t="shared" si="2"/>
        <v>1016.9368779084516</v>
      </c>
      <c r="G38" s="104">
        <f t="shared" si="3"/>
        <v>2426.642359647934</v>
      </c>
      <c r="H38" s="105">
        <f t="shared" si="4"/>
        <v>0</v>
      </c>
      <c r="I38" s="106">
        <f t="shared" si="5"/>
        <v>560</v>
      </c>
      <c r="J38" s="107">
        <f t="shared" si="6"/>
        <v>1.4424623314315892</v>
      </c>
      <c r="K38" s="108">
        <f t="shared" si="7"/>
        <v>0</v>
      </c>
      <c r="L38" s="109">
        <f t="shared" si="8"/>
        <v>4003.5792375563856</v>
      </c>
      <c r="Q38" s="110"/>
    </row>
    <row r="39" spans="2:17" x14ac:dyDescent="0.2">
      <c r="B39" s="102">
        <f t="shared" si="0"/>
        <v>17</v>
      </c>
      <c r="C39" s="111">
        <f t="shared" si="9"/>
        <v>41395</v>
      </c>
      <c r="D39" s="104">
        <f t="shared" si="1"/>
        <v>683132.13202274544</v>
      </c>
      <c r="E39" s="104"/>
      <c r="F39" s="104">
        <f t="shared" si="2"/>
        <v>1020.538529351044</v>
      </c>
      <c r="G39" s="104">
        <f t="shared" si="3"/>
        <v>2423.0407082053416</v>
      </c>
      <c r="H39" s="105">
        <f t="shared" si="4"/>
        <v>0</v>
      </c>
      <c r="I39" s="106">
        <f t="shared" si="5"/>
        <v>560</v>
      </c>
      <c r="J39" s="107">
        <f t="shared" si="6"/>
        <v>1.440321411688624</v>
      </c>
      <c r="K39" s="108">
        <f t="shared" si="7"/>
        <v>0</v>
      </c>
      <c r="L39" s="109">
        <f t="shared" si="8"/>
        <v>4003.5792375563856</v>
      </c>
      <c r="Q39" s="110"/>
    </row>
    <row r="40" spans="2:17" x14ac:dyDescent="0.2">
      <c r="B40" s="102">
        <f t="shared" si="0"/>
        <v>18</v>
      </c>
      <c r="C40" s="111">
        <f t="shared" si="9"/>
        <v>41426</v>
      </c>
      <c r="D40" s="104">
        <f t="shared" si="1"/>
        <v>682107.97908610292</v>
      </c>
      <c r="E40" s="104"/>
      <c r="F40" s="104">
        <f t="shared" si="2"/>
        <v>1024.1529366424952</v>
      </c>
      <c r="G40" s="104">
        <f t="shared" si="3"/>
        <v>2419.4263009138904</v>
      </c>
      <c r="H40" s="105">
        <f t="shared" si="4"/>
        <v>0</v>
      </c>
      <c r="I40" s="106">
        <f t="shared" si="5"/>
        <v>560</v>
      </c>
      <c r="J40" s="107">
        <f t="shared" si="6"/>
        <v>1.4381729095215694</v>
      </c>
      <c r="K40" s="108">
        <f t="shared" si="7"/>
        <v>0</v>
      </c>
      <c r="L40" s="109">
        <f t="shared" si="8"/>
        <v>4003.5792375563856</v>
      </c>
      <c r="Q40" s="110"/>
    </row>
    <row r="41" spans="2:17" x14ac:dyDescent="0.2">
      <c r="B41" s="102">
        <f t="shared" si="0"/>
        <v>19</v>
      </c>
      <c r="C41" s="111">
        <f t="shared" si="9"/>
        <v>41456</v>
      </c>
      <c r="D41" s="104">
        <f t="shared" si="1"/>
        <v>681080.19894114311</v>
      </c>
      <c r="E41" s="104"/>
      <c r="F41" s="104">
        <f t="shared" si="2"/>
        <v>1027.780144959771</v>
      </c>
      <c r="G41" s="104">
        <f t="shared" si="3"/>
        <v>2415.7990925966146</v>
      </c>
      <c r="H41" s="105">
        <f t="shared" si="4"/>
        <v>0</v>
      </c>
      <c r="I41" s="106">
        <f t="shared" si="5"/>
        <v>560</v>
      </c>
      <c r="J41" s="107">
        <f t="shared" si="6"/>
        <v>1.4360167980760061</v>
      </c>
      <c r="K41" s="108">
        <f t="shared" si="7"/>
        <v>0</v>
      </c>
      <c r="L41" s="109">
        <f t="shared" si="8"/>
        <v>4003.5792375563856</v>
      </c>
      <c r="Q41" s="110"/>
    </row>
    <row r="42" spans="2:17" x14ac:dyDescent="0.2">
      <c r="B42" s="102">
        <f t="shared" si="0"/>
        <v>20</v>
      </c>
      <c r="C42" s="111">
        <f t="shared" si="9"/>
        <v>41487</v>
      </c>
      <c r="D42" s="104">
        <f t="shared" si="1"/>
        <v>680048.77874150325</v>
      </c>
      <c r="E42" s="104"/>
      <c r="F42" s="104">
        <f t="shared" si="2"/>
        <v>1031.4201996398369</v>
      </c>
      <c r="G42" s="104">
        <f t="shared" si="3"/>
        <v>2412.1590379165486</v>
      </c>
      <c r="H42" s="105">
        <f t="shared" si="4"/>
        <v>0</v>
      </c>
      <c r="I42" s="106">
        <f t="shared" si="5"/>
        <v>560</v>
      </c>
      <c r="J42" s="107">
        <f t="shared" si="6"/>
        <v>1.4338530504024065</v>
      </c>
      <c r="K42" s="108">
        <f t="shared" si="7"/>
        <v>0</v>
      </c>
      <c r="L42" s="109">
        <f t="shared" si="8"/>
        <v>4003.5792375563856</v>
      </c>
      <c r="Q42" s="110"/>
    </row>
    <row r="43" spans="2:17" x14ac:dyDescent="0.2">
      <c r="B43" s="102">
        <f t="shared" si="0"/>
        <v>21</v>
      </c>
      <c r="C43" s="111">
        <f t="shared" si="9"/>
        <v>41518</v>
      </c>
      <c r="D43" s="104">
        <f t="shared" si="1"/>
        <v>679013.705595323</v>
      </c>
      <c r="E43" s="104"/>
      <c r="F43" s="104">
        <f t="shared" si="2"/>
        <v>1035.0731461802279</v>
      </c>
      <c r="G43" s="104">
        <f t="shared" si="3"/>
        <v>2408.5060913761577</v>
      </c>
      <c r="H43" s="105">
        <f t="shared" si="4"/>
        <v>0</v>
      </c>
      <c r="I43" s="106">
        <f t="shared" si="5"/>
        <v>560</v>
      </c>
      <c r="J43" s="107">
        <f t="shared" si="6"/>
        <v>1.4316816394557963</v>
      </c>
      <c r="K43" s="108">
        <f t="shared" si="7"/>
        <v>0</v>
      </c>
      <c r="L43" s="109">
        <f t="shared" si="8"/>
        <v>4003.5792375563856</v>
      </c>
      <c r="Q43" s="110"/>
    </row>
    <row r="44" spans="2:17" x14ac:dyDescent="0.2">
      <c r="B44" s="102">
        <f t="shared" si="0"/>
        <v>22</v>
      </c>
      <c r="C44" s="111">
        <f t="shared" si="9"/>
        <v>41548</v>
      </c>
      <c r="D44" s="104">
        <f t="shared" si="1"/>
        <v>677974.96656508336</v>
      </c>
      <c r="E44" s="104"/>
      <c r="F44" s="104">
        <f t="shared" si="2"/>
        <v>1038.7390302396166</v>
      </c>
      <c r="G44" s="104">
        <f t="shared" si="3"/>
        <v>2404.840207316769</v>
      </c>
      <c r="H44" s="105">
        <f t="shared" si="4"/>
        <v>0</v>
      </c>
      <c r="I44" s="106">
        <f t="shared" si="5"/>
        <v>560</v>
      </c>
      <c r="J44" s="107">
        <f t="shared" si="6"/>
        <v>1.4295025380954169</v>
      </c>
      <c r="K44" s="108">
        <f t="shared" si="7"/>
        <v>0</v>
      </c>
      <c r="L44" s="109">
        <f t="shared" si="8"/>
        <v>4003.5792375563856</v>
      </c>
      <c r="Q44" s="110"/>
    </row>
    <row r="45" spans="2:17" x14ac:dyDescent="0.2">
      <c r="B45" s="102">
        <f t="shared" si="0"/>
        <v>23</v>
      </c>
      <c r="C45" s="111">
        <f t="shared" si="9"/>
        <v>41579</v>
      </c>
      <c r="D45" s="104">
        <f t="shared" si="1"/>
        <v>676932.54866744496</v>
      </c>
      <c r="E45" s="104"/>
      <c r="F45" s="104">
        <f t="shared" si="2"/>
        <v>1042.4178976383819</v>
      </c>
      <c r="G45" s="104">
        <f t="shared" si="3"/>
        <v>2401.1613399180037</v>
      </c>
      <c r="H45" s="105">
        <f t="shared" si="4"/>
        <v>0</v>
      </c>
      <c r="I45" s="106">
        <f t="shared" si="5"/>
        <v>560</v>
      </c>
      <c r="J45" s="107">
        <f t="shared" si="6"/>
        <v>1.4273157190843859</v>
      </c>
      <c r="K45" s="108">
        <f t="shared" si="7"/>
        <v>0</v>
      </c>
      <c r="L45" s="109">
        <f t="shared" si="8"/>
        <v>4003.5792375563856</v>
      </c>
      <c r="Q45" s="110"/>
    </row>
    <row r="46" spans="2:17" x14ac:dyDescent="0.2">
      <c r="B46" s="102">
        <f t="shared" si="0"/>
        <v>24</v>
      </c>
      <c r="C46" s="111">
        <f t="shared" si="9"/>
        <v>41609</v>
      </c>
      <c r="D46" s="104">
        <f t="shared" si="1"/>
        <v>675886.43887308578</v>
      </c>
      <c r="E46" s="104"/>
      <c r="F46" s="104">
        <f t="shared" si="2"/>
        <v>1046.1097943591844</v>
      </c>
      <c r="G46" s="104">
        <f t="shared" si="3"/>
        <v>2397.4694431972011</v>
      </c>
      <c r="H46" s="105">
        <f t="shared" si="4"/>
        <v>0</v>
      </c>
      <c r="I46" s="106">
        <f t="shared" si="5"/>
        <v>560</v>
      </c>
      <c r="J46" s="107">
        <f t="shared" si="6"/>
        <v>1.4251211550893579</v>
      </c>
      <c r="K46" s="108">
        <f t="shared" si="7"/>
        <v>0</v>
      </c>
      <c r="L46" s="109">
        <f t="shared" si="8"/>
        <v>4003.5792375563856</v>
      </c>
      <c r="Q46" s="110"/>
    </row>
    <row r="47" spans="2:17" x14ac:dyDescent="0.2">
      <c r="B47" s="102">
        <f t="shared" si="0"/>
        <v>25</v>
      </c>
      <c r="C47" s="111">
        <f t="shared" si="9"/>
        <v>41640</v>
      </c>
      <c r="D47" s="104">
        <f t="shared" si="1"/>
        <v>674836.62410653825</v>
      </c>
      <c r="E47" s="104"/>
      <c r="F47" s="104">
        <f t="shared" si="2"/>
        <v>1049.8147665475399</v>
      </c>
      <c r="G47" s="104">
        <f t="shared" si="3"/>
        <v>2393.7644710088457</v>
      </c>
      <c r="H47" s="105">
        <f t="shared" si="4"/>
        <v>0</v>
      </c>
      <c r="I47" s="106">
        <f t="shared" si="5"/>
        <v>560</v>
      </c>
      <c r="J47" s="107">
        <f t="shared" si="6"/>
        <v>1.4229188186801807</v>
      </c>
      <c r="K47" s="108">
        <f t="shared" si="7"/>
        <v>0</v>
      </c>
      <c r="L47" s="109">
        <f t="shared" si="8"/>
        <v>4003.5792375563856</v>
      </c>
      <c r="Q47" s="110"/>
    </row>
    <row r="48" spans="2:17" x14ac:dyDescent="0.2">
      <c r="B48" s="102">
        <f t="shared" si="0"/>
        <v>26</v>
      </c>
      <c r="C48" s="111">
        <f t="shared" si="9"/>
        <v>41671</v>
      </c>
      <c r="D48" s="104">
        <f t="shared" si="1"/>
        <v>673783.09124602587</v>
      </c>
      <c r="E48" s="104"/>
      <c r="F48" s="104">
        <f t="shared" si="2"/>
        <v>1053.5328605123959</v>
      </c>
      <c r="G48" s="104">
        <f t="shared" si="3"/>
        <v>2390.0463770439897</v>
      </c>
      <c r="H48" s="105">
        <f t="shared" si="4"/>
        <v>0</v>
      </c>
      <c r="I48" s="106">
        <f t="shared" si="5"/>
        <v>560</v>
      </c>
      <c r="J48" s="107">
        <f t="shared" si="6"/>
        <v>1.4207086823295543</v>
      </c>
      <c r="K48" s="108">
        <f t="shared" si="7"/>
        <v>0</v>
      </c>
      <c r="L48" s="109">
        <f t="shared" si="8"/>
        <v>4003.5792375563856</v>
      </c>
      <c r="Q48" s="110"/>
    </row>
    <row r="49" spans="2:17" x14ac:dyDescent="0.2">
      <c r="B49" s="102">
        <f t="shared" si="0"/>
        <v>27</v>
      </c>
      <c r="C49" s="111">
        <f t="shared" si="9"/>
        <v>41699</v>
      </c>
      <c r="D49" s="104">
        <f t="shared" si="1"/>
        <v>672725.82712329912</v>
      </c>
      <c r="E49" s="104"/>
      <c r="F49" s="104">
        <f t="shared" si="2"/>
        <v>1057.2641227267104</v>
      </c>
      <c r="G49" s="104">
        <f t="shared" si="3"/>
        <v>2386.3151148296752</v>
      </c>
      <c r="H49" s="105">
        <f t="shared" si="4"/>
        <v>0</v>
      </c>
      <c r="I49" s="106">
        <f t="shared" si="5"/>
        <v>560</v>
      </c>
      <c r="J49" s="107">
        <f t="shared" si="6"/>
        <v>1.418490718412686</v>
      </c>
      <c r="K49" s="108">
        <f t="shared" si="7"/>
        <v>0</v>
      </c>
      <c r="L49" s="109">
        <f t="shared" si="8"/>
        <v>4003.5792375563856</v>
      </c>
      <c r="Q49" s="110"/>
    </row>
    <row r="50" spans="2:17" x14ac:dyDescent="0.2">
      <c r="B50" s="102">
        <f t="shared" si="0"/>
        <v>28</v>
      </c>
      <c r="C50" s="111">
        <f t="shared" si="9"/>
        <v>41730</v>
      </c>
      <c r="D50" s="104">
        <f t="shared" si="1"/>
        <v>671664.81852347113</v>
      </c>
      <c r="E50" s="104"/>
      <c r="F50" s="104">
        <f t="shared" si="2"/>
        <v>1061.0085998280342</v>
      </c>
      <c r="G50" s="104">
        <f t="shared" si="3"/>
        <v>2382.5706377283514</v>
      </c>
      <c r="H50" s="105">
        <f t="shared" si="4"/>
        <v>0</v>
      </c>
      <c r="I50" s="106">
        <f t="shared" si="5"/>
        <v>560</v>
      </c>
      <c r="J50" s="107">
        <f t="shared" si="6"/>
        <v>1.4162648992069455</v>
      </c>
      <c r="K50" s="108">
        <f t="shared" si="7"/>
        <v>0</v>
      </c>
      <c r="L50" s="109">
        <f t="shared" si="8"/>
        <v>4003.5792375563856</v>
      </c>
      <c r="Q50" s="110"/>
    </row>
    <row r="51" spans="2:17" x14ac:dyDescent="0.2">
      <c r="B51" s="102">
        <f t="shared" si="0"/>
        <v>29</v>
      </c>
      <c r="C51" s="111">
        <f t="shared" si="9"/>
        <v>41760</v>
      </c>
      <c r="D51" s="104">
        <f t="shared" si="1"/>
        <v>670600.05218485207</v>
      </c>
      <c r="E51" s="104"/>
      <c r="F51" s="104">
        <f t="shared" si="2"/>
        <v>1064.7663386190916</v>
      </c>
      <c r="G51" s="104">
        <f t="shared" si="3"/>
        <v>2378.812898937294</v>
      </c>
      <c r="H51" s="105">
        <f t="shared" si="4"/>
        <v>0</v>
      </c>
      <c r="I51" s="106">
        <f t="shared" si="5"/>
        <v>560</v>
      </c>
      <c r="J51" s="107">
        <f t="shared" si="6"/>
        <v>1.4140311968915182</v>
      </c>
      <c r="K51" s="108">
        <f t="shared" si="7"/>
        <v>0</v>
      </c>
      <c r="L51" s="109">
        <f t="shared" si="8"/>
        <v>4003.5792375563856</v>
      </c>
      <c r="Q51" s="110"/>
    </row>
    <row r="52" spans="2:17" x14ac:dyDescent="0.2">
      <c r="B52" s="102">
        <f t="shared" si="0"/>
        <v>30</v>
      </c>
      <c r="C52" s="111">
        <f t="shared" si="9"/>
        <v>41791</v>
      </c>
      <c r="D52" s="104">
        <f t="shared" si="1"/>
        <v>669531.5147987837</v>
      </c>
      <c r="E52" s="104"/>
      <c r="F52" s="104">
        <f t="shared" si="2"/>
        <v>1068.5373860683676</v>
      </c>
      <c r="G52" s="104">
        <f t="shared" si="3"/>
        <v>2375.041851488018</v>
      </c>
      <c r="H52" s="105">
        <f t="shared" si="4"/>
        <v>0</v>
      </c>
      <c r="I52" s="106">
        <f t="shared" si="5"/>
        <v>560</v>
      </c>
      <c r="J52" s="107">
        <f t="shared" si="6"/>
        <v>1.4117895835470571</v>
      </c>
      <c r="K52" s="108">
        <f t="shared" si="7"/>
        <v>0</v>
      </c>
      <c r="L52" s="109">
        <f t="shared" si="8"/>
        <v>4003.5792375563856</v>
      </c>
      <c r="Q52" s="110"/>
    </row>
    <row r="53" spans="2:17" x14ac:dyDescent="0.2">
      <c r="B53" s="102">
        <f t="shared" si="0"/>
        <v>31</v>
      </c>
      <c r="C53" s="111">
        <f t="shared" si="9"/>
        <v>41821</v>
      </c>
      <c r="D53" s="104">
        <f t="shared" si="1"/>
        <v>668459.19300947303</v>
      </c>
      <c r="E53" s="104"/>
      <c r="F53" s="104">
        <f t="shared" si="2"/>
        <v>1072.321789310693</v>
      </c>
      <c r="G53" s="104">
        <f t="shared" si="3"/>
        <v>2371.2574482456926</v>
      </c>
      <c r="H53" s="105">
        <f t="shared" si="4"/>
        <v>0</v>
      </c>
      <c r="I53" s="106">
        <f t="shared" si="5"/>
        <v>560</v>
      </c>
      <c r="J53" s="107">
        <f t="shared" si="6"/>
        <v>1.4095400311553341</v>
      </c>
      <c r="K53" s="108">
        <f t="shared" si="7"/>
        <v>0</v>
      </c>
      <c r="L53" s="109">
        <f t="shared" si="8"/>
        <v>4003.5792375563856</v>
      </c>
      <c r="Q53" s="110"/>
    </row>
    <row r="54" spans="2:17" x14ac:dyDescent="0.2">
      <c r="B54" s="102">
        <f t="shared" si="0"/>
        <v>32</v>
      </c>
      <c r="C54" s="111">
        <f t="shared" si="9"/>
        <v>41852</v>
      </c>
      <c r="D54" s="104">
        <f t="shared" si="1"/>
        <v>667383.07341382524</v>
      </c>
      <c r="E54" s="104"/>
      <c r="F54" s="104">
        <f t="shared" si="2"/>
        <v>1076.119595647835</v>
      </c>
      <c r="G54" s="104">
        <f t="shared" si="3"/>
        <v>2367.4596419085506</v>
      </c>
      <c r="H54" s="105">
        <f t="shared" si="4"/>
        <v>0</v>
      </c>
      <c r="I54" s="106">
        <f t="shared" si="5"/>
        <v>560</v>
      </c>
      <c r="J54" s="107">
        <f t="shared" si="6"/>
        <v>1.4072825115988905</v>
      </c>
      <c r="K54" s="108">
        <f t="shared" si="7"/>
        <v>0</v>
      </c>
      <c r="L54" s="109">
        <f t="shared" si="8"/>
        <v>4003.5792375563856</v>
      </c>
      <c r="Q54" s="110"/>
    </row>
    <row r="55" spans="2:17" x14ac:dyDescent="0.2">
      <c r="B55" s="102">
        <f t="shared" si="0"/>
        <v>33</v>
      </c>
      <c r="C55" s="111">
        <f t="shared" si="9"/>
        <v>41883</v>
      </c>
      <c r="D55" s="104">
        <f t="shared" si="1"/>
        <v>666303.14256127621</v>
      </c>
      <c r="E55" s="104"/>
      <c r="F55" s="104">
        <f t="shared" si="2"/>
        <v>1079.9308525490878</v>
      </c>
      <c r="G55" s="104">
        <f t="shared" si="3"/>
        <v>2363.6483850072977</v>
      </c>
      <c r="H55" s="105">
        <f t="shared" si="4"/>
        <v>0</v>
      </c>
      <c r="I55" s="106">
        <f t="shared" si="5"/>
        <v>560</v>
      </c>
      <c r="J55" s="107">
        <f t="shared" si="6"/>
        <v>1.4050169966606847</v>
      </c>
      <c r="K55" s="108">
        <f t="shared" si="7"/>
        <v>0</v>
      </c>
      <c r="L55" s="109">
        <f t="shared" si="8"/>
        <v>4003.5792375563856</v>
      </c>
      <c r="Q55" s="110"/>
    </row>
    <row r="56" spans="2:17" x14ac:dyDescent="0.2">
      <c r="B56" s="102">
        <f t="shared" si="0"/>
        <v>34</v>
      </c>
      <c r="C56" s="111">
        <f t="shared" si="9"/>
        <v>41913</v>
      </c>
      <c r="D56" s="104">
        <f t="shared" si="1"/>
        <v>665219.38695362431</v>
      </c>
      <c r="E56" s="104"/>
      <c r="F56" s="104">
        <f t="shared" si="2"/>
        <v>1083.7556076518654</v>
      </c>
      <c r="G56" s="104">
        <f t="shared" si="3"/>
        <v>2359.8236299045202</v>
      </c>
      <c r="H56" s="105">
        <f t="shared" si="4"/>
        <v>0</v>
      </c>
      <c r="I56" s="106">
        <f t="shared" si="5"/>
        <v>560</v>
      </c>
      <c r="J56" s="107">
        <f t="shared" si="6"/>
        <v>1.4027434580237395</v>
      </c>
      <c r="K56" s="108">
        <f t="shared" si="7"/>
        <v>0</v>
      </c>
      <c r="L56" s="109">
        <f t="shared" si="8"/>
        <v>4003.5792375563856</v>
      </c>
      <c r="Q56" s="110"/>
    </row>
    <row r="57" spans="2:17" x14ac:dyDescent="0.2">
      <c r="B57" s="102">
        <f t="shared" si="0"/>
        <v>35</v>
      </c>
      <c r="C57" s="111">
        <f t="shared" si="9"/>
        <v>41944</v>
      </c>
      <c r="D57" s="104">
        <f t="shared" si="1"/>
        <v>664131.79304486199</v>
      </c>
      <c r="E57" s="104"/>
      <c r="F57" s="104">
        <f t="shared" si="2"/>
        <v>1087.5939087622992</v>
      </c>
      <c r="G57" s="104">
        <f t="shared" si="3"/>
        <v>2355.9853287940864</v>
      </c>
      <c r="H57" s="105">
        <f t="shared" si="4"/>
        <v>0</v>
      </c>
      <c r="I57" s="106">
        <f t="shared" si="5"/>
        <v>560</v>
      </c>
      <c r="J57" s="107">
        <f t="shared" si="6"/>
        <v>1.400461867270788</v>
      </c>
      <c r="K57" s="108">
        <f t="shared" si="7"/>
        <v>0</v>
      </c>
      <c r="L57" s="109">
        <f t="shared" si="8"/>
        <v>4003.5792375563856</v>
      </c>
      <c r="Q57" s="110"/>
    </row>
    <row r="58" spans="2:17" x14ac:dyDescent="0.2">
      <c r="B58" s="102">
        <f t="shared" si="0"/>
        <v>36</v>
      </c>
      <c r="C58" s="111">
        <f t="shared" si="9"/>
        <v>41974</v>
      </c>
      <c r="D58" s="104">
        <f t="shared" si="1"/>
        <v>663040.34724100621</v>
      </c>
      <c r="E58" s="104"/>
      <c r="F58" s="104">
        <f t="shared" si="2"/>
        <v>1091.4458038558323</v>
      </c>
      <c r="G58" s="104">
        <f t="shared" si="3"/>
        <v>2352.1334337005533</v>
      </c>
      <c r="H58" s="105">
        <f t="shared" si="4"/>
        <v>0</v>
      </c>
      <c r="I58" s="106">
        <f t="shared" si="5"/>
        <v>560</v>
      </c>
      <c r="J58" s="107">
        <f t="shared" si="6"/>
        <v>1.3981721958839199</v>
      </c>
      <c r="K58" s="108">
        <f t="shared" si="7"/>
        <v>0</v>
      </c>
      <c r="L58" s="109">
        <f t="shared" si="8"/>
        <v>4003.5792375563856</v>
      </c>
      <c r="Q58" s="110"/>
    </row>
    <row r="59" spans="2:17" x14ac:dyDescent="0.2">
      <c r="B59" s="102">
        <f t="shared" si="0"/>
        <v>37</v>
      </c>
      <c r="C59" s="111">
        <f t="shared" si="9"/>
        <v>42005</v>
      </c>
      <c r="D59" s="104">
        <f t="shared" si="1"/>
        <v>661945.03589992842</v>
      </c>
      <c r="E59" s="104"/>
      <c r="F59" s="104">
        <f t="shared" si="2"/>
        <v>1095.3113410778215</v>
      </c>
      <c r="G59" s="104">
        <f t="shared" si="3"/>
        <v>2348.2678964785641</v>
      </c>
      <c r="H59" s="105">
        <f t="shared" si="4"/>
        <v>0</v>
      </c>
      <c r="I59" s="106">
        <f t="shared" si="5"/>
        <v>560</v>
      </c>
      <c r="J59" s="107">
        <f t="shared" si="6"/>
        <v>1.3958744152442235</v>
      </c>
      <c r="K59" s="108">
        <f t="shared" si="7"/>
        <v>0</v>
      </c>
      <c r="L59" s="109">
        <f t="shared" si="8"/>
        <v>4003.5792375563856</v>
      </c>
      <c r="Q59" s="110"/>
    </row>
    <row r="60" spans="2:17" x14ac:dyDescent="0.2">
      <c r="B60" s="102">
        <f t="shared" si="0"/>
        <v>38</v>
      </c>
      <c r="C60" s="111">
        <f t="shared" si="9"/>
        <v>42036</v>
      </c>
      <c r="D60" s="104">
        <f t="shared" si="1"/>
        <v>660845.84533118433</v>
      </c>
      <c r="E60" s="104"/>
      <c r="F60" s="104">
        <f t="shared" si="2"/>
        <v>1099.190568744139</v>
      </c>
      <c r="G60" s="104">
        <f t="shared" si="3"/>
        <v>2344.3886688122466</v>
      </c>
      <c r="H60" s="105">
        <f t="shared" si="4"/>
        <v>0</v>
      </c>
      <c r="I60" s="106">
        <f t="shared" si="5"/>
        <v>560</v>
      </c>
      <c r="J60" s="107">
        <f t="shared" si="6"/>
        <v>1.3935684966314283</v>
      </c>
      <c r="K60" s="108">
        <f t="shared" si="7"/>
        <v>0</v>
      </c>
      <c r="L60" s="109">
        <f t="shared" si="8"/>
        <v>4003.5792375563856</v>
      </c>
      <c r="Q60" s="110"/>
    </row>
    <row r="61" spans="2:17" x14ac:dyDescent="0.2">
      <c r="B61" s="102">
        <f t="shared" si="0"/>
        <v>39</v>
      </c>
      <c r="C61" s="111">
        <f t="shared" si="9"/>
        <v>42064</v>
      </c>
      <c r="D61" s="104">
        <f t="shared" si="1"/>
        <v>659742.76179584255</v>
      </c>
      <c r="E61" s="104"/>
      <c r="F61" s="104">
        <f t="shared" si="2"/>
        <v>1103.0835353417742</v>
      </c>
      <c r="G61" s="104">
        <f t="shared" si="3"/>
        <v>2340.4957022146114</v>
      </c>
      <c r="H61" s="105">
        <f t="shared" si="4"/>
        <v>0</v>
      </c>
      <c r="I61" s="106">
        <f t="shared" si="5"/>
        <v>560</v>
      </c>
      <c r="J61" s="107">
        <f t="shared" si="6"/>
        <v>1.3912544112235459</v>
      </c>
      <c r="K61" s="108">
        <f t="shared" si="7"/>
        <v>0</v>
      </c>
      <c r="L61" s="109">
        <f t="shared" si="8"/>
        <v>4003.5792375563856</v>
      </c>
      <c r="Q61" s="110"/>
    </row>
    <row r="62" spans="2:17" x14ac:dyDescent="0.2">
      <c r="B62" s="102">
        <f t="shared" si="0"/>
        <v>40</v>
      </c>
      <c r="C62" s="111">
        <f t="shared" si="9"/>
        <v>42095</v>
      </c>
      <c r="D62" s="104">
        <f t="shared" si="1"/>
        <v>658635.77150631312</v>
      </c>
      <c r="E62" s="104"/>
      <c r="F62" s="104">
        <f t="shared" si="2"/>
        <v>1106.9902895294431</v>
      </c>
      <c r="G62" s="104">
        <f t="shared" si="3"/>
        <v>2336.5889480269425</v>
      </c>
      <c r="H62" s="105">
        <f t="shared" si="4"/>
        <v>0</v>
      </c>
      <c r="I62" s="106">
        <f t="shared" si="5"/>
        <v>560</v>
      </c>
      <c r="J62" s="107">
        <f t="shared" si="6"/>
        <v>1.3889321300965107</v>
      </c>
      <c r="K62" s="108">
        <f t="shared" si="7"/>
        <v>0</v>
      </c>
      <c r="L62" s="109">
        <f t="shared" si="8"/>
        <v>4003.5792375563856</v>
      </c>
      <c r="Q62" s="110"/>
    </row>
    <row r="63" spans="2:17" x14ac:dyDescent="0.2">
      <c r="B63" s="102">
        <f t="shared" si="0"/>
        <v>41</v>
      </c>
      <c r="C63" s="111">
        <f t="shared" si="9"/>
        <v>42125</v>
      </c>
      <c r="D63" s="104">
        <f t="shared" si="1"/>
        <v>657524.86062617495</v>
      </c>
      <c r="E63" s="104"/>
      <c r="F63" s="104">
        <f t="shared" si="2"/>
        <v>1110.9108801381931</v>
      </c>
      <c r="G63" s="104">
        <f t="shared" si="3"/>
        <v>2332.6683574181925</v>
      </c>
      <c r="H63" s="105">
        <f t="shared" si="4"/>
        <v>0</v>
      </c>
      <c r="I63" s="106">
        <f t="shared" si="5"/>
        <v>560</v>
      </c>
      <c r="J63" s="107">
        <f t="shared" si="6"/>
        <v>1.3866016242238171</v>
      </c>
      <c r="K63" s="108">
        <f t="shared" si="7"/>
        <v>0</v>
      </c>
      <c r="L63" s="109">
        <f t="shared" si="8"/>
        <v>4003.5792375563856</v>
      </c>
      <c r="Q63" s="110"/>
    </row>
    <row r="64" spans="2:17" x14ac:dyDescent="0.2">
      <c r="B64" s="102">
        <f t="shared" si="0"/>
        <v>42</v>
      </c>
      <c r="C64" s="111">
        <f t="shared" si="9"/>
        <v>42156</v>
      </c>
      <c r="D64" s="104">
        <f t="shared" si="1"/>
        <v>656410.01527000288</v>
      </c>
      <c r="E64" s="104"/>
      <c r="F64" s="104">
        <f t="shared" si="2"/>
        <v>1114.8453561720157</v>
      </c>
      <c r="G64" s="104">
        <f t="shared" si="3"/>
        <v>2328.7338813843699</v>
      </c>
      <c r="H64" s="105">
        <f t="shared" si="4"/>
        <v>0</v>
      </c>
      <c r="I64" s="106">
        <f t="shared" si="5"/>
        <v>560</v>
      </c>
      <c r="J64" s="107">
        <f t="shared" si="6"/>
        <v>1.3842628644761579</v>
      </c>
      <c r="K64" s="108">
        <f t="shared" si="7"/>
        <v>0</v>
      </c>
      <c r="L64" s="109">
        <f t="shared" si="8"/>
        <v>4003.5792375563856</v>
      </c>
      <c r="Q64" s="110"/>
    </row>
    <row r="65" spans="2:17" x14ac:dyDescent="0.2">
      <c r="B65" s="102">
        <f t="shared" si="0"/>
        <v>43</v>
      </c>
      <c r="C65" s="111">
        <f t="shared" si="9"/>
        <v>42186</v>
      </c>
      <c r="D65" s="104">
        <f t="shared" si="1"/>
        <v>655291.22150319442</v>
      </c>
      <c r="E65" s="104"/>
      <c r="F65" s="104">
        <f t="shared" si="2"/>
        <v>1118.7937668084587</v>
      </c>
      <c r="G65" s="104">
        <f t="shared" si="3"/>
        <v>2324.7854707479269</v>
      </c>
      <c r="H65" s="105">
        <f t="shared" si="4"/>
        <v>0</v>
      </c>
      <c r="I65" s="106">
        <f t="shared" si="5"/>
        <v>560</v>
      </c>
      <c r="J65" s="107">
        <f t="shared" si="6"/>
        <v>1.3819158216210587</v>
      </c>
      <c r="K65" s="108">
        <f t="shared" si="7"/>
        <v>0</v>
      </c>
      <c r="L65" s="109">
        <f t="shared" si="8"/>
        <v>4003.5792375563856</v>
      </c>
      <c r="Q65" s="110"/>
    </row>
    <row r="66" spans="2:17" x14ac:dyDescent="0.2">
      <c r="B66" s="102">
        <f t="shared" si="0"/>
        <v>44</v>
      </c>
      <c r="C66" s="111">
        <f t="shared" si="9"/>
        <v>42217</v>
      </c>
      <c r="D66" s="104">
        <f t="shared" si="1"/>
        <v>654168.46534179524</v>
      </c>
      <c r="E66" s="104"/>
      <c r="F66" s="104">
        <f t="shared" si="2"/>
        <v>1122.7561613992384</v>
      </c>
      <c r="G66" s="104">
        <f t="shared" si="3"/>
        <v>2320.8230761571472</v>
      </c>
      <c r="H66" s="105">
        <f t="shared" si="4"/>
        <v>0</v>
      </c>
      <c r="I66" s="106">
        <f t="shared" si="5"/>
        <v>560</v>
      </c>
      <c r="J66" s="107">
        <f t="shared" si="6"/>
        <v>1.3795604663225145</v>
      </c>
      <c r="K66" s="108">
        <f t="shared" si="7"/>
        <v>0</v>
      </c>
      <c r="L66" s="109">
        <f t="shared" si="8"/>
        <v>4003.5792375563856</v>
      </c>
      <c r="Q66" s="110"/>
    </row>
    <row r="67" spans="2:17" x14ac:dyDescent="0.2">
      <c r="B67" s="102">
        <f t="shared" si="0"/>
        <v>45</v>
      </c>
      <c r="C67" s="111">
        <f t="shared" si="9"/>
        <v>42248</v>
      </c>
      <c r="D67" s="104">
        <f t="shared" si="1"/>
        <v>653041.73275232443</v>
      </c>
      <c r="E67" s="104"/>
      <c r="F67" s="104">
        <f t="shared" si="2"/>
        <v>1126.7325894708606</v>
      </c>
      <c r="G67" s="104">
        <f t="shared" si="3"/>
        <v>2316.846648085525</v>
      </c>
      <c r="H67" s="105">
        <f t="shared" si="4"/>
        <v>0</v>
      </c>
      <c r="I67" s="106">
        <f t="shared" si="5"/>
        <v>560</v>
      </c>
      <c r="J67" s="107">
        <f t="shared" si="6"/>
        <v>1.3771967691406215</v>
      </c>
      <c r="K67" s="108">
        <f t="shared" si="7"/>
        <v>0</v>
      </c>
      <c r="L67" s="109">
        <f t="shared" si="8"/>
        <v>4003.5792375563856</v>
      </c>
      <c r="Q67" s="110"/>
    </row>
    <row r="68" spans="2:17" x14ac:dyDescent="0.2">
      <c r="B68" s="102">
        <f t="shared" si="0"/>
        <v>46</v>
      </c>
      <c r="C68" s="111">
        <f t="shared" si="9"/>
        <v>42278</v>
      </c>
      <c r="D68" s="104">
        <f t="shared" si="1"/>
        <v>651911.00965159922</v>
      </c>
      <c r="E68" s="104"/>
      <c r="F68" s="104">
        <f t="shared" si="2"/>
        <v>1130.7231007252362</v>
      </c>
      <c r="G68" s="104">
        <f t="shared" si="3"/>
        <v>2312.8561368311493</v>
      </c>
      <c r="H68" s="105">
        <f t="shared" si="4"/>
        <v>0</v>
      </c>
      <c r="I68" s="106">
        <f t="shared" si="5"/>
        <v>560</v>
      </c>
      <c r="J68" s="107">
        <f t="shared" si="6"/>
        <v>1.3748247005312093</v>
      </c>
      <c r="K68" s="108">
        <f t="shared" si="7"/>
        <v>0</v>
      </c>
      <c r="L68" s="109">
        <f t="shared" si="8"/>
        <v>4003.5792375563856</v>
      </c>
      <c r="Q68" s="110"/>
    </row>
    <row r="69" spans="2:17" x14ac:dyDescent="0.2">
      <c r="B69" s="102">
        <f t="shared" si="0"/>
        <v>47</v>
      </c>
      <c r="C69" s="111">
        <f t="shared" si="9"/>
        <v>42309</v>
      </c>
      <c r="D69" s="104">
        <f t="shared" si="1"/>
        <v>650776.2819065589</v>
      </c>
      <c r="E69" s="104"/>
      <c r="F69" s="104">
        <f t="shared" si="2"/>
        <v>1134.7277450403049</v>
      </c>
      <c r="G69" s="104">
        <f t="shared" si="3"/>
        <v>2308.8514925160807</v>
      </c>
      <c r="H69" s="105">
        <f t="shared" si="4"/>
        <v>0</v>
      </c>
      <c r="I69" s="106">
        <f t="shared" si="5"/>
        <v>560</v>
      </c>
      <c r="J69" s="107">
        <f t="shared" si="6"/>
        <v>1.3724442308454721</v>
      </c>
      <c r="K69" s="108">
        <f t="shared" si="7"/>
        <v>0</v>
      </c>
      <c r="L69" s="109">
        <f t="shared" si="8"/>
        <v>4003.5792375563856</v>
      </c>
      <c r="Q69" s="110"/>
    </row>
    <row r="70" spans="2:17" x14ac:dyDescent="0.2">
      <c r="B70" s="102">
        <f t="shared" si="0"/>
        <v>48</v>
      </c>
      <c r="C70" s="111">
        <f t="shared" si="9"/>
        <v>42339</v>
      </c>
      <c r="D70" s="104">
        <f t="shared" si="1"/>
        <v>649637.53533408826</v>
      </c>
      <c r="E70" s="104"/>
      <c r="F70" s="104">
        <f t="shared" si="2"/>
        <v>1138.7465724706562</v>
      </c>
      <c r="G70" s="104">
        <f t="shared" si="3"/>
        <v>2304.8326650857293</v>
      </c>
      <c r="H70" s="105">
        <f t="shared" si="4"/>
        <v>0</v>
      </c>
      <c r="I70" s="106">
        <f t="shared" si="5"/>
        <v>560</v>
      </c>
      <c r="J70" s="107">
        <f t="shared" si="6"/>
        <v>1.3700553303295977</v>
      </c>
      <c r="K70" s="108">
        <f t="shared" si="7"/>
        <v>0</v>
      </c>
      <c r="L70" s="109">
        <f t="shared" si="8"/>
        <v>4003.5792375563856</v>
      </c>
      <c r="Q70" s="110"/>
    </row>
    <row r="71" spans="2:17" x14ac:dyDescent="0.2">
      <c r="B71" s="102">
        <f t="shared" si="0"/>
        <v>49</v>
      </c>
      <c r="C71" s="111">
        <f t="shared" si="9"/>
        <v>42370</v>
      </c>
      <c r="D71" s="104">
        <f t="shared" si="1"/>
        <v>648494.75570084015</v>
      </c>
      <c r="E71" s="104"/>
      <c r="F71" s="104">
        <f t="shared" si="2"/>
        <v>1142.7796332481562</v>
      </c>
      <c r="G71" s="104">
        <f t="shared" si="3"/>
        <v>2300.7996043082294</v>
      </c>
      <c r="H71" s="105">
        <f t="shared" si="4"/>
        <v>0</v>
      </c>
      <c r="I71" s="106">
        <f t="shared" si="5"/>
        <v>560</v>
      </c>
      <c r="J71" s="107">
        <f t="shared" si="6"/>
        <v>1.3676579691243964</v>
      </c>
      <c r="K71" s="108">
        <f t="shared" si="7"/>
        <v>0</v>
      </c>
      <c r="L71" s="109">
        <f t="shared" si="8"/>
        <v>4003.5792375563856</v>
      </c>
      <c r="Q71" s="110"/>
    </row>
    <row r="72" spans="2:17" x14ac:dyDescent="0.2">
      <c r="B72" s="102">
        <f t="shared" si="0"/>
        <v>50</v>
      </c>
      <c r="C72" s="111">
        <f t="shared" si="9"/>
        <v>42401</v>
      </c>
      <c r="D72" s="104">
        <f t="shared" si="1"/>
        <v>647347.92872305762</v>
      </c>
      <c r="E72" s="104"/>
      <c r="F72" s="104">
        <f t="shared" si="2"/>
        <v>1146.8269777825763</v>
      </c>
      <c r="G72" s="104">
        <f t="shared" si="3"/>
        <v>2296.7522597738093</v>
      </c>
      <c r="H72" s="105">
        <f t="shared" si="4"/>
        <v>0</v>
      </c>
      <c r="I72" s="106">
        <f t="shared" si="5"/>
        <v>560</v>
      </c>
      <c r="J72" s="107">
        <f t="shared" si="6"/>
        <v>1.3652521172649266</v>
      </c>
      <c r="K72" s="108">
        <f t="shared" si="7"/>
        <v>0</v>
      </c>
      <c r="L72" s="109">
        <f t="shared" si="8"/>
        <v>4003.5792375563856</v>
      </c>
      <c r="Q72" s="110"/>
    </row>
    <row r="73" spans="2:17" x14ac:dyDescent="0.2">
      <c r="B73" s="102">
        <f t="shared" si="0"/>
        <v>51</v>
      </c>
      <c r="C73" s="111">
        <f t="shared" si="9"/>
        <v>42430</v>
      </c>
      <c r="D73" s="104">
        <f t="shared" si="1"/>
        <v>646197.04006639542</v>
      </c>
      <c r="E73" s="104"/>
      <c r="F73" s="104">
        <f t="shared" si="2"/>
        <v>1150.8886566622232</v>
      </c>
      <c r="G73" s="104">
        <f t="shared" si="3"/>
        <v>2292.6905808941624</v>
      </c>
      <c r="H73" s="105">
        <f t="shared" si="4"/>
        <v>0</v>
      </c>
      <c r="I73" s="106">
        <f t="shared" si="5"/>
        <v>560</v>
      </c>
      <c r="J73" s="107">
        <f t="shared" si="6"/>
        <v>1.3628377446801212</v>
      </c>
      <c r="K73" s="108">
        <f t="shared" si="7"/>
        <v>0</v>
      </c>
      <c r="L73" s="109">
        <f t="shared" si="8"/>
        <v>4003.5792375563856</v>
      </c>
      <c r="Q73" s="110"/>
    </row>
    <row r="74" spans="2:17" x14ac:dyDescent="0.2">
      <c r="B74" s="102">
        <f t="shared" si="0"/>
        <v>52</v>
      </c>
      <c r="C74" s="111">
        <f t="shared" si="9"/>
        <v>42461</v>
      </c>
      <c r="D74" s="104">
        <f t="shared" si="1"/>
        <v>645042.07534574089</v>
      </c>
      <c r="E74" s="104"/>
      <c r="F74" s="104">
        <f t="shared" si="2"/>
        <v>1154.9647206545683</v>
      </c>
      <c r="G74" s="104">
        <f t="shared" si="3"/>
        <v>2288.6145169018173</v>
      </c>
      <c r="H74" s="105">
        <f t="shared" si="4"/>
        <v>0</v>
      </c>
      <c r="I74" s="106">
        <f t="shared" si="5"/>
        <v>560</v>
      </c>
      <c r="J74" s="107">
        <f t="shared" si="6"/>
        <v>1.3604148211924114</v>
      </c>
      <c r="K74" s="108">
        <f t="shared" si="7"/>
        <v>0</v>
      </c>
      <c r="L74" s="109">
        <f t="shared" si="8"/>
        <v>4003.5792375563856</v>
      </c>
      <c r="Q74" s="110"/>
    </row>
    <row r="75" spans="2:17" x14ac:dyDescent="0.2">
      <c r="B75" s="102">
        <f t="shared" si="0"/>
        <v>53</v>
      </c>
      <c r="C75" s="111">
        <f t="shared" si="9"/>
        <v>42491</v>
      </c>
      <c r="D75" s="104">
        <f t="shared" si="1"/>
        <v>643883.02012503403</v>
      </c>
      <c r="E75" s="104"/>
      <c r="F75" s="104">
        <f t="shared" si="2"/>
        <v>1159.0552207068863</v>
      </c>
      <c r="G75" s="104">
        <f t="shared" si="3"/>
        <v>2284.5240168494993</v>
      </c>
      <c r="H75" s="105">
        <f t="shared" si="4"/>
        <v>0</v>
      </c>
      <c r="I75" s="106">
        <f t="shared" si="5"/>
        <v>560</v>
      </c>
      <c r="J75" s="107">
        <f t="shared" si="6"/>
        <v>1.3579833165173492</v>
      </c>
      <c r="K75" s="108">
        <f t="shared" si="7"/>
        <v>0</v>
      </c>
      <c r="L75" s="109">
        <f t="shared" si="8"/>
        <v>4003.5792375563856</v>
      </c>
      <c r="Q75" s="110"/>
    </row>
    <row r="76" spans="2:17" x14ac:dyDescent="0.2">
      <c r="B76" s="102">
        <f t="shared" si="0"/>
        <v>54</v>
      </c>
      <c r="C76" s="111">
        <f t="shared" si="9"/>
        <v>42522</v>
      </c>
      <c r="D76" s="104">
        <f t="shared" si="1"/>
        <v>642719.85991708713</v>
      </c>
      <c r="E76" s="104"/>
      <c r="F76" s="104">
        <f t="shared" si="2"/>
        <v>1163.1602079468898</v>
      </c>
      <c r="G76" s="104">
        <f t="shared" si="3"/>
        <v>2280.4190296094957</v>
      </c>
      <c r="H76" s="105">
        <f t="shared" si="4"/>
        <v>0</v>
      </c>
      <c r="I76" s="106">
        <f t="shared" si="5"/>
        <v>560</v>
      </c>
      <c r="J76" s="107">
        <f t="shared" si="6"/>
        <v>1.3555432002632295</v>
      </c>
      <c r="K76" s="108">
        <f t="shared" si="7"/>
        <v>0</v>
      </c>
      <c r="L76" s="109">
        <f t="shared" si="8"/>
        <v>4003.5792375563856</v>
      </c>
      <c r="Q76" s="110"/>
    </row>
    <row r="77" spans="2:17" x14ac:dyDescent="0.2">
      <c r="B77" s="102">
        <f t="shared" si="0"/>
        <v>55</v>
      </c>
      <c r="C77" s="111">
        <f t="shared" si="9"/>
        <v>42552</v>
      </c>
      <c r="D77" s="104">
        <f t="shared" si="1"/>
        <v>641552.5801834038</v>
      </c>
      <c r="E77" s="104"/>
      <c r="F77" s="104">
        <f t="shared" si="2"/>
        <v>1167.2797336833682</v>
      </c>
      <c r="G77" s="104">
        <f t="shared" si="3"/>
        <v>2276.2995038730173</v>
      </c>
      <c r="H77" s="105">
        <f t="shared" si="4"/>
        <v>0</v>
      </c>
      <c r="I77" s="106">
        <f t="shared" si="5"/>
        <v>560</v>
      </c>
      <c r="J77" s="107">
        <f t="shared" si="6"/>
        <v>1.3530944419307098</v>
      </c>
      <c r="K77" s="108">
        <f t="shared" si="7"/>
        <v>0</v>
      </c>
      <c r="L77" s="109">
        <f t="shared" si="8"/>
        <v>4003.5792375563856</v>
      </c>
      <c r="Q77" s="110"/>
    </row>
    <row r="78" spans="2:17" x14ac:dyDescent="0.2">
      <c r="B78" s="102">
        <f t="shared" si="0"/>
        <v>56</v>
      </c>
      <c r="C78" s="111">
        <f t="shared" si="9"/>
        <v>42583</v>
      </c>
      <c r="D78" s="104">
        <f t="shared" si="1"/>
        <v>640381.16633399692</v>
      </c>
      <c r="E78" s="104"/>
      <c r="F78" s="104">
        <f t="shared" si="2"/>
        <v>1171.4138494068302</v>
      </c>
      <c r="G78" s="104">
        <f t="shared" si="3"/>
        <v>2272.1653881495554</v>
      </c>
      <c r="H78" s="105">
        <f t="shared" si="4"/>
        <v>0</v>
      </c>
      <c r="I78" s="106">
        <f t="shared" si="5"/>
        <v>560</v>
      </c>
      <c r="J78" s="107">
        <f t="shared" si="6"/>
        <v>1.350637010912429</v>
      </c>
      <c r="K78" s="108">
        <f t="shared" si="7"/>
        <v>0</v>
      </c>
      <c r="L78" s="109">
        <f t="shared" si="8"/>
        <v>4003.5792375563856</v>
      </c>
      <c r="Q78" s="110"/>
    </row>
    <row r="79" spans="2:17" x14ac:dyDescent="0.2">
      <c r="B79" s="102">
        <f t="shared" si="0"/>
        <v>57</v>
      </c>
      <c r="C79" s="111">
        <f t="shared" si="9"/>
        <v>42614</v>
      </c>
      <c r="D79" s="104">
        <f t="shared" si="1"/>
        <v>639205.60372720682</v>
      </c>
      <c r="E79" s="104"/>
      <c r="F79" s="104">
        <f t="shared" si="2"/>
        <v>1175.5626067901462</v>
      </c>
      <c r="G79" s="104">
        <f t="shared" si="3"/>
        <v>2268.0166307662394</v>
      </c>
      <c r="H79" s="105">
        <f t="shared" si="4"/>
        <v>0</v>
      </c>
      <c r="I79" s="106">
        <f t="shared" si="5"/>
        <v>560</v>
      </c>
      <c r="J79" s="107">
        <f t="shared" si="6"/>
        <v>1.348170876492625</v>
      </c>
      <c r="K79" s="108">
        <f t="shared" si="7"/>
        <v>0</v>
      </c>
      <c r="L79" s="109">
        <f t="shared" si="8"/>
        <v>4003.5792375563856</v>
      </c>
      <c r="Q79" s="110"/>
    </row>
    <row r="80" spans="2:17" x14ac:dyDescent="0.2">
      <c r="B80" s="102">
        <f t="shared" si="0"/>
        <v>58</v>
      </c>
      <c r="C80" s="111">
        <f t="shared" si="9"/>
        <v>42644</v>
      </c>
      <c r="D80" s="104">
        <f t="shared" si="1"/>
        <v>638025.87766951765</v>
      </c>
      <c r="E80" s="104"/>
      <c r="F80" s="104">
        <f t="shared" si="2"/>
        <v>1179.7260576891945</v>
      </c>
      <c r="G80" s="104">
        <f t="shared" si="3"/>
        <v>2263.8531798671911</v>
      </c>
      <c r="H80" s="105">
        <f t="shared" si="4"/>
        <v>0</v>
      </c>
      <c r="I80" s="106">
        <f t="shared" si="5"/>
        <v>560</v>
      </c>
      <c r="J80" s="107">
        <f t="shared" si="6"/>
        <v>1.3456960078467513</v>
      </c>
      <c r="K80" s="108">
        <f t="shared" si="7"/>
        <v>0</v>
      </c>
      <c r="L80" s="109">
        <f t="shared" si="8"/>
        <v>4003.5792375563856</v>
      </c>
      <c r="Q80" s="110"/>
    </row>
    <row r="81" spans="2:17" x14ac:dyDescent="0.2">
      <c r="B81" s="102">
        <f t="shared" si="0"/>
        <v>59</v>
      </c>
      <c r="C81" s="111">
        <f t="shared" si="9"/>
        <v>42675</v>
      </c>
      <c r="D81" s="104">
        <f t="shared" si="1"/>
        <v>636841.97341537417</v>
      </c>
      <c r="E81" s="104"/>
      <c r="F81" s="104">
        <f t="shared" si="2"/>
        <v>1183.9042541435101</v>
      </c>
      <c r="G81" s="104">
        <f t="shared" si="3"/>
        <v>2259.6749834128755</v>
      </c>
      <c r="H81" s="105">
        <f t="shared" si="4"/>
        <v>0</v>
      </c>
      <c r="I81" s="106">
        <f t="shared" si="5"/>
        <v>560</v>
      </c>
      <c r="J81" s="107">
        <f t="shared" si="6"/>
        <v>1.3432123740410897</v>
      </c>
      <c r="K81" s="108">
        <f t="shared" si="7"/>
        <v>0</v>
      </c>
      <c r="L81" s="109">
        <f t="shared" si="8"/>
        <v>4003.5792375563856</v>
      </c>
      <c r="Q81" s="110"/>
    </row>
    <row r="82" spans="2:17" x14ac:dyDescent="0.2">
      <c r="B82" s="102">
        <f t="shared" si="0"/>
        <v>60</v>
      </c>
      <c r="C82" s="111">
        <f t="shared" si="9"/>
        <v>42705</v>
      </c>
      <c r="D82" s="104">
        <f t="shared" si="1"/>
        <v>635653.87616699724</v>
      </c>
      <c r="E82" s="104"/>
      <c r="F82" s="104">
        <f t="shared" si="2"/>
        <v>1188.0972483769351</v>
      </c>
      <c r="G82" s="104">
        <f t="shared" si="3"/>
        <v>2255.4819891794505</v>
      </c>
      <c r="H82" s="105">
        <f t="shared" si="4"/>
        <v>0</v>
      </c>
      <c r="I82" s="106">
        <f t="shared" si="5"/>
        <v>560</v>
      </c>
      <c r="J82" s="107">
        <f t="shared" si="6"/>
        <v>1.3407199440323667</v>
      </c>
      <c r="K82" s="108">
        <f t="shared" si="7"/>
        <v>0</v>
      </c>
      <c r="L82" s="109">
        <f t="shared" si="8"/>
        <v>4003.5792375563856</v>
      </c>
      <c r="Q82" s="110"/>
    </row>
    <row r="83" spans="2:17" x14ac:dyDescent="0.2">
      <c r="B83" s="102">
        <f t="shared" si="0"/>
        <v>61</v>
      </c>
      <c r="C83" s="111">
        <f t="shared" si="9"/>
        <v>42736</v>
      </c>
      <c r="D83" s="104">
        <f t="shared" si="1"/>
        <v>634461.57107419893</v>
      </c>
      <c r="E83" s="104"/>
      <c r="F83" s="104">
        <f t="shared" si="2"/>
        <v>1192.3050927982704</v>
      </c>
      <c r="G83" s="104">
        <f t="shared" si="3"/>
        <v>2251.2741447581152</v>
      </c>
      <c r="H83" s="105">
        <f t="shared" si="4"/>
        <v>0</v>
      </c>
      <c r="I83" s="106">
        <f t="shared" si="5"/>
        <v>560</v>
      </c>
      <c r="J83" s="107">
        <f t="shared" si="6"/>
        <v>1.3382186866673627</v>
      </c>
      <c r="K83" s="108">
        <f t="shared" si="7"/>
        <v>0</v>
      </c>
      <c r="L83" s="109">
        <f t="shared" si="8"/>
        <v>4003.5792375563856</v>
      </c>
      <c r="Q83" s="110"/>
    </row>
    <row r="84" spans="2:17" x14ac:dyDescent="0.2">
      <c r="B84" s="102">
        <f t="shared" si="0"/>
        <v>62</v>
      </c>
      <c r="C84" s="111">
        <f t="shared" si="9"/>
        <v>42767</v>
      </c>
      <c r="D84" s="104">
        <f t="shared" si="1"/>
        <v>633265.04323419696</v>
      </c>
      <c r="E84" s="104"/>
      <c r="F84" s="104">
        <f t="shared" si="2"/>
        <v>1196.5278400019306</v>
      </c>
      <c r="G84" s="104">
        <f t="shared" si="3"/>
        <v>2247.051397554455</v>
      </c>
      <c r="H84" s="105">
        <f t="shared" si="4"/>
        <v>0</v>
      </c>
      <c r="I84" s="106">
        <f t="shared" si="5"/>
        <v>560</v>
      </c>
      <c r="J84" s="107">
        <f t="shared" si="6"/>
        <v>1.335708570682524</v>
      </c>
      <c r="K84" s="108">
        <f t="shared" si="7"/>
        <v>0</v>
      </c>
      <c r="L84" s="109">
        <f t="shared" si="8"/>
        <v>4003.5792375563856</v>
      </c>
      <c r="Q84" s="110"/>
    </row>
    <row r="85" spans="2:17" x14ac:dyDescent="0.2">
      <c r="B85" s="102">
        <f t="shared" si="0"/>
        <v>63</v>
      </c>
      <c r="C85" s="111">
        <f t="shared" si="9"/>
        <v>42795</v>
      </c>
      <c r="D85" s="104">
        <f t="shared" si="1"/>
        <v>632064.27769142832</v>
      </c>
      <c r="E85" s="104"/>
      <c r="F85" s="104">
        <f t="shared" si="2"/>
        <v>1200.7655427686045</v>
      </c>
      <c r="G85" s="104">
        <f t="shared" si="3"/>
        <v>2242.8136947877811</v>
      </c>
      <c r="H85" s="105">
        <f t="shared" si="4"/>
        <v>0</v>
      </c>
      <c r="I85" s="106">
        <f t="shared" si="5"/>
        <v>560</v>
      </c>
      <c r="J85" s="107">
        <f t="shared" si="6"/>
        <v>1.3331895647035725</v>
      </c>
      <c r="K85" s="108">
        <f t="shared" si="7"/>
        <v>0</v>
      </c>
      <c r="L85" s="109">
        <f t="shared" si="8"/>
        <v>4003.5792375563856</v>
      </c>
      <c r="Q85" s="110"/>
    </row>
    <row r="86" spans="2:17" x14ac:dyDescent="0.2">
      <c r="B86" s="102">
        <f t="shared" si="0"/>
        <v>64</v>
      </c>
      <c r="C86" s="111">
        <f t="shared" si="9"/>
        <v>42826</v>
      </c>
      <c r="D86" s="104">
        <f t="shared" si="1"/>
        <v>630859.25943736243</v>
      </c>
      <c r="E86" s="104"/>
      <c r="F86" s="104">
        <f t="shared" si="2"/>
        <v>1205.0182540659102</v>
      </c>
      <c r="G86" s="104">
        <f t="shared" si="3"/>
        <v>2238.5609834904753</v>
      </c>
      <c r="H86" s="105">
        <f t="shared" si="4"/>
        <v>0</v>
      </c>
      <c r="I86" s="106">
        <f t="shared" si="5"/>
        <v>560</v>
      </c>
      <c r="J86" s="107">
        <f t="shared" si="6"/>
        <v>1.3306616372451123</v>
      </c>
      <c r="K86" s="108">
        <f t="shared" si="7"/>
        <v>0</v>
      </c>
      <c r="L86" s="109">
        <f t="shared" si="8"/>
        <v>4003.5792375563856</v>
      </c>
      <c r="Q86" s="110"/>
    </row>
    <row r="87" spans="2:17" x14ac:dyDescent="0.2">
      <c r="B87" s="102">
        <f t="shared" si="0"/>
        <v>65</v>
      </c>
      <c r="C87" s="111">
        <f t="shared" si="9"/>
        <v>42856</v>
      </c>
      <c r="D87" s="104">
        <f t="shared" si="1"/>
        <v>629649.97341031337</v>
      </c>
      <c r="E87" s="104"/>
      <c r="F87" s="104">
        <f t="shared" si="2"/>
        <v>1209.2860270490601</v>
      </c>
      <c r="G87" s="104">
        <f t="shared" si="3"/>
        <v>2234.2932105073255</v>
      </c>
      <c r="H87" s="105">
        <f t="shared" si="4"/>
        <v>0</v>
      </c>
      <c r="I87" s="106">
        <f t="shared" si="5"/>
        <v>560</v>
      </c>
      <c r="J87" s="107">
        <f t="shared" si="6"/>
        <v>1.3281247567102368</v>
      </c>
      <c r="K87" s="108">
        <f t="shared" si="7"/>
        <v>0</v>
      </c>
      <c r="L87" s="109">
        <f t="shared" si="8"/>
        <v>4003.5792375563856</v>
      </c>
      <c r="Q87" s="110"/>
    </row>
    <row r="88" spans="2:17" x14ac:dyDescent="0.2">
      <c r="B88" s="102">
        <f t="shared" ref="B88:B151" si="10">IF(B87="","",IF(D87&lt;0.01,"",B87+1))</f>
        <v>66</v>
      </c>
      <c r="C88" s="111">
        <f t="shared" si="9"/>
        <v>42887</v>
      </c>
      <c r="D88" s="104">
        <f t="shared" ref="D88:D151" si="11">IF(B88="","",D87-F88-H88)</f>
        <v>628436.40449525183</v>
      </c>
      <c r="E88" s="104"/>
      <c r="F88" s="104">
        <f t="shared" ref="F88:F151" si="12">IF(B88="","",IF(D87&lt;F87,D87,IF($D$7*$D$8=B88,D87,$D$9-G88)))</f>
        <v>1213.5689150615253</v>
      </c>
      <c r="G88" s="104">
        <f t="shared" ref="G88:G151" si="13">IF(B88="","",D87*$D$5/$D$8)</f>
        <v>2230.0103224948602</v>
      </c>
      <c r="H88" s="105">
        <f t="shared" ref="H88:H151" si="14">IF(B88="","",IF(C88&gt;=$D$15,MIN($D$14,D87-F88),0))</f>
        <v>0</v>
      </c>
      <c r="I88" s="106">
        <f t="shared" ref="I88:I151" si="15">IF(B88="","",IF(J88&gt;0.78,$D$12,IF(B88&lt;60,$D$12,0)))</f>
        <v>560</v>
      </c>
      <c r="J88" s="107">
        <f t="shared" ref="J88:J151" si="16">IF(B88="","",D87/$D$10)</f>
        <v>1.3255788913901334</v>
      </c>
      <c r="K88" s="108">
        <f t="shared" ref="K88:K151" si="17">IF(B88="","",IF(D87&gt;0.01,$D$13,""))</f>
        <v>0</v>
      </c>
      <c r="L88" s="109">
        <f t="shared" ref="L88:L151" si="18">IF(B88="","",SUM(F88:I88,K88))</f>
        <v>4003.5792375563856</v>
      </c>
      <c r="Q88" s="110"/>
    </row>
    <row r="89" spans="2:17" x14ac:dyDescent="0.2">
      <c r="B89" s="102">
        <f t="shared" si="10"/>
        <v>67</v>
      </c>
      <c r="C89" s="111">
        <f t="shared" ref="C89:C152" si="19">IF(B89="","",DATE(YEAR(C88),MONTH(C88)+12/$D$8,DAY(C88)))</f>
        <v>42917</v>
      </c>
      <c r="D89" s="104">
        <f t="shared" si="11"/>
        <v>627218.53752361611</v>
      </c>
      <c r="E89" s="104"/>
      <c r="F89" s="104">
        <f t="shared" si="12"/>
        <v>1217.8669716357017</v>
      </c>
      <c r="G89" s="104">
        <f t="shared" si="13"/>
        <v>2225.7122659206839</v>
      </c>
      <c r="H89" s="105">
        <f t="shared" si="14"/>
        <v>0</v>
      </c>
      <c r="I89" s="106">
        <f t="shared" si="15"/>
        <v>560</v>
      </c>
      <c r="J89" s="107">
        <f t="shared" si="16"/>
        <v>1.323024009463688</v>
      </c>
      <c r="K89" s="108">
        <f t="shared" si="17"/>
        <v>0</v>
      </c>
      <c r="L89" s="109">
        <f t="shared" si="18"/>
        <v>4003.5792375563856</v>
      </c>
      <c r="Q89" s="110"/>
    </row>
    <row r="90" spans="2:17" x14ac:dyDescent="0.2">
      <c r="B90" s="102">
        <f t="shared" si="10"/>
        <v>68</v>
      </c>
      <c r="C90" s="111">
        <f t="shared" si="19"/>
        <v>42948</v>
      </c>
      <c r="D90" s="104">
        <f t="shared" si="11"/>
        <v>625996.35727312253</v>
      </c>
      <c r="E90" s="104"/>
      <c r="F90" s="104">
        <f t="shared" si="12"/>
        <v>1222.1802504935786</v>
      </c>
      <c r="G90" s="104">
        <f t="shared" si="13"/>
        <v>2221.398987062807</v>
      </c>
      <c r="H90" s="105">
        <f t="shared" si="14"/>
        <v>0</v>
      </c>
      <c r="I90" s="106">
        <f t="shared" si="15"/>
        <v>560</v>
      </c>
      <c r="J90" s="107">
        <f t="shared" si="16"/>
        <v>1.3204600789970866</v>
      </c>
      <c r="K90" s="108">
        <f t="shared" si="17"/>
        <v>0</v>
      </c>
      <c r="L90" s="109">
        <f t="shared" si="18"/>
        <v>4003.5792375563856</v>
      </c>
      <c r="Q90" s="110"/>
    </row>
    <row r="91" spans="2:17" x14ac:dyDescent="0.2">
      <c r="B91" s="102">
        <f t="shared" si="10"/>
        <v>69</v>
      </c>
      <c r="C91" s="111">
        <f t="shared" si="19"/>
        <v>42979</v>
      </c>
      <c r="D91" s="104">
        <f t="shared" si="11"/>
        <v>624769.84846757515</v>
      </c>
      <c r="E91" s="104"/>
      <c r="F91" s="104">
        <f t="shared" si="12"/>
        <v>1226.5088055474098</v>
      </c>
      <c r="G91" s="104">
        <f t="shared" si="13"/>
        <v>2217.0704320089758</v>
      </c>
      <c r="H91" s="105">
        <f t="shared" si="14"/>
        <v>0</v>
      </c>
      <c r="I91" s="106">
        <f t="shared" si="15"/>
        <v>560</v>
      </c>
      <c r="J91" s="107">
        <f t="shared" si="16"/>
        <v>1.3178870679434158</v>
      </c>
      <c r="K91" s="108">
        <f t="shared" si="17"/>
        <v>0</v>
      </c>
      <c r="L91" s="109">
        <f t="shared" si="18"/>
        <v>4003.5792375563856</v>
      </c>
      <c r="Q91" s="110"/>
    </row>
    <row r="92" spans="2:17" x14ac:dyDescent="0.2">
      <c r="B92" s="102">
        <f t="shared" si="10"/>
        <v>70</v>
      </c>
      <c r="C92" s="111">
        <f t="shared" si="19"/>
        <v>43009</v>
      </c>
      <c r="D92" s="104">
        <f t="shared" si="11"/>
        <v>623538.99577667471</v>
      </c>
      <c r="E92" s="104"/>
      <c r="F92" s="104">
        <f t="shared" si="12"/>
        <v>1230.8526909003904</v>
      </c>
      <c r="G92" s="104">
        <f t="shared" si="13"/>
        <v>2212.7265466559952</v>
      </c>
      <c r="H92" s="105">
        <f t="shared" si="14"/>
        <v>0</v>
      </c>
      <c r="I92" s="106">
        <f t="shared" si="15"/>
        <v>560</v>
      </c>
      <c r="J92" s="107">
        <f t="shared" si="16"/>
        <v>1.3153049441422635</v>
      </c>
      <c r="K92" s="108">
        <f t="shared" si="17"/>
        <v>0</v>
      </c>
      <c r="L92" s="109">
        <f t="shared" si="18"/>
        <v>4003.5792375563856</v>
      </c>
      <c r="Q92" s="110"/>
    </row>
    <row r="93" spans="2:17" x14ac:dyDescent="0.2">
      <c r="B93" s="102">
        <f t="shared" si="10"/>
        <v>71</v>
      </c>
      <c r="C93" s="111">
        <f t="shared" si="19"/>
        <v>43040</v>
      </c>
      <c r="D93" s="104">
        <f t="shared" si="11"/>
        <v>622303.78381582734</v>
      </c>
      <c r="E93" s="104"/>
      <c r="F93" s="104">
        <f t="shared" si="12"/>
        <v>1235.211960847329</v>
      </c>
      <c r="G93" s="104">
        <f t="shared" si="13"/>
        <v>2208.3672767090566</v>
      </c>
      <c r="H93" s="105">
        <f t="shared" si="14"/>
        <v>0</v>
      </c>
      <c r="I93" s="106">
        <f t="shared" si="15"/>
        <v>560</v>
      </c>
      <c r="J93" s="107">
        <f t="shared" si="16"/>
        <v>1.3127136753193152</v>
      </c>
      <c r="K93" s="108">
        <f t="shared" si="17"/>
        <v>0</v>
      </c>
      <c r="L93" s="109">
        <f t="shared" si="18"/>
        <v>4003.5792375563856</v>
      </c>
      <c r="Q93" s="110"/>
    </row>
    <row r="94" spans="2:17" x14ac:dyDescent="0.2">
      <c r="B94" s="102">
        <f t="shared" si="10"/>
        <v>72</v>
      </c>
      <c r="C94" s="111">
        <f t="shared" si="19"/>
        <v>43070</v>
      </c>
      <c r="D94" s="104">
        <f t="shared" si="11"/>
        <v>621064.19714595203</v>
      </c>
      <c r="E94" s="104"/>
      <c r="F94" s="104">
        <f t="shared" si="12"/>
        <v>1239.5866698753302</v>
      </c>
      <c r="G94" s="104">
        <f t="shared" si="13"/>
        <v>2203.9925676810553</v>
      </c>
      <c r="H94" s="105">
        <f t="shared" si="14"/>
        <v>0</v>
      </c>
      <c r="I94" s="106">
        <f t="shared" si="15"/>
        <v>560</v>
      </c>
      <c r="J94" s="107">
        <f t="shared" si="16"/>
        <v>1.3101132290859523</v>
      </c>
      <c r="K94" s="108">
        <f t="shared" si="17"/>
        <v>0</v>
      </c>
      <c r="L94" s="109">
        <f t="shared" si="18"/>
        <v>4003.5792375563856</v>
      </c>
      <c r="Q94" s="110"/>
    </row>
    <row r="95" spans="2:17" x14ac:dyDescent="0.2">
      <c r="B95" s="102">
        <f t="shared" si="10"/>
        <v>73</v>
      </c>
      <c r="C95" s="111">
        <f t="shared" si="19"/>
        <v>43101</v>
      </c>
      <c r="D95" s="104">
        <f t="shared" si="11"/>
        <v>619820.2202732875</v>
      </c>
      <c r="E95" s="104"/>
      <c r="F95" s="104">
        <f t="shared" si="12"/>
        <v>1243.976872664472</v>
      </c>
      <c r="G95" s="104">
        <f t="shared" si="13"/>
        <v>2199.6023648919136</v>
      </c>
      <c r="H95" s="105">
        <f t="shared" si="14"/>
        <v>0</v>
      </c>
      <c r="I95" s="106">
        <f t="shared" si="15"/>
        <v>560</v>
      </c>
      <c r="J95" s="107">
        <f t="shared" si="16"/>
        <v>1.3075035729388464</v>
      </c>
      <c r="K95" s="108">
        <f t="shared" si="17"/>
        <v>0</v>
      </c>
      <c r="L95" s="109">
        <f t="shared" si="18"/>
        <v>4003.5792375563856</v>
      </c>
      <c r="Q95" s="110"/>
    </row>
    <row r="96" spans="2:17" x14ac:dyDescent="0.2">
      <c r="B96" s="102">
        <f t="shared" si="10"/>
        <v>74</v>
      </c>
      <c r="C96" s="111">
        <f t="shared" si="19"/>
        <v>43132</v>
      </c>
      <c r="D96" s="104">
        <f t="shared" si="11"/>
        <v>618571.83764919906</v>
      </c>
      <c r="E96" s="104"/>
      <c r="F96" s="104">
        <f t="shared" si="12"/>
        <v>1248.3826240884923</v>
      </c>
      <c r="G96" s="104">
        <f t="shared" si="13"/>
        <v>2195.1966134678933</v>
      </c>
      <c r="H96" s="105">
        <f t="shared" si="14"/>
        <v>0</v>
      </c>
      <c r="I96" s="106">
        <f t="shared" si="15"/>
        <v>560</v>
      </c>
      <c r="J96" s="107">
        <f t="shared" si="16"/>
        <v>1.3048846742595526</v>
      </c>
      <c r="K96" s="108">
        <f t="shared" si="17"/>
        <v>0</v>
      </c>
      <c r="L96" s="109">
        <f t="shared" si="18"/>
        <v>4003.5792375563856</v>
      </c>
      <c r="Q96" s="110"/>
    </row>
    <row r="97" spans="2:17" x14ac:dyDescent="0.2">
      <c r="B97" s="102">
        <f t="shared" si="10"/>
        <v>75</v>
      </c>
      <c r="C97" s="111">
        <f t="shared" si="19"/>
        <v>43160</v>
      </c>
      <c r="D97" s="104">
        <f t="shared" si="11"/>
        <v>617319.03366998362</v>
      </c>
      <c r="E97" s="104"/>
      <c r="F97" s="104">
        <f t="shared" si="12"/>
        <v>1252.8039792154723</v>
      </c>
      <c r="G97" s="104">
        <f t="shared" si="13"/>
        <v>2190.7752583409133</v>
      </c>
      <c r="H97" s="105">
        <f t="shared" si="14"/>
        <v>0</v>
      </c>
      <c r="I97" s="106">
        <f t="shared" si="15"/>
        <v>560</v>
      </c>
      <c r="J97" s="107">
        <f t="shared" si="16"/>
        <v>1.3022565003141033</v>
      </c>
      <c r="K97" s="108">
        <f t="shared" si="17"/>
        <v>0</v>
      </c>
      <c r="L97" s="109">
        <f t="shared" si="18"/>
        <v>4003.5792375563856</v>
      </c>
      <c r="Q97" s="110"/>
    </row>
    <row r="98" spans="2:17" x14ac:dyDescent="0.2">
      <c r="B98" s="102">
        <f t="shared" si="10"/>
        <v>76</v>
      </c>
      <c r="C98" s="111">
        <f t="shared" si="19"/>
        <v>43191</v>
      </c>
      <c r="D98" s="104">
        <f t="shared" si="11"/>
        <v>616061.79267667513</v>
      </c>
      <c r="E98" s="104"/>
      <c r="F98" s="104">
        <f t="shared" si="12"/>
        <v>1257.2409933085269</v>
      </c>
      <c r="G98" s="104">
        <f t="shared" si="13"/>
        <v>2186.3382442478587</v>
      </c>
      <c r="H98" s="105">
        <f t="shared" si="14"/>
        <v>0</v>
      </c>
      <c r="I98" s="106">
        <f t="shared" si="15"/>
        <v>560</v>
      </c>
      <c r="J98" s="107">
        <f t="shared" si="16"/>
        <v>1.2996190182525971</v>
      </c>
      <c r="K98" s="108">
        <f t="shared" si="17"/>
        <v>0</v>
      </c>
      <c r="L98" s="109">
        <f t="shared" si="18"/>
        <v>4003.5792375563856</v>
      </c>
      <c r="Q98" s="110"/>
    </row>
    <row r="99" spans="2:17" x14ac:dyDescent="0.2">
      <c r="B99" s="102">
        <f t="shared" si="10"/>
        <v>77</v>
      </c>
      <c r="C99" s="111">
        <f t="shared" si="19"/>
        <v>43221</v>
      </c>
      <c r="D99" s="104">
        <f t="shared" si="11"/>
        <v>614800.0989548486</v>
      </c>
      <c r="E99" s="104"/>
      <c r="F99" s="104">
        <f t="shared" si="12"/>
        <v>1261.6937218264943</v>
      </c>
      <c r="G99" s="104">
        <f t="shared" si="13"/>
        <v>2181.8855157298913</v>
      </c>
      <c r="H99" s="105">
        <f t="shared" si="14"/>
        <v>0</v>
      </c>
      <c r="I99" s="106">
        <f t="shared" si="15"/>
        <v>560</v>
      </c>
      <c r="J99" s="107">
        <f t="shared" si="16"/>
        <v>1.2969721951087898</v>
      </c>
      <c r="K99" s="108">
        <f t="shared" si="17"/>
        <v>0</v>
      </c>
      <c r="L99" s="109">
        <f t="shared" si="18"/>
        <v>4003.5792375563856</v>
      </c>
      <c r="Q99" s="110"/>
    </row>
    <row r="100" spans="2:17" x14ac:dyDescent="0.2">
      <c r="B100" s="102">
        <f t="shared" si="10"/>
        <v>78</v>
      </c>
      <c r="C100" s="111">
        <f t="shared" si="19"/>
        <v>43252</v>
      </c>
      <c r="D100" s="104">
        <f t="shared" si="11"/>
        <v>613533.93673442397</v>
      </c>
      <c r="E100" s="104"/>
      <c r="F100" s="104">
        <f t="shared" si="12"/>
        <v>1266.16222042463</v>
      </c>
      <c r="G100" s="104">
        <f t="shared" si="13"/>
        <v>2177.4170171317555</v>
      </c>
      <c r="H100" s="105">
        <f t="shared" si="14"/>
        <v>0</v>
      </c>
      <c r="I100" s="106">
        <f t="shared" si="15"/>
        <v>560</v>
      </c>
      <c r="J100" s="107">
        <f t="shared" si="16"/>
        <v>1.2943159977996812</v>
      </c>
      <c r="K100" s="108">
        <f t="shared" si="17"/>
        <v>0</v>
      </c>
      <c r="L100" s="109">
        <f t="shared" si="18"/>
        <v>4003.5792375563856</v>
      </c>
      <c r="Q100" s="110"/>
    </row>
    <row r="101" spans="2:17" x14ac:dyDescent="0.2">
      <c r="B101" s="102">
        <f t="shared" si="10"/>
        <v>79</v>
      </c>
      <c r="C101" s="111">
        <f t="shared" si="19"/>
        <v>43282</v>
      </c>
      <c r="D101" s="104">
        <f t="shared" si="11"/>
        <v>612263.29018946865</v>
      </c>
      <c r="E101" s="104"/>
      <c r="F101" s="104">
        <f t="shared" si="12"/>
        <v>1270.6465449553007</v>
      </c>
      <c r="G101" s="104">
        <f t="shared" si="13"/>
        <v>2172.9326926010849</v>
      </c>
      <c r="H101" s="105">
        <f t="shared" si="14"/>
        <v>0</v>
      </c>
      <c r="I101" s="106">
        <f t="shared" si="15"/>
        <v>560</v>
      </c>
      <c r="J101" s="107">
        <f t="shared" si="16"/>
        <v>1.2916503931251031</v>
      </c>
      <c r="K101" s="108">
        <f t="shared" si="17"/>
        <v>0</v>
      </c>
      <c r="L101" s="109">
        <f t="shared" si="18"/>
        <v>4003.5792375563856</v>
      </c>
      <c r="Q101" s="110"/>
    </row>
    <row r="102" spans="2:17" x14ac:dyDescent="0.2">
      <c r="B102" s="102">
        <f t="shared" si="10"/>
        <v>80</v>
      </c>
      <c r="C102" s="111">
        <f t="shared" si="19"/>
        <v>43313</v>
      </c>
      <c r="D102" s="104">
        <f t="shared" si="11"/>
        <v>610988.143438</v>
      </c>
      <c r="E102" s="104"/>
      <c r="F102" s="104">
        <f t="shared" si="12"/>
        <v>1275.1467514686838</v>
      </c>
      <c r="G102" s="104">
        <f t="shared" si="13"/>
        <v>2168.4324860877018</v>
      </c>
      <c r="H102" s="105">
        <f t="shared" si="14"/>
        <v>0</v>
      </c>
      <c r="I102" s="106">
        <f t="shared" si="15"/>
        <v>560</v>
      </c>
      <c r="J102" s="107">
        <f t="shared" si="16"/>
        <v>1.2889753477673025</v>
      </c>
      <c r="K102" s="108">
        <f t="shared" si="17"/>
        <v>0</v>
      </c>
      <c r="L102" s="109">
        <f t="shared" si="18"/>
        <v>4003.5792375563856</v>
      </c>
      <c r="Q102" s="110"/>
    </row>
    <row r="103" spans="2:17" x14ac:dyDescent="0.2">
      <c r="B103" s="102">
        <f t="shared" si="10"/>
        <v>81</v>
      </c>
      <c r="C103" s="111">
        <f t="shared" si="19"/>
        <v>43344</v>
      </c>
      <c r="D103" s="104">
        <f t="shared" si="11"/>
        <v>609708.48054178653</v>
      </c>
      <c r="E103" s="104"/>
      <c r="F103" s="104">
        <f t="shared" si="12"/>
        <v>1279.6628962134687</v>
      </c>
      <c r="G103" s="104">
        <f t="shared" si="13"/>
        <v>2163.9163413429169</v>
      </c>
      <c r="H103" s="105">
        <f t="shared" si="14"/>
        <v>0</v>
      </c>
      <c r="I103" s="106">
        <f t="shared" si="15"/>
        <v>560</v>
      </c>
      <c r="J103" s="107">
        <f t="shared" si="16"/>
        <v>1.2862908282905263</v>
      </c>
      <c r="K103" s="108">
        <f t="shared" si="17"/>
        <v>0</v>
      </c>
      <c r="L103" s="109">
        <f t="shared" si="18"/>
        <v>4003.5792375563856</v>
      </c>
      <c r="Q103" s="110"/>
    </row>
    <row r="104" spans="2:17" x14ac:dyDescent="0.2">
      <c r="B104" s="102">
        <f t="shared" si="10"/>
        <v>82</v>
      </c>
      <c r="C104" s="111">
        <f t="shared" si="19"/>
        <v>43374</v>
      </c>
      <c r="D104" s="104">
        <f t="shared" si="11"/>
        <v>608424.28550614894</v>
      </c>
      <c r="E104" s="104"/>
      <c r="F104" s="104">
        <f t="shared" si="12"/>
        <v>1284.1950356375582</v>
      </c>
      <c r="G104" s="104">
        <f t="shared" si="13"/>
        <v>2159.3842019188273</v>
      </c>
      <c r="H104" s="105">
        <f t="shared" si="14"/>
        <v>0</v>
      </c>
      <c r="I104" s="106">
        <f t="shared" si="15"/>
        <v>560</v>
      </c>
      <c r="J104" s="107">
        <f t="shared" si="16"/>
        <v>1.2835968011406031</v>
      </c>
      <c r="K104" s="108">
        <f t="shared" si="17"/>
        <v>0</v>
      </c>
      <c r="L104" s="109">
        <f t="shared" si="18"/>
        <v>4003.5792375563856</v>
      </c>
      <c r="Q104" s="110"/>
    </row>
    <row r="105" spans="2:17" x14ac:dyDescent="0.2">
      <c r="B105" s="102">
        <f t="shared" si="10"/>
        <v>83</v>
      </c>
      <c r="C105" s="111">
        <f t="shared" si="19"/>
        <v>43405</v>
      </c>
      <c r="D105" s="104">
        <f t="shared" si="11"/>
        <v>607135.54227976012</v>
      </c>
      <c r="E105" s="104"/>
      <c r="F105" s="104">
        <f t="shared" si="12"/>
        <v>1288.7432263887745</v>
      </c>
      <c r="G105" s="104">
        <f t="shared" si="13"/>
        <v>2154.8360111676111</v>
      </c>
      <c r="H105" s="105">
        <f t="shared" si="14"/>
        <v>0</v>
      </c>
      <c r="I105" s="106">
        <f t="shared" si="15"/>
        <v>560</v>
      </c>
      <c r="J105" s="107">
        <f t="shared" si="16"/>
        <v>1.2808932326445241</v>
      </c>
      <c r="K105" s="108">
        <f t="shared" si="17"/>
        <v>0</v>
      </c>
      <c r="L105" s="109">
        <f t="shared" si="18"/>
        <v>4003.5792375563856</v>
      </c>
      <c r="Q105" s="110"/>
    </row>
    <row r="106" spans="2:17" x14ac:dyDescent="0.2">
      <c r="B106" s="102">
        <f t="shared" si="10"/>
        <v>84</v>
      </c>
      <c r="C106" s="111">
        <f t="shared" si="19"/>
        <v>43435</v>
      </c>
      <c r="D106" s="104">
        <f t="shared" si="11"/>
        <v>605842.23475444457</v>
      </c>
      <c r="E106" s="104"/>
      <c r="F106" s="104">
        <f t="shared" si="12"/>
        <v>1293.3075253155685</v>
      </c>
      <c r="G106" s="104">
        <f t="shared" si="13"/>
        <v>2150.2717122408171</v>
      </c>
      <c r="H106" s="105">
        <f t="shared" si="14"/>
        <v>0</v>
      </c>
      <c r="I106" s="106">
        <f t="shared" si="15"/>
        <v>560</v>
      </c>
      <c r="J106" s="107">
        <f t="shared" si="16"/>
        <v>1.2781800890100212</v>
      </c>
      <c r="K106" s="108">
        <f t="shared" si="17"/>
        <v>0</v>
      </c>
      <c r="L106" s="109">
        <f t="shared" si="18"/>
        <v>4003.5792375563856</v>
      </c>
      <c r="Q106" s="110"/>
    </row>
    <row r="107" spans="2:17" x14ac:dyDescent="0.2">
      <c r="B107" s="102">
        <f t="shared" si="10"/>
        <v>85</v>
      </c>
      <c r="C107" s="111">
        <f t="shared" si="19"/>
        <v>43466</v>
      </c>
      <c r="D107" s="104">
        <f t="shared" si="11"/>
        <v>604544.34676497686</v>
      </c>
      <c r="E107" s="104"/>
      <c r="F107" s="104">
        <f t="shared" si="12"/>
        <v>1297.8879894677275</v>
      </c>
      <c r="G107" s="104">
        <f t="shared" si="13"/>
        <v>2145.6912480886581</v>
      </c>
      <c r="H107" s="105">
        <f t="shared" si="14"/>
        <v>0</v>
      </c>
      <c r="I107" s="106">
        <f t="shared" si="15"/>
        <v>560</v>
      </c>
      <c r="J107" s="107">
        <f t="shared" si="16"/>
        <v>1.2754573363251465</v>
      </c>
      <c r="K107" s="108">
        <f t="shared" si="17"/>
        <v>0</v>
      </c>
      <c r="L107" s="109">
        <f t="shared" si="18"/>
        <v>4003.5792375563856</v>
      </c>
      <c r="Q107" s="110"/>
    </row>
    <row r="108" spans="2:17" x14ac:dyDescent="0.2">
      <c r="B108" s="102">
        <f t="shared" si="10"/>
        <v>86</v>
      </c>
      <c r="C108" s="111">
        <f t="shared" si="19"/>
        <v>43497</v>
      </c>
      <c r="D108" s="104">
        <f t="shared" si="11"/>
        <v>603241.8620888798</v>
      </c>
      <c r="E108" s="104"/>
      <c r="F108" s="104">
        <f t="shared" si="12"/>
        <v>1302.4846760970922</v>
      </c>
      <c r="G108" s="104">
        <f t="shared" si="13"/>
        <v>2141.0945614592933</v>
      </c>
      <c r="H108" s="105">
        <f t="shared" si="14"/>
        <v>0</v>
      </c>
      <c r="I108" s="106">
        <f t="shared" si="15"/>
        <v>560</v>
      </c>
      <c r="J108" s="107">
        <f t="shared" si="16"/>
        <v>1.272724940557846</v>
      </c>
      <c r="K108" s="108">
        <f t="shared" si="17"/>
        <v>0</v>
      </c>
      <c r="L108" s="109">
        <f t="shared" si="18"/>
        <v>4003.5792375563856</v>
      </c>
      <c r="Q108" s="110"/>
    </row>
    <row r="109" spans="2:17" x14ac:dyDescent="0.2">
      <c r="B109" s="102">
        <f t="shared" si="10"/>
        <v>87</v>
      </c>
      <c r="C109" s="111">
        <f t="shared" si="19"/>
        <v>43525</v>
      </c>
      <c r="D109" s="104">
        <f t="shared" si="11"/>
        <v>601934.76444622152</v>
      </c>
      <c r="E109" s="104"/>
      <c r="F109" s="104">
        <f t="shared" si="12"/>
        <v>1307.0976426582693</v>
      </c>
      <c r="G109" s="104">
        <f t="shared" si="13"/>
        <v>2136.4815948981163</v>
      </c>
      <c r="H109" s="105">
        <f t="shared" si="14"/>
        <v>0</v>
      </c>
      <c r="I109" s="106">
        <f t="shared" si="15"/>
        <v>560</v>
      </c>
      <c r="J109" s="107">
        <f t="shared" si="16"/>
        <v>1.2699828675555365</v>
      </c>
      <c r="K109" s="108">
        <f t="shared" si="17"/>
        <v>0</v>
      </c>
      <c r="L109" s="109">
        <f t="shared" si="18"/>
        <v>4003.5792375563856</v>
      </c>
      <c r="Q109" s="110"/>
    </row>
    <row r="110" spans="2:17" x14ac:dyDescent="0.2">
      <c r="B110" s="102">
        <f t="shared" si="10"/>
        <v>88</v>
      </c>
      <c r="C110" s="111">
        <f t="shared" si="19"/>
        <v>43556</v>
      </c>
      <c r="D110" s="104">
        <f t="shared" si="11"/>
        <v>600623.0374994122</v>
      </c>
      <c r="E110" s="104"/>
      <c r="F110" s="104">
        <f t="shared" si="12"/>
        <v>1311.7269468093509</v>
      </c>
      <c r="G110" s="104">
        <f t="shared" si="13"/>
        <v>2131.8522907470347</v>
      </c>
      <c r="H110" s="105">
        <f t="shared" si="14"/>
        <v>0</v>
      </c>
      <c r="I110" s="106">
        <f t="shared" si="15"/>
        <v>560</v>
      </c>
      <c r="J110" s="107">
        <f t="shared" si="16"/>
        <v>1.2672310830446769</v>
      </c>
      <c r="K110" s="108">
        <f t="shared" si="17"/>
        <v>0</v>
      </c>
      <c r="L110" s="109">
        <f t="shared" si="18"/>
        <v>4003.5792375563856</v>
      </c>
      <c r="Q110" s="110"/>
    </row>
    <row r="111" spans="2:17" x14ac:dyDescent="0.2">
      <c r="B111" s="102">
        <f t="shared" si="10"/>
        <v>89</v>
      </c>
      <c r="C111" s="111">
        <f t="shared" si="19"/>
        <v>43586</v>
      </c>
      <c r="D111" s="104">
        <f t="shared" si="11"/>
        <v>599306.66485299962</v>
      </c>
      <c r="E111" s="104"/>
      <c r="F111" s="104">
        <f t="shared" si="12"/>
        <v>1316.3726464126339</v>
      </c>
      <c r="G111" s="104">
        <f t="shared" si="13"/>
        <v>2127.2065911437517</v>
      </c>
      <c r="H111" s="105">
        <f t="shared" si="14"/>
        <v>0</v>
      </c>
      <c r="I111" s="106">
        <f t="shared" si="15"/>
        <v>560</v>
      </c>
      <c r="J111" s="107">
        <f t="shared" si="16"/>
        <v>1.2644695526303416</v>
      </c>
      <c r="K111" s="108">
        <f t="shared" si="17"/>
        <v>0</v>
      </c>
      <c r="L111" s="109">
        <f t="shared" si="18"/>
        <v>4003.5792375563856</v>
      </c>
      <c r="Q111" s="110"/>
    </row>
    <row r="112" spans="2:17" x14ac:dyDescent="0.2">
      <c r="B112" s="102">
        <f t="shared" si="10"/>
        <v>90</v>
      </c>
      <c r="C112" s="111">
        <f t="shared" si="19"/>
        <v>43617</v>
      </c>
      <c r="D112" s="104">
        <f t="shared" si="11"/>
        <v>597985.63005346432</v>
      </c>
      <c r="E112" s="104"/>
      <c r="F112" s="104">
        <f t="shared" si="12"/>
        <v>1321.034799535345</v>
      </c>
      <c r="G112" s="104">
        <f t="shared" si="13"/>
        <v>2122.5444380210406</v>
      </c>
      <c r="H112" s="105">
        <f t="shared" si="14"/>
        <v>0</v>
      </c>
      <c r="I112" s="106">
        <f t="shared" si="15"/>
        <v>560</v>
      </c>
      <c r="J112" s="107">
        <f t="shared" si="16"/>
        <v>1.2616982417957887</v>
      </c>
      <c r="K112" s="108">
        <f t="shared" si="17"/>
        <v>0</v>
      </c>
      <c r="L112" s="109">
        <f t="shared" si="18"/>
        <v>4003.5792375563856</v>
      </c>
      <c r="Q112" s="110"/>
    </row>
    <row r="113" spans="2:17" x14ac:dyDescent="0.2">
      <c r="B113" s="102">
        <f t="shared" si="10"/>
        <v>91</v>
      </c>
      <c r="C113" s="111">
        <f t="shared" si="19"/>
        <v>43647</v>
      </c>
      <c r="D113" s="104">
        <f t="shared" si="11"/>
        <v>596659.916589014</v>
      </c>
      <c r="E113" s="104"/>
      <c r="F113" s="104">
        <f t="shared" si="12"/>
        <v>1325.7134644503658</v>
      </c>
      <c r="G113" s="104">
        <f t="shared" si="13"/>
        <v>2117.8657731060198</v>
      </c>
      <c r="H113" s="105">
        <f t="shared" si="14"/>
        <v>0</v>
      </c>
      <c r="I113" s="106">
        <f t="shared" si="15"/>
        <v>560</v>
      </c>
      <c r="J113" s="107">
        <f t="shared" si="16"/>
        <v>1.2589171159020303</v>
      </c>
      <c r="K113" s="108">
        <f t="shared" si="17"/>
        <v>0</v>
      </c>
      <c r="L113" s="109">
        <f t="shared" si="18"/>
        <v>4003.5792375563856</v>
      </c>
      <c r="Q113" s="110"/>
    </row>
    <row r="114" spans="2:17" x14ac:dyDescent="0.2">
      <c r="B114" s="102">
        <f t="shared" si="10"/>
        <v>92</v>
      </c>
      <c r="C114" s="111">
        <f t="shared" si="19"/>
        <v>43678</v>
      </c>
      <c r="D114" s="104">
        <f t="shared" si="11"/>
        <v>595329.50788937707</v>
      </c>
      <c r="E114" s="104"/>
      <c r="F114" s="104">
        <f t="shared" si="12"/>
        <v>1330.4086996369606</v>
      </c>
      <c r="G114" s="104">
        <f t="shared" si="13"/>
        <v>2113.170537919425</v>
      </c>
      <c r="H114" s="105">
        <f t="shared" si="14"/>
        <v>0</v>
      </c>
      <c r="I114" s="106">
        <f t="shared" si="15"/>
        <v>560</v>
      </c>
      <c r="J114" s="107">
        <f t="shared" si="16"/>
        <v>1.256126140187398</v>
      </c>
      <c r="K114" s="108">
        <f t="shared" si="17"/>
        <v>0</v>
      </c>
      <c r="L114" s="109">
        <f t="shared" si="18"/>
        <v>4003.5792375563856</v>
      </c>
      <c r="Q114" s="110"/>
    </row>
    <row r="115" spans="2:17" x14ac:dyDescent="0.2">
      <c r="B115" s="102">
        <f t="shared" si="10"/>
        <v>93</v>
      </c>
      <c r="C115" s="111">
        <f t="shared" si="19"/>
        <v>43709</v>
      </c>
      <c r="D115" s="104">
        <f t="shared" si="11"/>
        <v>593994.3873255956</v>
      </c>
      <c r="E115" s="104"/>
      <c r="F115" s="104">
        <f t="shared" si="12"/>
        <v>1335.1205637815083</v>
      </c>
      <c r="G115" s="104">
        <f t="shared" si="13"/>
        <v>2108.4586737748773</v>
      </c>
      <c r="H115" s="105">
        <f t="shared" si="14"/>
        <v>0</v>
      </c>
      <c r="I115" s="106">
        <f t="shared" si="15"/>
        <v>560</v>
      </c>
      <c r="J115" s="107">
        <f t="shared" si="16"/>
        <v>1.2533252797671097</v>
      </c>
      <c r="K115" s="108">
        <f t="shared" si="17"/>
        <v>0</v>
      </c>
      <c r="L115" s="109">
        <f t="shared" si="18"/>
        <v>4003.5792375563856</v>
      </c>
      <c r="Q115" s="110"/>
    </row>
    <row r="116" spans="2:17" x14ac:dyDescent="0.2">
      <c r="B116" s="102">
        <f t="shared" si="10"/>
        <v>94</v>
      </c>
      <c r="C116" s="111">
        <f t="shared" si="19"/>
        <v>43739</v>
      </c>
      <c r="D116" s="104">
        <f t="shared" si="11"/>
        <v>592654.53820981737</v>
      </c>
      <c r="E116" s="104"/>
      <c r="F116" s="104">
        <f t="shared" si="12"/>
        <v>1339.8491157782346</v>
      </c>
      <c r="G116" s="104">
        <f t="shared" si="13"/>
        <v>2103.730121778151</v>
      </c>
      <c r="H116" s="105">
        <f t="shared" si="14"/>
        <v>0</v>
      </c>
      <c r="I116" s="106">
        <f t="shared" si="15"/>
        <v>560</v>
      </c>
      <c r="J116" s="107">
        <f t="shared" si="16"/>
        <v>1.2505144996328328</v>
      </c>
      <c r="K116" s="108">
        <f t="shared" si="17"/>
        <v>0</v>
      </c>
      <c r="L116" s="109">
        <f t="shared" si="18"/>
        <v>4003.5792375563856</v>
      </c>
      <c r="Q116" s="110"/>
    </row>
    <row r="117" spans="2:17" x14ac:dyDescent="0.2">
      <c r="B117" s="102">
        <f t="shared" si="10"/>
        <v>95</v>
      </c>
      <c r="C117" s="111">
        <f t="shared" si="19"/>
        <v>43770</v>
      </c>
      <c r="D117" s="104">
        <f t="shared" si="11"/>
        <v>591309.9437950874</v>
      </c>
      <c r="E117" s="104"/>
      <c r="F117" s="104">
        <f t="shared" si="12"/>
        <v>1344.5944147299488</v>
      </c>
      <c r="G117" s="104">
        <f t="shared" si="13"/>
        <v>2098.9848228264368</v>
      </c>
      <c r="H117" s="105">
        <f t="shared" si="14"/>
        <v>0</v>
      </c>
      <c r="I117" s="106">
        <f t="shared" si="15"/>
        <v>560</v>
      </c>
      <c r="J117" s="107">
        <f t="shared" si="16"/>
        <v>1.247693764652247</v>
      </c>
      <c r="K117" s="108">
        <f t="shared" si="17"/>
        <v>0</v>
      </c>
      <c r="L117" s="109">
        <f t="shared" si="18"/>
        <v>4003.5792375563856</v>
      </c>
      <c r="Q117" s="110"/>
    </row>
    <row r="118" spans="2:17" x14ac:dyDescent="0.2">
      <c r="B118" s="102">
        <f t="shared" si="10"/>
        <v>96</v>
      </c>
      <c r="C118" s="111">
        <f t="shared" si="19"/>
        <v>43800</v>
      </c>
      <c r="D118" s="104">
        <f t="shared" si="11"/>
        <v>589960.58727513859</v>
      </c>
      <c r="E118" s="104"/>
      <c r="F118" s="104">
        <f t="shared" si="12"/>
        <v>1349.3565199487844</v>
      </c>
      <c r="G118" s="104">
        <f t="shared" si="13"/>
        <v>2094.2227176076012</v>
      </c>
      <c r="H118" s="105">
        <f t="shared" si="14"/>
        <v>0</v>
      </c>
      <c r="I118" s="106">
        <f t="shared" si="15"/>
        <v>560</v>
      </c>
      <c r="J118" s="107">
        <f t="shared" si="16"/>
        <v>1.2448630395686051</v>
      </c>
      <c r="K118" s="108">
        <f t="shared" si="17"/>
        <v>0</v>
      </c>
      <c r="L118" s="109">
        <f t="shared" si="18"/>
        <v>4003.5792375563856</v>
      </c>
      <c r="Q118" s="110"/>
    </row>
    <row r="119" spans="2:17" x14ac:dyDescent="0.2">
      <c r="B119" s="102">
        <f t="shared" si="10"/>
        <v>97</v>
      </c>
      <c r="C119" s="111">
        <f t="shared" si="19"/>
        <v>43831</v>
      </c>
      <c r="D119" s="104">
        <f t="shared" si="11"/>
        <v>588606.45178418164</v>
      </c>
      <c r="E119" s="104"/>
      <c r="F119" s="104">
        <f t="shared" si="12"/>
        <v>1354.1354909569363</v>
      </c>
      <c r="G119" s="104">
        <f t="shared" si="13"/>
        <v>2089.4437465994492</v>
      </c>
      <c r="H119" s="105">
        <f t="shared" si="14"/>
        <v>0</v>
      </c>
      <c r="I119" s="106">
        <f t="shared" si="15"/>
        <v>560</v>
      </c>
      <c r="J119" s="107">
        <f t="shared" si="16"/>
        <v>1.2420222890002919</v>
      </c>
      <c r="K119" s="108">
        <f t="shared" si="17"/>
        <v>0</v>
      </c>
      <c r="L119" s="109">
        <f t="shared" si="18"/>
        <v>4003.5792375563856</v>
      </c>
      <c r="Q119" s="110"/>
    </row>
    <row r="120" spans="2:17" x14ac:dyDescent="0.2">
      <c r="B120" s="102">
        <f t="shared" si="10"/>
        <v>98</v>
      </c>
      <c r="C120" s="111">
        <f t="shared" si="19"/>
        <v>43862</v>
      </c>
      <c r="D120" s="104">
        <f t="shared" si="11"/>
        <v>587247.52039669419</v>
      </c>
      <c r="E120" s="104"/>
      <c r="F120" s="104">
        <f t="shared" si="12"/>
        <v>1358.9313874874088</v>
      </c>
      <c r="G120" s="104">
        <f t="shared" si="13"/>
        <v>2084.6478500689768</v>
      </c>
      <c r="H120" s="105">
        <f t="shared" si="14"/>
        <v>0</v>
      </c>
      <c r="I120" s="106">
        <f t="shared" si="15"/>
        <v>560</v>
      </c>
      <c r="J120" s="107">
        <f t="shared" si="16"/>
        <v>1.2391714774403824</v>
      </c>
      <c r="K120" s="108">
        <f t="shared" si="17"/>
        <v>0</v>
      </c>
      <c r="L120" s="109">
        <f t="shared" si="18"/>
        <v>4003.5792375563856</v>
      </c>
      <c r="Q120" s="110"/>
    </row>
    <row r="121" spans="2:17" x14ac:dyDescent="0.2">
      <c r="B121" s="102">
        <f t="shared" si="10"/>
        <v>99</v>
      </c>
      <c r="C121" s="111">
        <f t="shared" si="19"/>
        <v>43891</v>
      </c>
      <c r="D121" s="104">
        <f t="shared" si="11"/>
        <v>585883.77612720942</v>
      </c>
      <c r="E121" s="104"/>
      <c r="F121" s="104">
        <f t="shared" si="12"/>
        <v>1363.74426948476</v>
      </c>
      <c r="G121" s="104">
        <f t="shared" si="13"/>
        <v>2079.8349680716256</v>
      </c>
      <c r="H121" s="105">
        <f t="shared" si="14"/>
        <v>0</v>
      </c>
      <c r="I121" s="106">
        <f t="shared" si="15"/>
        <v>560</v>
      </c>
      <c r="J121" s="107">
        <f t="shared" si="16"/>
        <v>1.2363105692561982</v>
      </c>
      <c r="K121" s="108">
        <f t="shared" si="17"/>
        <v>0</v>
      </c>
      <c r="L121" s="109">
        <f t="shared" si="18"/>
        <v>4003.5792375563856</v>
      </c>
      <c r="Q121" s="110"/>
    </row>
    <row r="122" spans="2:17" x14ac:dyDescent="0.2">
      <c r="B122" s="102">
        <f t="shared" si="10"/>
        <v>100</v>
      </c>
      <c r="C122" s="111">
        <f t="shared" si="19"/>
        <v>43922</v>
      </c>
      <c r="D122" s="104">
        <f t="shared" si="11"/>
        <v>584515.20193010359</v>
      </c>
      <c r="E122" s="104"/>
      <c r="F122" s="104">
        <f t="shared" si="12"/>
        <v>1368.5741971058524</v>
      </c>
      <c r="G122" s="104">
        <f t="shared" si="13"/>
        <v>2075.0050404505332</v>
      </c>
      <c r="H122" s="105">
        <f t="shared" si="14"/>
        <v>0</v>
      </c>
      <c r="I122" s="106">
        <f t="shared" si="15"/>
        <v>560</v>
      </c>
      <c r="J122" s="107">
        <f t="shared" si="16"/>
        <v>1.233439528688862</v>
      </c>
      <c r="K122" s="108">
        <f t="shared" si="17"/>
        <v>0</v>
      </c>
      <c r="L122" s="109">
        <f t="shared" si="18"/>
        <v>4003.5792375563856</v>
      </c>
      <c r="Q122" s="110"/>
    </row>
    <row r="123" spans="2:17" x14ac:dyDescent="0.2">
      <c r="B123" s="102">
        <f t="shared" si="10"/>
        <v>101</v>
      </c>
      <c r="C123" s="111">
        <f t="shared" si="19"/>
        <v>43952</v>
      </c>
      <c r="D123" s="104">
        <f t="shared" si="11"/>
        <v>583141.780699383</v>
      </c>
      <c r="E123" s="104"/>
      <c r="F123" s="104">
        <f t="shared" si="12"/>
        <v>1373.4212307206017</v>
      </c>
      <c r="G123" s="104">
        <f t="shared" si="13"/>
        <v>2070.1580068357839</v>
      </c>
      <c r="H123" s="105">
        <f t="shared" si="14"/>
        <v>0</v>
      </c>
      <c r="I123" s="106">
        <f t="shared" si="15"/>
        <v>560</v>
      </c>
      <c r="J123" s="107">
        <f t="shared" si="16"/>
        <v>1.2305583198528496</v>
      </c>
      <c r="K123" s="108">
        <f t="shared" si="17"/>
        <v>0</v>
      </c>
      <c r="L123" s="109">
        <f t="shared" si="18"/>
        <v>4003.5792375563856</v>
      </c>
      <c r="Q123" s="110"/>
    </row>
    <row r="124" spans="2:17" x14ac:dyDescent="0.2">
      <c r="B124" s="102">
        <f t="shared" si="10"/>
        <v>102</v>
      </c>
      <c r="C124" s="111">
        <f t="shared" si="19"/>
        <v>43983</v>
      </c>
      <c r="D124" s="104">
        <f t="shared" si="11"/>
        <v>581763.49526847026</v>
      </c>
      <c r="E124" s="104"/>
      <c r="F124" s="104">
        <f t="shared" si="12"/>
        <v>1378.2854309127374</v>
      </c>
      <c r="G124" s="104">
        <f t="shared" si="13"/>
        <v>2065.2938066436482</v>
      </c>
      <c r="H124" s="105">
        <f t="shared" si="14"/>
        <v>0</v>
      </c>
      <c r="I124" s="106">
        <f t="shared" si="15"/>
        <v>560</v>
      </c>
      <c r="J124" s="107">
        <f t="shared" si="16"/>
        <v>1.2276669067355432</v>
      </c>
      <c r="K124" s="108">
        <f t="shared" si="17"/>
        <v>0</v>
      </c>
      <c r="L124" s="109">
        <f t="shared" si="18"/>
        <v>4003.5792375563856</v>
      </c>
      <c r="Q124" s="110"/>
    </row>
    <row r="125" spans="2:17" x14ac:dyDescent="0.2">
      <c r="B125" s="102">
        <f t="shared" si="10"/>
        <v>103</v>
      </c>
      <c r="C125" s="111">
        <f t="shared" si="19"/>
        <v>44013</v>
      </c>
      <c r="D125" s="104">
        <f t="shared" si="11"/>
        <v>580380.32840998971</v>
      </c>
      <c r="E125" s="104"/>
      <c r="F125" s="104">
        <f t="shared" si="12"/>
        <v>1383.1668584805534</v>
      </c>
      <c r="G125" s="104">
        <f t="shared" si="13"/>
        <v>2060.4123790758322</v>
      </c>
      <c r="H125" s="105">
        <f t="shared" si="14"/>
        <v>0</v>
      </c>
      <c r="I125" s="106">
        <f t="shared" si="15"/>
        <v>560</v>
      </c>
      <c r="J125" s="107">
        <f t="shared" si="16"/>
        <v>1.2247652531967794</v>
      </c>
      <c r="K125" s="108">
        <f t="shared" si="17"/>
        <v>0</v>
      </c>
      <c r="L125" s="109">
        <f t="shared" si="18"/>
        <v>4003.5792375563856</v>
      </c>
      <c r="Q125" s="110"/>
    </row>
    <row r="126" spans="2:17" x14ac:dyDescent="0.2">
      <c r="B126" s="102">
        <f t="shared" si="10"/>
        <v>104</v>
      </c>
      <c r="C126" s="111">
        <f t="shared" si="19"/>
        <v>44044</v>
      </c>
      <c r="D126" s="104">
        <f t="shared" si="11"/>
        <v>578992.26283555198</v>
      </c>
      <c r="E126" s="104"/>
      <c r="F126" s="104">
        <f t="shared" si="12"/>
        <v>1388.0655744376718</v>
      </c>
      <c r="G126" s="104">
        <f t="shared" si="13"/>
        <v>2055.5136631187138</v>
      </c>
      <c r="H126" s="105">
        <f t="shared" si="14"/>
        <v>0</v>
      </c>
      <c r="I126" s="106">
        <f t="shared" si="15"/>
        <v>560</v>
      </c>
      <c r="J126" s="107">
        <f t="shared" si="16"/>
        <v>1.2218533229683994</v>
      </c>
      <c r="K126" s="108">
        <f t="shared" si="17"/>
        <v>0</v>
      </c>
      <c r="L126" s="109">
        <f t="shared" si="18"/>
        <v>4003.5792375563856</v>
      </c>
      <c r="Q126" s="110"/>
    </row>
    <row r="127" spans="2:17" x14ac:dyDescent="0.2">
      <c r="B127" s="102">
        <f t="shared" si="10"/>
        <v>105</v>
      </c>
      <c r="C127" s="111">
        <f t="shared" si="19"/>
        <v>44075</v>
      </c>
      <c r="D127" s="104">
        <f t="shared" si="11"/>
        <v>577599.28119553823</v>
      </c>
      <c r="E127" s="104"/>
      <c r="F127" s="104">
        <f t="shared" si="12"/>
        <v>1392.9816400138052</v>
      </c>
      <c r="G127" s="104">
        <f t="shared" si="13"/>
        <v>2050.5975975425804</v>
      </c>
      <c r="H127" s="105">
        <f t="shared" si="14"/>
        <v>0</v>
      </c>
      <c r="I127" s="106">
        <f t="shared" si="15"/>
        <v>560</v>
      </c>
      <c r="J127" s="107">
        <f t="shared" si="16"/>
        <v>1.2189310796537935</v>
      </c>
      <c r="K127" s="108">
        <f t="shared" si="17"/>
        <v>0</v>
      </c>
      <c r="L127" s="109">
        <f t="shared" si="18"/>
        <v>4003.5792375563856</v>
      </c>
      <c r="Q127" s="110"/>
    </row>
    <row r="128" spans="2:17" x14ac:dyDescent="0.2">
      <c r="B128" s="102">
        <f t="shared" si="10"/>
        <v>106</v>
      </c>
      <c r="C128" s="111">
        <f t="shared" si="19"/>
        <v>44105</v>
      </c>
      <c r="D128" s="104">
        <f t="shared" si="11"/>
        <v>576201.36607888271</v>
      </c>
      <c r="E128" s="104"/>
      <c r="F128" s="104">
        <f t="shared" si="12"/>
        <v>1397.9151166555207</v>
      </c>
      <c r="G128" s="104">
        <f t="shared" si="13"/>
        <v>2045.6641209008649</v>
      </c>
      <c r="H128" s="105">
        <f t="shared" si="14"/>
        <v>0</v>
      </c>
      <c r="I128" s="106">
        <f t="shared" si="15"/>
        <v>560</v>
      </c>
      <c r="J128" s="107">
        <f t="shared" si="16"/>
        <v>1.2159984867274489</v>
      </c>
      <c r="K128" s="108">
        <f t="shared" si="17"/>
        <v>0</v>
      </c>
      <c r="L128" s="109">
        <f t="shared" si="18"/>
        <v>4003.5792375563856</v>
      </c>
      <c r="Q128" s="110"/>
    </row>
    <row r="129" spans="2:17" x14ac:dyDescent="0.2">
      <c r="B129" s="102">
        <f t="shared" si="10"/>
        <v>107</v>
      </c>
      <c r="C129" s="111">
        <f t="shared" si="19"/>
        <v>44136</v>
      </c>
      <c r="D129" s="104">
        <f t="shared" si="11"/>
        <v>574798.50001285574</v>
      </c>
      <c r="E129" s="104"/>
      <c r="F129" s="104">
        <f t="shared" si="12"/>
        <v>1402.8660660270093</v>
      </c>
      <c r="G129" s="104">
        <f t="shared" si="13"/>
        <v>2040.7131715293763</v>
      </c>
      <c r="H129" s="105">
        <f t="shared" si="14"/>
        <v>0</v>
      </c>
      <c r="I129" s="106">
        <f t="shared" si="15"/>
        <v>560</v>
      </c>
      <c r="J129" s="107">
        <f t="shared" si="16"/>
        <v>1.21305550753449</v>
      </c>
      <c r="K129" s="108">
        <f t="shared" si="17"/>
        <v>0</v>
      </c>
      <c r="L129" s="109">
        <f t="shared" si="18"/>
        <v>4003.5792375563856</v>
      </c>
      <c r="Q129" s="110"/>
    </row>
    <row r="130" spans="2:17" x14ac:dyDescent="0.2">
      <c r="B130" s="102">
        <f t="shared" si="10"/>
        <v>108</v>
      </c>
      <c r="C130" s="111">
        <f t="shared" si="19"/>
        <v>44166</v>
      </c>
      <c r="D130" s="104">
        <f t="shared" si="11"/>
        <v>573390.66546284489</v>
      </c>
      <c r="E130" s="104"/>
      <c r="F130" s="104">
        <f t="shared" si="12"/>
        <v>1407.8345500108546</v>
      </c>
      <c r="G130" s="104">
        <f t="shared" si="13"/>
        <v>2035.744687545531</v>
      </c>
      <c r="H130" s="105">
        <f t="shared" si="14"/>
        <v>0</v>
      </c>
      <c r="I130" s="106">
        <f t="shared" si="15"/>
        <v>560</v>
      </c>
      <c r="J130" s="107">
        <f t="shared" si="16"/>
        <v>1.2101021052902226</v>
      </c>
      <c r="K130" s="108">
        <f t="shared" si="17"/>
        <v>0</v>
      </c>
      <c r="L130" s="109">
        <f t="shared" si="18"/>
        <v>4003.5792375563856</v>
      </c>
      <c r="Q130" s="110"/>
    </row>
    <row r="131" spans="2:17" x14ac:dyDescent="0.2">
      <c r="B131" s="102">
        <f t="shared" si="10"/>
        <v>109</v>
      </c>
      <c r="C131" s="111">
        <f t="shared" si="19"/>
        <v>44197</v>
      </c>
      <c r="D131" s="104">
        <f t="shared" si="11"/>
        <v>571977.84483213606</v>
      </c>
      <c r="E131" s="104"/>
      <c r="F131" s="104">
        <f t="shared" si="12"/>
        <v>1412.8206307088099</v>
      </c>
      <c r="G131" s="104">
        <f t="shared" si="13"/>
        <v>2030.7586068475757</v>
      </c>
      <c r="H131" s="105">
        <f t="shared" si="14"/>
        <v>0</v>
      </c>
      <c r="I131" s="106">
        <f t="shared" si="15"/>
        <v>560</v>
      </c>
      <c r="J131" s="107">
        <f t="shared" si="16"/>
        <v>1.2071382430796735</v>
      </c>
      <c r="K131" s="108">
        <f t="shared" si="17"/>
        <v>0</v>
      </c>
      <c r="L131" s="109">
        <f t="shared" si="18"/>
        <v>4003.5792375563856</v>
      </c>
      <c r="Q131" s="110"/>
    </row>
    <row r="132" spans="2:17" x14ac:dyDescent="0.2">
      <c r="B132" s="102">
        <f t="shared" si="10"/>
        <v>110</v>
      </c>
      <c r="C132" s="111">
        <f t="shared" si="19"/>
        <v>44228</v>
      </c>
      <c r="D132" s="104">
        <f t="shared" si="11"/>
        <v>570560.02046169352</v>
      </c>
      <c r="E132" s="104"/>
      <c r="F132" s="104">
        <f t="shared" si="12"/>
        <v>1417.8243704425702</v>
      </c>
      <c r="G132" s="104">
        <f t="shared" si="13"/>
        <v>2025.7548671138154</v>
      </c>
      <c r="H132" s="105">
        <f t="shared" si="14"/>
        <v>0</v>
      </c>
      <c r="I132" s="106">
        <f t="shared" si="15"/>
        <v>560</v>
      </c>
      <c r="J132" s="107">
        <f t="shared" si="16"/>
        <v>1.2041638838571285</v>
      </c>
      <c r="K132" s="108">
        <f t="shared" si="17"/>
        <v>0</v>
      </c>
      <c r="L132" s="109">
        <f t="shared" si="18"/>
        <v>4003.5792375563856</v>
      </c>
      <c r="Q132" s="110"/>
    </row>
    <row r="133" spans="2:17" x14ac:dyDescent="0.2">
      <c r="B133" s="102">
        <f t="shared" si="10"/>
        <v>111</v>
      </c>
      <c r="C133" s="111">
        <f t="shared" si="19"/>
        <v>44256</v>
      </c>
      <c r="D133" s="104">
        <f t="shared" si="11"/>
        <v>569137.17462993902</v>
      </c>
      <c r="E133" s="104"/>
      <c r="F133" s="104">
        <f t="shared" si="12"/>
        <v>1422.8458317545542</v>
      </c>
      <c r="G133" s="104">
        <f t="shared" si="13"/>
        <v>2020.7334058018314</v>
      </c>
      <c r="H133" s="105">
        <f t="shared" si="14"/>
        <v>0</v>
      </c>
      <c r="I133" s="106">
        <f t="shared" si="15"/>
        <v>560</v>
      </c>
      <c r="J133" s="107">
        <f t="shared" si="16"/>
        <v>1.2011789904456707</v>
      </c>
      <c r="K133" s="108">
        <f t="shared" si="17"/>
        <v>0</v>
      </c>
      <c r="L133" s="109">
        <f t="shared" si="18"/>
        <v>4003.5792375563856</v>
      </c>
      <c r="Q133" s="110"/>
    </row>
    <row r="134" spans="2:17" x14ac:dyDescent="0.2">
      <c r="B134" s="102">
        <f t="shared" si="10"/>
        <v>112</v>
      </c>
      <c r="C134" s="111">
        <f t="shared" si="19"/>
        <v>44287</v>
      </c>
      <c r="D134" s="104">
        <f t="shared" si="11"/>
        <v>567709.28955253039</v>
      </c>
      <c r="E134" s="104"/>
      <c r="F134" s="104">
        <f t="shared" si="12"/>
        <v>1427.8850774086848</v>
      </c>
      <c r="G134" s="104">
        <f t="shared" si="13"/>
        <v>2015.6941601477008</v>
      </c>
      <c r="H134" s="105">
        <f t="shared" si="14"/>
        <v>0</v>
      </c>
      <c r="I134" s="106">
        <f t="shared" si="15"/>
        <v>560</v>
      </c>
      <c r="J134" s="107">
        <f t="shared" si="16"/>
        <v>1.1981835255367137</v>
      </c>
      <c r="K134" s="108">
        <f t="shared" si="17"/>
        <v>0</v>
      </c>
      <c r="L134" s="109">
        <f t="shared" si="18"/>
        <v>4003.5792375563856</v>
      </c>
      <c r="Q134" s="110"/>
    </row>
    <row r="135" spans="2:17" x14ac:dyDescent="0.2">
      <c r="B135" s="102">
        <f t="shared" si="10"/>
        <v>113</v>
      </c>
      <c r="C135" s="111">
        <f t="shared" si="19"/>
        <v>44317</v>
      </c>
      <c r="D135" s="104">
        <f t="shared" si="11"/>
        <v>566276.34738213918</v>
      </c>
      <c r="E135" s="104"/>
      <c r="F135" s="104">
        <f t="shared" si="12"/>
        <v>1432.9421703911737</v>
      </c>
      <c r="G135" s="104">
        <f t="shared" si="13"/>
        <v>2010.6370671652119</v>
      </c>
      <c r="H135" s="105">
        <f t="shared" si="14"/>
        <v>0</v>
      </c>
      <c r="I135" s="106">
        <f t="shared" si="15"/>
        <v>560</v>
      </c>
      <c r="J135" s="107">
        <f t="shared" si="16"/>
        <v>1.1951774516895377</v>
      </c>
      <c r="K135" s="108">
        <f t="shared" si="17"/>
        <v>0</v>
      </c>
      <c r="L135" s="109">
        <f t="shared" si="18"/>
        <v>4003.5792375563856</v>
      </c>
      <c r="Q135" s="110"/>
    </row>
    <row r="136" spans="2:17" x14ac:dyDescent="0.2">
      <c r="B136" s="102">
        <f t="shared" si="10"/>
        <v>114</v>
      </c>
      <c r="C136" s="111">
        <f t="shared" si="19"/>
        <v>44348</v>
      </c>
      <c r="D136" s="104">
        <f t="shared" si="11"/>
        <v>564838.33020822785</v>
      </c>
      <c r="E136" s="104"/>
      <c r="F136" s="104">
        <f t="shared" si="12"/>
        <v>1438.0171739113091</v>
      </c>
      <c r="G136" s="104">
        <f t="shared" si="13"/>
        <v>2005.5620636450765</v>
      </c>
      <c r="H136" s="105">
        <f t="shared" si="14"/>
        <v>0</v>
      </c>
      <c r="I136" s="106">
        <f t="shared" si="15"/>
        <v>560</v>
      </c>
      <c r="J136" s="107">
        <f t="shared" si="16"/>
        <v>1.1921607313308193</v>
      </c>
      <c r="K136" s="108">
        <f t="shared" si="17"/>
        <v>0</v>
      </c>
      <c r="L136" s="109">
        <f t="shared" si="18"/>
        <v>4003.5792375563856</v>
      </c>
      <c r="Q136" s="110"/>
    </row>
    <row r="137" spans="2:17" x14ac:dyDescent="0.2">
      <c r="B137" s="102">
        <f t="shared" si="10"/>
        <v>115</v>
      </c>
      <c r="C137" s="111">
        <f t="shared" si="19"/>
        <v>44378</v>
      </c>
      <c r="D137" s="104">
        <f t="shared" si="11"/>
        <v>563395.22005682555</v>
      </c>
      <c r="E137" s="104"/>
      <c r="F137" s="104">
        <f t="shared" si="12"/>
        <v>1443.1101514022453</v>
      </c>
      <c r="G137" s="104">
        <f t="shared" si="13"/>
        <v>2000.4690861541403</v>
      </c>
      <c r="H137" s="105">
        <f t="shared" si="14"/>
        <v>0</v>
      </c>
      <c r="I137" s="106">
        <f t="shared" si="15"/>
        <v>560</v>
      </c>
      <c r="J137" s="107">
        <f t="shared" si="16"/>
        <v>1.1891333267541639</v>
      </c>
      <c r="K137" s="108">
        <f t="shared" si="17"/>
        <v>0</v>
      </c>
      <c r="L137" s="109">
        <f t="shared" si="18"/>
        <v>4003.5792375563856</v>
      </c>
      <c r="Q137" s="110"/>
    </row>
    <row r="138" spans="2:17" x14ac:dyDescent="0.2">
      <c r="B138" s="102">
        <f t="shared" si="10"/>
        <v>116</v>
      </c>
      <c r="C138" s="111">
        <f t="shared" si="19"/>
        <v>44409</v>
      </c>
      <c r="D138" s="104">
        <f t="shared" si="11"/>
        <v>561946.99889030377</v>
      </c>
      <c r="E138" s="104"/>
      <c r="F138" s="104">
        <f t="shared" si="12"/>
        <v>1448.2211665217949</v>
      </c>
      <c r="G138" s="104">
        <f t="shared" si="13"/>
        <v>1995.3580710345907</v>
      </c>
      <c r="H138" s="105">
        <f t="shared" si="14"/>
        <v>0</v>
      </c>
      <c r="I138" s="106">
        <f t="shared" si="15"/>
        <v>560</v>
      </c>
      <c r="J138" s="107">
        <f t="shared" si="16"/>
        <v>1.1860952001196328</v>
      </c>
      <c r="K138" s="108">
        <f t="shared" si="17"/>
        <v>0</v>
      </c>
      <c r="L138" s="109">
        <f t="shared" si="18"/>
        <v>4003.5792375563856</v>
      </c>
      <c r="Q138" s="110"/>
    </row>
    <row r="139" spans="2:17" x14ac:dyDescent="0.2">
      <c r="B139" s="102">
        <f t="shared" si="10"/>
        <v>117</v>
      </c>
      <c r="C139" s="111">
        <f t="shared" si="19"/>
        <v>44440</v>
      </c>
      <c r="D139" s="104">
        <f t="shared" si="11"/>
        <v>560493.64860715054</v>
      </c>
      <c r="E139" s="104"/>
      <c r="F139" s="104">
        <f t="shared" si="12"/>
        <v>1453.3502831532262</v>
      </c>
      <c r="G139" s="104">
        <f t="shared" si="13"/>
        <v>1990.2289544031594</v>
      </c>
      <c r="H139" s="105">
        <f t="shared" si="14"/>
        <v>0</v>
      </c>
      <c r="I139" s="106">
        <f t="shared" si="15"/>
        <v>560</v>
      </c>
      <c r="J139" s="107">
        <f t="shared" si="16"/>
        <v>1.1830463134532712</v>
      </c>
      <c r="K139" s="108">
        <f t="shared" si="17"/>
        <v>0</v>
      </c>
      <c r="L139" s="109">
        <f t="shared" si="18"/>
        <v>4003.5792375563856</v>
      </c>
      <c r="Q139" s="110"/>
    </row>
    <row r="140" spans="2:17" x14ac:dyDescent="0.2">
      <c r="B140" s="102">
        <f t="shared" si="10"/>
        <v>118</v>
      </c>
      <c r="C140" s="111">
        <f t="shared" si="19"/>
        <v>44470</v>
      </c>
      <c r="D140" s="104">
        <f t="shared" si="11"/>
        <v>559035.15104174451</v>
      </c>
      <c r="E140" s="104"/>
      <c r="F140" s="104">
        <f t="shared" si="12"/>
        <v>1458.4975654060606</v>
      </c>
      <c r="G140" s="104">
        <f t="shared" si="13"/>
        <v>1985.0816721503249</v>
      </c>
      <c r="H140" s="105">
        <f t="shared" si="14"/>
        <v>0</v>
      </c>
      <c r="I140" s="106">
        <f t="shared" si="15"/>
        <v>560</v>
      </c>
      <c r="J140" s="107">
        <f t="shared" si="16"/>
        <v>1.1799866286466327</v>
      </c>
      <c r="K140" s="108">
        <f t="shared" si="17"/>
        <v>0</v>
      </c>
      <c r="L140" s="109">
        <f t="shared" si="18"/>
        <v>4003.5792375563856</v>
      </c>
      <c r="Q140" s="110"/>
    </row>
    <row r="141" spans="2:17" x14ac:dyDescent="0.2">
      <c r="B141" s="102">
        <f t="shared" si="10"/>
        <v>119</v>
      </c>
      <c r="C141" s="111">
        <f t="shared" si="19"/>
        <v>44501</v>
      </c>
      <c r="D141" s="104">
        <f t="shared" si="11"/>
        <v>557571.48796412768</v>
      </c>
      <c r="E141" s="104"/>
      <c r="F141" s="104">
        <f t="shared" si="12"/>
        <v>1463.6630776168736</v>
      </c>
      <c r="G141" s="104">
        <f t="shared" si="13"/>
        <v>1979.916159939512</v>
      </c>
      <c r="H141" s="105">
        <f t="shared" si="14"/>
        <v>0</v>
      </c>
      <c r="I141" s="106">
        <f t="shared" si="15"/>
        <v>560</v>
      </c>
      <c r="J141" s="107">
        <f t="shared" si="16"/>
        <v>1.1769161074563042</v>
      </c>
      <c r="K141" s="108">
        <f t="shared" si="17"/>
        <v>0</v>
      </c>
      <c r="L141" s="109">
        <f t="shared" si="18"/>
        <v>4003.5792375563856</v>
      </c>
      <c r="Q141" s="110"/>
    </row>
    <row r="142" spans="2:17" x14ac:dyDescent="0.2">
      <c r="B142" s="102">
        <f t="shared" si="10"/>
        <v>120</v>
      </c>
      <c r="C142" s="111">
        <f t="shared" si="19"/>
        <v>44531</v>
      </c>
      <c r="D142" s="104">
        <f t="shared" si="11"/>
        <v>556102.64107977762</v>
      </c>
      <c r="E142" s="104"/>
      <c r="F142" s="104">
        <f t="shared" si="12"/>
        <v>1468.8468843501</v>
      </c>
      <c r="G142" s="104">
        <f t="shared" si="13"/>
        <v>1974.7323532062856</v>
      </c>
      <c r="H142" s="105">
        <f t="shared" si="14"/>
        <v>0</v>
      </c>
      <c r="I142" s="106">
        <f t="shared" si="15"/>
        <v>560</v>
      </c>
      <c r="J142" s="107">
        <f t="shared" si="16"/>
        <v>1.1738347115034267</v>
      </c>
      <c r="K142" s="108">
        <f t="shared" si="17"/>
        <v>0</v>
      </c>
      <c r="L142" s="109">
        <f t="shared" si="18"/>
        <v>4003.5792375563856</v>
      </c>
      <c r="Q142" s="110"/>
    </row>
    <row r="143" spans="2:17" x14ac:dyDescent="0.2">
      <c r="B143" s="102">
        <f t="shared" si="10"/>
        <v>121</v>
      </c>
      <c r="C143" s="111">
        <f t="shared" si="19"/>
        <v>44562</v>
      </c>
      <c r="D143" s="104">
        <f t="shared" si="11"/>
        <v>554628.59202937875</v>
      </c>
      <c r="E143" s="104"/>
      <c r="F143" s="104">
        <f t="shared" si="12"/>
        <v>1474.0490503988397</v>
      </c>
      <c r="G143" s="104">
        <f t="shared" si="13"/>
        <v>1969.5301871575459</v>
      </c>
      <c r="H143" s="105">
        <f t="shared" si="14"/>
        <v>0</v>
      </c>
      <c r="I143" s="106">
        <f t="shared" si="15"/>
        <v>560</v>
      </c>
      <c r="J143" s="107">
        <f t="shared" si="16"/>
        <v>1.170742402273216</v>
      </c>
      <c r="K143" s="108">
        <f t="shared" si="17"/>
        <v>0</v>
      </c>
      <c r="L143" s="109">
        <f t="shared" si="18"/>
        <v>4003.5792375563856</v>
      </c>
      <c r="Q143" s="110"/>
    </row>
    <row r="144" spans="2:17" x14ac:dyDescent="0.2">
      <c r="B144" s="102">
        <f t="shared" si="10"/>
        <v>122</v>
      </c>
      <c r="C144" s="111">
        <f t="shared" si="19"/>
        <v>44593</v>
      </c>
      <c r="D144" s="104">
        <f t="shared" si="11"/>
        <v>553149.32238859311</v>
      </c>
      <c r="E144" s="104"/>
      <c r="F144" s="104">
        <f t="shared" si="12"/>
        <v>1479.269640785669</v>
      </c>
      <c r="G144" s="104">
        <f t="shared" si="13"/>
        <v>1964.3095967707166</v>
      </c>
      <c r="H144" s="105">
        <f t="shared" si="14"/>
        <v>0</v>
      </c>
      <c r="I144" s="106">
        <f t="shared" si="15"/>
        <v>560</v>
      </c>
      <c r="J144" s="107">
        <f t="shared" si="16"/>
        <v>1.1676391411144815</v>
      </c>
      <c r="K144" s="108">
        <f t="shared" si="17"/>
        <v>0</v>
      </c>
      <c r="L144" s="109">
        <f t="shared" si="18"/>
        <v>4003.5792375563856</v>
      </c>
      <c r="Q144" s="110"/>
    </row>
    <row r="145" spans="2:17" x14ac:dyDescent="0.2">
      <c r="B145" s="102">
        <f t="shared" si="10"/>
        <v>123</v>
      </c>
      <c r="C145" s="111">
        <f t="shared" si="19"/>
        <v>44621</v>
      </c>
      <c r="D145" s="104">
        <f t="shared" si="11"/>
        <v>551664.81366782961</v>
      </c>
      <c r="E145" s="104"/>
      <c r="F145" s="104">
        <f t="shared" si="12"/>
        <v>1484.5087207634517</v>
      </c>
      <c r="G145" s="104">
        <f t="shared" si="13"/>
        <v>1959.0705167929339</v>
      </c>
      <c r="H145" s="105">
        <f t="shared" si="14"/>
        <v>0</v>
      </c>
      <c r="I145" s="106">
        <f t="shared" si="15"/>
        <v>560</v>
      </c>
      <c r="J145" s="107">
        <f t="shared" si="16"/>
        <v>1.1645248892391433</v>
      </c>
      <c r="K145" s="108">
        <f t="shared" si="17"/>
        <v>0</v>
      </c>
      <c r="L145" s="109">
        <f t="shared" si="18"/>
        <v>4003.5792375563856</v>
      </c>
      <c r="Q145" s="110"/>
    </row>
    <row r="146" spans="2:17" x14ac:dyDescent="0.2">
      <c r="B146" s="102">
        <f t="shared" si="10"/>
        <v>124</v>
      </c>
      <c r="C146" s="111">
        <f t="shared" si="19"/>
        <v>44652</v>
      </c>
      <c r="D146" s="104">
        <f t="shared" si="11"/>
        <v>550175.04731201346</v>
      </c>
      <c r="E146" s="104"/>
      <c r="F146" s="104">
        <f t="shared" si="12"/>
        <v>1489.7663558161555</v>
      </c>
      <c r="G146" s="104">
        <f t="shared" si="13"/>
        <v>1953.8128817402301</v>
      </c>
      <c r="H146" s="105">
        <f t="shared" si="14"/>
        <v>0</v>
      </c>
      <c r="I146" s="106">
        <f t="shared" si="15"/>
        <v>560</v>
      </c>
      <c r="J146" s="107">
        <f t="shared" si="16"/>
        <v>1.1613996077217466</v>
      </c>
      <c r="K146" s="108">
        <f t="shared" si="17"/>
        <v>0</v>
      </c>
      <c r="L146" s="109">
        <f t="shared" si="18"/>
        <v>4003.5792375563856</v>
      </c>
      <c r="Q146" s="110"/>
    </row>
    <row r="147" spans="2:17" x14ac:dyDescent="0.2">
      <c r="B147" s="102">
        <f t="shared" si="10"/>
        <v>125</v>
      </c>
      <c r="C147" s="111">
        <f t="shared" si="19"/>
        <v>44682</v>
      </c>
      <c r="D147" s="104">
        <f t="shared" si="11"/>
        <v>548680.00470035383</v>
      </c>
      <c r="E147" s="104"/>
      <c r="F147" s="104">
        <f t="shared" si="12"/>
        <v>1495.0426116596711</v>
      </c>
      <c r="G147" s="104">
        <f t="shared" si="13"/>
        <v>1948.5366258967144</v>
      </c>
      <c r="H147" s="105">
        <f t="shared" si="14"/>
        <v>0</v>
      </c>
      <c r="I147" s="106">
        <f t="shared" si="15"/>
        <v>560</v>
      </c>
      <c r="J147" s="107">
        <f t="shared" si="16"/>
        <v>1.1582632574989757</v>
      </c>
      <c r="K147" s="108">
        <f t="shared" si="17"/>
        <v>0</v>
      </c>
      <c r="L147" s="109">
        <f t="shared" si="18"/>
        <v>4003.5792375563856</v>
      </c>
      <c r="Q147" s="110"/>
    </row>
    <row r="148" spans="2:17" x14ac:dyDescent="0.2">
      <c r="B148" s="102">
        <f t="shared" si="10"/>
        <v>126</v>
      </c>
      <c r="C148" s="111">
        <f t="shared" si="19"/>
        <v>44713</v>
      </c>
      <c r="D148" s="104">
        <f t="shared" si="11"/>
        <v>547179.66714611126</v>
      </c>
      <c r="E148" s="104"/>
      <c r="F148" s="104">
        <f t="shared" si="12"/>
        <v>1500.3375542426322</v>
      </c>
      <c r="G148" s="104">
        <f t="shared" si="13"/>
        <v>1943.2416833137534</v>
      </c>
      <c r="H148" s="105">
        <f t="shared" si="14"/>
        <v>0</v>
      </c>
      <c r="I148" s="106">
        <f t="shared" si="15"/>
        <v>560</v>
      </c>
      <c r="J148" s="107">
        <f t="shared" si="16"/>
        <v>1.1551157993691659</v>
      </c>
      <c r="K148" s="108">
        <f t="shared" si="17"/>
        <v>0</v>
      </c>
      <c r="L148" s="109">
        <f t="shared" si="18"/>
        <v>4003.5792375563856</v>
      </c>
      <c r="Q148" s="110"/>
    </row>
    <row r="149" spans="2:17" x14ac:dyDescent="0.2">
      <c r="B149" s="102">
        <f t="shared" si="10"/>
        <v>127</v>
      </c>
      <c r="C149" s="111">
        <f t="shared" si="19"/>
        <v>44743</v>
      </c>
      <c r="D149" s="104">
        <f t="shared" si="11"/>
        <v>545674.015896364</v>
      </c>
      <c r="E149" s="104"/>
      <c r="F149" s="104">
        <f t="shared" si="12"/>
        <v>1505.6512497472415</v>
      </c>
      <c r="G149" s="104">
        <f t="shared" si="13"/>
        <v>1937.927987809144</v>
      </c>
      <c r="H149" s="105">
        <f t="shared" si="14"/>
        <v>0</v>
      </c>
      <c r="I149" s="106">
        <f t="shared" si="15"/>
        <v>560</v>
      </c>
      <c r="J149" s="107">
        <f t="shared" si="16"/>
        <v>1.1519571939918132</v>
      </c>
      <c r="K149" s="108">
        <f t="shared" si="17"/>
        <v>0</v>
      </c>
      <c r="L149" s="109">
        <f t="shared" si="18"/>
        <v>4003.5792375563856</v>
      </c>
      <c r="Q149" s="110"/>
    </row>
    <row r="150" spans="2:17" x14ac:dyDescent="0.2">
      <c r="B150" s="102">
        <f t="shared" si="10"/>
        <v>128</v>
      </c>
      <c r="C150" s="111">
        <f t="shared" si="19"/>
        <v>44774</v>
      </c>
      <c r="D150" s="104">
        <f t="shared" si="11"/>
        <v>544163.03213177389</v>
      </c>
      <c r="E150" s="104"/>
      <c r="F150" s="104">
        <f t="shared" si="12"/>
        <v>1510.9837645900964</v>
      </c>
      <c r="G150" s="104">
        <f t="shared" si="13"/>
        <v>1932.5954729662892</v>
      </c>
      <c r="H150" s="105">
        <f t="shared" si="14"/>
        <v>0</v>
      </c>
      <c r="I150" s="106">
        <f t="shared" si="15"/>
        <v>560</v>
      </c>
      <c r="J150" s="107">
        <f t="shared" si="16"/>
        <v>1.1487874018870821</v>
      </c>
      <c r="K150" s="108">
        <f t="shared" si="17"/>
        <v>0</v>
      </c>
      <c r="L150" s="109">
        <f t="shared" si="18"/>
        <v>4003.5792375563856</v>
      </c>
      <c r="Q150" s="110"/>
    </row>
    <row r="151" spans="2:17" x14ac:dyDescent="0.2">
      <c r="B151" s="102">
        <f t="shared" si="10"/>
        <v>129</v>
      </c>
      <c r="C151" s="111">
        <f t="shared" si="19"/>
        <v>44805</v>
      </c>
      <c r="D151" s="104">
        <f t="shared" si="11"/>
        <v>542646.69696635089</v>
      </c>
      <c r="E151" s="104"/>
      <c r="F151" s="104">
        <f t="shared" si="12"/>
        <v>1516.3351654230196</v>
      </c>
      <c r="G151" s="104">
        <f t="shared" si="13"/>
        <v>1927.244072133366</v>
      </c>
      <c r="H151" s="105">
        <f t="shared" si="14"/>
        <v>0</v>
      </c>
      <c r="I151" s="106">
        <f t="shared" si="15"/>
        <v>560</v>
      </c>
      <c r="J151" s="107">
        <f t="shared" si="16"/>
        <v>1.1456063834353134</v>
      </c>
      <c r="K151" s="108">
        <f t="shared" si="17"/>
        <v>0</v>
      </c>
      <c r="L151" s="109">
        <f t="shared" si="18"/>
        <v>4003.5792375563856</v>
      </c>
      <c r="Q151" s="110"/>
    </row>
    <row r="152" spans="2:17" x14ac:dyDescent="0.2">
      <c r="B152" s="102">
        <f t="shared" ref="B152:B215" si="20">IF(B151="","",IF(D151&lt;0.01,"",B151+1))</f>
        <v>130</v>
      </c>
      <c r="C152" s="111">
        <f t="shared" si="19"/>
        <v>44835</v>
      </c>
      <c r="D152" s="104">
        <f t="shared" ref="D152:D215" si="21">IF(B152="","",D151-F152-H152)</f>
        <v>541124.99144721695</v>
      </c>
      <c r="E152" s="104"/>
      <c r="F152" s="104">
        <f t="shared" ref="F152:F215" si="22">IF(B152="","",IF(D151&lt;F151,D151,IF($D$7*$D$8=B152,D151,$D$9-G152)))</f>
        <v>1521.7055191338927</v>
      </c>
      <c r="G152" s="104">
        <f t="shared" ref="G152:G215" si="23">IF(B152="","",D151*$D$5/$D$8)</f>
        <v>1921.8737184224929</v>
      </c>
      <c r="H152" s="105">
        <f t="shared" ref="H152:H215" si="24">IF(B152="","",IF(C152&gt;=$D$15,MIN($D$14,D151-F152),0))</f>
        <v>0</v>
      </c>
      <c r="I152" s="106">
        <f t="shared" ref="I152:I215" si="25">IF(B152="","",IF(J152&gt;0.78,$D$12,IF(B152&lt;60,$D$12,0)))</f>
        <v>560</v>
      </c>
      <c r="J152" s="107">
        <f t="shared" ref="J152:J215" si="26">IF(B152="","",D151/$D$10)</f>
        <v>1.1424140988765281</v>
      </c>
      <c r="K152" s="108">
        <f t="shared" ref="K152:K215" si="27">IF(B152="","",IF(D151&gt;0.01,$D$13,""))</f>
        <v>0</v>
      </c>
      <c r="L152" s="109">
        <f t="shared" ref="L152:L215" si="28">IF(B152="","",SUM(F152:I152,K152))</f>
        <v>4003.5792375563856</v>
      </c>
      <c r="Q152" s="110"/>
    </row>
    <row r="153" spans="2:17" x14ac:dyDescent="0.2">
      <c r="B153" s="102">
        <f t="shared" si="20"/>
        <v>131</v>
      </c>
      <c r="C153" s="111">
        <f t="shared" ref="C153:C216" si="29">IF(B153="","",DATE(YEAR(C152),MONTH(C152)+12/$D$8,DAY(C152)))</f>
        <v>44866</v>
      </c>
      <c r="D153" s="104">
        <f t="shared" si="21"/>
        <v>539597.89655436948</v>
      </c>
      <c r="E153" s="104"/>
      <c r="F153" s="104">
        <f t="shared" si="22"/>
        <v>1527.094892847492</v>
      </c>
      <c r="G153" s="104">
        <f t="shared" si="23"/>
        <v>1916.4843447088936</v>
      </c>
      <c r="H153" s="105">
        <f t="shared" si="24"/>
        <v>0</v>
      </c>
      <c r="I153" s="106">
        <f t="shared" si="25"/>
        <v>560</v>
      </c>
      <c r="J153" s="107">
        <f t="shared" si="26"/>
        <v>1.1392105083099304</v>
      </c>
      <c r="K153" s="108">
        <f t="shared" si="27"/>
        <v>0</v>
      </c>
      <c r="L153" s="109">
        <f t="shared" si="28"/>
        <v>4003.5792375563856</v>
      </c>
      <c r="Q153" s="110"/>
    </row>
    <row r="154" spans="2:17" x14ac:dyDescent="0.2">
      <c r="B154" s="102">
        <f t="shared" si="20"/>
        <v>132</v>
      </c>
      <c r="C154" s="111">
        <f t="shared" si="29"/>
        <v>44896</v>
      </c>
      <c r="D154" s="104">
        <f t="shared" si="21"/>
        <v>538065.39320044313</v>
      </c>
      <c r="E154" s="104"/>
      <c r="F154" s="104">
        <f t="shared" si="22"/>
        <v>1532.503353926327</v>
      </c>
      <c r="G154" s="104">
        <f t="shared" si="23"/>
        <v>1911.0758836300586</v>
      </c>
      <c r="H154" s="105">
        <f t="shared" si="24"/>
        <v>0</v>
      </c>
      <c r="I154" s="106">
        <f t="shared" si="25"/>
        <v>560</v>
      </c>
      <c r="J154" s="107">
        <f t="shared" si="26"/>
        <v>1.1359955716934094</v>
      </c>
      <c r="K154" s="108">
        <f t="shared" si="27"/>
        <v>0</v>
      </c>
      <c r="L154" s="109">
        <f t="shared" si="28"/>
        <v>4003.5792375563856</v>
      </c>
      <c r="Q154" s="110"/>
    </row>
    <row r="155" spans="2:17" x14ac:dyDescent="0.2">
      <c r="B155" s="102">
        <f t="shared" si="20"/>
        <v>133</v>
      </c>
      <c r="C155" s="111">
        <f t="shared" si="29"/>
        <v>44927</v>
      </c>
      <c r="D155" s="104">
        <f t="shared" si="21"/>
        <v>536527.46223047166</v>
      </c>
      <c r="E155" s="104"/>
      <c r="F155" s="104">
        <f t="shared" si="22"/>
        <v>1537.9309699714827</v>
      </c>
      <c r="G155" s="104">
        <f t="shared" si="23"/>
        <v>1905.6482675849029</v>
      </c>
      <c r="H155" s="105">
        <f t="shared" si="24"/>
        <v>0</v>
      </c>
      <c r="I155" s="106">
        <f t="shared" si="25"/>
        <v>560</v>
      </c>
      <c r="J155" s="107">
        <f t="shared" si="26"/>
        <v>1.1327692488430381</v>
      </c>
      <c r="K155" s="108">
        <f t="shared" si="27"/>
        <v>0</v>
      </c>
      <c r="L155" s="109">
        <f t="shared" si="28"/>
        <v>4003.5792375563856</v>
      </c>
      <c r="Q155" s="110"/>
    </row>
    <row r="156" spans="2:17" x14ac:dyDescent="0.2">
      <c r="B156" s="102">
        <f t="shared" si="20"/>
        <v>134</v>
      </c>
      <c r="C156" s="111">
        <f t="shared" si="29"/>
        <v>44958</v>
      </c>
      <c r="D156" s="104">
        <f t="shared" si="21"/>
        <v>534984.08442164818</v>
      </c>
      <c r="E156" s="104"/>
      <c r="F156" s="104">
        <f t="shared" si="22"/>
        <v>1543.3778088234651</v>
      </c>
      <c r="G156" s="104">
        <f t="shared" si="23"/>
        <v>1900.2014287329205</v>
      </c>
      <c r="H156" s="105">
        <f t="shared" si="24"/>
        <v>0</v>
      </c>
      <c r="I156" s="106">
        <f t="shared" si="25"/>
        <v>560</v>
      </c>
      <c r="J156" s="107">
        <f t="shared" si="26"/>
        <v>1.129531499432572</v>
      </c>
      <c r="K156" s="108">
        <f t="shared" si="27"/>
        <v>0</v>
      </c>
      <c r="L156" s="109">
        <f t="shared" si="28"/>
        <v>4003.5792375563856</v>
      </c>
      <c r="Q156" s="110"/>
    </row>
    <row r="157" spans="2:17" x14ac:dyDescent="0.2">
      <c r="B157" s="102">
        <f t="shared" si="20"/>
        <v>135</v>
      </c>
      <c r="C157" s="111">
        <f t="shared" si="29"/>
        <v>44986</v>
      </c>
      <c r="D157" s="104">
        <f t="shared" si="21"/>
        <v>533435.24048308516</v>
      </c>
      <c r="E157" s="104"/>
      <c r="F157" s="104">
        <f t="shared" si="22"/>
        <v>1548.8439385630484</v>
      </c>
      <c r="G157" s="104">
        <f t="shared" si="23"/>
        <v>1894.7352989933372</v>
      </c>
      <c r="H157" s="105">
        <f t="shared" si="24"/>
        <v>0</v>
      </c>
      <c r="I157" s="106">
        <f t="shared" si="25"/>
        <v>560</v>
      </c>
      <c r="J157" s="107">
        <f t="shared" si="26"/>
        <v>1.1262822829929435</v>
      </c>
      <c r="K157" s="108">
        <f t="shared" si="27"/>
        <v>0</v>
      </c>
      <c r="L157" s="109">
        <f t="shared" si="28"/>
        <v>4003.5792375563856</v>
      </c>
      <c r="Q157" s="110"/>
    </row>
    <row r="158" spans="2:17" x14ac:dyDescent="0.2">
      <c r="B158" s="102">
        <f t="shared" si="20"/>
        <v>136</v>
      </c>
      <c r="C158" s="111">
        <f t="shared" si="29"/>
        <v>45017</v>
      </c>
      <c r="D158" s="104">
        <f t="shared" si="21"/>
        <v>531880.91105557303</v>
      </c>
      <c r="E158" s="104"/>
      <c r="F158" s="104">
        <f t="shared" si="22"/>
        <v>1554.3294275121254</v>
      </c>
      <c r="G158" s="104">
        <f t="shared" si="23"/>
        <v>1889.2498100442601</v>
      </c>
      <c r="H158" s="105">
        <f t="shared" si="24"/>
        <v>0</v>
      </c>
      <c r="I158" s="106">
        <f t="shared" si="25"/>
        <v>560</v>
      </c>
      <c r="J158" s="107">
        <f t="shared" si="26"/>
        <v>1.1230215589117583</v>
      </c>
      <c r="K158" s="108">
        <f t="shared" si="27"/>
        <v>0</v>
      </c>
      <c r="L158" s="109">
        <f t="shared" si="28"/>
        <v>4003.5792375563856</v>
      </c>
      <c r="Q158" s="110"/>
    </row>
    <row r="159" spans="2:17" x14ac:dyDescent="0.2">
      <c r="B159" s="102">
        <f t="shared" si="20"/>
        <v>137</v>
      </c>
      <c r="C159" s="111">
        <f t="shared" si="29"/>
        <v>45047</v>
      </c>
      <c r="D159" s="104">
        <f t="shared" si="21"/>
        <v>530321.07671133848</v>
      </c>
      <c r="E159" s="104"/>
      <c r="F159" s="104">
        <f t="shared" si="22"/>
        <v>1559.8343442345642</v>
      </c>
      <c r="G159" s="104">
        <f t="shared" si="23"/>
        <v>1883.7448933218213</v>
      </c>
      <c r="H159" s="105">
        <f t="shared" si="24"/>
        <v>0</v>
      </c>
      <c r="I159" s="106">
        <f t="shared" si="25"/>
        <v>560</v>
      </c>
      <c r="J159" s="107">
        <f t="shared" si="26"/>
        <v>1.1197492864327854</v>
      </c>
      <c r="K159" s="108">
        <f t="shared" si="27"/>
        <v>0</v>
      </c>
      <c r="L159" s="109">
        <f t="shared" si="28"/>
        <v>4003.5792375563856</v>
      </c>
      <c r="Q159" s="110"/>
    </row>
    <row r="160" spans="2:17" x14ac:dyDescent="0.2">
      <c r="B160" s="102">
        <f t="shared" si="20"/>
        <v>138</v>
      </c>
      <c r="C160" s="111">
        <f t="shared" si="29"/>
        <v>45078</v>
      </c>
      <c r="D160" s="104">
        <f t="shared" si="21"/>
        <v>528755.71795380139</v>
      </c>
      <c r="E160" s="104"/>
      <c r="F160" s="104">
        <f t="shared" si="22"/>
        <v>1565.3587575370616</v>
      </c>
      <c r="G160" s="104">
        <f t="shared" si="23"/>
        <v>1878.220480019324</v>
      </c>
      <c r="H160" s="105">
        <f t="shared" si="24"/>
        <v>0</v>
      </c>
      <c r="I160" s="106">
        <f t="shared" si="25"/>
        <v>560</v>
      </c>
      <c r="J160" s="107">
        <f t="shared" si="26"/>
        <v>1.1164654246554495</v>
      </c>
      <c r="K160" s="108">
        <f t="shared" si="27"/>
        <v>0</v>
      </c>
      <c r="L160" s="109">
        <f t="shared" si="28"/>
        <v>4003.5792375563856</v>
      </c>
      <c r="Q160" s="110"/>
    </row>
    <row r="161" spans="2:17" x14ac:dyDescent="0.2">
      <c r="B161" s="102">
        <f t="shared" si="20"/>
        <v>139</v>
      </c>
      <c r="C161" s="111">
        <f t="shared" si="29"/>
        <v>45108</v>
      </c>
      <c r="D161" s="104">
        <f t="shared" si="21"/>
        <v>527184.8152173314</v>
      </c>
      <c r="E161" s="104"/>
      <c r="F161" s="104">
        <f t="shared" si="22"/>
        <v>1570.9027364700055</v>
      </c>
      <c r="G161" s="104">
        <f t="shared" si="23"/>
        <v>1872.6765010863801</v>
      </c>
      <c r="H161" s="105">
        <f t="shared" si="24"/>
        <v>0</v>
      </c>
      <c r="I161" s="106">
        <f t="shared" si="25"/>
        <v>560</v>
      </c>
      <c r="J161" s="107">
        <f t="shared" si="26"/>
        <v>1.1131699325343187</v>
      </c>
      <c r="K161" s="108">
        <f t="shared" si="27"/>
        <v>0</v>
      </c>
      <c r="L161" s="109">
        <f t="shared" si="28"/>
        <v>4003.5792375563856</v>
      </c>
      <c r="Q161" s="110"/>
    </row>
    <row r="162" spans="2:17" x14ac:dyDescent="0.2">
      <c r="B162" s="102">
        <f t="shared" si="20"/>
        <v>140</v>
      </c>
      <c r="C162" s="111">
        <f t="shared" si="29"/>
        <v>45139</v>
      </c>
      <c r="D162" s="104">
        <f t="shared" si="21"/>
        <v>525608.34886700311</v>
      </c>
      <c r="E162" s="104"/>
      <c r="F162" s="104">
        <f t="shared" si="22"/>
        <v>1576.4663503283368</v>
      </c>
      <c r="G162" s="104">
        <f t="shared" si="23"/>
        <v>1867.1128872280487</v>
      </c>
      <c r="H162" s="105">
        <f t="shared" si="24"/>
        <v>0</v>
      </c>
      <c r="I162" s="106">
        <f t="shared" si="25"/>
        <v>560</v>
      </c>
      <c r="J162" s="107">
        <f t="shared" si="26"/>
        <v>1.1098627688785925</v>
      </c>
      <c r="K162" s="108">
        <f t="shared" si="27"/>
        <v>0</v>
      </c>
      <c r="L162" s="109">
        <f t="shared" si="28"/>
        <v>4003.5792375563856</v>
      </c>
      <c r="Q162" s="110"/>
    </row>
    <row r="163" spans="2:17" x14ac:dyDescent="0.2">
      <c r="B163" s="102">
        <f t="shared" si="20"/>
        <v>141</v>
      </c>
      <c r="C163" s="111">
        <f t="shared" si="29"/>
        <v>45170</v>
      </c>
      <c r="D163" s="104">
        <f t="shared" si="21"/>
        <v>524026.29919835069</v>
      </c>
      <c r="E163" s="104"/>
      <c r="F163" s="104">
        <f t="shared" si="22"/>
        <v>1582.0496686524161</v>
      </c>
      <c r="G163" s="104">
        <f t="shared" si="23"/>
        <v>1861.5295689039694</v>
      </c>
      <c r="H163" s="105">
        <f t="shared" si="24"/>
        <v>0</v>
      </c>
      <c r="I163" s="106">
        <f t="shared" si="25"/>
        <v>560</v>
      </c>
      <c r="J163" s="107">
        <f t="shared" si="26"/>
        <v>1.1065438923515856</v>
      </c>
      <c r="K163" s="108">
        <f t="shared" si="27"/>
        <v>0</v>
      </c>
      <c r="L163" s="109">
        <f t="shared" si="28"/>
        <v>4003.5792375563856</v>
      </c>
      <c r="Q163" s="110"/>
    </row>
    <row r="164" spans="2:17" x14ac:dyDescent="0.2">
      <c r="B164" s="102">
        <f t="shared" si="20"/>
        <v>142</v>
      </c>
      <c r="C164" s="111">
        <f t="shared" si="29"/>
        <v>45200</v>
      </c>
      <c r="D164" s="104">
        <f t="shared" si="21"/>
        <v>522438.64643712179</v>
      </c>
      <c r="E164" s="104"/>
      <c r="F164" s="104">
        <f t="shared" si="22"/>
        <v>1587.6527612288933</v>
      </c>
      <c r="G164" s="104">
        <f t="shared" si="23"/>
        <v>1855.9264763274923</v>
      </c>
      <c r="H164" s="105">
        <f t="shared" si="24"/>
        <v>0</v>
      </c>
      <c r="I164" s="106">
        <f t="shared" si="25"/>
        <v>560</v>
      </c>
      <c r="J164" s="107">
        <f t="shared" si="26"/>
        <v>1.1032132614702119</v>
      </c>
      <c r="K164" s="108">
        <f t="shared" si="27"/>
        <v>0</v>
      </c>
      <c r="L164" s="109">
        <f t="shared" si="28"/>
        <v>4003.5792375563856</v>
      </c>
      <c r="Q164" s="110"/>
    </row>
    <row r="165" spans="2:17" x14ac:dyDescent="0.2">
      <c r="B165" s="102">
        <f t="shared" si="20"/>
        <v>143</v>
      </c>
      <c r="C165" s="111">
        <f t="shared" si="29"/>
        <v>45231</v>
      </c>
      <c r="D165" s="104">
        <f t="shared" si="21"/>
        <v>520845.37073903019</v>
      </c>
      <c r="E165" s="104"/>
      <c r="F165" s="104">
        <f t="shared" si="22"/>
        <v>1593.275698091579</v>
      </c>
      <c r="G165" s="104">
        <f t="shared" si="23"/>
        <v>1850.3035394648066</v>
      </c>
      <c r="H165" s="105">
        <f t="shared" si="24"/>
        <v>0</v>
      </c>
      <c r="I165" s="106">
        <f t="shared" si="25"/>
        <v>560</v>
      </c>
      <c r="J165" s="107">
        <f t="shared" si="26"/>
        <v>1.099870834604467</v>
      </c>
      <c r="K165" s="108">
        <f t="shared" si="27"/>
        <v>0</v>
      </c>
      <c r="L165" s="109">
        <f t="shared" si="28"/>
        <v>4003.5792375563856</v>
      </c>
      <c r="Q165" s="110"/>
    </row>
    <row r="166" spans="2:17" x14ac:dyDescent="0.2">
      <c r="B166" s="102">
        <f t="shared" si="20"/>
        <v>144</v>
      </c>
      <c r="C166" s="111">
        <f t="shared" si="29"/>
        <v>45261</v>
      </c>
      <c r="D166" s="104">
        <f t="shared" si="21"/>
        <v>519246.45218950789</v>
      </c>
      <c r="E166" s="104"/>
      <c r="F166" s="104">
        <f t="shared" si="22"/>
        <v>1598.9185495223203</v>
      </c>
      <c r="G166" s="104">
        <f t="shared" si="23"/>
        <v>1844.6606880340653</v>
      </c>
      <c r="H166" s="105">
        <f t="shared" si="24"/>
        <v>0</v>
      </c>
      <c r="I166" s="106">
        <f t="shared" si="25"/>
        <v>560</v>
      </c>
      <c r="J166" s="107">
        <f t="shared" si="26"/>
        <v>1.0965165699769057</v>
      </c>
      <c r="K166" s="108">
        <f t="shared" si="27"/>
        <v>0</v>
      </c>
      <c r="L166" s="109">
        <f t="shared" si="28"/>
        <v>4003.5792375563856</v>
      </c>
      <c r="Q166" s="110"/>
    </row>
    <row r="167" spans="2:17" x14ac:dyDescent="0.2">
      <c r="B167" s="102">
        <f t="shared" si="20"/>
        <v>145</v>
      </c>
      <c r="C167" s="111">
        <f t="shared" si="29"/>
        <v>45292</v>
      </c>
      <c r="D167" s="104">
        <f t="shared" si="21"/>
        <v>517641.870803456</v>
      </c>
      <c r="E167" s="104"/>
      <c r="F167" s="104">
        <f t="shared" si="22"/>
        <v>1604.5813860518781</v>
      </c>
      <c r="G167" s="104">
        <f t="shared" si="23"/>
        <v>1838.9978515045075</v>
      </c>
      <c r="H167" s="105">
        <f t="shared" si="24"/>
        <v>0</v>
      </c>
      <c r="I167" s="106">
        <f t="shared" si="25"/>
        <v>560</v>
      </c>
      <c r="J167" s="107">
        <f t="shared" si="26"/>
        <v>1.0931504256621218</v>
      </c>
      <c r="K167" s="108">
        <f t="shared" si="27"/>
        <v>0</v>
      </c>
      <c r="L167" s="109">
        <f t="shared" si="28"/>
        <v>4003.5792375563856</v>
      </c>
      <c r="Q167" s="110"/>
    </row>
    <row r="168" spans="2:17" x14ac:dyDescent="0.2">
      <c r="B168" s="102">
        <f t="shared" si="20"/>
        <v>146</v>
      </c>
      <c r="C168" s="111">
        <f t="shared" si="29"/>
        <v>45323</v>
      </c>
      <c r="D168" s="104">
        <f t="shared" si="21"/>
        <v>516031.60652499518</v>
      </c>
      <c r="E168" s="104"/>
      <c r="F168" s="104">
        <f t="shared" si="22"/>
        <v>1610.2642784608122</v>
      </c>
      <c r="G168" s="104">
        <f t="shared" si="23"/>
        <v>1833.3149590955734</v>
      </c>
      <c r="H168" s="105">
        <f t="shared" si="24"/>
        <v>0</v>
      </c>
      <c r="I168" s="106">
        <f t="shared" si="25"/>
        <v>560</v>
      </c>
      <c r="J168" s="107">
        <f t="shared" si="26"/>
        <v>1.0897723595862232</v>
      </c>
      <c r="K168" s="108">
        <f t="shared" si="27"/>
        <v>0</v>
      </c>
      <c r="L168" s="109">
        <f t="shared" si="28"/>
        <v>4003.5792375563856</v>
      </c>
      <c r="Q168" s="110"/>
    </row>
    <row r="169" spans="2:17" x14ac:dyDescent="0.2">
      <c r="B169" s="102">
        <f t="shared" si="20"/>
        <v>147</v>
      </c>
      <c r="C169" s="111">
        <f t="shared" si="29"/>
        <v>45352</v>
      </c>
      <c r="D169" s="104">
        <f t="shared" si="21"/>
        <v>514415.63922721479</v>
      </c>
      <c r="E169" s="104"/>
      <c r="F169" s="104">
        <f t="shared" si="22"/>
        <v>1615.9672977803609</v>
      </c>
      <c r="G169" s="104">
        <f t="shared" si="23"/>
        <v>1827.6119397760247</v>
      </c>
      <c r="H169" s="105">
        <f t="shared" si="24"/>
        <v>0</v>
      </c>
      <c r="I169" s="106">
        <f t="shared" si="25"/>
        <v>560</v>
      </c>
      <c r="J169" s="107">
        <f t="shared" si="26"/>
        <v>1.0863823295263055</v>
      </c>
      <c r="K169" s="108">
        <f t="shared" si="27"/>
        <v>0</v>
      </c>
      <c r="L169" s="109">
        <f t="shared" si="28"/>
        <v>4003.5792375563856</v>
      </c>
      <c r="Q169" s="110"/>
    </row>
    <row r="170" spans="2:17" x14ac:dyDescent="0.2">
      <c r="B170" s="102">
        <f t="shared" si="20"/>
        <v>148</v>
      </c>
      <c r="C170" s="111">
        <f t="shared" si="29"/>
        <v>45383</v>
      </c>
      <c r="D170" s="104">
        <f t="shared" si="21"/>
        <v>512793.94871192146</v>
      </c>
      <c r="E170" s="104"/>
      <c r="F170" s="104">
        <f t="shared" si="22"/>
        <v>1621.690515293333</v>
      </c>
      <c r="G170" s="104">
        <f t="shared" si="23"/>
        <v>1821.8887222630526</v>
      </c>
      <c r="H170" s="105">
        <f t="shared" si="24"/>
        <v>0</v>
      </c>
      <c r="I170" s="106">
        <f t="shared" si="25"/>
        <v>560</v>
      </c>
      <c r="J170" s="107">
        <f t="shared" si="26"/>
        <v>1.0829802931099259</v>
      </c>
      <c r="K170" s="108">
        <f t="shared" si="27"/>
        <v>0</v>
      </c>
      <c r="L170" s="109">
        <f t="shared" si="28"/>
        <v>4003.5792375563856</v>
      </c>
      <c r="Q170" s="110"/>
    </row>
    <row r="171" spans="2:17" x14ac:dyDescent="0.2">
      <c r="B171" s="102">
        <f t="shared" si="20"/>
        <v>149</v>
      </c>
      <c r="C171" s="111">
        <f t="shared" si="29"/>
        <v>45413</v>
      </c>
      <c r="D171" s="104">
        <f t="shared" si="21"/>
        <v>511166.51470938645</v>
      </c>
      <c r="E171" s="104"/>
      <c r="F171" s="104">
        <f t="shared" si="22"/>
        <v>1627.434002534997</v>
      </c>
      <c r="G171" s="104">
        <f t="shared" si="23"/>
        <v>1816.1452350213885</v>
      </c>
      <c r="H171" s="105">
        <f t="shared" si="24"/>
        <v>0</v>
      </c>
      <c r="I171" s="106">
        <f t="shared" si="25"/>
        <v>560</v>
      </c>
      <c r="J171" s="107">
        <f t="shared" si="26"/>
        <v>1.0795662078145716</v>
      </c>
      <c r="K171" s="108">
        <f t="shared" si="27"/>
        <v>0</v>
      </c>
      <c r="L171" s="109">
        <f t="shared" si="28"/>
        <v>4003.5792375563856</v>
      </c>
      <c r="Q171" s="110"/>
    </row>
    <row r="172" spans="2:17" x14ac:dyDescent="0.2">
      <c r="B172" s="102">
        <f t="shared" si="20"/>
        <v>150</v>
      </c>
      <c r="C172" s="111">
        <f t="shared" si="29"/>
        <v>45444</v>
      </c>
      <c r="D172" s="104">
        <f t="shared" si="21"/>
        <v>509533.31687809248</v>
      </c>
      <c r="E172" s="104"/>
      <c r="F172" s="104">
        <f t="shared" si="22"/>
        <v>1633.197831293975</v>
      </c>
      <c r="G172" s="104">
        <f t="shared" si="23"/>
        <v>1810.3814062624106</v>
      </c>
      <c r="H172" s="105">
        <f t="shared" si="24"/>
        <v>0</v>
      </c>
      <c r="I172" s="106">
        <f t="shared" si="25"/>
        <v>560</v>
      </c>
      <c r="J172" s="107">
        <f t="shared" si="26"/>
        <v>1.0761400309671294</v>
      </c>
      <c r="K172" s="108">
        <f t="shared" si="27"/>
        <v>0</v>
      </c>
      <c r="L172" s="109">
        <f t="shared" si="28"/>
        <v>4003.5792375563856</v>
      </c>
      <c r="Q172" s="110"/>
    </row>
    <row r="173" spans="2:17" x14ac:dyDescent="0.2">
      <c r="B173" s="102">
        <f t="shared" si="20"/>
        <v>151</v>
      </c>
      <c r="C173" s="111">
        <f t="shared" si="29"/>
        <v>45474</v>
      </c>
      <c r="D173" s="104">
        <f t="shared" si="21"/>
        <v>507894.33480447932</v>
      </c>
      <c r="E173" s="104"/>
      <c r="F173" s="104">
        <f t="shared" si="22"/>
        <v>1638.9820736131412</v>
      </c>
      <c r="G173" s="104">
        <f t="shared" si="23"/>
        <v>1804.5971639432444</v>
      </c>
      <c r="H173" s="105">
        <f t="shared" si="24"/>
        <v>0</v>
      </c>
      <c r="I173" s="106">
        <f t="shared" si="25"/>
        <v>560</v>
      </c>
      <c r="J173" s="107">
        <f t="shared" si="26"/>
        <v>1.0727017197433526</v>
      </c>
      <c r="K173" s="108">
        <f t="shared" si="27"/>
        <v>0</v>
      </c>
      <c r="L173" s="109">
        <f t="shared" si="28"/>
        <v>4003.5792375563856</v>
      </c>
      <c r="Q173" s="110"/>
    </row>
    <row r="174" spans="2:17" x14ac:dyDescent="0.2">
      <c r="B174" s="102">
        <f t="shared" si="20"/>
        <v>152</v>
      </c>
      <c r="C174" s="111">
        <f t="shared" si="29"/>
        <v>45505</v>
      </c>
      <c r="D174" s="104">
        <f t="shared" si="21"/>
        <v>506249.5480026888</v>
      </c>
      <c r="E174" s="104"/>
      <c r="F174" s="104">
        <f t="shared" si="22"/>
        <v>1644.7868017905214</v>
      </c>
      <c r="G174" s="104">
        <f t="shared" si="23"/>
        <v>1798.7924357658642</v>
      </c>
      <c r="H174" s="105">
        <f t="shared" si="24"/>
        <v>0</v>
      </c>
      <c r="I174" s="106">
        <f t="shared" si="25"/>
        <v>560</v>
      </c>
      <c r="J174" s="107">
        <f t="shared" si="26"/>
        <v>1.0692512311673248</v>
      </c>
      <c r="K174" s="108">
        <f t="shared" si="27"/>
        <v>0</v>
      </c>
      <c r="L174" s="109">
        <f t="shared" si="28"/>
        <v>4003.5792375563856</v>
      </c>
      <c r="Q174" s="110"/>
    </row>
    <row r="175" spans="2:17" x14ac:dyDescent="0.2">
      <c r="B175" s="102">
        <f t="shared" si="20"/>
        <v>153</v>
      </c>
      <c r="C175" s="111">
        <f t="shared" si="29"/>
        <v>45536</v>
      </c>
      <c r="D175" s="104">
        <f t="shared" si="21"/>
        <v>504598.93591430859</v>
      </c>
      <c r="E175" s="104"/>
      <c r="F175" s="104">
        <f t="shared" si="22"/>
        <v>1650.6120883801962</v>
      </c>
      <c r="G175" s="104">
        <f t="shared" si="23"/>
        <v>1792.9671491761894</v>
      </c>
      <c r="H175" s="105">
        <f t="shared" si="24"/>
        <v>0</v>
      </c>
      <c r="I175" s="106">
        <f t="shared" si="25"/>
        <v>560</v>
      </c>
      <c r="J175" s="107">
        <f t="shared" si="26"/>
        <v>1.0657885221109238</v>
      </c>
      <c r="K175" s="108">
        <f t="shared" si="27"/>
        <v>0</v>
      </c>
      <c r="L175" s="109">
        <f t="shared" si="28"/>
        <v>4003.5792375563856</v>
      </c>
      <c r="Q175" s="110"/>
    </row>
    <row r="176" spans="2:17" x14ac:dyDescent="0.2">
      <c r="B176" s="102">
        <f t="shared" si="20"/>
        <v>154</v>
      </c>
      <c r="C176" s="111">
        <f t="shared" si="29"/>
        <v>45566</v>
      </c>
      <c r="D176" s="104">
        <f t="shared" si="21"/>
        <v>502942.47790811537</v>
      </c>
      <c r="E176" s="104"/>
      <c r="F176" s="104">
        <f t="shared" si="22"/>
        <v>1656.458006193209</v>
      </c>
      <c r="G176" s="104">
        <f t="shared" si="23"/>
        <v>1787.1212313631765</v>
      </c>
      <c r="H176" s="105">
        <f t="shared" si="24"/>
        <v>0</v>
      </c>
      <c r="I176" s="106">
        <f t="shared" si="25"/>
        <v>560</v>
      </c>
      <c r="J176" s="107">
        <f t="shared" si="26"/>
        <v>1.0623135492932811</v>
      </c>
      <c r="K176" s="108">
        <f t="shared" si="27"/>
        <v>0</v>
      </c>
      <c r="L176" s="109">
        <f t="shared" si="28"/>
        <v>4003.5792375563856</v>
      </c>
      <c r="Q176" s="110"/>
    </row>
    <row r="177" spans="2:17" x14ac:dyDescent="0.2">
      <c r="B177" s="102">
        <f t="shared" si="20"/>
        <v>155</v>
      </c>
      <c r="C177" s="111">
        <f t="shared" si="29"/>
        <v>45597</v>
      </c>
      <c r="D177" s="104">
        <f t="shared" si="21"/>
        <v>501280.15327981691</v>
      </c>
      <c r="E177" s="104"/>
      <c r="F177" s="104">
        <f t="shared" si="22"/>
        <v>1662.3246282984769</v>
      </c>
      <c r="G177" s="104">
        <f t="shared" si="23"/>
        <v>1781.2546092579087</v>
      </c>
      <c r="H177" s="105">
        <f t="shared" si="24"/>
        <v>0</v>
      </c>
      <c r="I177" s="106">
        <f t="shared" si="25"/>
        <v>560</v>
      </c>
      <c r="J177" s="107">
        <f t="shared" si="26"/>
        <v>1.0588262692802428</v>
      </c>
      <c r="K177" s="108">
        <f t="shared" si="27"/>
        <v>0</v>
      </c>
      <c r="L177" s="109">
        <f t="shared" si="28"/>
        <v>4003.5792375563856</v>
      </c>
      <c r="Q177" s="110"/>
    </row>
    <row r="178" spans="2:17" x14ac:dyDescent="0.2">
      <c r="B178" s="102">
        <f t="shared" si="20"/>
        <v>156</v>
      </c>
      <c r="C178" s="111">
        <f t="shared" si="29"/>
        <v>45627</v>
      </c>
      <c r="D178" s="104">
        <f t="shared" si="21"/>
        <v>499611.94125179318</v>
      </c>
      <c r="E178" s="104"/>
      <c r="F178" s="104">
        <f t="shared" si="22"/>
        <v>1668.2120280237007</v>
      </c>
      <c r="G178" s="104">
        <f t="shared" si="23"/>
        <v>1775.3672095326849</v>
      </c>
      <c r="H178" s="105">
        <f t="shared" si="24"/>
        <v>0</v>
      </c>
      <c r="I178" s="106">
        <f t="shared" si="25"/>
        <v>560</v>
      </c>
      <c r="J178" s="107">
        <f t="shared" si="26"/>
        <v>1.0553266384838251</v>
      </c>
      <c r="K178" s="108">
        <f t="shared" si="27"/>
        <v>0</v>
      </c>
      <c r="L178" s="109">
        <f t="shared" si="28"/>
        <v>4003.5792375563856</v>
      </c>
      <c r="Q178" s="110"/>
    </row>
    <row r="179" spans="2:17" x14ac:dyDescent="0.2">
      <c r="B179" s="102">
        <f t="shared" si="20"/>
        <v>157</v>
      </c>
      <c r="C179" s="111">
        <f t="shared" si="29"/>
        <v>45658</v>
      </c>
      <c r="D179" s="104">
        <f t="shared" si="21"/>
        <v>497937.82097283687</v>
      </c>
      <c r="E179" s="104"/>
      <c r="F179" s="104">
        <f t="shared" si="22"/>
        <v>1674.1202789562847</v>
      </c>
      <c r="G179" s="104">
        <f t="shared" si="23"/>
        <v>1769.4589586001009</v>
      </c>
      <c r="H179" s="105">
        <f t="shared" si="24"/>
        <v>0</v>
      </c>
      <c r="I179" s="106">
        <f t="shared" si="25"/>
        <v>560</v>
      </c>
      <c r="J179" s="107">
        <f t="shared" si="26"/>
        <v>1.0518146131616699</v>
      </c>
      <c r="K179" s="108">
        <f t="shared" si="27"/>
        <v>0</v>
      </c>
      <c r="L179" s="109">
        <f t="shared" si="28"/>
        <v>4003.5792375563856</v>
      </c>
      <c r="Q179" s="110"/>
    </row>
    <row r="180" spans="2:17" x14ac:dyDescent="0.2">
      <c r="B180" s="102">
        <f t="shared" si="20"/>
        <v>158</v>
      </c>
      <c r="C180" s="111">
        <f t="shared" si="29"/>
        <v>45689</v>
      </c>
      <c r="D180" s="104">
        <f t="shared" si="21"/>
        <v>496257.7715178926</v>
      </c>
      <c r="E180" s="104"/>
      <c r="F180" s="104">
        <f t="shared" si="22"/>
        <v>1680.0494549442549</v>
      </c>
      <c r="G180" s="104">
        <f t="shared" si="23"/>
        <v>1763.5297826121307</v>
      </c>
      <c r="H180" s="105">
        <f t="shared" si="24"/>
        <v>0</v>
      </c>
      <c r="I180" s="106">
        <f t="shared" si="25"/>
        <v>560</v>
      </c>
      <c r="J180" s="107">
        <f t="shared" si="26"/>
        <v>1.0482901494164987</v>
      </c>
      <c r="K180" s="108">
        <f t="shared" si="27"/>
        <v>0</v>
      </c>
      <c r="L180" s="109">
        <f t="shared" si="28"/>
        <v>4003.5792375563856</v>
      </c>
      <c r="Q180" s="110"/>
    </row>
    <row r="181" spans="2:17" x14ac:dyDescent="0.2">
      <c r="B181" s="102">
        <f t="shared" si="20"/>
        <v>159</v>
      </c>
      <c r="C181" s="111">
        <f t="shared" si="29"/>
        <v>45717</v>
      </c>
      <c r="D181" s="104">
        <f t="shared" si="21"/>
        <v>494571.77188779542</v>
      </c>
      <c r="E181" s="104"/>
      <c r="F181" s="104">
        <f t="shared" si="22"/>
        <v>1685.9996300971827</v>
      </c>
      <c r="G181" s="104">
        <f t="shared" si="23"/>
        <v>1757.5796074592029</v>
      </c>
      <c r="H181" s="105">
        <f t="shared" si="24"/>
        <v>0</v>
      </c>
      <c r="I181" s="106">
        <f t="shared" si="25"/>
        <v>560</v>
      </c>
      <c r="J181" s="107">
        <f t="shared" si="26"/>
        <v>1.0447532031955633</v>
      </c>
      <c r="K181" s="108">
        <f t="shared" si="27"/>
        <v>0</v>
      </c>
      <c r="L181" s="109">
        <f t="shared" si="28"/>
        <v>4003.5792375563856</v>
      </c>
      <c r="Q181" s="110"/>
    </row>
    <row r="182" spans="2:17" x14ac:dyDescent="0.2">
      <c r="B182" s="102">
        <f t="shared" si="20"/>
        <v>160</v>
      </c>
      <c r="C182" s="111">
        <f t="shared" si="29"/>
        <v>45748</v>
      </c>
      <c r="D182" s="104">
        <f t="shared" si="21"/>
        <v>492879.80100900831</v>
      </c>
      <c r="E182" s="104"/>
      <c r="F182" s="104">
        <f t="shared" si="22"/>
        <v>1691.97087878711</v>
      </c>
      <c r="G182" s="104">
        <f t="shared" si="23"/>
        <v>1751.6083587692756</v>
      </c>
      <c r="H182" s="105">
        <f t="shared" si="24"/>
        <v>0</v>
      </c>
      <c r="I182" s="106">
        <f t="shared" si="25"/>
        <v>560</v>
      </c>
      <c r="J182" s="107">
        <f t="shared" si="26"/>
        <v>1.0412037302900956</v>
      </c>
      <c r="K182" s="108">
        <f t="shared" si="27"/>
        <v>0</v>
      </c>
      <c r="L182" s="109">
        <f t="shared" si="28"/>
        <v>4003.5792375563856</v>
      </c>
      <c r="Q182" s="110"/>
    </row>
    <row r="183" spans="2:17" x14ac:dyDescent="0.2">
      <c r="B183" s="102">
        <f t="shared" si="20"/>
        <v>161</v>
      </c>
      <c r="C183" s="111">
        <f t="shared" si="29"/>
        <v>45778</v>
      </c>
      <c r="D183" s="104">
        <f t="shared" si="21"/>
        <v>491181.83773335884</v>
      </c>
      <c r="E183" s="104"/>
      <c r="F183" s="104">
        <f t="shared" si="22"/>
        <v>1697.9632756494809</v>
      </c>
      <c r="G183" s="104">
        <f t="shared" si="23"/>
        <v>1745.6159619069047</v>
      </c>
      <c r="H183" s="105">
        <f t="shared" si="24"/>
        <v>0</v>
      </c>
      <c r="I183" s="106">
        <f t="shared" si="25"/>
        <v>560</v>
      </c>
      <c r="J183" s="107">
        <f t="shared" si="26"/>
        <v>1.0376416863347544</v>
      </c>
      <c r="K183" s="108">
        <f t="shared" si="27"/>
        <v>0</v>
      </c>
      <c r="L183" s="109">
        <f t="shared" si="28"/>
        <v>4003.5792375563856</v>
      </c>
      <c r="Q183" s="110"/>
    </row>
    <row r="184" spans="2:17" x14ac:dyDescent="0.2">
      <c r="B184" s="102">
        <f t="shared" si="20"/>
        <v>162</v>
      </c>
      <c r="C184" s="111">
        <f t="shared" si="29"/>
        <v>45809</v>
      </c>
      <c r="D184" s="104">
        <f t="shared" si="21"/>
        <v>489477.86083777476</v>
      </c>
      <c r="E184" s="104"/>
      <c r="F184" s="104">
        <f t="shared" si="22"/>
        <v>1703.976895584073</v>
      </c>
      <c r="G184" s="104">
        <f t="shared" si="23"/>
        <v>1739.6023419723126</v>
      </c>
      <c r="H184" s="105">
        <f t="shared" si="24"/>
        <v>0</v>
      </c>
      <c r="I184" s="106">
        <f t="shared" si="25"/>
        <v>560</v>
      </c>
      <c r="J184" s="107">
        <f t="shared" si="26"/>
        <v>1.0340670268070713</v>
      </c>
      <c r="K184" s="108">
        <f t="shared" si="27"/>
        <v>0</v>
      </c>
      <c r="L184" s="109">
        <f t="shared" si="28"/>
        <v>4003.5792375563856</v>
      </c>
      <c r="Q184" s="110"/>
    </row>
    <row r="185" spans="2:17" x14ac:dyDescent="0.2">
      <c r="B185" s="102">
        <f t="shared" si="20"/>
        <v>163</v>
      </c>
      <c r="C185" s="111">
        <f t="shared" si="29"/>
        <v>45839</v>
      </c>
      <c r="D185" s="104">
        <f t="shared" si="21"/>
        <v>487767.8490240188</v>
      </c>
      <c r="E185" s="104"/>
      <c r="F185" s="104">
        <f t="shared" si="22"/>
        <v>1710.0118137559332</v>
      </c>
      <c r="G185" s="104">
        <f t="shared" si="23"/>
        <v>1733.5674238004524</v>
      </c>
      <c r="H185" s="105">
        <f t="shared" si="24"/>
        <v>0</v>
      </c>
      <c r="I185" s="106">
        <f t="shared" si="25"/>
        <v>560</v>
      </c>
      <c r="J185" s="107">
        <f t="shared" si="26"/>
        <v>1.0304797070268943</v>
      </c>
      <c r="K185" s="108">
        <f t="shared" si="27"/>
        <v>0</v>
      </c>
      <c r="L185" s="109">
        <f t="shared" si="28"/>
        <v>4003.5792375563856</v>
      </c>
      <c r="Q185" s="110"/>
    </row>
    <row r="186" spans="2:17" x14ac:dyDescent="0.2">
      <c r="B186" s="102">
        <f t="shared" si="20"/>
        <v>164</v>
      </c>
      <c r="C186" s="111">
        <f t="shared" si="29"/>
        <v>45870</v>
      </c>
      <c r="D186" s="104">
        <f t="shared" si="21"/>
        <v>486051.7809184225</v>
      </c>
      <c r="E186" s="104"/>
      <c r="F186" s="104">
        <f t="shared" si="22"/>
        <v>1716.0681055963189</v>
      </c>
      <c r="G186" s="104">
        <f t="shared" si="23"/>
        <v>1727.5111319600667</v>
      </c>
      <c r="H186" s="105">
        <f t="shared" si="24"/>
        <v>0</v>
      </c>
      <c r="I186" s="106">
        <f t="shared" si="25"/>
        <v>560</v>
      </c>
      <c r="J186" s="107">
        <f t="shared" si="26"/>
        <v>1.026879682155829</v>
      </c>
      <c r="K186" s="108">
        <f t="shared" si="27"/>
        <v>0</v>
      </c>
      <c r="L186" s="109">
        <f t="shared" si="28"/>
        <v>4003.5792375563856</v>
      </c>
      <c r="Q186" s="110"/>
    </row>
    <row r="187" spans="2:17" x14ac:dyDescent="0.2">
      <c r="B187" s="102">
        <f t="shared" si="20"/>
        <v>165</v>
      </c>
      <c r="C187" s="111">
        <f t="shared" si="29"/>
        <v>45901</v>
      </c>
      <c r="D187" s="104">
        <f t="shared" si="21"/>
        <v>484329.63507161889</v>
      </c>
      <c r="E187" s="104"/>
      <c r="F187" s="104">
        <f t="shared" si="22"/>
        <v>1722.1458468036392</v>
      </c>
      <c r="G187" s="104">
        <f t="shared" si="23"/>
        <v>1721.4333907527464</v>
      </c>
      <c r="H187" s="105">
        <f t="shared" si="24"/>
        <v>0</v>
      </c>
      <c r="I187" s="106">
        <f t="shared" si="25"/>
        <v>560</v>
      </c>
      <c r="J187" s="107">
        <f t="shared" si="26"/>
        <v>1.0232669071966789</v>
      </c>
      <c r="K187" s="108">
        <f t="shared" si="27"/>
        <v>0</v>
      </c>
      <c r="L187" s="109">
        <f t="shared" si="28"/>
        <v>4003.5792375563856</v>
      </c>
      <c r="Q187" s="110"/>
    </row>
    <row r="188" spans="2:17" x14ac:dyDescent="0.2">
      <c r="B188" s="102">
        <f t="shared" si="20"/>
        <v>166</v>
      </c>
      <c r="C188" s="111">
        <f t="shared" si="29"/>
        <v>45931</v>
      </c>
      <c r="D188" s="104">
        <f t="shared" si="21"/>
        <v>482601.38995827449</v>
      </c>
      <c r="E188" s="104"/>
      <c r="F188" s="104">
        <f t="shared" si="22"/>
        <v>1728.2451133444017</v>
      </c>
      <c r="G188" s="104">
        <f t="shared" si="23"/>
        <v>1715.3341242119839</v>
      </c>
      <c r="H188" s="105">
        <f t="shared" si="24"/>
        <v>0</v>
      </c>
      <c r="I188" s="106">
        <f t="shared" si="25"/>
        <v>560</v>
      </c>
      <c r="J188" s="107">
        <f t="shared" si="26"/>
        <v>1.0196413369928818</v>
      </c>
      <c r="K188" s="108">
        <f t="shared" si="27"/>
        <v>0</v>
      </c>
      <c r="L188" s="109">
        <f t="shared" si="28"/>
        <v>4003.5792375563856</v>
      </c>
      <c r="Q188" s="110"/>
    </row>
    <row r="189" spans="2:17" x14ac:dyDescent="0.2">
      <c r="B189" s="102">
        <f t="shared" si="20"/>
        <v>167</v>
      </c>
      <c r="C189" s="111">
        <f t="shared" si="29"/>
        <v>45962</v>
      </c>
      <c r="D189" s="104">
        <f t="shared" si="21"/>
        <v>480867.02397682035</v>
      </c>
      <c r="E189" s="104"/>
      <c r="F189" s="104">
        <f t="shared" si="22"/>
        <v>1734.3659814541631</v>
      </c>
      <c r="G189" s="104">
        <f t="shared" si="23"/>
        <v>1709.2132561022224</v>
      </c>
      <c r="H189" s="105">
        <f t="shared" si="24"/>
        <v>0</v>
      </c>
      <c r="I189" s="106">
        <f t="shared" si="25"/>
        <v>560</v>
      </c>
      <c r="J189" s="107">
        <f t="shared" si="26"/>
        <v>1.0160029262279462</v>
      </c>
      <c r="K189" s="108">
        <f t="shared" si="27"/>
        <v>0</v>
      </c>
      <c r="L189" s="109">
        <f t="shared" si="28"/>
        <v>4003.5792375563856</v>
      </c>
      <c r="Q189" s="110"/>
    </row>
    <row r="190" spans="2:17" x14ac:dyDescent="0.2">
      <c r="B190" s="102">
        <f t="shared" si="20"/>
        <v>168</v>
      </c>
      <c r="C190" s="111">
        <f t="shared" si="29"/>
        <v>45992</v>
      </c>
      <c r="D190" s="104">
        <f t="shared" si="21"/>
        <v>479126.51544918184</v>
      </c>
      <c r="E190" s="104"/>
      <c r="F190" s="104">
        <f t="shared" si="22"/>
        <v>1740.50852763848</v>
      </c>
      <c r="G190" s="104">
        <f t="shared" si="23"/>
        <v>1703.0707099179056</v>
      </c>
      <c r="H190" s="105">
        <f t="shared" si="24"/>
        <v>0</v>
      </c>
      <c r="I190" s="106">
        <f t="shared" si="25"/>
        <v>560</v>
      </c>
      <c r="J190" s="107">
        <f t="shared" si="26"/>
        <v>1.0123516294248849</v>
      </c>
      <c r="K190" s="108">
        <f t="shared" si="27"/>
        <v>0</v>
      </c>
      <c r="L190" s="109">
        <f t="shared" si="28"/>
        <v>4003.5792375563856</v>
      </c>
      <c r="Q190" s="110"/>
    </row>
    <row r="191" spans="2:17" x14ac:dyDescent="0.2">
      <c r="B191" s="102">
        <f t="shared" si="20"/>
        <v>169</v>
      </c>
      <c r="C191" s="111">
        <f t="shared" si="29"/>
        <v>46023</v>
      </c>
      <c r="D191" s="104">
        <f t="shared" si="21"/>
        <v>477379.84262050799</v>
      </c>
      <c r="E191" s="104"/>
      <c r="F191" s="104">
        <f t="shared" si="22"/>
        <v>1746.6728286738664</v>
      </c>
      <c r="G191" s="104">
        <f t="shared" si="23"/>
        <v>1696.9064088825191</v>
      </c>
      <c r="H191" s="105">
        <f t="shared" si="24"/>
        <v>0</v>
      </c>
      <c r="I191" s="106">
        <f t="shared" si="25"/>
        <v>560</v>
      </c>
      <c r="J191" s="107">
        <f t="shared" si="26"/>
        <v>1.0086874009456459</v>
      </c>
      <c r="K191" s="108">
        <f t="shared" si="27"/>
        <v>0</v>
      </c>
      <c r="L191" s="109">
        <f t="shared" si="28"/>
        <v>4003.5792375563856</v>
      </c>
      <c r="Q191" s="110"/>
    </row>
    <row r="192" spans="2:17" x14ac:dyDescent="0.2">
      <c r="B192" s="102">
        <f t="shared" si="20"/>
        <v>170</v>
      </c>
      <c r="C192" s="111">
        <f t="shared" si="29"/>
        <v>46054</v>
      </c>
      <c r="D192" s="104">
        <f t="shared" si="21"/>
        <v>475626.98365889926</v>
      </c>
      <c r="E192" s="104"/>
      <c r="F192" s="104">
        <f t="shared" si="22"/>
        <v>1752.8589616087531</v>
      </c>
      <c r="G192" s="104">
        <f t="shared" si="23"/>
        <v>1690.7202759476324</v>
      </c>
      <c r="H192" s="105">
        <f t="shared" si="24"/>
        <v>0</v>
      </c>
      <c r="I192" s="106">
        <f t="shared" si="25"/>
        <v>560</v>
      </c>
      <c r="J192" s="107">
        <f t="shared" si="26"/>
        <v>1.0050101949905432</v>
      </c>
      <c r="K192" s="108">
        <f t="shared" si="27"/>
        <v>0</v>
      </c>
      <c r="L192" s="109">
        <f t="shared" si="28"/>
        <v>4003.5792375563856</v>
      </c>
      <c r="Q192" s="110"/>
    </row>
    <row r="193" spans="2:17" x14ac:dyDescent="0.2">
      <c r="B193" s="102">
        <f t="shared" si="20"/>
        <v>171</v>
      </c>
      <c r="C193" s="111">
        <f t="shared" si="29"/>
        <v>46082</v>
      </c>
      <c r="D193" s="104">
        <f t="shared" si="21"/>
        <v>473867.91665513482</v>
      </c>
      <c r="E193" s="104"/>
      <c r="F193" s="104">
        <f t="shared" si="22"/>
        <v>1759.0670037644506</v>
      </c>
      <c r="G193" s="104">
        <f t="shared" si="23"/>
        <v>1684.5122337919349</v>
      </c>
      <c r="H193" s="105">
        <f t="shared" si="24"/>
        <v>0</v>
      </c>
      <c r="I193" s="106">
        <f t="shared" si="25"/>
        <v>560</v>
      </c>
      <c r="J193" s="107">
        <f t="shared" si="26"/>
        <v>1.0013199655976825</v>
      </c>
      <c r="K193" s="108">
        <f t="shared" si="27"/>
        <v>0</v>
      </c>
      <c r="L193" s="109">
        <f t="shared" si="28"/>
        <v>4003.5792375563856</v>
      </c>
      <c r="Q193" s="110"/>
    </row>
    <row r="194" spans="2:17" x14ac:dyDescent="0.2">
      <c r="B194" s="102">
        <f t="shared" si="20"/>
        <v>172</v>
      </c>
      <c r="C194" s="111">
        <f t="shared" si="29"/>
        <v>46113</v>
      </c>
      <c r="D194" s="104">
        <f t="shared" si="21"/>
        <v>472102.61962239869</v>
      </c>
      <c r="E194" s="104"/>
      <c r="F194" s="104">
        <f t="shared" si="22"/>
        <v>1765.2970327361165</v>
      </c>
      <c r="G194" s="104">
        <f t="shared" si="23"/>
        <v>1678.282204820269</v>
      </c>
      <c r="H194" s="105">
        <f t="shared" si="24"/>
        <v>0</v>
      </c>
      <c r="I194" s="106">
        <f t="shared" si="25"/>
        <v>560</v>
      </c>
      <c r="J194" s="107">
        <f t="shared" si="26"/>
        <v>0.99761666664238913</v>
      </c>
      <c r="K194" s="108">
        <f t="shared" si="27"/>
        <v>0</v>
      </c>
      <c r="L194" s="109">
        <f t="shared" si="28"/>
        <v>4003.5792375563856</v>
      </c>
      <c r="Q194" s="110"/>
    </row>
    <row r="195" spans="2:17" x14ac:dyDescent="0.2">
      <c r="B195" s="102">
        <f t="shared" si="20"/>
        <v>173</v>
      </c>
      <c r="C195" s="111">
        <f t="shared" si="29"/>
        <v>46143</v>
      </c>
      <c r="D195" s="104">
        <f t="shared" si="21"/>
        <v>470331.07049600495</v>
      </c>
      <c r="E195" s="104"/>
      <c r="F195" s="104">
        <f t="shared" si="22"/>
        <v>1771.5491263937233</v>
      </c>
      <c r="G195" s="104">
        <f t="shared" si="23"/>
        <v>1672.0301111626623</v>
      </c>
      <c r="H195" s="105">
        <f t="shared" si="24"/>
        <v>0</v>
      </c>
      <c r="I195" s="106">
        <f t="shared" si="25"/>
        <v>560</v>
      </c>
      <c r="J195" s="107">
        <f t="shared" si="26"/>
        <v>0.99390025183662878</v>
      </c>
      <c r="K195" s="108">
        <f t="shared" si="27"/>
        <v>0</v>
      </c>
      <c r="L195" s="109">
        <f t="shared" si="28"/>
        <v>4003.5792375563856</v>
      </c>
      <c r="Q195" s="110"/>
    </row>
    <row r="196" spans="2:17" x14ac:dyDescent="0.2">
      <c r="B196" s="102">
        <f t="shared" si="20"/>
        <v>174</v>
      </c>
      <c r="C196" s="111">
        <f t="shared" si="29"/>
        <v>46174</v>
      </c>
      <c r="D196" s="104">
        <f t="shared" si="21"/>
        <v>468553.24713312194</v>
      </c>
      <c r="E196" s="104"/>
      <c r="F196" s="104">
        <f t="shared" si="22"/>
        <v>1777.8233628830346</v>
      </c>
      <c r="G196" s="104">
        <f t="shared" si="23"/>
        <v>1665.7558746733509</v>
      </c>
      <c r="H196" s="105">
        <f t="shared" si="24"/>
        <v>0</v>
      </c>
      <c r="I196" s="106">
        <f t="shared" si="25"/>
        <v>560</v>
      </c>
      <c r="J196" s="107">
        <f t="shared" si="26"/>
        <v>0.99017067472843145</v>
      </c>
      <c r="K196" s="108">
        <f t="shared" si="27"/>
        <v>0</v>
      </c>
      <c r="L196" s="109">
        <f t="shared" si="28"/>
        <v>4003.5792375563856</v>
      </c>
      <c r="Q196" s="110"/>
    </row>
    <row r="197" spans="2:17" x14ac:dyDescent="0.2">
      <c r="B197" s="102">
        <f t="shared" si="20"/>
        <v>175</v>
      </c>
      <c r="C197" s="111">
        <f t="shared" si="29"/>
        <v>46204</v>
      </c>
      <c r="D197" s="104">
        <f t="shared" si="21"/>
        <v>466769.12731249537</v>
      </c>
      <c r="E197" s="104"/>
      <c r="F197" s="104">
        <f t="shared" si="22"/>
        <v>1784.1198206265785</v>
      </c>
      <c r="G197" s="104">
        <f t="shared" si="23"/>
        <v>1659.459416929807</v>
      </c>
      <c r="H197" s="105">
        <f t="shared" si="24"/>
        <v>0</v>
      </c>
      <c r="I197" s="106">
        <f t="shared" si="25"/>
        <v>560</v>
      </c>
      <c r="J197" s="107">
        <f t="shared" si="26"/>
        <v>0.98642788870130937</v>
      </c>
      <c r="K197" s="108">
        <f t="shared" si="27"/>
        <v>0</v>
      </c>
      <c r="L197" s="109">
        <f t="shared" si="28"/>
        <v>4003.5792375563856</v>
      </c>
      <c r="Q197" s="110"/>
    </row>
    <row r="198" spans="2:17" x14ac:dyDescent="0.2">
      <c r="B198" s="102">
        <f t="shared" si="20"/>
        <v>176</v>
      </c>
      <c r="C198" s="111">
        <f t="shared" si="29"/>
        <v>46235</v>
      </c>
      <c r="D198" s="104">
        <f t="shared" si="21"/>
        <v>464978.68873417075</v>
      </c>
      <c r="E198" s="104"/>
      <c r="F198" s="104">
        <f t="shared" si="22"/>
        <v>1790.438578324631</v>
      </c>
      <c r="G198" s="104">
        <f t="shared" si="23"/>
        <v>1653.1406592317546</v>
      </c>
      <c r="H198" s="105">
        <f t="shared" si="24"/>
        <v>0</v>
      </c>
      <c r="I198" s="106">
        <f t="shared" si="25"/>
        <v>560</v>
      </c>
      <c r="J198" s="107">
        <f t="shared" si="26"/>
        <v>0.98267184697367449</v>
      </c>
      <c r="K198" s="108">
        <f t="shared" si="27"/>
        <v>0</v>
      </c>
      <c r="L198" s="109">
        <f t="shared" si="28"/>
        <v>4003.5792375563856</v>
      </c>
      <c r="Q198" s="110"/>
    </row>
    <row r="199" spans="2:17" x14ac:dyDescent="0.2">
      <c r="B199" s="102">
        <f t="shared" si="20"/>
        <v>177</v>
      </c>
      <c r="C199" s="111">
        <f t="shared" si="29"/>
        <v>46266</v>
      </c>
      <c r="D199" s="104">
        <f t="shared" si="21"/>
        <v>463181.90901921457</v>
      </c>
      <c r="E199" s="104"/>
      <c r="F199" s="104">
        <f t="shared" si="22"/>
        <v>1796.7797149561973</v>
      </c>
      <c r="G199" s="104">
        <f t="shared" si="23"/>
        <v>1646.7995226001883</v>
      </c>
      <c r="H199" s="105">
        <f t="shared" si="24"/>
        <v>0</v>
      </c>
      <c r="I199" s="106">
        <f t="shared" si="25"/>
        <v>560</v>
      </c>
      <c r="J199" s="107">
        <f t="shared" si="26"/>
        <v>0.97890250259825418</v>
      </c>
      <c r="K199" s="108">
        <f t="shared" si="27"/>
        <v>0</v>
      </c>
      <c r="L199" s="109">
        <f t="shared" si="28"/>
        <v>4003.5792375563856</v>
      </c>
      <c r="Q199" s="110"/>
    </row>
    <row r="200" spans="2:17" x14ac:dyDescent="0.2">
      <c r="B200" s="102">
        <f t="shared" si="20"/>
        <v>178</v>
      </c>
      <c r="C200" s="111">
        <f t="shared" si="29"/>
        <v>46296</v>
      </c>
      <c r="D200" s="104">
        <f t="shared" si="21"/>
        <v>461378.76570943458</v>
      </c>
      <c r="E200" s="104"/>
      <c r="F200" s="104">
        <f t="shared" si="22"/>
        <v>1803.1433097800004</v>
      </c>
      <c r="G200" s="104">
        <f t="shared" si="23"/>
        <v>1640.4359277763851</v>
      </c>
      <c r="H200" s="105">
        <f t="shared" si="24"/>
        <v>0</v>
      </c>
      <c r="I200" s="106">
        <f t="shared" si="25"/>
        <v>560</v>
      </c>
      <c r="J200" s="107">
        <f t="shared" si="26"/>
        <v>0.97511980846150437</v>
      </c>
      <c r="K200" s="108">
        <f t="shared" si="27"/>
        <v>0</v>
      </c>
      <c r="L200" s="109">
        <f t="shared" si="28"/>
        <v>4003.5792375563856</v>
      </c>
      <c r="Q200" s="110"/>
    </row>
    <row r="201" spans="2:17" x14ac:dyDescent="0.2">
      <c r="B201" s="102">
        <f t="shared" si="20"/>
        <v>179</v>
      </c>
      <c r="C201" s="111">
        <f t="shared" si="29"/>
        <v>46327</v>
      </c>
      <c r="D201" s="104">
        <f t="shared" si="21"/>
        <v>459569.2362670991</v>
      </c>
      <c r="E201" s="104"/>
      <c r="F201" s="104">
        <f t="shared" si="22"/>
        <v>1809.5294423354712</v>
      </c>
      <c r="G201" s="104">
        <f t="shared" si="23"/>
        <v>1634.0497952209143</v>
      </c>
      <c r="H201" s="105">
        <f t="shared" si="24"/>
        <v>0</v>
      </c>
      <c r="I201" s="106">
        <f t="shared" si="25"/>
        <v>560</v>
      </c>
      <c r="J201" s="107">
        <f t="shared" si="26"/>
        <v>0.97132371728302014</v>
      </c>
      <c r="K201" s="108">
        <f t="shared" si="27"/>
        <v>0</v>
      </c>
      <c r="L201" s="109">
        <f t="shared" si="28"/>
        <v>4003.5792375563856</v>
      </c>
      <c r="Q201" s="110"/>
    </row>
    <row r="202" spans="2:17" x14ac:dyDescent="0.2">
      <c r="B202" s="102">
        <f t="shared" si="20"/>
        <v>180</v>
      </c>
      <c r="C202" s="111">
        <f t="shared" si="29"/>
        <v>46357</v>
      </c>
      <c r="D202" s="104">
        <f t="shared" si="21"/>
        <v>457753.29807465535</v>
      </c>
      <c r="E202" s="104"/>
      <c r="F202" s="104">
        <f t="shared" si="22"/>
        <v>1815.9381924437428</v>
      </c>
      <c r="G202" s="104">
        <f t="shared" si="23"/>
        <v>1627.6410451126428</v>
      </c>
      <c r="H202" s="105">
        <f t="shared" si="24"/>
        <v>0</v>
      </c>
      <c r="I202" s="106">
        <f t="shared" si="25"/>
        <v>560</v>
      </c>
      <c r="J202" s="107">
        <f t="shared" si="26"/>
        <v>0.96751418161494551</v>
      </c>
      <c r="K202" s="108">
        <f t="shared" si="27"/>
        <v>0</v>
      </c>
      <c r="L202" s="109">
        <f t="shared" si="28"/>
        <v>4003.5792375563856</v>
      </c>
      <c r="Q202" s="110"/>
    </row>
    <row r="203" spans="2:17" x14ac:dyDescent="0.2">
      <c r="B203" s="102">
        <f t="shared" si="20"/>
        <v>181</v>
      </c>
      <c r="C203" s="111">
        <f t="shared" si="29"/>
        <v>46388</v>
      </c>
      <c r="D203" s="104">
        <f t="shared" si="21"/>
        <v>455930.92843444669</v>
      </c>
      <c r="E203" s="104"/>
      <c r="F203" s="104">
        <f t="shared" si="22"/>
        <v>1822.3696402086478</v>
      </c>
      <c r="G203" s="104">
        <f t="shared" si="23"/>
        <v>1621.2095973477378</v>
      </c>
      <c r="H203" s="105">
        <f t="shared" si="24"/>
        <v>0</v>
      </c>
      <c r="I203" s="106">
        <f t="shared" si="25"/>
        <v>560</v>
      </c>
      <c r="J203" s="107">
        <f t="shared" si="26"/>
        <v>0.96369115384137971</v>
      </c>
      <c r="K203" s="108">
        <f t="shared" si="27"/>
        <v>0</v>
      </c>
      <c r="L203" s="109">
        <f t="shared" si="28"/>
        <v>4003.5792375563856</v>
      </c>
      <c r="Q203" s="110"/>
    </row>
    <row r="204" spans="2:17" x14ac:dyDescent="0.2">
      <c r="B204" s="102">
        <f t="shared" si="20"/>
        <v>182</v>
      </c>
      <c r="C204" s="111">
        <f t="shared" si="29"/>
        <v>46419</v>
      </c>
      <c r="D204" s="104">
        <f t="shared" si="21"/>
        <v>454102.10456842894</v>
      </c>
      <c r="E204" s="104"/>
      <c r="F204" s="104">
        <f t="shared" si="22"/>
        <v>1828.8238660177201</v>
      </c>
      <c r="G204" s="104">
        <f t="shared" si="23"/>
        <v>1614.7553715386655</v>
      </c>
      <c r="H204" s="105">
        <f t="shared" si="24"/>
        <v>0</v>
      </c>
      <c r="I204" s="106">
        <f t="shared" si="25"/>
        <v>560</v>
      </c>
      <c r="J204" s="107">
        <f t="shared" si="26"/>
        <v>0.95985458617778252</v>
      </c>
      <c r="K204" s="108">
        <f t="shared" si="27"/>
        <v>0</v>
      </c>
      <c r="L204" s="109">
        <f t="shared" si="28"/>
        <v>4003.5792375563856</v>
      </c>
      <c r="Q204" s="110"/>
    </row>
    <row r="205" spans="2:17" x14ac:dyDescent="0.2">
      <c r="B205" s="102">
        <f t="shared" si="20"/>
        <v>183</v>
      </c>
      <c r="C205" s="111">
        <f t="shared" si="29"/>
        <v>46447</v>
      </c>
      <c r="D205" s="104">
        <f t="shared" si="21"/>
        <v>452266.80361788574</v>
      </c>
      <c r="E205" s="104"/>
      <c r="F205" s="104">
        <f t="shared" si="22"/>
        <v>1835.3009505431996</v>
      </c>
      <c r="G205" s="104">
        <f t="shared" si="23"/>
        <v>1608.2782870131859</v>
      </c>
      <c r="H205" s="105">
        <f t="shared" si="24"/>
        <v>0</v>
      </c>
      <c r="I205" s="106">
        <f t="shared" si="25"/>
        <v>560</v>
      </c>
      <c r="J205" s="107">
        <f t="shared" si="26"/>
        <v>0.95600443067037677</v>
      </c>
      <c r="K205" s="108">
        <f t="shared" si="27"/>
        <v>0</v>
      </c>
      <c r="L205" s="109">
        <f t="shared" si="28"/>
        <v>4003.5792375563856</v>
      </c>
      <c r="Q205" s="110"/>
    </row>
    <row r="206" spans="2:17" x14ac:dyDescent="0.2">
      <c r="B206" s="102">
        <f t="shared" si="20"/>
        <v>184</v>
      </c>
      <c r="C206" s="111">
        <f t="shared" si="29"/>
        <v>46478</v>
      </c>
      <c r="D206" s="104">
        <f t="shared" si="21"/>
        <v>450425.00264314271</v>
      </c>
      <c r="E206" s="104"/>
      <c r="F206" s="104">
        <f t="shared" si="22"/>
        <v>1841.8009747430401</v>
      </c>
      <c r="G206" s="104">
        <f t="shared" si="23"/>
        <v>1601.7782628133455</v>
      </c>
      <c r="H206" s="105">
        <f t="shared" si="24"/>
        <v>0</v>
      </c>
      <c r="I206" s="106">
        <f t="shared" si="25"/>
        <v>560</v>
      </c>
      <c r="J206" s="107">
        <f t="shared" si="26"/>
        <v>0.95214063919554892</v>
      </c>
      <c r="K206" s="108">
        <f t="shared" si="27"/>
        <v>0</v>
      </c>
      <c r="L206" s="109">
        <f t="shared" si="28"/>
        <v>4003.5792375563856</v>
      </c>
      <c r="Q206" s="110"/>
    </row>
    <row r="207" spans="2:17" x14ac:dyDescent="0.2">
      <c r="B207" s="102">
        <f t="shared" si="20"/>
        <v>185</v>
      </c>
      <c r="C207" s="111">
        <f t="shared" si="29"/>
        <v>46508</v>
      </c>
      <c r="D207" s="104">
        <f t="shared" si="21"/>
        <v>448576.67862328078</v>
      </c>
      <c r="E207" s="104"/>
      <c r="F207" s="104">
        <f t="shared" si="22"/>
        <v>1848.3240198619217</v>
      </c>
      <c r="G207" s="104">
        <f t="shared" si="23"/>
        <v>1595.2552176944639</v>
      </c>
      <c r="H207" s="105">
        <f t="shared" si="24"/>
        <v>0</v>
      </c>
      <c r="I207" s="106">
        <f t="shared" si="25"/>
        <v>560</v>
      </c>
      <c r="J207" s="107">
        <f t="shared" si="26"/>
        <v>0.94826316345924777</v>
      </c>
      <c r="K207" s="108">
        <f t="shared" si="27"/>
        <v>0</v>
      </c>
      <c r="L207" s="109">
        <f t="shared" si="28"/>
        <v>4003.5792375563856</v>
      </c>
      <c r="Q207" s="110"/>
    </row>
    <row r="208" spans="2:17" x14ac:dyDescent="0.2">
      <c r="B208" s="102">
        <f t="shared" si="20"/>
        <v>186</v>
      </c>
      <c r="C208" s="111">
        <f t="shared" si="29"/>
        <v>46539</v>
      </c>
      <c r="D208" s="104">
        <f t="shared" si="21"/>
        <v>446721.80845584848</v>
      </c>
      <c r="E208" s="104"/>
      <c r="F208" s="104">
        <f t="shared" si="22"/>
        <v>1854.870167432266</v>
      </c>
      <c r="G208" s="104">
        <f t="shared" si="23"/>
        <v>1588.7090701241195</v>
      </c>
      <c r="H208" s="105">
        <f t="shared" si="24"/>
        <v>0</v>
      </c>
      <c r="I208" s="106">
        <f t="shared" si="25"/>
        <v>560</v>
      </c>
      <c r="J208" s="107">
        <f t="shared" si="26"/>
        <v>0.9443719549963806</v>
      </c>
      <c r="K208" s="108">
        <f t="shared" si="27"/>
        <v>0</v>
      </c>
      <c r="L208" s="109">
        <f t="shared" si="28"/>
        <v>4003.5792375563856</v>
      </c>
      <c r="Q208" s="110"/>
    </row>
    <row r="209" spans="2:17" x14ac:dyDescent="0.2">
      <c r="B209" s="102">
        <f t="shared" si="20"/>
        <v>187</v>
      </c>
      <c r="C209" s="111">
        <f t="shared" si="29"/>
        <v>46569</v>
      </c>
      <c r="D209" s="104">
        <f t="shared" si="21"/>
        <v>444860.36895657325</v>
      </c>
      <c r="E209" s="104"/>
      <c r="F209" s="104">
        <f t="shared" si="22"/>
        <v>1861.4394992752555</v>
      </c>
      <c r="G209" s="104">
        <f t="shared" si="23"/>
        <v>1582.1397382811301</v>
      </c>
      <c r="H209" s="105">
        <f t="shared" si="24"/>
        <v>0</v>
      </c>
      <c r="I209" s="106">
        <f t="shared" si="25"/>
        <v>560</v>
      </c>
      <c r="J209" s="107">
        <f t="shared" si="26"/>
        <v>0.94046696517020734</v>
      </c>
      <c r="K209" s="108">
        <f t="shared" si="27"/>
        <v>0</v>
      </c>
      <c r="L209" s="109">
        <f t="shared" si="28"/>
        <v>4003.5792375563856</v>
      </c>
      <c r="Q209" s="110"/>
    </row>
    <row r="210" spans="2:17" x14ac:dyDescent="0.2">
      <c r="B210" s="102">
        <f t="shared" si="20"/>
        <v>188</v>
      </c>
      <c r="C210" s="111">
        <f t="shared" si="29"/>
        <v>46600</v>
      </c>
      <c r="D210" s="104">
        <f t="shared" si="21"/>
        <v>442992.33685907139</v>
      </c>
      <c r="E210" s="104"/>
      <c r="F210" s="104">
        <f t="shared" si="22"/>
        <v>1868.0320975018553</v>
      </c>
      <c r="G210" s="104">
        <f t="shared" si="23"/>
        <v>1575.5471400545302</v>
      </c>
      <c r="H210" s="105">
        <f t="shared" si="24"/>
        <v>0</v>
      </c>
      <c r="I210" s="106">
        <f t="shared" si="25"/>
        <v>560</v>
      </c>
      <c r="J210" s="107">
        <f t="shared" si="26"/>
        <v>0.93654814517173313</v>
      </c>
      <c r="K210" s="108">
        <f t="shared" si="27"/>
        <v>0</v>
      </c>
      <c r="L210" s="109">
        <f t="shared" si="28"/>
        <v>4003.5792375563856</v>
      </c>
      <c r="Q210" s="110"/>
    </row>
    <row r="211" spans="2:17" x14ac:dyDescent="0.2">
      <c r="B211" s="102">
        <f t="shared" si="20"/>
        <v>189</v>
      </c>
      <c r="C211" s="111">
        <f t="shared" si="29"/>
        <v>46631</v>
      </c>
      <c r="D211" s="104">
        <f t="shared" si="21"/>
        <v>441117.68881455756</v>
      </c>
      <c r="E211" s="104"/>
      <c r="F211" s="104">
        <f t="shared" si="22"/>
        <v>1874.6480445138409</v>
      </c>
      <c r="G211" s="104">
        <f t="shared" si="23"/>
        <v>1568.9311930425447</v>
      </c>
      <c r="H211" s="105">
        <f t="shared" si="24"/>
        <v>0</v>
      </c>
      <c r="I211" s="106">
        <f t="shared" si="25"/>
        <v>560</v>
      </c>
      <c r="J211" s="107">
        <f t="shared" si="26"/>
        <v>0.93261544601909763</v>
      </c>
      <c r="K211" s="108">
        <f t="shared" si="27"/>
        <v>0</v>
      </c>
      <c r="L211" s="109">
        <f t="shared" si="28"/>
        <v>4003.5792375563856</v>
      </c>
      <c r="Q211" s="110"/>
    </row>
    <row r="212" spans="2:17" x14ac:dyDescent="0.2">
      <c r="B212" s="102">
        <f t="shared" si="20"/>
        <v>190</v>
      </c>
      <c r="C212" s="111">
        <f t="shared" si="29"/>
        <v>46661</v>
      </c>
      <c r="D212" s="104">
        <f t="shared" si="21"/>
        <v>439236.40139155276</v>
      </c>
      <c r="E212" s="104"/>
      <c r="F212" s="104">
        <f t="shared" si="22"/>
        <v>1881.2874230048276</v>
      </c>
      <c r="G212" s="104">
        <f t="shared" si="23"/>
        <v>1562.291814551558</v>
      </c>
      <c r="H212" s="105">
        <f t="shared" si="24"/>
        <v>0</v>
      </c>
      <c r="I212" s="106">
        <f t="shared" si="25"/>
        <v>560</v>
      </c>
      <c r="J212" s="107">
        <f t="shared" si="26"/>
        <v>0.92866881855696326</v>
      </c>
      <c r="K212" s="108">
        <f t="shared" si="27"/>
        <v>0</v>
      </c>
      <c r="L212" s="109">
        <f t="shared" si="28"/>
        <v>4003.5792375563856</v>
      </c>
      <c r="Q212" s="110"/>
    </row>
    <row r="213" spans="2:17" x14ac:dyDescent="0.2">
      <c r="B213" s="102">
        <f t="shared" si="20"/>
        <v>191</v>
      </c>
      <c r="C213" s="111">
        <f t="shared" si="29"/>
        <v>46692</v>
      </c>
      <c r="D213" s="104">
        <f t="shared" si="21"/>
        <v>437348.45107559144</v>
      </c>
      <c r="E213" s="104"/>
      <c r="F213" s="104">
        <f t="shared" si="22"/>
        <v>1887.9503159613027</v>
      </c>
      <c r="G213" s="104">
        <f t="shared" si="23"/>
        <v>1555.6289215950828</v>
      </c>
      <c r="H213" s="105">
        <f t="shared" si="24"/>
        <v>0</v>
      </c>
      <c r="I213" s="106">
        <f t="shared" si="25"/>
        <v>560</v>
      </c>
      <c r="J213" s="107">
        <f t="shared" si="26"/>
        <v>0.9247082134559006</v>
      </c>
      <c r="K213" s="108">
        <f t="shared" si="27"/>
        <v>0</v>
      </c>
      <c r="L213" s="109">
        <f t="shared" si="28"/>
        <v>4003.5792375563856</v>
      </c>
      <c r="Q213" s="110"/>
    </row>
    <row r="214" spans="2:17" x14ac:dyDescent="0.2">
      <c r="B214" s="102">
        <f t="shared" si="20"/>
        <v>192</v>
      </c>
      <c r="C214" s="111">
        <f t="shared" si="29"/>
        <v>46722</v>
      </c>
      <c r="D214" s="104">
        <f t="shared" si="21"/>
        <v>435453.81426892779</v>
      </c>
      <c r="E214" s="104"/>
      <c r="F214" s="104">
        <f t="shared" si="22"/>
        <v>1894.6368066636658</v>
      </c>
      <c r="G214" s="104">
        <f t="shared" si="23"/>
        <v>1548.9424308927198</v>
      </c>
      <c r="H214" s="105">
        <f t="shared" si="24"/>
        <v>0</v>
      </c>
      <c r="I214" s="106">
        <f t="shared" si="25"/>
        <v>560</v>
      </c>
      <c r="J214" s="107">
        <f t="shared" si="26"/>
        <v>0.9207335812117714</v>
      </c>
      <c r="K214" s="108">
        <f t="shared" si="27"/>
        <v>0</v>
      </c>
      <c r="L214" s="109">
        <f t="shared" si="28"/>
        <v>4003.5792375563856</v>
      </c>
      <c r="Q214" s="110"/>
    </row>
    <row r="215" spans="2:17" x14ac:dyDescent="0.2">
      <c r="B215" s="102">
        <f t="shared" si="20"/>
        <v>193</v>
      </c>
      <c r="C215" s="111">
        <f t="shared" si="29"/>
        <v>46753</v>
      </c>
      <c r="D215" s="104">
        <f t="shared" si="21"/>
        <v>433552.46729024051</v>
      </c>
      <c r="E215" s="104"/>
      <c r="F215" s="104">
        <f t="shared" si="22"/>
        <v>1901.3469786872661</v>
      </c>
      <c r="G215" s="104">
        <f t="shared" si="23"/>
        <v>1542.2322588691195</v>
      </c>
      <c r="H215" s="105">
        <f t="shared" si="24"/>
        <v>0</v>
      </c>
      <c r="I215" s="106">
        <f t="shared" si="25"/>
        <v>560</v>
      </c>
      <c r="J215" s="107">
        <f t="shared" si="26"/>
        <v>0.91674487214511113</v>
      </c>
      <c r="K215" s="108">
        <f t="shared" si="27"/>
        <v>0</v>
      </c>
      <c r="L215" s="109">
        <f t="shared" si="28"/>
        <v>4003.5792375563856</v>
      </c>
      <c r="Q215" s="110"/>
    </row>
    <row r="216" spans="2:17" x14ac:dyDescent="0.2">
      <c r="B216" s="102">
        <f t="shared" ref="B216:B279" si="30">IF(B215="","",IF(D215&lt;0.01,"",B215+1))</f>
        <v>194</v>
      </c>
      <c r="C216" s="111">
        <f t="shared" si="29"/>
        <v>46784</v>
      </c>
      <c r="D216" s="104">
        <f t="shared" ref="D216:D279" si="31">IF(B216="","",D215-F216-H216)</f>
        <v>431644.38637433707</v>
      </c>
      <c r="E216" s="104"/>
      <c r="F216" s="104">
        <f t="shared" ref="F216:F279" si="32">IF(B216="","",IF(D215&lt;F215,D215,IF($D$7*$D$8=B216,D215,$D$9-G216)))</f>
        <v>1908.0809159034502</v>
      </c>
      <c r="G216" s="104">
        <f t="shared" ref="G216:G279" si="33">IF(B216="","",D215*$D$5/$D$8)</f>
        <v>1535.4983216529354</v>
      </c>
      <c r="H216" s="105">
        <f t="shared" ref="H216:H279" si="34">IF(B216="","",IF(C216&gt;=$D$15,MIN($D$14,D215-F216),0))</f>
        <v>0</v>
      </c>
      <c r="I216" s="106">
        <f t="shared" ref="I216:I279" si="35">IF(B216="","",IF(J216&gt;0.78,$D$12,IF(B216&lt;60,$D$12,0)))</f>
        <v>560</v>
      </c>
      <c r="J216" s="107">
        <f t="shared" ref="J216:J279" si="36">IF(B216="","",D215/$D$10)</f>
        <v>0.91274203640050633</v>
      </c>
      <c r="K216" s="108">
        <f t="shared" ref="K216:K279" si="37">IF(B216="","",IF(D215&gt;0.01,$D$13,""))</f>
        <v>0</v>
      </c>
      <c r="L216" s="109">
        <f t="shared" ref="L216:L279" si="38">IF(B216="","",SUM(F216:I216,K216))</f>
        <v>4003.5792375563856</v>
      </c>
      <c r="Q216" s="110"/>
    </row>
    <row r="217" spans="2:17" x14ac:dyDescent="0.2">
      <c r="B217" s="102">
        <f t="shared" si="30"/>
        <v>195</v>
      </c>
      <c r="C217" s="111">
        <f t="shared" ref="C217:C280" si="39">IF(B217="","",DATE(YEAR(C216),MONTH(C216)+12/$D$8,DAY(C216)))</f>
        <v>46813</v>
      </c>
      <c r="D217" s="104">
        <f t="shared" si="31"/>
        <v>429729.54767185648</v>
      </c>
      <c r="E217" s="104"/>
      <c r="F217" s="104">
        <f t="shared" si="32"/>
        <v>1914.8387024806084</v>
      </c>
      <c r="G217" s="104">
        <f t="shared" si="33"/>
        <v>1528.7405350757772</v>
      </c>
      <c r="H217" s="105">
        <f t="shared" si="34"/>
        <v>0</v>
      </c>
      <c r="I217" s="106">
        <f t="shared" si="35"/>
        <v>560</v>
      </c>
      <c r="J217" s="107">
        <f t="shared" si="36"/>
        <v>0.90872502394597277</v>
      </c>
      <c r="K217" s="108">
        <f t="shared" si="37"/>
        <v>0</v>
      </c>
      <c r="L217" s="109">
        <f t="shared" si="38"/>
        <v>4003.5792375563856</v>
      </c>
      <c r="Q217" s="110"/>
    </row>
    <row r="218" spans="2:17" x14ac:dyDescent="0.2">
      <c r="B218" s="102">
        <f t="shared" si="30"/>
        <v>196</v>
      </c>
      <c r="C218" s="111">
        <f t="shared" si="39"/>
        <v>46844</v>
      </c>
      <c r="D218" s="104">
        <f t="shared" si="31"/>
        <v>427807.92724897125</v>
      </c>
      <c r="E218" s="104"/>
      <c r="F218" s="104">
        <f t="shared" si="32"/>
        <v>1921.6204228852271</v>
      </c>
      <c r="G218" s="104">
        <f t="shared" si="33"/>
        <v>1521.9588146711585</v>
      </c>
      <c r="H218" s="105">
        <f t="shared" si="34"/>
        <v>0</v>
      </c>
      <c r="I218" s="106">
        <f t="shared" si="35"/>
        <v>560</v>
      </c>
      <c r="J218" s="107">
        <f t="shared" si="36"/>
        <v>0.90469378457232941</v>
      </c>
      <c r="K218" s="108">
        <f t="shared" si="37"/>
        <v>0</v>
      </c>
      <c r="L218" s="109">
        <f t="shared" si="38"/>
        <v>4003.5792375563856</v>
      </c>
      <c r="Q218" s="110"/>
    </row>
    <row r="219" spans="2:17" x14ac:dyDescent="0.2">
      <c r="B219" s="102">
        <f t="shared" si="30"/>
        <v>197</v>
      </c>
      <c r="C219" s="111">
        <f t="shared" si="39"/>
        <v>46874</v>
      </c>
      <c r="D219" s="104">
        <f t="shared" si="31"/>
        <v>425879.50108708831</v>
      </c>
      <c r="E219" s="104"/>
      <c r="F219" s="104">
        <f t="shared" si="32"/>
        <v>1928.4261618829455</v>
      </c>
      <c r="G219" s="104">
        <f t="shared" si="33"/>
        <v>1515.1530756734401</v>
      </c>
      <c r="H219" s="105">
        <f t="shared" si="34"/>
        <v>0</v>
      </c>
      <c r="I219" s="106">
        <f t="shared" si="35"/>
        <v>560</v>
      </c>
      <c r="J219" s="107">
        <f t="shared" si="36"/>
        <v>0.90064826789257102</v>
      </c>
      <c r="K219" s="108">
        <f t="shared" si="37"/>
        <v>0</v>
      </c>
      <c r="L219" s="109">
        <f t="shared" si="38"/>
        <v>4003.5792375563856</v>
      </c>
      <c r="Q219" s="110"/>
    </row>
    <row r="220" spans="2:17" x14ac:dyDescent="0.2">
      <c r="B220" s="102">
        <f t="shared" si="30"/>
        <v>198</v>
      </c>
      <c r="C220" s="111">
        <f t="shared" si="39"/>
        <v>46905</v>
      </c>
      <c r="D220" s="104">
        <f t="shared" si="31"/>
        <v>423944.2450825487</v>
      </c>
      <c r="E220" s="104"/>
      <c r="F220" s="104">
        <f t="shared" si="32"/>
        <v>1935.2560045396144</v>
      </c>
      <c r="G220" s="104">
        <f t="shared" si="33"/>
        <v>1508.3232330167712</v>
      </c>
      <c r="H220" s="105">
        <f t="shared" si="34"/>
        <v>0</v>
      </c>
      <c r="I220" s="106">
        <f t="shared" si="35"/>
        <v>560</v>
      </c>
      <c r="J220" s="107">
        <f t="shared" si="36"/>
        <v>0.89658842334123856</v>
      </c>
      <c r="K220" s="108">
        <f t="shared" si="37"/>
        <v>0</v>
      </c>
      <c r="L220" s="109">
        <f t="shared" si="38"/>
        <v>4003.5792375563856</v>
      </c>
      <c r="Q220" s="110"/>
    </row>
    <row r="221" spans="2:17" x14ac:dyDescent="0.2">
      <c r="B221" s="102">
        <f t="shared" si="30"/>
        <v>199</v>
      </c>
      <c r="C221" s="111">
        <f t="shared" si="39"/>
        <v>46935</v>
      </c>
      <c r="D221" s="104">
        <f t="shared" si="31"/>
        <v>422002.13504632632</v>
      </c>
      <c r="E221" s="104"/>
      <c r="F221" s="104">
        <f t="shared" si="32"/>
        <v>1942.110036222359</v>
      </c>
      <c r="G221" s="104">
        <f t="shared" si="33"/>
        <v>1501.4692013340266</v>
      </c>
      <c r="H221" s="105">
        <f t="shared" si="34"/>
        <v>0</v>
      </c>
      <c r="I221" s="106">
        <f t="shared" si="35"/>
        <v>560</v>
      </c>
      <c r="J221" s="107">
        <f t="shared" si="36"/>
        <v>0.8925142001737868</v>
      </c>
      <c r="K221" s="108">
        <f t="shared" si="37"/>
        <v>0</v>
      </c>
      <c r="L221" s="109">
        <f t="shared" si="38"/>
        <v>4003.5792375563856</v>
      </c>
      <c r="Q221" s="110"/>
    </row>
    <row r="222" spans="2:17" x14ac:dyDescent="0.2">
      <c r="B222" s="102">
        <f t="shared" si="30"/>
        <v>200</v>
      </c>
      <c r="C222" s="111">
        <f t="shared" si="39"/>
        <v>46966</v>
      </c>
      <c r="D222" s="104">
        <f t="shared" si="31"/>
        <v>420053.14670372568</v>
      </c>
      <c r="E222" s="104"/>
      <c r="F222" s="104">
        <f t="shared" si="32"/>
        <v>1948.9883426006465</v>
      </c>
      <c r="G222" s="104">
        <f t="shared" si="33"/>
        <v>1494.590894955739</v>
      </c>
      <c r="H222" s="105">
        <f t="shared" si="34"/>
        <v>0</v>
      </c>
      <c r="I222" s="106">
        <f t="shared" si="35"/>
        <v>560</v>
      </c>
      <c r="J222" s="107">
        <f t="shared" si="36"/>
        <v>0.88842554746595015</v>
      </c>
      <c r="K222" s="108">
        <f t="shared" si="37"/>
        <v>0</v>
      </c>
      <c r="L222" s="109">
        <f t="shared" si="38"/>
        <v>4003.5792375563856</v>
      </c>
      <c r="Q222" s="110"/>
    </row>
    <row r="223" spans="2:17" x14ac:dyDescent="0.2">
      <c r="B223" s="102">
        <f t="shared" si="30"/>
        <v>201</v>
      </c>
      <c r="C223" s="111">
        <f t="shared" si="39"/>
        <v>46997</v>
      </c>
      <c r="D223" s="104">
        <f t="shared" si="31"/>
        <v>418097.25569407834</v>
      </c>
      <c r="E223" s="104"/>
      <c r="F223" s="104">
        <f t="shared" si="32"/>
        <v>1955.8910096473569</v>
      </c>
      <c r="G223" s="104">
        <f t="shared" si="33"/>
        <v>1487.6882279090287</v>
      </c>
      <c r="H223" s="105">
        <f t="shared" si="34"/>
        <v>0</v>
      </c>
      <c r="I223" s="106">
        <f t="shared" si="35"/>
        <v>560</v>
      </c>
      <c r="J223" s="107">
        <f t="shared" si="36"/>
        <v>0.88432241411310675</v>
      </c>
      <c r="K223" s="108">
        <f t="shared" si="37"/>
        <v>0</v>
      </c>
      <c r="L223" s="109">
        <f t="shared" si="38"/>
        <v>4003.5792375563856</v>
      </c>
      <c r="Q223" s="110"/>
    </row>
    <row r="224" spans="2:17" x14ac:dyDescent="0.2">
      <c r="B224" s="102">
        <f t="shared" si="30"/>
        <v>202</v>
      </c>
      <c r="C224" s="111">
        <f t="shared" si="39"/>
        <v>47027</v>
      </c>
      <c r="D224" s="104">
        <f t="shared" si="31"/>
        <v>416134.43757043849</v>
      </c>
      <c r="E224" s="104"/>
      <c r="F224" s="104">
        <f t="shared" si="32"/>
        <v>1962.818123639858</v>
      </c>
      <c r="G224" s="104">
        <f t="shared" si="33"/>
        <v>1480.7611139165276</v>
      </c>
      <c r="H224" s="105">
        <f t="shared" si="34"/>
        <v>0</v>
      </c>
      <c r="I224" s="106">
        <f t="shared" si="35"/>
        <v>560</v>
      </c>
      <c r="J224" s="107">
        <f t="shared" si="36"/>
        <v>0.88020474882963862</v>
      </c>
      <c r="K224" s="108">
        <f t="shared" si="37"/>
        <v>0</v>
      </c>
      <c r="L224" s="109">
        <f t="shared" si="38"/>
        <v>4003.5792375563856</v>
      </c>
      <c r="Q224" s="110"/>
    </row>
    <row r="225" spans="2:17" x14ac:dyDescent="0.2">
      <c r="B225" s="102">
        <f t="shared" si="30"/>
        <v>203</v>
      </c>
      <c r="C225" s="111">
        <f t="shared" si="39"/>
        <v>47058</v>
      </c>
      <c r="D225" s="104">
        <f t="shared" si="31"/>
        <v>414164.66779927741</v>
      </c>
      <c r="E225" s="104"/>
      <c r="F225" s="104">
        <f t="shared" si="32"/>
        <v>1969.7697711610824</v>
      </c>
      <c r="G225" s="104">
        <f t="shared" si="33"/>
        <v>1473.8094663953032</v>
      </c>
      <c r="H225" s="105">
        <f t="shared" si="34"/>
        <v>0</v>
      </c>
      <c r="I225" s="106">
        <f t="shared" si="35"/>
        <v>560</v>
      </c>
      <c r="J225" s="107">
        <f t="shared" si="36"/>
        <v>0.87607250014829152</v>
      </c>
      <c r="K225" s="108">
        <f t="shared" si="37"/>
        <v>0</v>
      </c>
      <c r="L225" s="109">
        <f t="shared" si="38"/>
        <v>4003.5792375563856</v>
      </c>
      <c r="Q225" s="110"/>
    </row>
    <row r="226" spans="2:17" x14ac:dyDescent="0.2">
      <c r="B226" s="102">
        <f t="shared" si="30"/>
        <v>204</v>
      </c>
      <c r="C226" s="111">
        <f t="shared" si="39"/>
        <v>47088</v>
      </c>
      <c r="D226" s="104">
        <f t="shared" si="31"/>
        <v>412187.92176017677</v>
      </c>
      <c r="E226" s="104"/>
      <c r="F226" s="104">
        <f t="shared" si="32"/>
        <v>1976.7460391006114</v>
      </c>
      <c r="G226" s="104">
        <f t="shared" si="33"/>
        <v>1466.8331984557742</v>
      </c>
      <c r="H226" s="105">
        <f t="shared" si="34"/>
        <v>0</v>
      </c>
      <c r="I226" s="106">
        <f t="shared" si="35"/>
        <v>560</v>
      </c>
      <c r="J226" s="107">
        <f t="shared" si="36"/>
        <v>0.87192561641953137</v>
      </c>
      <c r="K226" s="108">
        <f t="shared" si="37"/>
        <v>0</v>
      </c>
      <c r="L226" s="109">
        <f t="shared" si="38"/>
        <v>4003.5792375563856</v>
      </c>
      <c r="Q226" s="110"/>
    </row>
    <row r="227" spans="2:17" x14ac:dyDescent="0.2">
      <c r="B227" s="102">
        <f t="shared" si="30"/>
        <v>205</v>
      </c>
      <c r="C227" s="111">
        <f t="shared" si="39"/>
        <v>47119</v>
      </c>
      <c r="D227" s="104">
        <f t="shared" si="31"/>
        <v>410204.17474552104</v>
      </c>
      <c r="E227" s="104"/>
      <c r="F227" s="104">
        <f t="shared" si="32"/>
        <v>1983.7470146557594</v>
      </c>
      <c r="G227" s="104">
        <f t="shared" si="33"/>
        <v>1459.8322229006262</v>
      </c>
      <c r="H227" s="105">
        <f t="shared" si="34"/>
        <v>0</v>
      </c>
      <c r="I227" s="106">
        <f t="shared" si="35"/>
        <v>560</v>
      </c>
      <c r="J227" s="107">
        <f t="shared" si="36"/>
        <v>0.8677640458108985</v>
      </c>
      <c r="K227" s="108">
        <f t="shared" si="37"/>
        <v>0</v>
      </c>
      <c r="L227" s="109">
        <f t="shared" si="38"/>
        <v>4003.5792375563856</v>
      </c>
      <c r="Q227" s="110"/>
    </row>
    <row r="228" spans="2:17" x14ac:dyDescent="0.2">
      <c r="B228" s="102">
        <f t="shared" si="30"/>
        <v>206</v>
      </c>
      <c r="C228" s="111">
        <f t="shared" si="39"/>
        <v>47150</v>
      </c>
      <c r="D228" s="104">
        <f t="shared" si="31"/>
        <v>408213.40196018835</v>
      </c>
      <c r="E228" s="104"/>
      <c r="F228" s="104">
        <f t="shared" si="32"/>
        <v>1990.7727853326653</v>
      </c>
      <c r="G228" s="104">
        <f t="shared" si="33"/>
        <v>1452.8064522237203</v>
      </c>
      <c r="H228" s="105">
        <f t="shared" si="34"/>
        <v>0</v>
      </c>
      <c r="I228" s="106">
        <f t="shared" si="35"/>
        <v>560</v>
      </c>
      <c r="J228" s="107">
        <f t="shared" si="36"/>
        <v>0.8635877363063601</v>
      </c>
      <c r="K228" s="108">
        <f t="shared" si="37"/>
        <v>0</v>
      </c>
      <c r="L228" s="109">
        <f t="shared" si="38"/>
        <v>4003.5792375563856</v>
      </c>
      <c r="Q228" s="110"/>
    </row>
    <row r="229" spans="2:17" x14ac:dyDescent="0.2">
      <c r="B229" s="102">
        <f t="shared" si="30"/>
        <v>207</v>
      </c>
      <c r="C229" s="111">
        <f t="shared" si="39"/>
        <v>47178</v>
      </c>
      <c r="D229" s="104">
        <f t="shared" si="31"/>
        <v>406215.57852124097</v>
      </c>
      <c r="E229" s="104"/>
      <c r="F229" s="104">
        <f t="shared" si="32"/>
        <v>1997.8234389473851</v>
      </c>
      <c r="G229" s="104">
        <f t="shared" si="33"/>
        <v>1445.7557986090005</v>
      </c>
      <c r="H229" s="105">
        <f t="shared" si="34"/>
        <v>0</v>
      </c>
      <c r="I229" s="106">
        <f t="shared" si="35"/>
        <v>560</v>
      </c>
      <c r="J229" s="107">
        <f t="shared" si="36"/>
        <v>0.85939663570565972</v>
      </c>
      <c r="K229" s="108">
        <f t="shared" si="37"/>
        <v>0</v>
      </c>
      <c r="L229" s="109">
        <f t="shared" si="38"/>
        <v>4003.5792375563856</v>
      </c>
      <c r="Q229" s="110"/>
    </row>
    <row r="230" spans="2:17" x14ac:dyDescent="0.2">
      <c r="B230" s="102">
        <f t="shared" si="30"/>
        <v>208</v>
      </c>
      <c r="C230" s="111">
        <f t="shared" si="39"/>
        <v>47209</v>
      </c>
      <c r="D230" s="104">
        <f t="shared" si="31"/>
        <v>404210.67945761397</v>
      </c>
      <c r="E230" s="104"/>
      <c r="F230" s="104">
        <f t="shared" si="32"/>
        <v>2004.8990636269905</v>
      </c>
      <c r="G230" s="104">
        <f t="shared" si="33"/>
        <v>1438.6801739293951</v>
      </c>
      <c r="H230" s="105">
        <f t="shared" si="34"/>
        <v>0</v>
      </c>
      <c r="I230" s="106">
        <f t="shared" si="35"/>
        <v>560</v>
      </c>
      <c r="J230" s="107">
        <f t="shared" si="36"/>
        <v>0.85519069162366523</v>
      </c>
      <c r="K230" s="108">
        <f t="shared" si="37"/>
        <v>0</v>
      </c>
      <c r="L230" s="109">
        <f t="shared" si="38"/>
        <v>4003.5792375563856</v>
      </c>
      <c r="Q230" s="110"/>
    </row>
    <row r="231" spans="2:17" x14ac:dyDescent="0.2">
      <c r="B231" s="102">
        <f t="shared" si="30"/>
        <v>209</v>
      </c>
      <c r="C231" s="111">
        <f t="shared" si="39"/>
        <v>47239</v>
      </c>
      <c r="D231" s="104">
        <f t="shared" si="31"/>
        <v>402198.67970980331</v>
      </c>
      <c r="E231" s="104"/>
      <c r="F231" s="104">
        <f t="shared" si="32"/>
        <v>2011.9997478106693</v>
      </c>
      <c r="G231" s="104">
        <f t="shared" si="33"/>
        <v>1431.5794897457163</v>
      </c>
      <c r="H231" s="105">
        <f t="shared" si="34"/>
        <v>0</v>
      </c>
      <c r="I231" s="106">
        <f t="shared" si="35"/>
        <v>560</v>
      </c>
      <c r="J231" s="107">
        <f t="shared" si="36"/>
        <v>0.8509698514897136</v>
      </c>
      <c r="K231" s="108">
        <f t="shared" si="37"/>
        <v>0</v>
      </c>
      <c r="L231" s="109">
        <f t="shared" si="38"/>
        <v>4003.5792375563856</v>
      </c>
      <c r="Q231" s="110"/>
    </row>
    <row r="232" spans="2:17" x14ac:dyDescent="0.2">
      <c r="B232" s="102">
        <f t="shared" si="30"/>
        <v>210</v>
      </c>
      <c r="C232" s="111">
        <f t="shared" si="39"/>
        <v>47270</v>
      </c>
      <c r="D232" s="104">
        <f t="shared" si="31"/>
        <v>400179.5541295525</v>
      </c>
      <c r="E232" s="104"/>
      <c r="F232" s="104">
        <f t="shared" si="32"/>
        <v>2019.1255802508319</v>
      </c>
      <c r="G232" s="104">
        <f t="shared" si="33"/>
        <v>1424.4536573055536</v>
      </c>
      <c r="H232" s="105">
        <f t="shared" si="34"/>
        <v>0</v>
      </c>
      <c r="I232" s="106">
        <f t="shared" si="35"/>
        <v>560</v>
      </c>
      <c r="J232" s="107">
        <f t="shared" si="36"/>
        <v>0.84673406254695438</v>
      </c>
      <c r="K232" s="108">
        <f t="shared" si="37"/>
        <v>0</v>
      </c>
      <c r="L232" s="109">
        <f t="shared" si="38"/>
        <v>4003.5792375563856</v>
      </c>
      <c r="Q232" s="110"/>
    </row>
    <row r="233" spans="2:17" x14ac:dyDescent="0.2">
      <c r="B233" s="102">
        <f t="shared" si="30"/>
        <v>211</v>
      </c>
      <c r="C233" s="111">
        <f t="shared" si="39"/>
        <v>47300</v>
      </c>
      <c r="D233" s="104">
        <f t="shared" si="31"/>
        <v>398153.27747953829</v>
      </c>
      <c r="E233" s="104"/>
      <c r="F233" s="104">
        <f t="shared" si="32"/>
        <v>2026.2766500142204</v>
      </c>
      <c r="G233" s="104">
        <f t="shared" si="33"/>
        <v>1417.3025875421652</v>
      </c>
      <c r="H233" s="105">
        <f t="shared" si="34"/>
        <v>0</v>
      </c>
      <c r="I233" s="106">
        <f t="shared" si="35"/>
        <v>560</v>
      </c>
      <c r="J233" s="107">
        <f t="shared" si="36"/>
        <v>0.84248327185168947</v>
      </c>
      <c r="K233" s="108">
        <f t="shared" si="37"/>
        <v>0</v>
      </c>
      <c r="L233" s="109">
        <f t="shared" si="38"/>
        <v>4003.5792375563856</v>
      </c>
      <c r="Q233" s="110"/>
    </row>
    <row r="234" spans="2:17" x14ac:dyDescent="0.2">
      <c r="B234" s="102">
        <f t="shared" si="30"/>
        <v>212</v>
      </c>
      <c r="C234" s="111">
        <f t="shared" si="39"/>
        <v>47331</v>
      </c>
      <c r="D234" s="104">
        <f t="shared" si="31"/>
        <v>396119.82443305524</v>
      </c>
      <c r="E234" s="104"/>
      <c r="F234" s="104">
        <f t="shared" si="32"/>
        <v>2033.4530464830207</v>
      </c>
      <c r="G234" s="104">
        <f t="shared" si="33"/>
        <v>1410.1261910733649</v>
      </c>
      <c r="H234" s="105">
        <f t="shared" si="34"/>
        <v>0</v>
      </c>
      <c r="I234" s="106">
        <f t="shared" si="35"/>
        <v>560</v>
      </c>
      <c r="J234" s="107">
        <f t="shared" si="36"/>
        <v>0.83821742627271223</v>
      </c>
      <c r="K234" s="108">
        <f t="shared" si="37"/>
        <v>0</v>
      </c>
      <c r="L234" s="109">
        <f t="shared" si="38"/>
        <v>4003.5792375563856</v>
      </c>
      <c r="Q234" s="110"/>
    </row>
    <row r="235" spans="2:17" x14ac:dyDescent="0.2">
      <c r="B235" s="102">
        <f t="shared" si="30"/>
        <v>213</v>
      </c>
      <c r="C235" s="111">
        <f t="shared" si="39"/>
        <v>47362</v>
      </c>
      <c r="D235" s="104">
        <f t="shared" si="31"/>
        <v>394079.16957369924</v>
      </c>
      <c r="E235" s="104"/>
      <c r="F235" s="104">
        <f t="shared" si="32"/>
        <v>2040.6548593559814</v>
      </c>
      <c r="G235" s="104">
        <f t="shared" si="33"/>
        <v>1402.9243782004041</v>
      </c>
      <c r="H235" s="105">
        <f t="shared" si="34"/>
        <v>0</v>
      </c>
      <c r="I235" s="106">
        <f t="shared" si="35"/>
        <v>560</v>
      </c>
      <c r="J235" s="107">
        <f t="shared" si="36"/>
        <v>0.83393647249064262</v>
      </c>
      <c r="K235" s="108">
        <f t="shared" si="37"/>
        <v>0</v>
      </c>
      <c r="L235" s="109">
        <f t="shared" si="38"/>
        <v>4003.5792375563856</v>
      </c>
      <c r="Q235" s="110"/>
    </row>
    <row r="236" spans="2:17" x14ac:dyDescent="0.2">
      <c r="B236" s="102">
        <f t="shared" si="30"/>
        <v>214</v>
      </c>
      <c r="C236" s="111">
        <f t="shared" si="39"/>
        <v>47392</v>
      </c>
      <c r="D236" s="104">
        <f t="shared" si="31"/>
        <v>392031.2873950497</v>
      </c>
      <c r="E236" s="104"/>
      <c r="F236" s="104">
        <f t="shared" si="32"/>
        <v>2047.8821786495341</v>
      </c>
      <c r="G236" s="104">
        <f t="shared" si="33"/>
        <v>1395.6970589068515</v>
      </c>
      <c r="H236" s="105">
        <f t="shared" si="34"/>
        <v>0</v>
      </c>
      <c r="I236" s="106">
        <f t="shared" si="35"/>
        <v>560</v>
      </c>
      <c r="J236" s="107">
        <f t="shared" si="36"/>
        <v>0.82964035699726157</v>
      </c>
      <c r="K236" s="108">
        <f t="shared" si="37"/>
        <v>0</v>
      </c>
      <c r="L236" s="109">
        <f t="shared" si="38"/>
        <v>4003.5792375563856</v>
      </c>
      <c r="Q236" s="110"/>
    </row>
    <row r="237" spans="2:17" x14ac:dyDescent="0.2">
      <c r="B237" s="102">
        <f t="shared" si="30"/>
        <v>215</v>
      </c>
      <c r="C237" s="111">
        <f t="shared" si="39"/>
        <v>47423</v>
      </c>
      <c r="D237" s="104">
        <f t="shared" si="31"/>
        <v>389976.15230035078</v>
      </c>
      <c r="E237" s="104"/>
      <c r="F237" s="104">
        <f t="shared" si="32"/>
        <v>2055.1350946989178</v>
      </c>
      <c r="G237" s="104">
        <f t="shared" si="33"/>
        <v>1388.4441428574676</v>
      </c>
      <c r="H237" s="105">
        <f t="shared" si="34"/>
        <v>0</v>
      </c>
      <c r="I237" s="106">
        <f t="shared" si="35"/>
        <v>560</v>
      </c>
      <c r="J237" s="107">
        <f t="shared" si="36"/>
        <v>0.82532902609484149</v>
      </c>
      <c r="K237" s="108">
        <f t="shared" si="37"/>
        <v>0</v>
      </c>
      <c r="L237" s="109">
        <f t="shared" si="38"/>
        <v>4003.5792375563851</v>
      </c>
      <c r="Q237" s="110"/>
    </row>
    <row r="238" spans="2:17" x14ac:dyDescent="0.2">
      <c r="B238" s="102">
        <f t="shared" si="30"/>
        <v>216</v>
      </c>
      <c r="C238" s="111">
        <f t="shared" si="39"/>
        <v>47453</v>
      </c>
      <c r="D238" s="104">
        <f t="shared" si="31"/>
        <v>387913.73860219144</v>
      </c>
      <c r="E238" s="104"/>
      <c r="F238" s="104">
        <f t="shared" si="32"/>
        <v>2062.4136981593101</v>
      </c>
      <c r="G238" s="104">
        <f t="shared" si="33"/>
        <v>1381.1655393970757</v>
      </c>
      <c r="H238" s="105">
        <f t="shared" si="34"/>
        <v>0</v>
      </c>
      <c r="I238" s="106">
        <f t="shared" si="35"/>
        <v>560</v>
      </c>
      <c r="J238" s="107">
        <f t="shared" si="36"/>
        <v>0.82100242589547534</v>
      </c>
      <c r="K238" s="108">
        <f t="shared" si="37"/>
        <v>0</v>
      </c>
      <c r="L238" s="109">
        <f t="shared" si="38"/>
        <v>4003.579237556386</v>
      </c>
      <c r="Q238" s="110"/>
    </row>
    <row r="239" spans="2:17" x14ac:dyDescent="0.2">
      <c r="B239" s="102">
        <f t="shared" si="30"/>
        <v>217</v>
      </c>
      <c r="C239" s="111">
        <f t="shared" si="39"/>
        <v>47484</v>
      </c>
      <c r="D239" s="104">
        <f t="shared" si="31"/>
        <v>385844.0205221845</v>
      </c>
      <c r="E239" s="104"/>
      <c r="F239" s="104">
        <f t="shared" si="32"/>
        <v>2069.7180800069573</v>
      </c>
      <c r="G239" s="104">
        <f t="shared" si="33"/>
        <v>1373.8611575494281</v>
      </c>
      <c r="H239" s="105">
        <f t="shared" si="34"/>
        <v>0</v>
      </c>
      <c r="I239" s="106">
        <f t="shared" si="35"/>
        <v>560</v>
      </c>
      <c r="J239" s="107">
        <f t="shared" si="36"/>
        <v>0.81666050232040299</v>
      </c>
      <c r="K239" s="108">
        <f t="shared" si="37"/>
        <v>0</v>
      </c>
      <c r="L239" s="109">
        <f t="shared" si="38"/>
        <v>4003.5792375563851</v>
      </c>
      <c r="Q239" s="110"/>
    </row>
    <row r="240" spans="2:17" x14ac:dyDescent="0.2">
      <c r="B240" s="102">
        <f t="shared" si="30"/>
        <v>218</v>
      </c>
      <c r="C240" s="111">
        <f t="shared" si="39"/>
        <v>47515</v>
      </c>
      <c r="D240" s="104">
        <f t="shared" si="31"/>
        <v>383766.97219064418</v>
      </c>
      <c r="E240" s="104"/>
      <c r="F240" s="104">
        <f t="shared" si="32"/>
        <v>2077.0483315403153</v>
      </c>
      <c r="G240" s="104">
        <f t="shared" si="33"/>
        <v>1366.53090601607</v>
      </c>
      <c r="H240" s="105">
        <f t="shared" si="34"/>
        <v>0</v>
      </c>
      <c r="I240" s="106">
        <f t="shared" si="35"/>
        <v>560</v>
      </c>
      <c r="J240" s="107">
        <f t="shared" si="36"/>
        <v>0.81230320109933574</v>
      </c>
      <c r="K240" s="108">
        <f t="shared" si="37"/>
        <v>0</v>
      </c>
      <c r="L240" s="109">
        <f t="shared" si="38"/>
        <v>4003.5792375563851</v>
      </c>
      <c r="Q240" s="110"/>
    </row>
    <row r="241" spans="2:17" x14ac:dyDescent="0.2">
      <c r="B241" s="102">
        <f t="shared" si="30"/>
        <v>219</v>
      </c>
      <c r="C241" s="111">
        <f t="shared" si="39"/>
        <v>47543</v>
      </c>
      <c r="D241" s="104">
        <f t="shared" si="31"/>
        <v>381682.56764626299</v>
      </c>
      <c r="E241" s="104"/>
      <c r="F241" s="104">
        <f t="shared" si="32"/>
        <v>2084.4045443811874</v>
      </c>
      <c r="G241" s="104">
        <f t="shared" si="33"/>
        <v>1359.1746931751984</v>
      </c>
      <c r="H241" s="105">
        <f t="shared" si="34"/>
        <v>0</v>
      </c>
      <c r="I241" s="106">
        <f t="shared" si="35"/>
        <v>560</v>
      </c>
      <c r="J241" s="107">
        <f t="shared" si="36"/>
        <v>0.80793046776977728</v>
      </c>
      <c r="K241" s="108">
        <f t="shared" si="37"/>
        <v>0</v>
      </c>
      <c r="L241" s="109">
        <f t="shared" si="38"/>
        <v>4003.579237556386</v>
      </c>
      <c r="Q241" s="110"/>
    </row>
    <row r="242" spans="2:17" x14ac:dyDescent="0.2">
      <c r="B242" s="102">
        <f t="shared" si="30"/>
        <v>220</v>
      </c>
      <c r="C242" s="111">
        <f t="shared" si="39"/>
        <v>47574</v>
      </c>
      <c r="D242" s="104">
        <f t="shared" si="31"/>
        <v>379590.78083578713</v>
      </c>
      <c r="E242" s="104"/>
      <c r="F242" s="104">
        <f t="shared" si="32"/>
        <v>2091.7868104758709</v>
      </c>
      <c r="G242" s="104">
        <f t="shared" si="33"/>
        <v>1351.7924270805149</v>
      </c>
      <c r="H242" s="105">
        <f t="shared" si="34"/>
        <v>0</v>
      </c>
      <c r="I242" s="106">
        <f t="shared" si="35"/>
        <v>560</v>
      </c>
      <c r="J242" s="107">
        <f t="shared" si="36"/>
        <v>0.80354224767634319</v>
      </c>
      <c r="K242" s="108">
        <f t="shared" si="37"/>
        <v>0</v>
      </c>
      <c r="L242" s="109">
        <f t="shared" si="38"/>
        <v>4003.579237556386</v>
      </c>
      <c r="Q242" s="110"/>
    </row>
    <row r="243" spans="2:17" x14ac:dyDescent="0.2">
      <c r="B243" s="102">
        <f t="shared" si="30"/>
        <v>221</v>
      </c>
      <c r="C243" s="111">
        <f t="shared" si="39"/>
        <v>47604</v>
      </c>
      <c r="D243" s="104">
        <f t="shared" si="31"/>
        <v>377491.58561369084</v>
      </c>
      <c r="E243" s="104"/>
      <c r="F243" s="104">
        <f t="shared" si="32"/>
        <v>2099.1952220963058</v>
      </c>
      <c r="G243" s="104">
        <f t="shared" si="33"/>
        <v>1344.3840154600796</v>
      </c>
      <c r="H243" s="105">
        <f t="shared" si="34"/>
        <v>0</v>
      </c>
      <c r="I243" s="106">
        <f t="shared" si="35"/>
        <v>560</v>
      </c>
      <c r="J243" s="107">
        <f t="shared" si="36"/>
        <v>0.79913848597007819</v>
      </c>
      <c r="K243" s="108">
        <f t="shared" si="37"/>
        <v>0</v>
      </c>
      <c r="L243" s="109">
        <f t="shared" si="38"/>
        <v>4003.5792375563851</v>
      </c>
      <c r="Q243" s="110"/>
    </row>
    <row r="244" spans="2:17" x14ac:dyDescent="0.2">
      <c r="B244" s="102">
        <f t="shared" si="30"/>
        <v>222</v>
      </c>
      <c r="C244" s="111">
        <f t="shared" si="39"/>
        <v>47635</v>
      </c>
      <c r="D244" s="104">
        <f t="shared" si="31"/>
        <v>375384.95574184961</v>
      </c>
      <c r="E244" s="104"/>
      <c r="F244" s="104">
        <f t="shared" si="32"/>
        <v>2106.6298718412304</v>
      </c>
      <c r="G244" s="104">
        <f t="shared" si="33"/>
        <v>1336.9493657151552</v>
      </c>
      <c r="H244" s="105">
        <f t="shared" si="34"/>
        <v>0</v>
      </c>
      <c r="I244" s="106">
        <f t="shared" si="35"/>
        <v>560</v>
      </c>
      <c r="J244" s="107">
        <f t="shared" si="36"/>
        <v>0.79471912760777019</v>
      </c>
      <c r="K244" s="108">
        <f t="shared" si="37"/>
        <v>0</v>
      </c>
      <c r="L244" s="109">
        <f t="shared" si="38"/>
        <v>4003.5792375563856</v>
      </c>
      <c r="Q244" s="110"/>
    </row>
    <row r="245" spans="2:17" x14ac:dyDescent="0.2">
      <c r="B245" s="102">
        <f t="shared" si="30"/>
        <v>223</v>
      </c>
      <c r="C245" s="111">
        <f t="shared" si="39"/>
        <v>47665</v>
      </c>
      <c r="D245" s="104">
        <f t="shared" si="31"/>
        <v>373270.8648892123</v>
      </c>
      <c r="E245" s="104"/>
      <c r="F245" s="104">
        <f t="shared" si="32"/>
        <v>2114.090852637335</v>
      </c>
      <c r="G245" s="104">
        <f t="shared" si="33"/>
        <v>1329.4883849190508</v>
      </c>
      <c r="H245" s="105">
        <f t="shared" si="34"/>
        <v>0</v>
      </c>
      <c r="I245" s="106">
        <f t="shared" si="35"/>
        <v>560</v>
      </c>
      <c r="J245" s="107">
        <f t="shared" si="36"/>
        <v>0.79028411735126236</v>
      </c>
      <c r="K245" s="108">
        <f t="shared" si="37"/>
        <v>0</v>
      </c>
      <c r="L245" s="109">
        <f t="shared" si="38"/>
        <v>4003.579237556386</v>
      </c>
      <c r="Q245" s="110"/>
    </row>
    <row r="246" spans="2:17" x14ac:dyDescent="0.2">
      <c r="B246" s="102">
        <f t="shared" si="30"/>
        <v>224</v>
      </c>
      <c r="C246" s="111">
        <f t="shared" si="39"/>
        <v>47696</v>
      </c>
      <c r="D246" s="104">
        <f t="shared" si="31"/>
        <v>371149.28663147188</v>
      </c>
      <c r="E246" s="104"/>
      <c r="F246" s="104">
        <f t="shared" si="32"/>
        <v>2121.5782577404252</v>
      </c>
      <c r="G246" s="104">
        <f t="shared" si="33"/>
        <v>1322.0009798159604</v>
      </c>
      <c r="H246" s="105">
        <f t="shared" si="34"/>
        <v>0</v>
      </c>
      <c r="I246" s="106">
        <f t="shared" si="35"/>
        <v>560</v>
      </c>
      <c r="J246" s="107">
        <f t="shared" si="36"/>
        <v>0.7858333997667627</v>
      </c>
      <c r="K246" s="108">
        <f t="shared" si="37"/>
        <v>0</v>
      </c>
      <c r="L246" s="109">
        <f t="shared" si="38"/>
        <v>4003.5792375563856</v>
      </c>
      <c r="Q246" s="110"/>
    </row>
    <row r="247" spans="2:17" x14ac:dyDescent="0.2">
      <c r="B247" s="102">
        <f t="shared" si="30"/>
        <v>225</v>
      </c>
      <c r="C247" s="111">
        <f t="shared" si="39"/>
        <v>47727</v>
      </c>
      <c r="D247" s="104">
        <f t="shared" si="31"/>
        <v>369020.19445073529</v>
      </c>
      <c r="E247" s="104"/>
      <c r="F247" s="104">
        <f t="shared" si="32"/>
        <v>2129.0921807365894</v>
      </c>
      <c r="G247" s="104">
        <f t="shared" si="33"/>
        <v>1314.4870568197964</v>
      </c>
      <c r="H247" s="105">
        <f t="shared" si="34"/>
        <v>0</v>
      </c>
      <c r="I247" s="106">
        <f t="shared" si="35"/>
        <v>560</v>
      </c>
      <c r="J247" s="107">
        <f t="shared" si="36"/>
        <v>0.78136691922415136</v>
      </c>
      <c r="K247" s="108">
        <f t="shared" si="37"/>
        <v>0</v>
      </c>
      <c r="L247" s="109">
        <f t="shared" si="38"/>
        <v>4003.579237556386</v>
      </c>
      <c r="Q247" s="110"/>
    </row>
    <row r="248" spans="2:17" x14ac:dyDescent="0.2">
      <c r="B248" s="102">
        <f t="shared" si="30"/>
        <v>226</v>
      </c>
      <c r="C248" s="111">
        <f t="shared" si="39"/>
        <v>47757</v>
      </c>
      <c r="D248" s="104">
        <f t="shared" si="31"/>
        <v>366883.56173519191</v>
      </c>
      <c r="E248" s="104"/>
      <c r="F248" s="104">
        <f t="shared" si="32"/>
        <v>2136.6327155433646</v>
      </c>
      <c r="G248" s="104">
        <f t="shared" si="33"/>
        <v>1306.946522013021</v>
      </c>
      <c r="H248" s="105">
        <f t="shared" si="34"/>
        <v>0</v>
      </c>
      <c r="I248" s="106">
        <f t="shared" si="35"/>
        <v>0</v>
      </c>
      <c r="J248" s="107">
        <f t="shared" si="36"/>
        <v>0.77688461989628477</v>
      </c>
      <c r="K248" s="108">
        <f t="shared" si="37"/>
        <v>0</v>
      </c>
      <c r="L248" s="109">
        <f t="shared" si="38"/>
        <v>3443.5792375563856</v>
      </c>
      <c r="Q248" s="110"/>
    </row>
    <row r="249" spans="2:17" x14ac:dyDescent="0.2">
      <c r="B249" s="102">
        <f t="shared" si="30"/>
        <v>227</v>
      </c>
      <c r="C249" s="111">
        <f t="shared" si="39"/>
        <v>47788</v>
      </c>
      <c r="D249" s="104">
        <f t="shared" si="31"/>
        <v>364739.36177878099</v>
      </c>
      <c r="E249" s="104"/>
      <c r="F249" s="104">
        <f t="shared" si="32"/>
        <v>2144.1999564109142</v>
      </c>
      <c r="G249" s="104">
        <f t="shared" si="33"/>
        <v>1299.3792811454714</v>
      </c>
      <c r="H249" s="105">
        <f t="shared" si="34"/>
        <v>0</v>
      </c>
      <c r="I249" s="106">
        <f t="shared" si="35"/>
        <v>0</v>
      </c>
      <c r="J249" s="107">
        <f t="shared" si="36"/>
        <v>0.77238644575829873</v>
      </c>
      <c r="K249" s="108">
        <f t="shared" si="37"/>
        <v>0</v>
      </c>
      <c r="L249" s="109">
        <f t="shared" si="38"/>
        <v>3443.5792375563856</v>
      </c>
      <c r="Q249" s="110"/>
    </row>
    <row r="250" spans="2:17" x14ac:dyDescent="0.2">
      <c r="B250" s="102">
        <f t="shared" si="30"/>
        <v>228</v>
      </c>
      <c r="C250" s="111">
        <f t="shared" si="39"/>
        <v>47818</v>
      </c>
      <c r="D250" s="104">
        <f t="shared" si="31"/>
        <v>362587.56778085779</v>
      </c>
      <c r="E250" s="104"/>
      <c r="F250" s="104">
        <f t="shared" si="32"/>
        <v>2151.7939979232028</v>
      </c>
      <c r="G250" s="104">
        <f t="shared" si="33"/>
        <v>1291.7852396331828</v>
      </c>
      <c r="H250" s="105">
        <f t="shared" si="34"/>
        <v>0</v>
      </c>
      <c r="I250" s="106">
        <f t="shared" si="35"/>
        <v>0</v>
      </c>
      <c r="J250" s="107">
        <f t="shared" si="36"/>
        <v>0.76787234058690734</v>
      </c>
      <c r="K250" s="108">
        <f t="shared" si="37"/>
        <v>0</v>
      </c>
      <c r="L250" s="109">
        <f t="shared" si="38"/>
        <v>3443.5792375563856</v>
      </c>
      <c r="Q250" s="110"/>
    </row>
    <row r="251" spans="2:17" x14ac:dyDescent="0.2">
      <c r="B251" s="102">
        <f t="shared" si="30"/>
        <v>229</v>
      </c>
      <c r="C251" s="111">
        <f t="shared" si="39"/>
        <v>47849</v>
      </c>
      <c r="D251" s="104">
        <f t="shared" si="31"/>
        <v>360428.1528458586</v>
      </c>
      <c r="E251" s="104"/>
      <c r="F251" s="104">
        <f t="shared" si="32"/>
        <v>2159.4149349991808</v>
      </c>
      <c r="G251" s="104">
        <f t="shared" si="33"/>
        <v>1284.1643025572048</v>
      </c>
      <c r="H251" s="105">
        <f t="shared" si="34"/>
        <v>0</v>
      </c>
      <c r="I251" s="106">
        <f t="shared" si="35"/>
        <v>0</v>
      </c>
      <c r="J251" s="107">
        <f t="shared" si="36"/>
        <v>0.76334224795970063</v>
      </c>
      <c r="K251" s="108">
        <f t="shared" si="37"/>
        <v>0</v>
      </c>
      <c r="L251" s="109">
        <f t="shared" si="38"/>
        <v>3443.5792375563856</v>
      </c>
      <c r="Q251" s="110"/>
    </row>
    <row r="252" spans="2:17" x14ac:dyDescent="0.2">
      <c r="B252" s="102">
        <f t="shared" si="30"/>
        <v>230</v>
      </c>
      <c r="C252" s="111">
        <f t="shared" si="39"/>
        <v>47880</v>
      </c>
      <c r="D252" s="104">
        <f t="shared" si="31"/>
        <v>358261.08998296462</v>
      </c>
      <c r="E252" s="104"/>
      <c r="F252" s="104">
        <f t="shared" si="32"/>
        <v>2167.0628628939694</v>
      </c>
      <c r="G252" s="104">
        <f t="shared" si="33"/>
        <v>1276.516374662416</v>
      </c>
      <c r="H252" s="105">
        <f t="shared" si="34"/>
        <v>0</v>
      </c>
      <c r="I252" s="106">
        <f t="shared" si="35"/>
        <v>0</v>
      </c>
      <c r="J252" s="107">
        <f t="shared" si="36"/>
        <v>0.75879611125443913</v>
      </c>
      <c r="K252" s="108">
        <f t="shared" si="37"/>
        <v>0</v>
      </c>
      <c r="L252" s="109">
        <f t="shared" si="38"/>
        <v>3443.5792375563851</v>
      </c>
      <c r="Q252" s="110"/>
    </row>
    <row r="253" spans="2:17" x14ac:dyDescent="0.2">
      <c r="B253" s="102">
        <f t="shared" si="30"/>
        <v>231</v>
      </c>
      <c r="C253" s="111">
        <f t="shared" si="39"/>
        <v>47908</v>
      </c>
      <c r="D253" s="104">
        <f t="shared" si="31"/>
        <v>356086.35210576456</v>
      </c>
      <c r="E253" s="104"/>
      <c r="F253" s="104">
        <f t="shared" si="32"/>
        <v>2174.7378772000525</v>
      </c>
      <c r="G253" s="104">
        <f t="shared" si="33"/>
        <v>1268.8413603563331</v>
      </c>
      <c r="H253" s="105">
        <f t="shared" si="34"/>
        <v>0</v>
      </c>
      <c r="I253" s="106">
        <f t="shared" si="35"/>
        <v>0</v>
      </c>
      <c r="J253" s="107">
        <f t="shared" si="36"/>
        <v>0.7542338736483466</v>
      </c>
      <c r="K253" s="108">
        <f t="shared" si="37"/>
        <v>0</v>
      </c>
      <c r="L253" s="109">
        <f t="shared" si="38"/>
        <v>3443.5792375563856</v>
      </c>
      <c r="Q253" s="110"/>
    </row>
    <row r="254" spans="2:17" x14ac:dyDescent="0.2">
      <c r="B254" s="102">
        <f t="shared" si="30"/>
        <v>232</v>
      </c>
      <c r="C254" s="111">
        <f t="shared" si="39"/>
        <v>47939</v>
      </c>
      <c r="D254" s="104">
        <f t="shared" si="31"/>
        <v>353903.91203191609</v>
      </c>
      <c r="E254" s="104"/>
      <c r="F254" s="104">
        <f t="shared" si="32"/>
        <v>2182.4400738484692</v>
      </c>
      <c r="G254" s="104">
        <f t="shared" si="33"/>
        <v>1261.1391637079162</v>
      </c>
      <c r="H254" s="105">
        <f t="shared" si="34"/>
        <v>0</v>
      </c>
      <c r="I254" s="106">
        <f t="shared" si="35"/>
        <v>0</v>
      </c>
      <c r="J254" s="107">
        <f t="shared" si="36"/>
        <v>0.74965547811739908</v>
      </c>
      <c r="K254" s="108">
        <f t="shared" si="37"/>
        <v>0</v>
      </c>
      <c r="L254" s="109">
        <f t="shared" si="38"/>
        <v>3443.5792375563851</v>
      </c>
      <c r="Q254" s="110"/>
    </row>
    <row r="255" spans="2:17" x14ac:dyDescent="0.2">
      <c r="B255" s="102">
        <f t="shared" si="30"/>
        <v>233</v>
      </c>
      <c r="C255" s="111">
        <f t="shared" si="39"/>
        <v>47969</v>
      </c>
      <c r="D255" s="104">
        <f t="shared" si="31"/>
        <v>351713.74248280609</v>
      </c>
      <c r="E255" s="104"/>
      <c r="F255" s="104">
        <f t="shared" si="32"/>
        <v>2190.1695491100163</v>
      </c>
      <c r="G255" s="104">
        <f t="shared" si="33"/>
        <v>1253.4096884463695</v>
      </c>
      <c r="H255" s="105">
        <f t="shared" si="34"/>
        <v>0</v>
      </c>
      <c r="I255" s="106">
        <f t="shared" si="35"/>
        <v>0</v>
      </c>
      <c r="J255" s="107">
        <f t="shared" si="36"/>
        <v>0.74506086743561284</v>
      </c>
      <c r="K255" s="108">
        <f t="shared" si="37"/>
        <v>0</v>
      </c>
      <c r="L255" s="109">
        <f t="shared" si="38"/>
        <v>3443.579237556386</v>
      </c>
      <c r="Q255" s="110"/>
    </row>
    <row r="256" spans="2:17" x14ac:dyDescent="0.2">
      <c r="B256" s="102">
        <f t="shared" si="30"/>
        <v>234</v>
      </c>
      <c r="C256" s="111">
        <f t="shared" si="39"/>
        <v>48000</v>
      </c>
      <c r="D256" s="104">
        <f t="shared" si="31"/>
        <v>349515.81608320965</v>
      </c>
      <c r="E256" s="104"/>
      <c r="F256" s="104">
        <f t="shared" si="32"/>
        <v>2197.9263995964475</v>
      </c>
      <c r="G256" s="104">
        <f t="shared" si="33"/>
        <v>1245.6528379599383</v>
      </c>
      <c r="H256" s="105">
        <f t="shared" si="34"/>
        <v>0</v>
      </c>
      <c r="I256" s="106">
        <f t="shared" si="35"/>
        <v>0</v>
      </c>
      <c r="J256" s="107">
        <f t="shared" si="36"/>
        <v>0.74044998417432861</v>
      </c>
      <c r="K256" s="108">
        <f t="shared" si="37"/>
        <v>0</v>
      </c>
      <c r="L256" s="109">
        <f t="shared" si="38"/>
        <v>3443.579237556386</v>
      </c>
      <c r="Q256" s="110"/>
    </row>
    <row r="257" spans="2:17" x14ac:dyDescent="0.2">
      <c r="B257" s="102">
        <f t="shared" si="30"/>
        <v>235</v>
      </c>
      <c r="C257" s="111">
        <f t="shared" si="39"/>
        <v>48030</v>
      </c>
      <c r="D257" s="104">
        <f t="shared" si="31"/>
        <v>347310.10536094796</v>
      </c>
      <c r="E257" s="104"/>
      <c r="F257" s="104">
        <f t="shared" si="32"/>
        <v>2205.7107222616846</v>
      </c>
      <c r="G257" s="104">
        <f t="shared" si="33"/>
        <v>1237.868515294701</v>
      </c>
      <c r="H257" s="105">
        <f t="shared" si="34"/>
        <v>0</v>
      </c>
      <c r="I257" s="106">
        <f t="shared" si="35"/>
        <v>0</v>
      </c>
      <c r="J257" s="107">
        <f t="shared" si="36"/>
        <v>0.73582277070149404</v>
      </c>
      <c r="K257" s="108">
        <f t="shared" si="37"/>
        <v>0</v>
      </c>
      <c r="L257" s="109">
        <f t="shared" si="38"/>
        <v>3443.5792375563856</v>
      </c>
      <c r="Q257" s="110"/>
    </row>
    <row r="258" spans="2:17" x14ac:dyDescent="0.2">
      <c r="B258" s="102">
        <f t="shared" si="30"/>
        <v>236</v>
      </c>
      <c r="C258" s="111">
        <f t="shared" si="39"/>
        <v>48061</v>
      </c>
      <c r="D258" s="104">
        <f t="shared" si="31"/>
        <v>345096.58274654491</v>
      </c>
      <c r="E258" s="104"/>
      <c r="F258" s="104">
        <f t="shared" si="32"/>
        <v>2213.5226144030285</v>
      </c>
      <c r="G258" s="104">
        <f t="shared" si="33"/>
        <v>1230.0566231533574</v>
      </c>
      <c r="H258" s="105">
        <f t="shared" si="34"/>
        <v>0</v>
      </c>
      <c r="I258" s="106">
        <f t="shared" si="35"/>
        <v>0</v>
      </c>
      <c r="J258" s="107">
        <f t="shared" si="36"/>
        <v>0.73117916918094306</v>
      </c>
      <c r="K258" s="108">
        <f t="shared" si="37"/>
        <v>0</v>
      </c>
      <c r="L258" s="109">
        <f t="shared" si="38"/>
        <v>3443.579237556386</v>
      </c>
      <c r="Q258" s="110"/>
    </row>
    <row r="259" spans="2:17" x14ac:dyDescent="0.2">
      <c r="B259" s="102">
        <f t="shared" si="30"/>
        <v>237</v>
      </c>
      <c r="C259" s="111">
        <f t="shared" si="39"/>
        <v>48092</v>
      </c>
      <c r="D259" s="104">
        <f t="shared" si="31"/>
        <v>342875.22057288256</v>
      </c>
      <c r="E259" s="104"/>
      <c r="F259" s="104">
        <f t="shared" si="32"/>
        <v>2221.3621736623722</v>
      </c>
      <c r="G259" s="104">
        <f t="shared" si="33"/>
        <v>1222.2170638940133</v>
      </c>
      <c r="H259" s="105">
        <f t="shared" si="34"/>
        <v>0</v>
      </c>
      <c r="I259" s="106">
        <f t="shared" si="35"/>
        <v>0</v>
      </c>
      <c r="J259" s="107">
        <f t="shared" si="36"/>
        <v>0.72651912157167353</v>
      </c>
      <c r="K259" s="108">
        <f t="shared" si="37"/>
        <v>0</v>
      </c>
      <c r="L259" s="109">
        <f t="shared" si="38"/>
        <v>3443.5792375563856</v>
      </c>
      <c r="Q259" s="110"/>
    </row>
    <row r="260" spans="2:17" x14ac:dyDescent="0.2">
      <c r="B260" s="102">
        <f t="shared" si="30"/>
        <v>238</v>
      </c>
      <c r="C260" s="111">
        <f t="shared" si="39"/>
        <v>48122</v>
      </c>
      <c r="D260" s="104">
        <f t="shared" si="31"/>
        <v>340645.99107485515</v>
      </c>
      <c r="E260" s="104"/>
      <c r="F260" s="104">
        <f t="shared" si="32"/>
        <v>2229.2294980274264</v>
      </c>
      <c r="G260" s="104">
        <f t="shared" si="33"/>
        <v>1214.3497395289592</v>
      </c>
      <c r="H260" s="105">
        <f t="shared" si="34"/>
        <v>0</v>
      </c>
      <c r="I260" s="106">
        <f t="shared" si="35"/>
        <v>0</v>
      </c>
      <c r="J260" s="107">
        <f t="shared" si="36"/>
        <v>0.72184256962712123</v>
      </c>
      <c r="K260" s="108">
        <f t="shared" si="37"/>
        <v>0</v>
      </c>
      <c r="L260" s="109">
        <f t="shared" si="38"/>
        <v>3443.5792375563856</v>
      </c>
      <c r="Q260" s="110"/>
    </row>
    <row r="261" spans="2:17" x14ac:dyDescent="0.2">
      <c r="B261" s="102">
        <f t="shared" si="30"/>
        <v>239</v>
      </c>
      <c r="C261" s="111">
        <f t="shared" si="39"/>
        <v>48153</v>
      </c>
      <c r="D261" s="104">
        <f t="shared" si="31"/>
        <v>338408.86638902221</v>
      </c>
      <c r="E261" s="104"/>
      <c r="F261" s="104">
        <f t="shared" si="32"/>
        <v>2237.1246858329405</v>
      </c>
      <c r="G261" s="104">
        <f t="shared" si="33"/>
        <v>1206.4545517234453</v>
      </c>
      <c r="H261" s="105">
        <f t="shared" si="34"/>
        <v>0</v>
      </c>
      <c r="I261" s="106">
        <f t="shared" si="35"/>
        <v>0</v>
      </c>
      <c r="J261" s="107">
        <f t="shared" si="36"/>
        <v>0.71714945489443194</v>
      </c>
      <c r="K261" s="108">
        <f t="shared" si="37"/>
        <v>0</v>
      </c>
      <c r="L261" s="109">
        <f t="shared" si="38"/>
        <v>3443.579237556386</v>
      </c>
      <c r="Q261" s="110"/>
    </row>
    <row r="262" spans="2:17" x14ac:dyDescent="0.2">
      <c r="B262" s="102">
        <f t="shared" si="30"/>
        <v>240</v>
      </c>
      <c r="C262" s="111">
        <f t="shared" si="39"/>
        <v>48183</v>
      </c>
      <c r="D262" s="104">
        <f t="shared" si="31"/>
        <v>336163.81855326029</v>
      </c>
      <c r="E262" s="104"/>
      <c r="F262" s="104">
        <f t="shared" si="32"/>
        <v>2245.0478357619318</v>
      </c>
      <c r="G262" s="104">
        <f t="shared" si="33"/>
        <v>1198.5314017944538</v>
      </c>
      <c r="H262" s="105">
        <f t="shared" si="34"/>
        <v>0</v>
      </c>
      <c r="I262" s="106">
        <f t="shared" si="35"/>
        <v>0</v>
      </c>
      <c r="J262" s="107">
        <f t="shared" si="36"/>
        <v>0.71243971871373102</v>
      </c>
      <c r="K262" s="108">
        <f t="shared" si="37"/>
        <v>0</v>
      </c>
      <c r="L262" s="109">
        <f t="shared" si="38"/>
        <v>3443.5792375563856</v>
      </c>
      <c r="Q262" s="110"/>
    </row>
    <row r="263" spans="2:17" x14ac:dyDescent="0.2">
      <c r="B263" s="102">
        <f t="shared" si="30"/>
        <v>241</v>
      </c>
      <c r="C263" s="111">
        <f t="shared" si="39"/>
        <v>48214</v>
      </c>
      <c r="D263" s="104">
        <f t="shared" si="31"/>
        <v>333910.81950641336</v>
      </c>
      <c r="E263" s="104"/>
      <c r="F263" s="104">
        <f t="shared" si="32"/>
        <v>2252.9990468469223</v>
      </c>
      <c r="G263" s="104">
        <f t="shared" si="33"/>
        <v>1190.5801907094635</v>
      </c>
      <c r="H263" s="105">
        <f t="shared" si="34"/>
        <v>0</v>
      </c>
      <c r="I263" s="106">
        <f t="shared" si="35"/>
        <v>0</v>
      </c>
      <c r="J263" s="107">
        <f t="shared" si="36"/>
        <v>0.70771330221739004</v>
      </c>
      <c r="K263" s="108">
        <f t="shared" si="37"/>
        <v>0</v>
      </c>
      <c r="L263" s="109">
        <f t="shared" si="38"/>
        <v>3443.579237556386</v>
      </c>
      <c r="Q263" s="110"/>
    </row>
    <row r="264" spans="2:17" x14ac:dyDescent="0.2">
      <c r="B264" s="102">
        <f t="shared" si="30"/>
        <v>242</v>
      </c>
      <c r="C264" s="111">
        <f t="shared" si="39"/>
        <v>48245</v>
      </c>
      <c r="D264" s="104">
        <f t="shared" si="31"/>
        <v>331649.84108794219</v>
      </c>
      <c r="E264" s="104"/>
      <c r="F264" s="104">
        <f t="shared" si="32"/>
        <v>2260.9784184711716</v>
      </c>
      <c r="G264" s="104">
        <f t="shared" si="33"/>
        <v>1182.6008190852142</v>
      </c>
      <c r="H264" s="105">
        <f t="shared" si="34"/>
        <v>0</v>
      </c>
      <c r="I264" s="106">
        <f t="shared" si="35"/>
        <v>0</v>
      </c>
      <c r="J264" s="107">
        <f t="shared" si="36"/>
        <v>0.70297014632929133</v>
      </c>
      <c r="K264" s="108">
        <f t="shared" si="37"/>
        <v>0</v>
      </c>
      <c r="L264" s="109">
        <f t="shared" si="38"/>
        <v>3443.579237556386</v>
      </c>
      <c r="Q264" s="110"/>
    </row>
    <row r="265" spans="2:17" x14ac:dyDescent="0.2">
      <c r="B265" s="102">
        <f t="shared" si="30"/>
        <v>243</v>
      </c>
      <c r="C265" s="111">
        <f t="shared" si="39"/>
        <v>48274</v>
      </c>
      <c r="D265" s="104">
        <f t="shared" si="31"/>
        <v>329380.85503757227</v>
      </c>
      <c r="E265" s="104"/>
      <c r="F265" s="104">
        <f t="shared" si="32"/>
        <v>2268.9860503699238</v>
      </c>
      <c r="G265" s="104">
        <f t="shared" si="33"/>
        <v>1174.593187186462</v>
      </c>
      <c r="H265" s="105">
        <f t="shared" si="34"/>
        <v>0</v>
      </c>
      <c r="I265" s="106">
        <f t="shared" si="35"/>
        <v>0</v>
      </c>
      <c r="J265" s="107">
        <f t="shared" si="36"/>
        <v>0.69821019176408883</v>
      </c>
      <c r="K265" s="108">
        <f t="shared" si="37"/>
        <v>0</v>
      </c>
      <c r="L265" s="109">
        <f t="shared" si="38"/>
        <v>3443.579237556386</v>
      </c>
      <c r="Q265" s="110"/>
    </row>
    <row r="266" spans="2:17" x14ac:dyDescent="0.2">
      <c r="B266" s="102">
        <f t="shared" si="30"/>
        <v>244</v>
      </c>
      <c r="C266" s="111">
        <f t="shared" si="39"/>
        <v>48305</v>
      </c>
      <c r="D266" s="104">
        <f t="shared" si="31"/>
        <v>327103.83299494063</v>
      </c>
      <c r="E266" s="104"/>
      <c r="F266" s="104">
        <f t="shared" si="32"/>
        <v>2277.02204263165</v>
      </c>
      <c r="G266" s="104">
        <f t="shared" si="33"/>
        <v>1166.5571949247353</v>
      </c>
      <c r="H266" s="105">
        <f t="shared" si="34"/>
        <v>0</v>
      </c>
      <c r="I266" s="106">
        <f t="shared" si="35"/>
        <v>0</v>
      </c>
      <c r="J266" s="107">
        <f t="shared" si="36"/>
        <v>0.69343337902646796</v>
      </c>
      <c r="K266" s="108">
        <f t="shared" si="37"/>
        <v>0</v>
      </c>
      <c r="L266" s="109">
        <f t="shared" si="38"/>
        <v>3443.5792375563851</v>
      </c>
      <c r="Q266" s="110"/>
    </row>
    <row r="267" spans="2:17" x14ac:dyDescent="0.2">
      <c r="B267" s="102">
        <f t="shared" si="30"/>
        <v>245</v>
      </c>
      <c r="C267" s="111">
        <f t="shared" si="39"/>
        <v>48335</v>
      </c>
      <c r="D267" s="104">
        <f t="shared" si="31"/>
        <v>324818.74649924133</v>
      </c>
      <c r="E267" s="104"/>
      <c r="F267" s="104">
        <f t="shared" si="32"/>
        <v>2285.0864956993041</v>
      </c>
      <c r="G267" s="104">
        <f t="shared" si="33"/>
        <v>1158.4927418570815</v>
      </c>
      <c r="H267" s="105">
        <f t="shared" si="34"/>
        <v>0</v>
      </c>
      <c r="I267" s="106">
        <f t="shared" si="35"/>
        <v>0</v>
      </c>
      <c r="J267" s="107">
        <f t="shared" si="36"/>
        <v>0.68863964841040137</v>
      </c>
      <c r="K267" s="108">
        <f t="shared" si="37"/>
        <v>0</v>
      </c>
      <c r="L267" s="109">
        <f t="shared" si="38"/>
        <v>3443.5792375563856</v>
      </c>
      <c r="Q267" s="110"/>
    </row>
    <row r="268" spans="2:17" x14ac:dyDescent="0.2">
      <c r="B268" s="102">
        <f t="shared" si="30"/>
        <v>246</v>
      </c>
      <c r="C268" s="111">
        <f t="shared" si="39"/>
        <v>48366</v>
      </c>
      <c r="D268" s="104">
        <f t="shared" si="31"/>
        <v>322525.56698886974</v>
      </c>
      <c r="E268" s="104"/>
      <c r="F268" s="104">
        <f t="shared" si="32"/>
        <v>2293.1795103715722</v>
      </c>
      <c r="G268" s="104">
        <f t="shared" si="33"/>
        <v>1150.3997271848132</v>
      </c>
      <c r="H268" s="105">
        <f t="shared" si="34"/>
        <v>0</v>
      </c>
      <c r="I268" s="106">
        <f t="shared" si="35"/>
        <v>0</v>
      </c>
      <c r="J268" s="107">
        <f t="shared" si="36"/>
        <v>0.68382893999840277</v>
      </c>
      <c r="K268" s="108">
        <f t="shared" si="37"/>
        <v>0</v>
      </c>
      <c r="L268" s="109">
        <f t="shared" si="38"/>
        <v>3443.5792375563851</v>
      </c>
      <c r="Q268" s="110"/>
    </row>
    <row r="269" spans="2:17" x14ac:dyDescent="0.2">
      <c r="B269" s="102">
        <f t="shared" si="30"/>
        <v>247</v>
      </c>
      <c r="C269" s="111">
        <f t="shared" si="39"/>
        <v>48396</v>
      </c>
      <c r="D269" s="104">
        <f t="shared" si="31"/>
        <v>320224.2658010656</v>
      </c>
      <c r="E269" s="104"/>
      <c r="F269" s="104">
        <f t="shared" si="32"/>
        <v>2301.3011878041384</v>
      </c>
      <c r="G269" s="104">
        <f t="shared" si="33"/>
        <v>1142.2780497522472</v>
      </c>
      <c r="H269" s="105">
        <f t="shared" si="34"/>
        <v>0</v>
      </c>
      <c r="I269" s="106">
        <f t="shared" si="35"/>
        <v>0</v>
      </c>
      <c r="J269" s="107">
        <f t="shared" si="36"/>
        <v>0.67900119366077838</v>
      </c>
      <c r="K269" s="108">
        <f t="shared" si="37"/>
        <v>0</v>
      </c>
      <c r="L269" s="109">
        <f t="shared" si="38"/>
        <v>3443.5792375563856</v>
      </c>
      <c r="Q269" s="110"/>
    </row>
    <row r="270" spans="2:17" x14ac:dyDescent="0.2">
      <c r="B270" s="102">
        <f t="shared" si="30"/>
        <v>248</v>
      </c>
      <c r="C270" s="111">
        <f t="shared" si="39"/>
        <v>48427</v>
      </c>
      <c r="D270" s="104">
        <f t="shared" si="31"/>
        <v>317914.81417155464</v>
      </c>
      <c r="E270" s="104"/>
      <c r="F270" s="104">
        <f t="shared" si="32"/>
        <v>2309.4516295109452</v>
      </c>
      <c r="G270" s="104">
        <f t="shared" si="33"/>
        <v>1134.1276080454406</v>
      </c>
      <c r="H270" s="105">
        <f t="shared" si="34"/>
        <v>0</v>
      </c>
      <c r="I270" s="106">
        <f t="shared" si="35"/>
        <v>0</v>
      </c>
      <c r="J270" s="107">
        <f t="shared" si="36"/>
        <v>0.67415634905487498</v>
      </c>
      <c r="K270" s="108">
        <f t="shared" si="37"/>
        <v>0</v>
      </c>
      <c r="L270" s="109">
        <f t="shared" si="38"/>
        <v>3443.579237556386</v>
      </c>
      <c r="Q270" s="110"/>
    </row>
    <row r="271" spans="2:17" x14ac:dyDescent="0.2">
      <c r="B271" s="102">
        <f t="shared" si="30"/>
        <v>249</v>
      </c>
      <c r="C271" s="111">
        <f t="shared" si="39"/>
        <v>48458</v>
      </c>
      <c r="D271" s="104">
        <f t="shared" si="31"/>
        <v>315597.18323418917</v>
      </c>
      <c r="E271" s="104"/>
      <c r="F271" s="104">
        <f t="shared" si="32"/>
        <v>2317.6309373654631</v>
      </c>
      <c r="G271" s="104">
        <f t="shared" si="33"/>
        <v>1125.9483001909227</v>
      </c>
      <c r="H271" s="105">
        <f t="shared" si="34"/>
        <v>0</v>
      </c>
      <c r="I271" s="106">
        <f t="shared" si="35"/>
        <v>0</v>
      </c>
      <c r="J271" s="107">
        <f t="shared" si="36"/>
        <v>0.66929434562432555</v>
      </c>
      <c r="K271" s="108">
        <f t="shared" si="37"/>
        <v>0</v>
      </c>
      <c r="L271" s="109">
        <f t="shared" si="38"/>
        <v>3443.579237556386</v>
      </c>
      <c r="Q271" s="110"/>
    </row>
    <row r="272" spans="2:17" x14ac:dyDescent="0.2">
      <c r="B272" s="102">
        <f t="shared" si="30"/>
        <v>250</v>
      </c>
      <c r="C272" s="111">
        <f t="shared" si="39"/>
        <v>48488</v>
      </c>
      <c r="D272" s="104">
        <f t="shared" si="31"/>
        <v>313271.34402058722</v>
      </c>
      <c r="E272" s="104"/>
      <c r="F272" s="104">
        <f t="shared" si="32"/>
        <v>2325.8392136019656</v>
      </c>
      <c r="G272" s="104">
        <f t="shared" si="33"/>
        <v>1117.7400239544202</v>
      </c>
      <c r="H272" s="105">
        <f t="shared" si="34"/>
        <v>0</v>
      </c>
      <c r="I272" s="106">
        <f t="shared" si="35"/>
        <v>0</v>
      </c>
      <c r="J272" s="107">
        <f t="shared" si="36"/>
        <v>0.66441512259829294</v>
      </c>
      <c r="K272" s="108">
        <f t="shared" si="37"/>
        <v>0</v>
      </c>
      <c r="L272" s="109">
        <f t="shared" si="38"/>
        <v>3443.579237556386</v>
      </c>
      <c r="Q272" s="110"/>
    </row>
    <row r="273" spans="2:17" x14ac:dyDescent="0.2">
      <c r="B273" s="102">
        <f t="shared" si="30"/>
        <v>251</v>
      </c>
      <c r="C273" s="111">
        <f t="shared" si="39"/>
        <v>48519</v>
      </c>
      <c r="D273" s="104">
        <f t="shared" si="31"/>
        <v>310937.26745977043</v>
      </c>
      <c r="E273" s="104"/>
      <c r="F273" s="104">
        <f t="shared" si="32"/>
        <v>2334.0765608168058</v>
      </c>
      <c r="G273" s="104">
        <f t="shared" si="33"/>
        <v>1109.5026767395798</v>
      </c>
      <c r="H273" s="105">
        <f t="shared" si="34"/>
        <v>0</v>
      </c>
      <c r="I273" s="106">
        <f t="shared" si="35"/>
        <v>0</v>
      </c>
      <c r="J273" s="107">
        <f t="shared" si="36"/>
        <v>0.65951861899070996</v>
      </c>
      <c r="K273" s="108">
        <f t="shared" si="37"/>
        <v>0</v>
      </c>
      <c r="L273" s="109">
        <f t="shared" si="38"/>
        <v>3443.5792375563856</v>
      </c>
      <c r="Q273" s="110"/>
    </row>
    <row r="274" spans="2:17" x14ac:dyDescent="0.2">
      <c r="B274" s="102">
        <f t="shared" si="30"/>
        <v>252</v>
      </c>
      <c r="C274" s="111">
        <f t="shared" si="39"/>
        <v>48549</v>
      </c>
      <c r="D274" s="104">
        <f t="shared" si="31"/>
        <v>308594.92437780072</v>
      </c>
      <c r="E274" s="104"/>
      <c r="F274" s="104">
        <f t="shared" si="32"/>
        <v>2342.3430819696987</v>
      </c>
      <c r="G274" s="104">
        <f t="shared" si="33"/>
        <v>1101.2361555866871</v>
      </c>
      <c r="H274" s="105">
        <f t="shared" si="34"/>
        <v>0</v>
      </c>
      <c r="I274" s="106">
        <f t="shared" si="35"/>
        <v>0</v>
      </c>
      <c r="J274" s="107">
        <f t="shared" si="36"/>
        <v>0.65460477359951674</v>
      </c>
      <c r="K274" s="108">
        <f t="shared" si="37"/>
        <v>0</v>
      </c>
      <c r="L274" s="109">
        <f t="shared" si="38"/>
        <v>3443.579237556386</v>
      </c>
      <c r="Q274" s="110"/>
    </row>
    <row r="275" spans="2:17" x14ac:dyDescent="0.2">
      <c r="B275" s="102">
        <f t="shared" si="30"/>
        <v>253</v>
      </c>
      <c r="C275" s="111">
        <f t="shared" si="39"/>
        <v>48580</v>
      </c>
      <c r="D275" s="104">
        <f t="shared" si="31"/>
        <v>306244.28549741569</v>
      </c>
      <c r="E275" s="104"/>
      <c r="F275" s="104">
        <f t="shared" si="32"/>
        <v>2350.6388803850077</v>
      </c>
      <c r="G275" s="104">
        <f t="shared" si="33"/>
        <v>1092.9403571713776</v>
      </c>
      <c r="H275" s="105">
        <f t="shared" si="34"/>
        <v>0</v>
      </c>
      <c r="I275" s="106">
        <f t="shared" si="35"/>
        <v>0</v>
      </c>
      <c r="J275" s="107">
        <f t="shared" si="36"/>
        <v>0.64967352500589626</v>
      </c>
      <c r="K275" s="108">
        <f t="shared" si="37"/>
        <v>0</v>
      </c>
      <c r="L275" s="109">
        <f t="shared" si="38"/>
        <v>3443.5792375563851</v>
      </c>
      <c r="Q275" s="110"/>
    </row>
    <row r="276" spans="2:17" x14ac:dyDescent="0.2">
      <c r="B276" s="102">
        <f t="shared" si="30"/>
        <v>254</v>
      </c>
      <c r="C276" s="111">
        <f t="shared" si="39"/>
        <v>48611</v>
      </c>
      <c r="D276" s="104">
        <f t="shared" si="31"/>
        <v>303885.32143766264</v>
      </c>
      <c r="E276" s="104"/>
      <c r="F276" s="104">
        <f t="shared" si="32"/>
        <v>2358.9640597530379</v>
      </c>
      <c r="G276" s="104">
        <f t="shared" si="33"/>
        <v>1084.6151778033475</v>
      </c>
      <c r="H276" s="105">
        <f t="shared" si="34"/>
        <v>0</v>
      </c>
      <c r="I276" s="106">
        <f t="shared" si="35"/>
        <v>0</v>
      </c>
      <c r="J276" s="107">
        <f t="shared" si="36"/>
        <v>0.6447248115735067</v>
      </c>
      <c r="K276" s="108">
        <f t="shared" si="37"/>
        <v>0</v>
      </c>
      <c r="L276" s="109">
        <f t="shared" si="38"/>
        <v>3443.5792375563851</v>
      </c>
      <c r="Q276" s="110"/>
    </row>
    <row r="277" spans="2:17" x14ac:dyDescent="0.2">
      <c r="B277" s="102">
        <f t="shared" si="30"/>
        <v>255</v>
      </c>
      <c r="C277" s="111">
        <f t="shared" si="39"/>
        <v>48639</v>
      </c>
      <c r="D277" s="104">
        <f t="shared" si="31"/>
        <v>301518.00271353131</v>
      </c>
      <c r="E277" s="104"/>
      <c r="F277" s="104">
        <f t="shared" si="32"/>
        <v>2367.3187241313303</v>
      </c>
      <c r="G277" s="104">
        <f t="shared" si="33"/>
        <v>1076.2605134250553</v>
      </c>
      <c r="H277" s="105">
        <f t="shared" si="34"/>
        <v>0</v>
      </c>
      <c r="I277" s="106">
        <f t="shared" si="35"/>
        <v>0</v>
      </c>
      <c r="J277" s="107">
        <f t="shared" si="36"/>
        <v>0.63975857144771087</v>
      </c>
      <c r="K277" s="108">
        <f t="shared" si="37"/>
        <v>0</v>
      </c>
      <c r="L277" s="109">
        <f t="shared" si="38"/>
        <v>3443.5792375563856</v>
      </c>
      <c r="Q277" s="110"/>
    </row>
    <row r="278" spans="2:17" x14ac:dyDescent="0.2">
      <c r="B278" s="102">
        <f t="shared" si="30"/>
        <v>256</v>
      </c>
      <c r="C278" s="111">
        <f t="shared" si="39"/>
        <v>48670</v>
      </c>
      <c r="D278" s="104">
        <f t="shared" si="31"/>
        <v>299142.29973558534</v>
      </c>
      <c r="E278" s="104"/>
      <c r="F278" s="104">
        <f t="shared" si="32"/>
        <v>2375.7029779459617</v>
      </c>
      <c r="G278" s="104">
        <f t="shared" si="33"/>
        <v>1067.8762596104236</v>
      </c>
      <c r="H278" s="105">
        <f t="shared" si="34"/>
        <v>0</v>
      </c>
      <c r="I278" s="106">
        <f t="shared" si="35"/>
        <v>0</v>
      </c>
      <c r="J278" s="107">
        <f t="shared" si="36"/>
        <v>0.63477474255480282</v>
      </c>
      <c r="K278" s="108">
        <f t="shared" si="37"/>
        <v>0</v>
      </c>
      <c r="L278" s="109">
        <f t="shared" si="38"/>
        <v>3443.5792375563851</v>
      </c>
      <c r="Q278" s="110"/>
    </row>
    <row r="279" spans="2:17" x14ac:dyDescent="0.2">
      <c r="B279" s="102">
        <f t="shared" si="30"/>
        <v>257</v>
      </c>
      <c r="C279" s="111">
        <f t="shared" si="39"/>
        <v>48700</v>
      </c>
      <c r="D279" s="104">
        <f t="shared" si="31"/>
        <v>296758.18280959252</v>
      </c>
      <c r="E279" s="104"/>
      <c r="F279" s="104">
        <f t="shared" si="32"/>
        <v>2384.1169259928538</v>
      </c>
      <c r="G279" s="104">
        <f t="shared" si="33"/>
        <v>1059.4623115635316</v>
      </c>
      <c r="H279" s="105">
        <f t="shared" si="34"/>
        <v>0</v>
      </c>
      <c r="I279" s="106">
        <f t="shared" si="35"/>
        <v>0</v>
      </c>
      <c r="J279" s="107">
        <f t="shared" si="36"/>
        <v>0.62977326260123234</v>
      </c>
      <c r="K279" s="108">
        <f t="shared" si="37"/>
        <v>0</v>
      </c>
      <c r="L279" s="109">
        <f t="shared" si="38"/>
        <v>3443.5792375563851</v>
      </c>
      <c r="Q279" s="110"/>
    </row>
    <row r="280" spans="2:17" x14ac:dyDescent="0.2">
      <c r="B280" s="102">
        <f t="shared" ref="B280:B343" si="40">IF(B279="","",IF(D279&lt;0.01,"",B279+1))</f>
        <v>258</v>
      </c>
      <c r="C280" s="111">
        <f t="shared" si="39"/>
        <v>48731</v>
      </c>
      <c r="D280" s="104">
        <f t="shared" ref="D280:D343" si="41">IF(B280="","",D279-F280-H280)</f>
        <v>294365.62213615346</v>
      </c>
      <c r="E280" s="104"/>
      <c r="F280" s="104">
        <f t="shared" ref="F280:F343" si="42">IF(B280="","",IF(D279&lt;F279,D279,IF($D$7*$D$8=B280,D279,$D$9-G280)))</f>
        <v>2392.5606734390785</v>
      </c>
      <c r="G280" s="104">
        <f t="shared" ref="G280:G343" si="43">IF(B280="","",D279*$D$5/$D$8)</f>
        <v>1051.0185641173068</v>
      </c>
      <c r="H280" s="105">
        <f t="shared" ref="H280:H343" si="44">IF(B280="","",IF(C280&gt;=$D$15,MIN($D$14,D279-F280),0))</f>
        <v>0</v>
      </c>
      <c r="I280" s="106">
        <f t="shared" ref="I280:I343" si="45">IF(B280="","",IF(J280&gt;0.78,$D$12,IF(B280&lt;60,$D$12,0)))</f>
        <v>0</v>
      </c>
      <c r="J280" s="107">
        <f t="shared" ref="J280:J343" si="46">IF(B280="","",D279/$D$10)</f>
        <v>0.62475406907282638</v>
      </c>
      <c r="K280" s="108">
        <f t="shared" ref="K280:K343" si="47">IF(B280="","",IF(D279&gt;0.01,$D$13,""))</f>
        <v>0</v>
      </c>
      <c r="L280" s="109">
        <f t="shared" ref="L280:L343" si="48">IF(B280="","",SUM(F280:I280,K280))</f>
        <v>3443.5792375563851</v>
      </c>
      <c r="Q280" s="110"/>
    </row>
    <row r="281" spans="2:17" x14ac:dyDescent="0.2">
      <c r="B281" s="102">
        <f t="shared" si="40"/>
        <v>259</v>
      </c>
      <c r="C281" s="111">
        <f t="shared" ref="C281:C344" si="49">IF(B281="","",DATE(YEAR(C280),MONTH(C280)+12/$D$8,DAY(C280)))</f>
        <v>48761</v>
      </c>
      <c r="D281" s="104">
        <f t="shared" si="41"/>
        <v>291964.58781032928</v>
      </c>
      <c r="E281" s="104"/>
      <c r="F281" s="104">
        <f t="shared" si="42"/>
        <v>2401.0343258241755</v>
      </c>
      <c r="G281" s="104">
        <f t="shared" si="43"/>
        <v>1042.5449117322103</v>
      </c>
      <c r="H281" s="105">
        <f t="shared" si="44"/>
        <v>0</v>
      </c>
      <c r="I281" s="106">
        <f t="shared" si="45"/>
        <v>0</v>
      </c>
      <c r="J281" s="107">
        <f t="shared" si="46"/>
        <v>0.61971709923400731</v>
      </c>
      <c r="K281" s="108">
        <f t="shared" si="47"/>
        <v>0</v>
      </c>
      <c r="L281" s="109">
        <f t="shared" si="48"/>
        <v>3443.579237556386</v>
      </c>
      <c r="Q281" s="110"/>
    </row>
    <row r="282" spans="2:17" x14ac:dyDescent="0.2">
      <c r="B282" s="102">
        <f t="shared" si="40"/>
        <v>260</v>
      </c>
      <c r="C282" s="111">
        <f t="shared" si="49"/>
        <v>48792</v>
      </c>
      <c r="D282" s="104">
        <f t="shared" si="41"/>
        <v>289555.04982126784</v>
      </c>
      <c r="E282" s="104"/>
      <c r="F282" s="104">
        <f t="shared" si="42"/>
        <v>2409.5379890614695</v>
      </c>
      <c r="G282" s="104">
        <f t="shared" si="43"/>
        <v>1034.0412484949163</v>
      </c>
      <c r="H282" s="105">
        <f t="shared" si="44"/>
        <v>0</v>
      </c>
      <c r="I282" s="106">
        <f t="shared" si="45"/>
        <v>0</v>
      </c>
      <c r="J282" s="107">
        <f t="shared" si="46"/>
        <v>0.61466229012700901</v>
      </c>
      <c r="K282" s="108">
        <f t="shared" si="47"/>
        <v>0</v>
      </c>
      <c r="L282" s="109">
        <f t="shared" si="48"/>
        <v>3443.579237556386</v>
      </c>
      <c r="Q282" s="110"/>
    </row>
    <row r="283" spans="2:17" x14ac:dyDescent="0.2">
      <c r="B283" s="102">
        <f t="shared" si="40"/>
        <v>261</v>
      </c>
      <c r="C283" s="111">
        <f t="shared" si="49"/>
        <v>48823</v>
      </c>
      <c r="D283" s="104">
        <f t="shared" si="41"/>
        <v>287136.97805182845</v>
      </c>
      <c r="E283" s="104"/>
      <c r="F283" s="104">
        <f t="shared" si="42"/>
        <v>2418.0717694393952</v>
      </c>
      <c r="G283" s="104">
        <f t="shared" si="43"/>
        <v>1025.5074681169904</v>
      </c>
      <c r="H283" s="105">
        <f t="shared" si="44"/>
        <v>0</v>
      </c>
      <c r="I283" s="106">
        <f t="shared" si="45"/>
        <v>0</v>
      </c>
      <c r="J283" s="107">
        <f t="shared" si="46"/>
        <v>0.6095895785710902</v>
      </c>
      <c r="K283" s="108">
        <f t="shared" si="47"/>
        <v>0</v>
      </c>
      <c r="L283" s="109">
        <f t="shared" si="48"/>
        <v>3443.5792375563856</v>
      </c>
      <c r="Q283" s="110"/>
    </row>
    <row r="284" spans="2:17" x14ac:dyDescent="0.2">
      <c r="B284" s="102">
        <f t="shared" si="40"/>
        <v>262</v>
      </c>
      <c r="C284" s="111">
        <f t="shared" si="49"/>
        <v>48853</v>
      </c>
      <c r="D284" s="104">
        <f t="shared" si="41"/>
        <v>284710.34227820562</v>
      </c>
      <c r="E284" s="104"/>
      <c r="F284" s="104">
        <f t="shared" si="42"/>
        <v>2426.6357736228265</v>
      </c>
      <c r="G284" s="104">
        <f t="shared" si="43"/>
        <v>1016.9434639335592</v>
      </c>
      <c r="H284" s="105">
        <f t="shared" si="44"/>
        <v>0</v>
      </c>
      <c r="I284" s="106">
        <f t="shared" si="45"/>
        <v>0</v>
      </c>
      <c r="J284" s="107">
        <f t="shared" si="46"/>
        <v>0.6044989011617441</v>
      </c>
      <c r="K284" s="108">
        <f t="shared" si="47"/>
        <v>0</v>
      </c>
      <c r="L284" s="109">
        <f t="shared" si="48"/>
        <v>3443.5792375563856</v>
      </c>
      <c r="Q284" s="110"/>
    </row>
    <row r="285" spans="2:17" x14ac:dyDescent="0.2">
      <c r="B285" s="102">
        <f t="shared" si="40"/>
        <v>263</v>
      </c>
      <c r="C285" s="111">
        <f t="shared" si="49"/>
        <v>48884</v>
      </c>
      <c r="D285" s="104">
        <f t="shared" si="41"/>
        <v>282275.1121695512</v>
      </c>
      <c r="E285" s="104"/>
      <c r="F285" s="104">
        <f t="shared" si="42"/>
        <v>2435.2301086544071</v>
      </c>
      <c r="G285" s="104">
        <f t="shared" si="43"/>
        <v>1008.3491289019784</v>
      </c>
      <c r="H285" s="105">
        <f t="shared" si="44"/>
        <v>0</v>
      </c>
      <c r="I285" s="106">
        <f t="shared" si="45"/>
        <v>0</v>
      </c>
      <c r="J285" s="107">
        <f t="shared" si="46"/>
        <v>0.59939019426990658</v>
      </c>
      <c r="K285" s="108">
        <f t="shared" si="47"/>
        <v>0</v>
      </c>
      <c r="L285" s="109">
        <f t="shared" si="48"/>
        <v>3443.5792375563856</v>
      </c>
      <c r="Q285" s="110"/>
    </row>
    <row r="286" spans="2:17" x14ac:dyDescent="0.2">
      <c r="B286" s="102">
        <f t="shared" si="40"/>
        <v>264</v>
      </c>
      <c r="C286" s="111">
        <f t="shared" si="49"/>
        <v>48914</v>
      </c>
      <c r="D286" s="104">
        <f t="shared" si="41"/>
        <v>279831.2572875953</v>
      </c>
      <c r="E286" s="104"/>
      <c r="F286" s="104">
        <f t="shared" si="42"/>
        <v>2443.8548819558919</v>
      </c>
      <c r="G286" s="104">
        <f t="shared" si="43"/>
        <v>999.72435560049382</v>
      </c>
      <c r="H286" s="105">
        <f t="shared" si="44"/>
        <v>0</v>
      </c>
      <c r="I286" s="106">
        <f t="shared" si="45"/>
        <v>0</v>
      </c>
      <c r="J286" s="107">
        <f t="shared" si="46"/>
        <v>0.59426339404116046</v>
      </c>
      <c r="K286" s="108">
        <f t="shared" si="47"/>
        <v>0</v>
      </c>
      <c r="L286" s="109">
        <f t="shared" si="48"/>
        <v>3443.5792375563856</v>
      </c>
      <c r="Q286" s="110"/>
    </row>
    <row r="287" spans="2:17" x14ac:dyDescent="0.2">
      <c r="B287" s="102">
        <f t="shared" si="40"/>
        <v>265</v>
      </c>
      <c r="C287" s="111">
        <f t="shared" si="49"/>
        <v>48945</v>
      </c>
      <c r="D287" s="104">
        <f t="shared" si="41"/>
        <v>277378.74708626582</v>
      </c>
      <c r="E287" s="104"/>
      <c r="F287" s="104">
        <f t="shared" si="42"/>
        <v>2452.5102013294854</v>
      </c>
      <c r="G287" s="104">
        <f t="shared" si="43"/>
        <v>991.06903622690015</v>
      </c>
      <c r="H287" s="105">
        <f t="shared" si="44"/>
        <v>0</v>
      </c>
      <c r="I287" s="106">
        <f t="shared" si="45"/>
        <v>0</v>
      </c>
      <c r="J287" s="107">
        <f t="shared" si="46"/>
        <v>0.58911843639493744</v>
      </c>
      <c r="K287" s="108">
        <f t="shared" si="47"/>
        <v>0</v>
      </c>
      <c r="L287" s="109">
        <f t="shared" si="48"/>
        <v>3443.5792375563856</v>
      </c>
      <c r="Q287" s="110"/>
    </row>
    <row r="288" spans="2:17" x14ac:dyDescent="0.2">
      <c r="B288" s="102">
        <f t="shared" si="40"/>
        <v>266</v>
      </c>
      <c r="C288" s="111">
        <f t="shared" si="49"/>
        <v>48976</v>
      </c>
      <c r="D288" s="104">
        <f t="shared" si="41"/>
        <v>274917.55091130664</v>
      </c>
      <c r="E288" s="104"/>
      <c r="F288" s="104">
        <f t="shared" si="42"/>
        <v>2461.1961749591942</v>
      </c>
      <c r="G288" s="104">
        <f t="shared" si="43"/>
        <v>982.3830625971915</v>
      </c>
      <c r="H288" s="105">
        <f t="shared" si="44"/>
        <v>0</v>
      </c>
      <c r="I288" s="106">
        <f t="shared" si="45"/>
        <v>0</v>
      </c>
      <c r="J288" s="107">
        <f t="shared" si="46"/>
        <v>0.58395525702371753</v>
      </c>
      <c r="K288" s="108">
        <f t="shared" si="47"/>
        <v>0</v>
      </c>
      <c r="L288" s="109">
        <f t="shared" si="48"/>
        <v>3443.5792375563856</v>
      </c>
      <c r="Q288" s="110"/>
    </row>
    <row r="289" spans="2:17" x14ac:dyDescent="0.2">
      <c r="B289" s="102">
        <f t="shared" si="40"/>
        <v>267</v>
      </c>
      <c r="C289" s="111">
        <f t="shared" si="49"/>
        <v>49004</v>
      </c>
      <c r="D289" s="104">
        <f t="shared" si="41"/>
        <v>272447.63799989445</v>
      </c>
      <c r="E289" s="104"/>
      <c r="F289" s="104">
        <f t="shared" si="42"/>
        <v>2469.9129114121747</v>
      </c>
      <c r="G289" s="104">
        <f t="shared" si="43"/>
        <v>973.66632614421098</v>
      </c>
      <c r="H289" s="105">
        <f t="shared" si="44"/>
        <v>0</v>
      </c>
      <c r="I289" s="106">
        <f t="shared" si="45"/>
        <v>0</v>
      </c>
      <c r="J289" s="107">
        <f t="shared" si="46"/>
        <v>0.57877379139222451</v>
      </c>
      <c r="K289" s="108">
        <f t="shared" si="47"/>
        <v>0</v>
      </c>
      <c r="L289" s="109">
        <f t="shared" si="48"/>
        <v>3443.5792375563856</v>
      </c>
      <c r="Q289" s="110"/>
    </row>
    <row r="290" spans="2:17" x14ac:dyDescent="0.2">
      <c r="B290" s="102">
        <f t="shared" si="40"/>
        <v>268</v>
      </c>
      <c r="C290" s="111">
        <f t="shared" si="49"/>
        <v>49035</v>
      </c>
      <c r="D290" s="104">
        <f t="shared" si="41"/>
        <v>269968.97748025437</v>
      </c>
      <c r="E290" s="104"/>
      <c r="F290" s="104">
        <f t="shared" si="42"/>
        <v>2478.6605196400928</v>
      </c>
      <c r="G290" s="104">
        <f t="shared" si="43"/>
        <v>964.91871791629285</v>
      </c>
      <c r="H290" s="105">
        <f t="shared" si="44"/>
        <v>0</v>
      </c>
      <c r="I290" s="106">
        <f t="shared" si="45"/>
        <v>0</v>
      </c>
      <c r="J290" s="107">
        <f t="shared" si="46"/>
        <v>0.57357397473661986</v>
      </c>
      <c r="K290" s="108">
        <f t="shared" si="47"/>
        <v>0</v>
      </c>
      <c r="L290" s="109">
        <f t="shared" si="48"/>
        <v>3443.5792375563856</v>
      </c>
      <c r="Q290" s="110"/>
    </row>
    <row r="291" spans="2:17" x14ac:dyDescent="0.2">
      <c r="B291" s="102">
        <f t="shared" si="40"/>
        <v>269</v>
      </c>
      <c r="C291" s="111">
        <f t="shared" si="49"/>
        <v>49065</v>
      </c>
      <c r="D291" s="104">
        <f t="shared" si="41"/>
        <v>267481.5383712739</v>
      </c>
      <c r="E291" s="104"/>
      <c r="F291" s="104">
        <f t="shared" si="42"/>
        <v>2487.4391089804844</v>
      </c>
      <c r="G291" s="104">
        <f t="shared" si="43"/>
        <v>956.14012857590103</v>
      </c>
      <c r="H291" s="105">
        <f t="shared" si="44"/>
        <v>0</v>
      </c>
      <c r="I291" s="106">
        <f t="shared" si="45"/>
        <v>0</v>
      </c>
      <c r="J291" s="107">
        <f t="shared" si="46"/>
        <v>0.56835574206369344</v>
      </c>
      <c r="K291" s="108">
        <f t="shared" si="47"/>
        <v>0</v>
      </c>
      <c r="L291" s="109">
        <f t="shared" si="48"/>
        <v>3443.5792375563856</v>
      </c>
      <c r="Q291" s="110"/>
    </row>
    <row r="292" spans="2:17" x14ac:dyDescent="0.2">
      <c r="B292" s="102">
        <f t="shared" si="40"/>
        <v>270</v>
      </c>
      <c r="C292" s="111">
        <f t="shared" si="49"/>
        <v>49096</v>
      </c>
      <c r="D292" s="104">
        <f t="shared" si="41"/>
        <v>264985.28958211577</v>
      </c>
      <c r="E292" s="104"/>
      <c r="F292" s="104">
        <f t="shared" si="42"/>
        <v>2496.2487891581236</v>
      </c>
      <c r="G292" s="104">
        <f t="shared" si="43"/>
        <v>947.33044839826186</v>
      </c>
      <c r="H292" s="105">
        <f t="shared" si="44"/>
        <v>0</v>
      </c>
      <c r="I292" s="106">
        <f t="shared" si="45"/>
        <v>0</v>
      </c>
      <c r="J292" s="107">
        <f t="shared" si="46"/>
        <v>0.56311902815005033</v>
      </c>
      <c r="K292" s="108">
        <f t="shared" si="47"/>
        <v>0</v>
      </c>
      <c r="L292" s="109">
        <f t="shared" si="48"/>
        <v>3443.5792375563856</v>
      </c>
      <c r="Q292" s="110"/>
    </row>
    <row r="293" spans="2:17" x14ac:dyDescent="0.2">
      <c r="B293" s="102">
        <f t="shared" si="40"/>
        <v>271</v>
      </c>
      <c r="C293" s="111">
        <f t="shared" si="49"/>
        <v>49126</v>
      </c>
      <c r="D293" s="104">
        <f>IF(B293="","",D292-F293-H293)</f>
        <v>262480.19991182938</v>
      </c>
      <c r="E293" s="104"/>
      <c r="F293" s="104">
        <f t="shared" si="42"/>
        <v>2505.089670286392</v>
      </c>
      <c r="G293" s="104">
        <f t="shared" si="43"/>
        <v>938.48956726999347</v>
      </c>
      <c r="H293" s="105">
        <f t="shared" si="44"/>
        <v>0</v>
      </c>
      <c r="I293" s="106">
        <f t="shared" si="45"/>
        <v>0</v>
      </c>
      <c r="J293" s="107">
        <f t="shared" si="46"/>
        <v>0.55786376754129641</v>
      </c>
      <c r="K293" s="108">
        <f t="shared" si="47"/>
        <v>0</v>
      </c>
      <c r="L293" s="109">
        <f t="shared" si="48"/>
        <v>3443.5792375563856</v>
      </c>
      <c r="Q293" s="110"/>
    </row>
    <row r="294" spans="2:17" x14ac:dyDescent="0.2">
      <c r="B294" s="102">
        <f t="shared" si="40"/>
        <v>272</v>
      </c>
      <c r="C294" s="111">
        <f t="shared" si="49"/>
        <v>49157</v>
      </c>
      <c r="D294" s="104">
        <f>IF(B294="","",D293-F294-H294)</f>
        <v>259966.23804896072</v>
      </c>
      <c r="E294" s="104"/>
      <c r="F294" s="104">
        <f t="shared" si="42"/>
        <v>2513.9618628686567</v>
      </c>
      <c r="G294" s="104">
        <f t="shared" si="43"/>
        <v>929.61737468772901</v>
      </c>
      <c r="H294" s="105">
        <f t="shared" si="44"/>
        <v>0</v>
      </c>
      <c r="I294" s="106">
        <f t="shared" si="45"/>
        <v>0</v>
      </c>
      <c r="J294" s="107">
        <f t="shared" si="46"/>
        <v>0.55258989455121976</v>
      </c>
      <c r="K294" s="108">
        <f t="shared" si="47"/>
        <v>0</v>
      </c>
      <c r="L294" s="109">
        <f t="shared" si="48"/>
        <v>3443.5792375563856</v>
      </c>
      <c r="Q294" s="110"/>
    </row>
    <row r="295" spans="2:17" x14ac:dyDescent="0.2">
      <c r="B295" s="102">
        <f t="shared" si="40"/>
        <v>273</v>
      </c>
      <c r="C295" s="111">
        <f t="shared" si="49"/>
        <v>49188</v>
      </c>
      <c r="D295" s="104">
        <f t="shared" si="41"/>
        <v>257443.37257116108</v>
      </c>
      <c r="E295" s="104"/>
      <c r="F295" s="104">
        <f t="shared" si="42"/>
        <v>2522.8654777996499</v>
      </c>
      <c r="G295" s="104">
        <f t="shared" si="43"/>
        <v>920.71375975673584</v>
      </c>
      <c r="H295" s="105">
        <f t="shared" si="44"/>
        <v>0</v>
      </c>
      <c r="I295" s="106">
        <f t="shared" si="45"/>
        <v>0</v>
      </c>
      <c r="J295" s="107">
        <f t="shared" si="46"/>
        <v>0.5472973432609699</v>
      </c>
      <c r="K295" s="108">
        <f t="shared" si="47"/>
        <v>0</v>
      </c>
      <c r="L295" s="109">
        <f t="shared" si="48"/>
        <v>3443.5792375563856</v>
      </c>
      <c r="Q295" s="110"/>
    </row>
    <row r="296" spans="2:17" x14ac:dyDescent="0.2">
      <c r="B296" s="102">
        <f t="shared" si="40"/>
        <v>274</v>
      </c>
      <c r="C296" s="111">
        <f t="shared" si="49"/>
        <v>49218</v>
      </c>
      <c r="D296" s="104">
        <f t="shared" si="41"/>
        <v>254911.57194479421</v>
      </c>
      <c r="E296" s="104"/>
      <c r="F296" s="104">
        <f t="shared" si="42"/>
        <v>2531.8006263668567</v>
      </c>
      <c r="G296" s="104">
        <f t="shared" si="43"/>
        <v>911.77861118952887</v>
      </c>
      <c r="H296" s="105">
        <f t="shared" si="44"/>
        <v>0</v>
      </c>
      <c r="I296" s="106">
        <f t="shared" si="45"/>
        <v>0</v>
      </c>
      <c r="J296" s="107">
        <f t="shared" si="46"/>
        <v>0.54198604751823387</v>
      </c>
      <c r="K296" s="108">
        <f t="shared" si="47"/>
        <v>0</v>
      </c>
      <c r="L296" s="109">
        <f t="shared" si="48"/>
        <v>3443.5792375563856</v>
      </c>
      <c r="Q296" s="110"/>
    </row>
    <row r="297" spans="2:17" x14ac:dyDescent="0.2">
      <c r="B297" s="102">
        <f t="shared" si="40"/>
        <v>275</v>
      </c>
      <c r="C297" s="111">
        <f t="shared" si="49"/>
        <v>49249</v>
      </c>
      <c r="D297" s="104">
        <f t="shared" si="41"/>
        <v>252370.8045245423</v>
      </c>
      <c r="E297" s="104"/>
      <c r="F297" s="104">
        <f t="shared" si="42"/>
        <v>2540.7674202519061</v>
      </c>
      <c r="G297" s="104">
        <f t="shared" si="43"/>
        <v>902.81181730447952</v>
      </c>
      <c r="H297" s="105">
        <f t="shared" si="44"/>
        <v>0</v>
      </c>
      <c r="I297" s="106">
        <f t="shared" si="45"/>
        <v>0</v>
      </c>
      <c r="J297" s="107">
        <f t="shared" si="46"/>
        <v>0.53665594093640889</v>
      </c>
      <c r="K297" s="108">
        <f t="shared" si="47"/>
        <v>0</v>
      </c>
      <c r="L297" s="109">
        <f t="shared" si="48"/>
        <v>3443.5792375563856</v>
      </c>
      <c r="Q297" s="110"/>
    </row>
    <row r="298" spans="2:17" x14ac:dyDescent="0.2">
      <c r="B298" s="102">
        <f t="shared" si="40"/>
        <v>276</v>
      </c>
      <c r="C298" s="111">
        <f t="shared" si="49"/>
        <v>49279</v>
      </c>
      <c r="D298" s="104">
        <f t="shared" si="41"/>
        <v>249821.03855301032</v>
      </c>
      <c r="E298" s="104"/>
      <c r="F298" s="104">
        <f t="shared" si="42"/>
        <v>2549.7659715319651</v>
      </c>
      <c r="G298" s="104">
        <f t="shared" si="43"/>
        <v>893.81326602442061</v>
      </c>
      <c r="H298" s="105">
        <f t="shared" si="44"/>
        <v>0</v>
      </c>
      <c r="I298" s="106">
        <f t="shared" si="45"/>
        <v>0</v>
      </c>
      <c r="J298" s="107">
        <f t="shared" si="46"/>
        <v>0.53130695689377327</v>
      </c>
      <c r="K298" s="108">
        <f t="shared" si="47"/>
        <v>0</v>
      </c>
      <c r="L298" s="109">
        <f t="shared" si="48"/>
        <v>3443.5792375563856</v>
      </c>
      <c r="Q298" s="110"/>
    </row>
    <row r="299" spans="2:17" x14ac:dyDescent="0.2">
      <c r="B299" s="102">
        <f t="shared" si="40"/>
        <v>277</v>
      </c>
      <c r="C299" s="111">
        <f t="shared" si="49"/>
        <v>49310</v>
      </c>
      <c r="D299" s="104">
        <f t="shared" si="41"/>
        <v>247262.24216032919</v>
      </c>
      <c r="E299" s="104"/>
      <c r="F299" s="104">
        <f t="shared" si="42"/>
        <v>2558.7963926811408</v>
      </c>
      <c r="G299" s="104">
        <f t="shared" si="43"/>
        <v>884.7828448752449</v>
      </c>
      <c r="H299" s="105">
        <f t="shared" si="44"/>
        <v>0</v>
      </c>
      <c r="I299" s="106">
        <f t="shared" si="45"/>
        <v>0</v>
      </c>
      <c r="J299" s="107">
        <f t="shared" si="46"/>
        <v>0.52593902853265329</v>
      </c>
      <c r="K299" s="108">
        <f t="shared" si="47"/>
        <v>0</v>
      </c>
      <c r="L299" s="109">
        <f t="shared" si="48"/>
        <v>3443.5792375563856</v>
      </c>
      <c r="Q299" s="110"/>
    </row>
    <row r="300" spans="2:17" x14ac:dyDescent="0.2">
      <c r="B300" s="102">
        <f t="shared" si="40"/>
        <v>278</v>
      </c>
      <c r="C300" s="111">
        <f t="shared" si="49"/>
        <v>49341</v>
      </c>
      <c r="D300" s="104">
        <f t="shared" si="41"/>
        <v>244694.38336375731</v>
      </c>
      <c r="E300" s="104"/>
      <c r="F300" s="104">
        <f t="shared" si="42"/>
        <v>2567.8587965718862</v>
      </c>
      <c r="G300" s="104">
        <f t="shared" si="43"/>
        <v>875.72044098449931</v>
      </c>
      <c r="H300" s="105">
        <f t="shared" si="44"/>
        <v>0</v>
      </c>
      <c r="I300" s="106">
        <f t="shared" si="45"/>
        <v>0</v>
      </c>
      <c r="J300" s="107">
        <f t="shared" si="46"/>
        <v>0.52055208875858772</v>
      </c>
      <c r="K300" s="108">
        <f t="shared" si="47"/>
        <v>0</v>
      </c>
      <c r="L300" s="109">
        <f t="shared" si="48"/>
        <v>3443.5792375563856</v>
      </c>
      <c r="Q300" s="110"/>
    </row>
    <row r="301" spans="2:17" x14ac:dyDescent="0.2">
      <c r="B301" s="102">
        <f t="shared" si="40"/>
        <v>279</v>
      </c>
      <c r="C301" s="111">
        <f t="shared" si="49"/>
        <v>49369</v>
      </c>
      <c r="D301" s="104">
        <f t="shared" si="41"/>
        <v>242117.43006728089</v>
      </c>
      <c r="E301" s="104"/>
      <c r="F301" s="104">
        <f t="shared" si="42"/>
        <v>2576.9532964764117</v>
      </c>
      <c r="G301" s="104">
        <f t="shared" si="43"/>
        <v>866.62594107997393</v>
      </c>
      <c r="H301" s="105">
        <f t="shared" si="44"/>
        <v>0</v>
      </c>
      <c r="I301" s="106">
        <f t="shared" si="45"/>
        <v>0</v>
      </c>
      <c r="J301" s="107">
        <f t="shared" si="46"/>
        <v>0.51514607023948911</v>
      </c>
      <c r="K301" s="108">
        <f t="shared" si="47"/>
        <v>0</v>
      </c>
      <c r="L301" s="109">
        <f t="shared" si="48"/>
        <v>3443.5792375563856</v>
      </c>
      <c r="Q301" s="110"/>
    </row>
    <row r="302" spans="2:17" x14ac:dyDescent="0.2">
      <c r="B302" s="102">
        <f t="shared" si="40"/>
        <v>280</v>
      </c>
      <c r="C302" s="111">
        <f t="shared" si="49"/>
        <v>49400</v>
      </c>
      <c r="D302" s="104">
        <f t="shared" si="41"/>
        <v>239531.35006121278</v>
      </c>
      <c r="E302" s="104"/>
      <c r="F302" s="104">
        <f t="shared" si="42"/>
        <v>2586.080006068099</v>
      </c>
      <c r="G302" s="104">
        <f t="shared" si="43"/>
        <v>857.49923148828657</v>
      </c>
      <c r="H302" s="105">
        <f t="shared" si="44"/>
        <v>0</v>
      </c>
      <c r="I302" s="106">
        <f t="shared" si="45"/>
        <v>0</v>
      </c>
      <c r="J302" s="107">
        <f t="shared" si="46"/>
        <v>0.50972090540480186</v>
      </c>
      <c r="K302" s="108">
        <f t="shared" si="47"/>
        <v>0</v>
      </c>
      <c r="L302" s="109">
        <f t="shared" si="48"/>
        <v>3443.5792375563856</v>
      </c>
      <c r="Q302" s="110"/>
    </row>
    <row r="303" spans="2:17" x14ac:dyDescent="0.2">
      <c r="B303" s="102">
        <f t="shared" si="40"/>
        <v>281</v>
      </c>
      <c r="C303" s="111">
        <f t="shared" si="49"/>
        <v>49430</v>
      </c>
      <c r="D303" s="104">
        <f t="shared" si="41"/>
        <v>236936.11102178987</v>
      </c>
      <c r="E303" s="104"/>
      <c r="F303" s="104">
        <f t="shared" si="42"/>
        <v>2595.2390394229237</v>
      </c>
      <c r="G303" s="104">
        <f t="shared" si="43"/>
        <v>848.34019813346197</v>
      </c>
      <c r="H303" s="105">
        <f t="shared" si="44"/>
        <v>0</v>
      </c>
      <c r="I303" s="106">
        <f t="shared" si="45"/>
        <v>0</v>
      </c>
      <c r="J303" s="107">
        <f t="shared" si="46"/>
        <v>0.50427652644465848</v>
      </c>
      <c r="K303" s="108">
        <f t="shared" si="47"/>
        <v>0</v>
      </c>
      <c r="L303" s="109">
        <f t="shared" si="48"/>
        <v>3443.5792375563856</v>
      </c>
      <c r="Q303" s="110"/>
    </row>
    <row r="304" spans="2:17" x14ac:dyDescent="0.2">
      <c r="B304" s="102">
        <f t="shared" si="40"/>
        <v>282</v>
      </c>
      <c r="C304" s="111">
        <f t="shared" si="49"/>
        <v>49461</v>
      </c>
      <c r="D304" s="104">
        <f t="shared" si="41"/>
        <v>234331.68051076899</v>
      </c>
      <c r="E304" s="104"/>
      <c r="F304" s="104">
        <f t="shared" si="42"/>
        <v>2604.4305110208797</v>
      </c>
      <c r="G304" s="104">
        <f t="shared" si="43"/>
        <v>839.14872653550583</v>
      </c>
      <c r="H304" s="105">
        <f t="shared" si="44"/>
        <v>0</v>
      </c>
      <c r="I304" s="106">
        <f t="shared" si="45"/>
        <v>0</v>
      </c>
      <c r="J304" s="107">
        <f t="shared" si="46"/>
        <v>0.49881286530903129</v>
      </c>
      <c r="K304" s="108">
        <f t="shared" si="47"/>
        <v>0</v>
      </c>
      <c r="L304" s="109">
        <f t="shared" si="48"/>
        <v>3443.5792375563856</v>
      </c>
      <c r="Q304" s="110"/>
    </row>
    <row r="305" spans="2:17" x14ac:dyDescent="0.2">
      <c r="B305" s="102">
        <f t="shared" si="40"/>
        <v>283</v>
      </c>
      <c r="C305" s="111">
        <f t="shared" si="49"/>
        <v>49491</v>
      </c>
      <c r="D305" s="104">
        <f t="shared" si="41"/>
        <v>231718.02597502156</v>
      </c>
      <c r="E305" s="104"/>
      <c r="F305" s="104">
        <f t="shared" si="42"/>
        <v>2613.654535747412</v>
      </c>
      <c r="G305" s="104">
        <f t="shared" si="43"/>
        <v>829.92470180897362</v>
      </c>
      <c r="H305" s="105">
        <f t="shared" si="44"/>
        <v>0</v>
      </c>
      <c r="I305" s="106">
        <f t="shared" si="45"/>
        <v>0</v>
      </c>
      <c r="J305" s="107">
        <f t="shared" si="46"/>
        <v>0.49332985370688209</v>
      </c>
      <c r="K305" s="108">
        <f t="shared" si="47"/>
        <v>0</v>
      </c>
      <c r="L305" s="109">
        <f t="shared" si="48"/>
        <v>3443.5792375563856</v>
      </c>
      <c r="Q305" s="110"/>
    </row>
    <row r="306" spans="2:17" x14ac:dyDescent="0.2">
      <c r="B306" s="102">
        <f t="shared" si="40"/>
        <v>284</v>
      </c>
      <c r="C306" s="111">
        <f t="shared" si="49"/>
        <v>49522</v>
      </c>
      <c r="D306" s="104">
        <f t="shared" si="41"/>
        <v>229095.11474612672</v>
      </c>
      <c r="E306" s="104"/>
      <c r="F306" s="104">
        <f t="shared" si="42"/>
        <v>2622.9112288948509</v>
      </c>
      <c r="G306" s="104">
        <f t="shared" si="43"/>
        <v>820.66800866153471</v>
      </c>
      <c r="H306" s="105">
        <f t="shared" si="44"/>
        <v>0</v>
      </c>
      <c r="I306" s="106">
        <f t="shared" si="45"/>
        <v>0</v>
      </c>
      <c r="J306" s="107">
        <f t="shared" si="46"/>
        <v>0.48782742310530858</v>
      </c>
      <c r="K306" s="108">
        <f t="shared" si="47"/>
        <v>0</v>
      </c>
      <c r="L306" s="109">
        <f t="shared" si="48"/>
        <v>3443.5792375563856</v>
      </c>
      <c r="Q306" s="110"/>
    </row>
    <row r="307" spans="2:17" x14ac:dyDescent="0.2">
      <c r="B307" s="102">
        <f t="shared" si="40"/>
        <v>285</v>
      </c>
      <c r="C307" s="111">
        <f t="shared" si="49"/>
        <v>49553</v>
      </c>
      <c r="D307" s="104">
        <f t="shared" si="41"/>
        <v>226462.91403996287</v>
      </c>
      <c r="E307" s="104"/>
      <c r="F307" s="104">
        <f t="shared" si="42"/>
        <v>2632.2007061638533</v>
      </c>
      <c r="G307" s="104">
        <f t="shared" si="43"/>
        <v>811.37853139253218</v>
      </c>
      <c r="H307" s="105">
        <f t="shared" si="44"/>
        <v>0</v>
      </c>
      <c r="I307" s="106">
        <f t="shared" si="45"/>
        <v>0</v>
      </c>
      <c r="J307" s="107">
        <f t="shared" si="46"/>
        <v>0.48230550472868783</v>
      </c>
      <c r="K307" s="108">
        <f t="shared" si="47"/>
        <v>0</v>
      </c>
      <c r="L307" s="109">
        <f t="shared" si="48"/>
        <v>3443.5792375563856</v>
      </c>
      <c r="Q307" s="110"/>
    </row>
    <row r="308" spans="2:17" x14ac:dyDescent="0.2">
      <c r="B308" s="102">
        <f t="shared" si="40"/>
        <v>286</v>
      </c>
      <c r="C308" s="111">
        <f t="shared" si="49"/>
        <v>49583</v>
      </c>
      <c r="D308" s="104">
        <f t="shared" si="41"/>
        <v>223821.39095629801</v>
      </c>
      <c r="E308" s="104"/>
      <c r="F308" s="104">
        <f t="shared" si="42"/>
        <v>2641.5230836648502</v>
      </c>
      <c r="G308" s="104">
        <f t="shared" si="43"/>
        <v>802.05615389153525</v>
      </c>
      <c r="H308" s="105">
        <f t="shared" si="44"/>
        <v>0</v>
      </c>
      <c r="I308" s="106">
        <f t="shared" si="45"/>
        <v>0</v>
      </c>
      <c r="J308" s="107">
        <f t="shared" si="46"/>
        <v>0.47676402955781655</v>
      </c>
      <c r="K308" s="108">
        <f t="shared" si="47"/>
        <v>0</v>
      </c>
      <c r="L308" s="109">
        <f t="shared" si="48"/>
        <v>3443.5792375563856</v>
      </c>
      <c r="Q308" s="110"/>
    </row>
    <row r="309" spans="2:17" x14ac:dyDescent="0.2">
      <c r="B309" s="102">
        <f t="shared" si="40"/>
        <v>287</v>
      </c>
      <c r="C309" s="111">
        <f t="shared" si="49"/>
        <v>49614</v>
      </c>
      <c r="D309" s="104">
        <f t="shared" si="41"/>
        <v>221170.51247837851</v>
      </c>
      <c r="E309" s="104"/>
      <c r="F309" s="104">
        <f t="shared" si="42"/>
        <v>2650.8784779194966</v>
      </c>
      <c r="G309" s="104">
        <f t="shared" si="43"/>
        <v>792.70075963688885</v>
      </c>
      <c r="H309" s="105">
        <f t="shared" si="44"/>
        <v>0</v>
      </c>
      <c r="I309" s="106">
        <f t="shared" si="45"/>
        <v>0</v>
      </c>
      <c r="J309" s="107">
        <f t="shared" si="46"/>
        <v>0.47120292832904842</v>
      </c>
      <c r="K309" s="108">
        <f t="shared" si="47"/>
        <v>0</v>
      </c>
      <c r="L309" s="109">
        <f t="shared" si="48"/>
        <v>3443.5792375563856</v>
      </c>
      <c r="Q309" s="110"/>
    </row>
    <row r="310" spans="2:17" x14ac:dyDescent="0.2">
      <c r="B310" s="102">
        <f t="shared" si="40"/>
        <v>288</v>
      </c>
      <c r="C310" s="111">
        <f t="shared" si="49"/>
        <v>49644</v>
      </c>
      <c r="D310" s="104">
        <f t="shared" si="41"/>
        <v>218510.2454725164</v>
      </c>
      <c r="E310" s="104"/>
      <c r="F310" s="104">
        <f t="shared" si="42"/>
        <v>2660.2670058621284</v>
      </c>
      <c r="G310" s="104">
        <f t="shared" si="43"/>
        <v>783.31223169425732</v>
      </c>
      <c r="H310" s="105">
        <f t="shared" si="44"/>
        <v>0</v>
      </c>
      <c r="I310" s="106">
        <f t="shared" si="45"/>
        <v>0</v>
      </c>
      <c r="J310" s="107">
        <f t="shared" si="46"/>
        <v>0.46562213153342846</v>
      </c>
      <c r="K310" s="108">
        <f t="shared" si="47"/>
        <v>0</v>
      </c>
      <c r="L310" s="109">
        <f t="shared" si="48"/>
        <v>3443.5792375563856</v>
      </c>
      <c r="Q310" s="110"/>
    </row>
    <row r="311" spans="2:17" x14ac:dyDescent="0.2">
      <c r="B311" s="102">
        <f t="shared" si="40"/>
        <v>289</v>
      </c>
      <c r="C311" s="111">
        <f t="shared" si="49"/>
        <v>49675</v>
      </c>
      <c r="D311" s="104">
        <f t="shared" si="41"/>
        <v>215840.55668767518</v>
      </c>
      <c r="E311" s="104"/>
      <c r="F311" s="104">
        <f t="shared" si="42"/>
        <v>2669.6887848412234</v>
      </c>
      <c r="G311" s="104">
        <f t="shared" si="43"/>
        <v>773.89045271516227</v>
      </c>
      <c r="H311" s="105">
        <f t="shared" si="44"/>
        <v>0</v>
      </c>
      <c r="I311" s="106">
        <f t="shared" si="45"/>
        <v>0</v>
      </c>
      <c r="J311" s="107">
        <f t="shared" si="46"/>
        <v>0.46002156941582401</v>
      </c>
      <c r="K311" s="108">
        <f t="shared" si="47"/>
        <v>0</v>
      </c>
      <c r="L311" s="109">
        <f t="shared" si="48"/>
        <v>3443.5792375563856</v>
      </c>
      <c r="Q311" s="110"/>
    </row>
    <row r="312" spans="2:17" x14ac:dyDescent="0.2">
      <c r="B312" s="102">
        <f t="shared" si="40"/>
        <v>290</v>
      </c>
      <c r="C312" s="111">
        <f t="shared" si="49"/>
        <v>49706</v>
      </c>
      <c r="D312" s="104">
        <f t="shared" si="41"/>
        <v>213161.41275505431</v>
      </c>
      <c r="E312" s="104"/>
      <c r="F312" s="104">
        <f t="shared" si="42"/>
        <v>2679.1439326208692</v>
      </c>
      <c r="G312" s="104">
        <f t="shared" si="43"/>
        <v>764.43530493551634</v>
      </c>
      <c r="H312" s="105">
        <f t="shared" si="44"/>
        <v>0</v>
      </c>
      <c r="I312" s="106">
        <f t="shared" si="45"/>
        <v>0</v>
      </c>
      <c r="J312" s="107">
        <f t="shared" si="46"/>
        <v>0.454401171974053</v>
      </c>
      <c r="K312" s="108">
        <f t="shared" si="47"/>
        <v>0</v>
      </c>
      <c r="L312" s="109">
        <f t="shared" si="48"/>
        <v>3443.5792375563856</v>
      </c>
      <c r="Q312" s="110"/>
    </row>
    <row r="313" spans="2:17" x14ac:dyDescent="0.2">
      <c r="B313" s="102">
        <f t="shared" si="40"/>
        <v>291</v>
      </c>
      <c r="C313" s="111">
        <f t="shared" si="49"/>
        <v>49735</v>
      </c>
      <c r="D313" s="104">
        <f t="shared" si="41"/>
        <v>210472.78018767206</v>
      </c>
      <c r="E313" s="104"/>
      <c r="F313" s="104">
        <f t="shared" si="42"/>
        <v>2688.6325673822348</v>
      </c>
      <c r="G313" s="104">
        <f t="shared" si="43"/>
        <v>754.94667017415077</v>
      </c>
      <c r="H313" s="105">
        <f t="shared" si="44"/>
        <v>0</v>
      </c>
      <c r="I313" s="106">
        <f t="shared" si="45"/>
        <v>0</v>
      </c>
      <c r="J313" s="107">
        <f t="shared" si="46"/>
        <v>0.44876086895800904</v>
      </c>
      <c r="K313" s="108">
        <f t="shared" si="47"/>
        <v>0</v>
      </c>
      <c r="L313" s="109">
        <f t="shared" si="48"/>
        <v>3443.5792375563856</v>
      </c>
      <c r="Q313" s="110"/>
    </row>
    <row r="314" spans="2:17" x14ac:dyDescent="0.2">
      <c r="B314" s="102">
        <f t="shared" si="40"/>
        <v>292</v>
      </c>
      <c r="C314" s="111">
        <f t="shared" si="49"/>
        <v>49766</v>
      </c>
      <c r="D314" s="104">
        <f t="shared" si="41"/>
        <v>207774.62537994701</v>
      </c>
      <c r="E314" s="104"/>
      <c r="F314" s="104">
        <f t="shared" si="42"/>
        <v>2698.1548077250468</v>
      </c>
      <c r="G314" s="104">
        <f t="shared" si="43"/>
        <v>745.42442983133867</v>
      </c>
      <c r="H314" s="105">
        <f t="shared" si="44"/>
        <v>0</v>
      </c>
      <c r="I314" s="106">
        <f t="shared" si="45"/>
        <v>0</v>
      </c>
      <c r="J314" s="107">
        <f t="shared" si="46"/>
        <v>0.44310058986878331</v>
      </c>
      <c r="K314" s="108">
        <f t="shared" si="47"/>
        <v>0</v>
      </c>
      <c r="L314" s="109">
        <f t="shared" si="48"/>
        <v>3443.5792375563856</v>
      </c>
      <c r="Q314" s="110"/>
    </row>
    <row r="315" spans="2:17" x14ac:dyDescent="0.2">
      <c r="B315" s="102">
        <f t="shared" si="40"/>
        <v>293</v>
      </c>
      <c r="C315" s="111">
        <f t="shared" si="49"/>
        <v>49796</v>
      </c>
      <c r="D315" s="104">
        <f t="shared" si="41"/>
        <v>205066.91460727795</v>
      </c>
      <c r="E315" s="104"/>
      <c r="F315" s="104">
        <f t="shared" si="42"/>
        <v>2707.7107726690733</v>
      </c>
      <c r="G315" s="104">
        <f t="shared" si="43"/>
        <v>735.86846488731237</v>
      </c>
      <c r="H315" s="105">
        <f t="shared" si="44"/>
        <v>0</v>
      </c>
      <c r="I315" s="106">
        <f t="shared" si="45"/>
        <v>0</v>
      </c>
      <c r="J315" s="107">
        <f t="shared" si="46"/>
        <v>0.43742026395778316</v>
      </c>
      <c r="K315" s="108">
        <f t="shared" si="47"/>
        <v>0</v>
      </c>
      <c r="L315" s="109">
        <f t="shared" si="48"/>
        <v>3443.5792375563856</v>
      </c>
      <c r="Q315" s="110"/>
    </row>
    <row r="316" spans="2:17" x14ac:dyDescent="0.2">
      <c r="B316" s="102">
        <f t="shared" si="40"/>
        <v>294</v>
      </c>
      <c r="C316" s="111">
        <f t="shared" si="49"/>
        <v>49827</v>
      </c>
      <c r="D316" s="104">
        <f t="shared" si="41"/>
        <v>202349.61402562234</v>
      </c>
      <c r="E316" s="104"/>
      <c r="F316" s="104">
        <f t="shared" si="42"/>
        <v>2717.3005816556092</v>
      </c>
      <c r="G316" s="104">
        <f t="shared" si="43"/>
        <v>726.27865590077624</v>
      </c>
      <c r="H316" s="105">
        <f t="shared" si="44"/>
        <v>0</v>
      </c>
      <c r="I316" s="106">
        <f t="shared" si="45"/>
        <v>0</v>
      </c>
      <c r="J316" s="107">
        <f t="shared" si="46"/>
        <v>0.43171982022584832</v>
      </c>
      <c r="K316" s="108">
        <f t="shared" si="47"/>
        <v>0</v>
      </c>
      <c r="L316" s="109">
        <f t="shared" si="48"/>
        <v>3443.5792375563856</v>
      </c>
      <c r="Q316" s="110"/>
    </row>
    <row r="317" spans="2:17" x14ac:dyDescent="0.2">
      <c r="B317" s="102">
        <f t="shared" si="40"/>
        <v>295</v>
      </c>
      <c r="C317" s="111">
        <f t="shared" si="49"/>
        <v>49857</v>
      </c>
      <c r="D317" s="104">
        <f t="shared" si="41"/>
        <v>199622.68967107337</v>
      </c>
      <c r="E317" s="104"/>
      <c r="F317" s="104">
        <f t="shared" si="42"/>
        <v>2726.924354548973</v>
      </c>
      <c r="G317" s="104">
        <f t="shared" si="43"/>
        <v>716.65488300741254</v>
      </c>
      <c r="H317" s="105">
        <f t="shared" si="44"/>
        <v>0</v>
      </c>
      <c r="I317" s="106">
        <f t="shared" si="45"/>
        <v>0</v>
      </c>
      <c r="J317" s="107">
        <f t="shared" si="46"/>
        <v>0.42599918742236281</v>
      </c>
      <c r="K317" s="108">
        <f t="shared" si="47"/>
        <v>0</v>
      </c>
      <c r="L317" s="109">
        <f t="shared" si="48"/>
        <v>3443.5792375563856</v>
      </c>
      <c r="Q317" s="110"/>
    </row>
    <row r="318" spans="2:17" x14ac:dyDescent="0.2">
      <c r="B318" s="102">
        <f t="shared" si="40"/>
        <v>296</v>
      </c>
      <c r="C318" s="111">
        <f t="shared" si="49"/>
        <v>49888</v>
      </c>
      <c r="D318" s="104">
        <f t="shared" si="41"/>
        <v>196886.10745943536</v>
      </c>
      <c r="E318" s="104"/>
      <c r="F318" s="104">
        <f t="shared" si="42"/>
        <v>2736.5822116380009</v>
      </c>
      <c r="G318" s="104">
        <f t="shared" si="43"/>
        <v>706.99702591838479</v>
      </c>
      <c r="H318" s="105">
        <f t="shared" si="44"/>
        <v>0</v>
      </c>
      <c r="I318" s="106">
        <f t="shared" si="45"/>
        <v>0</v>
      </c>
      <c r="J318" s="107">
        <f t="shared" si="46"/>
        <v>0.42025829404436499</v>
      </c>
      <c r="K318" s="108">
        <f t="shared" si="47"/>
        <v>0</v>
      </c>
      <c r="L318" s="109">
        <f t="shared" si="48"/>
        <v>3443.5792375563856</v>
      </c>
      <c r="Q318" s="110"/>
    </row>
    <row r="319" spans="2:17" x14ac:dyDescent="0.2">
      <c r="B319" s="102">
        <f t="shared" si="40"/>
        <v>297</v>
      </c>
      <c r="C319" s="111">
        <f t="shared" si="49"/>
        <v>49919</v>
      </c>
      <c r="D319" s="104">
        <f t="shared" si="41"/>
        <v>194139.83318579779</v>
      </c>
      <c r="E319" s="104"/>
      <c r="F319" s="104">
        <f t="shared" si="42"/>
        <v>2746.2742736375521</v>
      </c>
      <c r="G319" s="104">
        <f t="shared" si="43"/>
        <v>697.30496391883355</v>
      </c>
      <c r="H319" s="105">
        <f t="shared" si="44"/>
        <v>0</v>
      </c>
      <c r="I319" s="106">
        <f t="shared" si="45"/>
        <v>0</v>
      </c>
      <c r="J319" s="107">
        <f t="shared" si="46"/>
        <v>0.41449706833565336</v>
      </c>
      <c r="K319" s="108">
        <f t="shared" si="47"/>
        <v>0</v>
      </c>
      <c r="L319" s="109">
        <f t="shared" si="48"/>
        <v>3443.5792375563856</v>
      </c>
      <c r="Q319" s="110"/>
    </row>
    <row r="320" spans="2:17" x14ac:dyDescent="0.2">
      <c r="B320" s="102">
        <f t="shared" si="40"/>
        <v>298</v>
      </c>
      <c r="C320" s="111">
        <f t="shared" si="49"/>
        <v>49949</v>
      </c>
      <c r="D320" s="104">
        <f t="shared" si="41"/>
        <v>191383.83252410777</v>
      </c>
      <c r="E320" s="104"/>
      <c r="F320" s="104">
        <f t="shared" si="42"/>
        <v>2756.0006616900182</v>
      </c>
      <c r="G320" s="104">
        <f t="shared" si="43"/>
        <v>687.57857586636726</v>
      </c>
      <c r="H320" s="105">
        <f t="shared" si="44"/>
        <v>0</v>
      </c>
      <c r="I320" s="106">
        <f t="shared" si="45"/>
        <v>0</v>
      </c>
      <c r="J320" s="107">
        <f t="shared" si="46"/>
        <v>0.40871543828589008</v>
      </c>
      <c r="K320" s="108">
        <f t="shared" si="47"/>
        <v>0</v>
      </c>
      <c r="L320" s="109">
        <f t="shared" si="48"/>
        <v>3443.5792375563856</v>
      </c>
      <c r="Q320" s="110"/>
    </row>
    <row r="321" spans="2:17" x14ac:dyDescent="0.2">
      <c r="B321" s="102">
        <f t="shared" si="40"/>
        <v>299</v>
      </c>
      <c r="C321" s="111">
        <f t="shared" si="49"/>
        <v>49980</v>
      </c>
      <c r="D321" s="104">
        <f t="shared" si="41"/>
        <v>188618.07102674094</v>
      </c>
      <c r="E321" s="104"/>
      <c r="F321" s="104">
        <f t="shared" si="42"/>
        <v>2765.7614973668369</v>
      </c>
      <c r="G321" s="104">
        <f t="shared" si="43"/>
        <v>677.81774018954843</v>
      </c>
      <c r="H321" s="105">
        <f t="shared" si="44"/>
        <v>0</v>
      </c>
      <c r="I321" s="106">
        <f t="shared" si="45"/>
        <v>0</v>
      </c>
      <c r="J321" s="107">
        <f t="shared" si="46"/>
        <v>0.40291333162970056</v>
      </c>
      <c r="K321" s="108">
        <f t="shared" si="47"/>
        <v>0</v>
      </c>
      <c r="L321" s="109">
        <f t="shared" si="48"/>
        <v>3443.5792375563851</v>
      </c>
      <c r="Q321" s="110"/>
    </row>
    <row r="322" spans="2:17" x14ac:dyDescent="0.2">
      <c r="B322" s="102">
        <f t="shared" si="40"/>
        <v>300</v>
      </c>
      <c r="C322" s="111">
        <f t="shared" si="49"/>
        <v>50010</v>
      </c>
      <c r="D322" s="104">
        <f t="shared" si="41"/>
        <v>185842.51412407093</v>
      </c>
      <c r="E322" s="104"/>
      <c r="F322" s="104">
        <f t="shared" si="42"/>
        <v>2775.5569026700114</v>
      </c>
      <c r="G322" s="104">
        <f t="shared" si="43"/>
        <v>668.02233488637421</v>
      </c>
      <c r="H322" s="105">
        <f t="shared" si="44"/>
        <v>0</v>
      </c>
      <c r="I322" s="106">
        <f t="shared" si="45"/>
        <v>0</v>
      </c>
      <c r="J322" s="107">
        <f t="shared" si="46"/>
        <v>0.3970906758457704</v>
      </c>
      <c r="K322" s="108">
        <f t="shared" si="47"/>
        <v>0</v>
      </c>
      <c r="L322" s="109">
        <f t="shared" si="48"/>
        <v>3443.5792375563856</v>
      </c>
      <c r="Q322" s="110"/>
    </row>
    <row r="323" spans="2:17" x14ac:dyDescent="0.2">
      <c r="B323" s="102">
        <f t="shared" si="40"/>
        <v>301</v>
      </c>
      <c r="C323" s="111">
        <f t="shared" si="49"/>
        <v>50041</v>
      </c>
      <c r="D323" s="104">
        <f t="shared" si="41"/>
        <v>183057.1271240373</v>
      </c>
      <c r="E323" s="104"/>
      <c r="F323" s="104">
        <f t="shared" si="42"/>
        <v>2785.3870000336342</v>
      </c>
      <c r="G323" s="104">
        <f t="shared" si="43"/>
        <v>658.19223752275127</v>
      </c>
      <c r="H323" s="105">
        <f t="shared" si="44"/>
        <v>0</v>
      </c>
      <c r="I323" s="106">
        <f t="shared" si="45"/>
        <v>0</v>
      </c>
      <c r="J323" s="107">
        <f t="shared" si="46"/>
        <v>0.39124739815593879</v>
      </c>
      <c r="K323" s="108">
        <f t="shared" si="47"/>
        <v>0</v>
      </c>
      <c r="L323" s="109">
        <f t="shared" si="48"/>
        <v>3443.5792375563856</v>
      </c>
      <c r="Q323" s="110"/>
    </row>
    <row r="324" spans="2:17" x14ac:dyDescent="0.2">
      <c r="B324" s="102">
        <f t="shared" si="40"/>
        <v>302</v>
      </c>
      <c r="C324" s="111">
        <f t="shared" si="49"/>
        <v>50072</v>
      </c>
      <c r="D324" s="104">
        <f t="shared" si="41"/>
        <v>180261.87521171189</v>
      </c>
      <c r="E324" s="104"/>
      <c r="F324" s="104">
        <f t="shared" si="42"/>
        <v>2795.2519123254201</v>
      </c>
      <c r="G324" s="104">
        <f t="shared" si="43"/>
        <v>648.32732523096547</v>
      </c>
      <c r="H324" s="105">
        <f t="shared" si="44"/>
        <v>0</v>
      </c>
      <c r="I324" s="106">
        <f t="shared" si="45"/>
        <v>0</v>
      </c>
      <c r="J324" s="107">
        <f t="shared" si="46"/>
        <v>0.38538342552428906</v>
      </c>
      <c r="K324" s="108">
        <f t="shared" si="47"/>
        <v>0</v>
      </c>
      <c r="L324" s="109">
        <f t="shared" si="48"/>
        <v>3443.5792375563856</v>
      </c>
      <c r="Q324" s="110"/>
    </row>
    <row r="325" spans="2:17" x14ac:dyDescent="0.2">
      <c r="B325" s="102">
        <f t="shared" si="40"/>
        <v>303</v>
      </c>
      <c r="C325" s="111">
        <f t="shared" si="49"/>
        <v>50100</v>
      </c>
      <c r="D325" s="104">
        <f t="shared" si="41"/>
        <v>177456.72344886366</v>
      </c>
      <c r="E325" s="104"/>
      <c r="F325" s="104">
        <f t="shared" si="42"/>
        <v>2805.1517628482393</v>
      </c>
      <c r="G325" s="104">
        <f t="shared" si="43"/>
        <v>638.42747470814629</v>
      </c>
      <c r="H325" s="105">
        <f t="shared" si="44"/>
        <v>0</v>
      </c>
      <c r="I325" s="106">
        <f t="shared" si="45"/>
        <v>0</v>
      </c>
      <c r="J325" s="107">
        <f t="shared" si="46"/>
        <v>0.37949868465623554</v>
      </c>
      <c r="K325" s="108">
        <f t="shared" si="47"/>
        <v>0</v>
      </c>
      <c r="L325" s="109">
        <f t="shared" si="48"/>
        <v>3443.5792375563856</v>
      </c>
      <c r="Q325" s="110"/>
    </row>
    <row r="326" spans="2:17" x14ac:dyDescent="0.2">
      <c r="B326" s="102">
        <f t="shared" si="40"/>
        <v>304</v>
      </c>
      <c r="C326" s="111">
        <f t="shared" si="49"/>
        <v>50131</v>
      </c>
      <c r="D326" s="104">
        <f t="shared" si="41"/>
        <v>174641.63677352201</v>
      </c>
      <c r="E326" s="104"/>
      <c r="F326" s="104">
        <f t="shared" si="42"/>
        <v>2815.0866753416599</v>
      </c>
      <c r="G326" s="104">
        <f t="shared" si="43"/>
        <v>628.49256221472558</v>
      </c>
      <c r="H326" s="105">
        <f t="shared" si="44"/>
        <v>0</v>
      </c>
      <c r="I326" s="106">
        <f t="shared" si="45"/>
        <v>0</v>
      </c>
      <c r="J326" s="107">
        <f t="shared" si="46"/>
        <v>0.3735931019976077</v>
      </c>
      <c r="K326" s="108">
        <f t="shared" si="47"/>
        <v>0</v>
      </c>
      <c r="L326" s="109">
        <f t="shared" si="48"/>
        <v>3443.5792375563856</v>
      </c>
      <c r="Q326" s="110"/>
    </row>
    <row r="327" spans="2:17" x14ac:dyDescent="0.2">
      <c r="B327" s="102">
        <f t="shared" si="40"/>
        <v>305</v>
      </c>
      <c r="C327" s="111">
        <f t="shared" si="49"/>
        <v>50161</v>
      </c>
      <c r="D327" s="104">
        <f t="shared" si="41"/>
        <v>171816.57999953852</v>
      </c>
      <c r="E327" s="104"/>
      <c r="F327" s="104">
        <f t="shared" si="42"/>
        <v>2825.0567739834951</v>
      </c>
      <c r="G327" s="104">
        <f t="shared" si="43"/>
        <v>618.5224635728905</v>
      </c>
      <c r="H327" s="105">
        <f t="shared" si="44"/>
        <v>0</v>
      </c>
      <c r="I327" s="106">
        <f t="shared" si="45"/>
        <v>0</v>
      </c>
      <c r="J327" s="107">
        <f t="shared" si="46"/>
        <v>0.36766660373373056</v>
      </c>
      <c r="K327" s="108">
        <f t="shared" si="47"/>
        <v>0</v>
      </c>
      <c r="L327" s="109">
        <f t="shared" si="48"/>
        <v>3443.5792375563856</v>
      </c>
      <c r="Q327" s="110"/>
    </row>
    <row r="328" spans="2:17" x14ac:dyDescent="0.2">
      <c r="B328" s="102">
        <f t="shared" si="40"/>
        <v>306</v>
      </c>
      <c r="C328" s="111">
        <f t="shared" si="49"/>
        <v>50192</v>
      </c>
      <c r="D328" s="104">
        <f t="shared" si="41"/>
        <v>168981.51781614716</v>
      </c>
      <c r="E328" s="104"/>
      <c r="F328" s="104">
        <f t="shared" si="42"/>
        <v>2835.0621833913533</v>
      </c>
      <c r="G328" s="104">
        <f t="shared" si="43"/>
        <v>608.51705416503228</v>
      </c>
      <c r="H328" s="105">
        <f t="shared" si="44"/>
        <v>0</v>
      </c>
      <c r="I328" s="106">
        <f t="shared" si="45"/>
        <v>0</v>
      </c>
      <c r="J328" s="107">
        <f t="shared" si="46"/>
        <v>0.36171911578850213</v>
      </c>
      <c r="K328" s="108">
        <f t="shared" si="47"/>
        <v>0</v>
      </c>
      <c r="L328" s="109">
        <f t="shared" si="48"/>
        <v>3443.5792375563856</v>
      </c>
      <c r="Q328" s="110"/>
    </row>
    <row r="329" spans="2:17" x14ac:dyDescent="0.2">
      <c r="B329" s="102">
        <f t="shared" si="40"/>
        <v>307</v>
      </c>
      <c r="C329" s="111">
        <f t="shared" si="49"/>
        <v>50222</v>
      </c>
      <c r="D329" s="104">
        <f t="shared" si="41"/>
        <v>166136.41478752295</v>
      </c>
      <c r="E329" s="104"/>
      <c r="F329" s="104">
        <f t="shared" si="42"/>
        <v>2845.1030286241976</v>
      </c>
      <c r="G329" s="104">
        <f t="shared" si="43"/>
        <v>598.47620893218789</v>
      </c>
      <c r="H329" s="105">
        <f t="shared" si="44"/>
        <v>0</v>
      </c>
      <c r="I329" s="106">
        <f t="shared" si="45"/>
        <v>0</v>
      </c>
      <c r="J329" s="107">
        <f t="shared" si="46"/>
        <v>0.3557505638234677</v>
      </c>
      <c r="K329" s="108">
        <f t="shared" si="47"/>
        <v>0</v>
      </c>
      <c r="L329" s="109">
        <f t="shared" si="48"/>
        <v>3443.5792375563856</v>
      </c>
      <c r="Q329" s="110"/>
    </row>
    <row r="330" spans="2:17" x14ac:dyDescent="0.2">
      <c r="B330" s="102">
        <f t="shared" si="40"/>
        <v>308</v>
      </c>
      <c r="C330" s="111">
        <f t="shared" si="49"/>
        <v>50253</v>
      </c>
      <c r="D330" s="104">
        <f t="shared" si="41"/>
        <v>163281.23535233905</v>
      </c>
      <c r="E330" s="104"/>
      <c r="F330" s="104">
        <f t="shared" si="42"/>
        <v>2855.1794351839085</v>
      </c>
      <c r="G330" s="104">
        <f t="shared" si="43"/>
        <v>588.39980237247721</v>
      </c>
      <c r="H330" s="105">
        <f t="shared" si="44"/>
        <v>0</v>
      </c>
      <c r="I330" s="106">
        <f t="shared" si="45"/>
        <v>0</v>
      </c>
      <c r="J330" s="107">
        <f t="shared" si="46"/>
        <v>0.34976087323689042</v>
      </c>
      <c r="K330" s="108">
        <f t="shared" si="47"/>
        <v>0</v>
      </c>
      <c r="L330" s="109">
        <f t="shared" si="48"/>
        <v>3443.5792375563856</v>
      </c>
      <c r="Q330" s="110"/>
    </row>
    <row r="331" spans="2:17" x14ac:dyDescent="0.2">
      <c r="B331" s="102">
        <f t="shared" si="40"/>
        <v>309</v>
      </c>
      <c r="C331" s="111">
        <f t="shared" si="49"/>
        <v>50284</v>
      </c>
      <c r="D331" s="104">
        <f t="shared" si="41"/>
        <v>160415.94382332219</v>
      </c>
      <c r="E331" s="104"/>
      <c r="F331" s="104">
        <f t="shared" si="42"/>
        <v>2865.2915290168512</v>
      </c>
      <c r="G331" s="104">
        <f t="shared" si="43"/>
        <v>578.28770853953415</v>
      </c>
      <c r="H331" s="105">
        <f t="shared" si="44"/>
        <v>0</v>
      </c>
      <c r="I331" s="106">
        <f t="shared" si="45"/>
        <v>0</v>
      </c>
      <c r="J331" s="107">
        <f t="shared" si="46"/>
        <v>0.34374996916281902</v>
      </c>
      <c r="K331" s="108">
        <f t="shared" si="47"/>
        <v>0</v>
      </c>
      <c r="L331" s="109">
        <f t="shared" si="48"/>
        <v>3443.5792375563851</v>
      </c>
      <c r="Q331" s="110"/>
    </row>
    <row r="332" spans="2:17" x14ac:dyDescent="0.2">
      <c r="B332" s="102">
        <f t="shared" si="40"/>
        <v>310</v>
      </c>
      <c r="C332" s="111">
        <f t="shared" si="49"/>
        <v>50314</v>
      </c>
      <c r="D332" s="104">
        <f t="shared" si="41"/>
        <v>157540.50438680674</v>
      </c>
      <c r="E332" s="104"/>
      <c r="F332" s="104">
        <f t="shared" si="42"/>
        <v>2875.4394365154531</v>
      </c>
      <c r="G332" s="104">
        <f t="shared" si="43"/>
        <v>568.13980104093275</v>
      </c>
      <c r="H332" s="105">
        <f t="shared" si="44"/>
        <v>0</v>
      </c>
      <c r="I332" s="106">
        <f t="shared" si="45"/>
        <v>0</v>
      </c>
      <c r="J332" s="107">
        <f t="shared" si="46"/>
        <v>0.337717776470152</v>
      </c>
      <c r="K332" s="108">
        <f t="shared" si="47"/>
        <v>0</v>
      </c>
      <c r="L332" s="109">
        <f t="shared" si="48"/>
        <v>3443.579237556386</v>
      </c>
      <c r="Q332" s="110"/>
    </row>
    <row r="333" spans="2:17" x14ac:dyDescent="0.2">
      <c r="B333" s="102">
        <f t="shared" si="40"/>
        <v>311</v>
      </c>
      <c r="C333" s="111">
        <f t="shared" si="49"/>
        <v>50345</v>
      </c>
      <c r="D333" s="104">
        <f t="shared" si="41"/>
        <v>154654.88110228698</v>
      </c>
      <c r="E333" s="104"/>
      <c r="F333" s="104">
        <f t="shared" si="42"/>
        <v>2885.6232845197783</v>
      </c>
      <c r="G333" s="104">
        <f t="shared" si="43"/>
        <v>557.95595303660718</v>
      </c>
      <c r="H333" s="105">
        <f t="shared" si="44"/>
        <v>0</v>
      </c>
      <c r="I333" s="106">
        <f t="shared" si="45"/>
        <v>0</v>
      </c>
      <c r="J333" s="107">
        <f t="shared" si="46"/>
        <v>0.33166421976169841</v>
      </c>
      <c r="K333" s="108">
        <f t="shared" si="47"/>
        <v>0</v>
      </c>
      <c r="L333" s="109">
        <f t="shared" si="48"/>
        <v>3443.5792375563856</v>
      </c>
      <c r="Q333" s="110"/>
    </row>
    <row r="334" spans="2:17" x14ac:dyDescent="0.2">
      <c r="B334" s="102">
        <f t="shared" si="40"/>
        <v>312</v>
      </c>
      <c r="C334" s="111">
        <f t="shared" si="49"/>
        <v>50375</v>
      </c>
      <c r="D334" s="104">
        <f t="shared" si="41"/>
        <v>151759.03790196785</v>
      </c>
      <c r="E334" s="104"/>
      <c r="F334" s="104">
        <f t="shared" si="42"/>
        <v>2895.8432003191192</v>
      </c>
      <c r="G334" s="104">
        <f t="shared" si="43"/>
        <v>547.73603723726649</v>
      </c>
      <c r="H334" s="105">
        <f t="shared" si="44"/>
        <v>0</v>
      </c>
      <c r="I334" s="106">
        <f t="shared" si="45"/>
        <v>0</v>
      </c>
      <c r="J334" s="107">
        <f t="shared" si="46"/>
        <v>0.32558922337323576</v>
      </c>
      <c r="K334" s="108">
        <f t="shared" si="47"/>
        <v>0</v>
      </c>
      <c r="L334" s="109">
        <f t="shared" si="48"/>
        <v>3443.5792375563856</v>
      </c>
      <c r="Q334" s="110"/>
    </row>
    <row r="335" spans="2:17" x14ac:dyDescent="0.2">
      <c r="B335" s="102">
        <f t="shared" si="40"/>
        <v>313</v>
      </c>
      <c r="C335" s="111">
        <f t="shared" si="49"/>
        <v>50406</v>
      </c>
      <c r="D335" s="104">
        <f t="shared" si="41"/>
        <v>148852.93859031427</v>
      </c>
      <c r="E335" s="104"/>
      <c r="F335" s="104">
        <f t="shared" si="42"/>
        <v>2906.0993116535828</v>
      </c>
      <c r="G335" s="104">
        <f t="shared" si="43"/>
        <v>537.47992590280285</v>
      </c>
      <c r="H335" s="105">
        <f t="shared" si="44"/>
        <v>0</v>
      </c>
      <c r="I335" s="106">
        <f t="shared" si="45"/>
        <v>0</v>
      </c>
      <c r="J335" s="107">
        <f t="shared" si="46"/>
        <v>0.31949271137256391</v>
      </c>
      <c r="K335" s="108">
        <f t="shared" si="47"/>
        <v>0</v>
      </c>
      <c r="L335" s="109">
        <f t="shared" si="48"/>
        <v>3443.5792375563856</v>
      </c>
      <c r="Q335" s="110"/>
    </row>
    <row r="336" spans="2:17" x14ac:dyDescent="0.2">
      <c r="B336" s="102">
        <f t="shared" si="40"/>
        <v>314</v>
      </c>
      <c r="C336" s="111">
        <f t="shared" si="49"/>
        <v>50437</v>
      </c>
      <c r="D336" s="104">
        <f t="shared" si="41"/>
        <v>145936.54684359857</v>
      </c>
      <c r="E336" s="104"/>
      <c r="F336" s="104">
        <f t="shared" si="42"/>
        <v>2916.3917467156894</v>
      </c>
      <c r="G336" s="104">
        <f t="shared" si="43"/>
        <v>527.18749084069634</v>
      </c>
      <c r="H336" s="105">
        <f t="shared" si="44"/>
        <v>0</v>
      </c>
      <c r="I336" s="106">
        <f t="shared" si="45"/>
        <v>0</v>
      </c>
      <c r="J336" s="107">
        <f t="shared" si="46"/>
        <v>0.31337460755855634</v>
      </c>
      <c r="K336" s="108">
        <f t="shared" si="47"/>
        <v>0</v>
      </c>
      <c r="L336" s="109">
        <f t="shared" si="48"/>
        <v>3443.5792375563856</v>
      </c>
      <c r="Q336" s="110"/>
    </row>
    <row r="337" spans="2:17" x14ac:dyDescent="0.2">
      <c r="B337" s="102">
        <f t="shared" si="40"/>
        <v>315</v>
      </c>
      <c r="C337" s="111">
        <f t="shared" si="49"/>
        <v>50465</v>
      </c>
      <c r="D337" s="104">
        <f t="shared" si="41"/>
        <v>143009.82620944659</v>
      </c>
      <c r="E337" s="104"/>
      <c r="F337" s="104">
        <f t="shared" si="42"/>
        <v>2926.7206341519741</v>
      </c>
      <c r="G337" s="104">
        <f t="shared" si="43"/>
        <v>516.85860340441161</v>
      </c>
      <c r="H337" s="105">
        <f t="shared" si="44"/>
        <v>0</v>
      </c>
      <c r="I337" s="106">
        <f t="shared" si="45"/>
        <v>0</v>
      </c>
      <c r="J337" s="107">
        <f t="shared" si="46"/>
        <v>0.30723483546020752</v>
      </c>
      <c r="K337" s="108">
        <f t="shared" si="47"/>
        <v>0</v>
      </c>
      <c r="L337" s="109">
        <f t="shared" si="48"/>
        <v>3443.5792375563856</v>
      </c>
      <c r="Q337" s="110"/>
    </row>
    <row r="338" spans="2:17" x14ac:dyDescent="0.2">
      <c r="B338" s="102">
        <f t="shared" si="40"/>
        <v>316</v>
      </c>
      <c r="C338" s="111">
        <f t="shared" si="49"/>
        <v>50496</v>
      </c>
      <c r="D338" s="104">
        <f t="shared" si="41"/>
        <v>140072.740106382</v>
      </c>
      <c r="E338" s="104"/>
      <c r="F338" s="104">
        <f t="shared" si="42"/>
        <v>2937.0861030645956</v>
      </c>
      <c r="G338" s="104">
        <f t="shared" si="43"/>
        <v>506.49313449179004</v>
      </c>
      <c r="H338" s="105">
        <f t="shared" si="44"/>
        <v>0</v>
      </c>
      <c r="I338" s="106">
        <f t="shared" si="45"/>
        <v>0</v>
      </c>
      <c r="J338" s="107">
        <f t="shared" si="46"/>
        <v>0.30107331833567702</v>
      </c>
      <c r="K338" s="108">
        <f t="shared" si="47"/>
        <v>0</v>
      </c>
      <c r="L338" s="109">
        <f t="shared" si="48"/>
        <v>3443.5792375563856</v>
      </c>
      <c r="Q338" s="110"/>
    </row>
    <row r="339" spans="2:17" x14ac:dyDescent="0.2">
      <c r="B339" s="102">
        <f t="shared" si="40"/>
        <v>317</v>
      </c>
      <c r="C339" s="111">
        <f t="shared" si="49"/>
        <v>50526</v>
      </c>
      <c r="D339" s="104">
        <f t="shared" si="41"/>
        <v>137125.25182336906</v>
      </c>
      <c r="E339" s="104"/>
      <c r="F339" s="104">
        <f t="shared" si="42"/>
        <v>2947.4882830129491</v>
      </c>
      <c r="G339" s="104">
        <f t="shared" si="43"/>
        <v>496.09095454343628</v>
      </c>
      <c r="H339" s="105">
        <f t="shared" si="44"/>
        <v>0</v>
      </c>
      <c r="I339" s="106">
        <f t="shared" si="45"/>
        <v>0</v>
      </c>
      <c r="J339" s="107">
        <f t="shared" si="46"/>
        <v>0.29488997917133053</v>
      </c>
      <c r="K339" s="108">
        <f t="shared" si="47"/>
        <v>0</v>
      </c>
      <c r="L339" s="109">
        <f t="shared" si="48"/>
        <v>3443.5792375563851</v>
      </c>
      <c r="Q339" s="110"/>
    </row>
    <row r="340" spans="2:17" x14ac:dyDescent="0.2">
      <c r="B340" s="102">
        <f t="shared" si="40"/>
        <v>318</v>
      </c>
      <c r="C340" s="111">
        <f t="shared" si="49"/>
        <v>50557</v>
      </c>
      <c r="D340" s="104">
        <f t="shared" si="41"/>
        <v>134167.32451935377</v>
      </c>
      <c r="E340" s="104"/>
      <c r="F340" s="104">
        <f t="shared" si="42"/>
        <v>2957.9273040152866</v>
      </c>
      <c r="G340" s="104">
        <f t="shared" si="43"/>
        <v>485.6519335410988</v>
      </c>
      <c r="H340" s="105">
        <f t="shared" si="44"/>
        <v>0</v>
      </c>
      <c r="I340" s="106">
        <f t="shared" si="45"/>
        <v>0</v>
      </c>
      <c r="J340" s="107">
        <f t="shared" si="46"/>
        <v>0.28868474068077699</v>
      </c>
      <c r="K340" s="108">
        <f t="shared" si="47"/>
        <v>0</v>
      </c>
      <c r="L340" s="109">
        <f t="shared" si="48"/>
        <v>3443.5792375563856</v>
      </c>
      <c r="Q340" s="110"/>
    </row>
    <row r="341" spans="2:17" x14ac:dyDescent="0.2">
      <c r="B341" s="102">
        <f t="shared" si="40"/>
        <v>319</v>
      </c>
      <c r="C341" s="111">
        <f t="shared" si="49"/>
        <v>50587</v>
      </c>
      <c r="D341" s="104">
        <f t="shared" si="41"/>
        <v>131198.92122280344</v>
      </c>
      <c r="E341" s="104"/>
      <c r="F341" s="104">
        <f t="shared" si="42"/>
        <v>2968.4032965503411</v>
      </c>
      <c r="G341" s="104">
        <f t="shared" si="43"/>
        <v>475.17594100604464</v>
      </c>
      <c r="H341" s="105">
        <f t="shared" si="44"/>
        <v>0</v>
      </c>
      <c r="I341" s="106">
        <f t="shared" si="45"/>
        <v>0</v>
      </c>
      <c r="J341" s="107">
        <f t="shared" si="46"/>
        <v>0.28245752530390267</v>
      </c>
      <c r="K341" s="108">
        <f t="shared" si="47"/>
        <v>0</v>
      </c>
      <c r="L341" s="109">
        <f t="shared" si="48"/>
        <v>3443.5792375563856</v>
      </c>
      <c r="Q341" s="110"/>
    </row>
    <row r="342" spans="2:17" x14ac:dyDescent="0.2">
      <c r="B342" s="102">
        <f t="shared" si="40"/>
        <v>320</v>
      </c>
      <c r="C342" s="111">
        <f t="shared" si="49"/>
        <v>50618</v>
      </c>
      <c r="D342" s="104">
        <f t="shared" si="41"/>
        <v>128220.00483124449</v>
      </c>
      <c r="E342" s="104"/>
      <c r="F342" s="104">
        <f t="shared" si="42"/>
        <v>2978.9163915589565</v>
      </c>
      <c r="G342" s="104">
        <f t="shared" si="43"/>
        <v>464.66284599742886</v>
      </c>
      <c r="H342" s="105">
        <f t="shared" si="44"/>
        <v>0</v>
      </c>
      <c r="I342" s="106">
        <f t="shared" si="45"/>
        <v>0</v>
      </c>
      <c r="J342" s="107">
        <f t="shared" si="46"/>
        <v>0.27620825520590198</v>
      </c>
      <c r="K342" s="108">
        <f t="shared" si="47"/>
        <v>0</v>
      </c>
      <c r="L342" s="109">
        <f t="shared" si="48"/>
        <v>3443.5792375563856</v>
      </c>
      <c r="Q342" s="110"/>
    </row>
    <row r="343" spans="2:17" x14ac:dyDescent="0.2">
      <c r="B343" s="102">
        <f t="shared" si="40"/>
        <v>321</v>
      </c>
      <c r="C343" s="111">
        <f t="shared" si="49"/>
        <v>50649</v>
      </c>
      <c r="D343" s="104">
        <f t="shared" si="41"/>
        <v>125230.53811079876</v>
      </c>
      <c r="E343" s="104"/>
      <c r="F343" s="104">
        <f t="shared" si="42"/>
        <v>2989.4667204457282</v>
      </c>
      <c r="G343" s="104">
        <f t="shared" si="43"/>
        <v>454.11251711065756</v>
      </c>
      <c r="H343" s="105">
        <f t="shared" si="44"/>
        <v>0</v>
      </c>
      <c r="I343" s="106">
        <f t="shared" si="45"/>
        <v>0</v>
      </c>
      <c r="J343" s="107">
        <f t="shared" si="46"/>
        <v>0.26993685227630421</v>
      </c>
      <c r="K343" s="108">
        <f t="shared" si="47"/>
        <v>0</v>
      </c>
      <c r="L343" s="109">
        <f t="shared" si="48"/>
        <v>3443.579237556386</v>
      </c>
      <c r="Q343" s="110"/>
    </row>
    <row r="344" spans="2:17" x14ac:dyDescent="0.2">
      <c r="B344" s="102">
        <f t="shared" ref="B344:B382" si="50">IF(B343="","",IF(D343&lt;0.01,"",B343+1))</f>
        <v>322</v>
      </c>
      <c r="C344" s="111">
        <f t="shared" si="49"/>
        <v>50679</v>
      </c>
      <c r="D344" s="104">
        <f t="shared" ref="D344:D382" si="51">IF(B344="","",D343-F344-H344)</f>
        <v>122230.48369571813</v>
      </c>
      <c r="E344" s="104"/>
      <c r="F344" s="104">
        <f t="shared" ref="F344:F382" si="52">IF(B344="","",IF(D343&lt;F343,D343,IF($D$7*$D$8=B344,D343,$D$9-G344)))</f>
        <v>3000.05441508064</v>
      </c>
      <c r="G344" s="104">
        <f t="shared" ref="G344:G382" si="53">IF(B344="","",D343*$D$5/$D$8)</f>
        <v>443.52482247574562</v>
      </c>
      <c r="H344" s="105">
        <f t="shared" ref="H344:H382" si="54">IF(B344="","",IF(C344&gt;=$D$15,MIN($D$14,D343-F344),0))</f>
        <v>0</v>
      </c>
      <c r="I344" s="106">
        <f t="shared" ref="I344:I382" si="55">IF(B344="","",IF(J344&gt;0.78,$D$12,IF(B344&lt;60,$D$12,0)))</f>
        <v>0</v>
      </c>
      <c r="J344" s="107">
        <f t="shared" ref="J344:J382" si="56">IF(B344="","",D343/$D$10)</f>
        <v>0.26364323812799739</v>
      </c>
      <c r="K344" s="108">
        <f t="shared" ref="K344:K382" si="57">IF(B344="","",IF(D343&gt;0.01,$D$13,""))</f>
        <v>0</v>
      </c>
      <c r="L344" s="109">
        <f t="shared" ref="L344:L382" si="58">IF(B344="","",SUM(F344:I344,K344))</f>
        <v>3443.5792375563856</v>
      </c>
      <c r="Q344" s="110"/>
    </row>
    <row r="345" spans="2:17" x14ac:dyDescent="0.2">
      <c r="B345" s="102">
        <f t="shared" si="50"/>
        <v>323</v>
      </c>
      <c r="C345" s="111">
        <f t="shared" ref="C345:C382" si="59">IF(B345="","",DATE(YEAR(C344),MONTH(C344)+12/$D$8,DAY(C344)))</f>
        <v>50710</v>
      </c>
      <c r="D345" s="104">
        <f t="shared" si="51"/>
        <v>119219.80408791741</v>
      </c>
      <c r="E345" s="104"/>
      <c r="F345" s="104">
        <f t="shared" si="52"/>
        <v>3010.6796078007173</v>
      </c>
      <c r="G345" s="104">
        <f t="shared" si="53"/>
        <v>432.8996297556684</v>
      </c>
      <c r="H345" s="105">
        <f t="shared" si="54"/>
        <v>0</v>
      </c>
      <c r="I345" s="106">
        <f t="shared" si="55"/>
        <v>0</v>
      </c>
      <c r="J345" s="107">
        <f t="shared" si="56"/>
        <v>0.25732733409624869</v>
      </c>
      <c r="K345" s="108">
        <f t="shared" si="57"/>
        <v>0</v>
      </c>
      <c r="L345" s="109">
        <f t="shared" si="58"/>
        <v>3443.5792375563856</v>
      </c>
      <c r="Q345" s="110"/>
    </row>
    <row r="346" spans="2:17" x14ac:dyDescent="0.2">
      <c r="B346" s="102">
        <f t="shared" si="50"/>
        <v>324</v>
      </c>
      <c r="C346" s="111">
        <f t="shared" si="59"/>
        <v>50740</v>
      </c>
      <c r="D346" s="104">
        <f t="shared" si="51"/>
        <v>116198.46165650574</v>
      </c>
      <c r="E346" s="104"/>
      <c r="F346" s="104">
        <f t="shared" si="52"/>
        <v>3021.3424314116783</v>
      </c>
      <c r="G346" s="104">
        <f t="shared" si="53"/>
        <v>422.23680614470754</v>
      </c>
      <c r="H346" s="105">
        <f t="shared" si="54"/>
        <v>0</v>
      </c>
      <c r="I346" s="106">
        <f t="shared" si="55"/>
        <v>0</v>
      </c>
      <c r="J346" s="107">
        <f t="shared" si="56"/>
        <v>0.25098906123772086</v>
      </c>
      <c r="K346" s="108">
        <f t="shared" si="57"/>
        <v>0</v>
      </c>
      <c r="L346" s="109">
        <f t="shared" si="58"/>
        <v>3443.579237556386</v>
      </c>
      <c r="Q346" s="110"/>
    </row>
    <row r="347" spans="2:17" x14ac:dyDescent="0.2">
      <c r="B347" s="102">
        <f t="shared" si="50"/>
        <v>325</v>
      </c>
      <c r="C347" s="111">
        <f t="shared" si="59"/>
        <v>50771</v>
      </c>
      <c r="D347" s="104">
        <f t="shared" si="51"/>
        <v>113166.41863731614</v>
      </c>
      <c r="E347" s="104"/>
      <c r="F347" s="104">
        <f t="shared" si="52"/>
        <v>3032.0430191895944</v>
      </c>
      <c r="G347" s="104">
        <f t="shared" si="53"/>
        <v>411.53621836679122</v>
      </c>
      <c r="H347" s="105">
        <f t="shared" si="54"/>
        <v>0</v>
      </c>
      <c r="I347" s="106">
        <f t="shared" si="55"/>
        <v>0</v>
      </c>
      <c r="J347" s="107">
        <f t="shared" si="56"/>
        <v>0.24462834032948577</v>
      </c>
      <c r="K347" s="108">
        <f t="shared" si="57"/>
        <v>0</v>
      </c>
      <c r="L347" s="109">
        <f t="shared" si="58"/>
        <v>3443.5792375563856</v>
      </c>
      <c r="Q347" s="110"/>
    </row>
    <row r="348" spans="2:17" x14ac:dyDescent="0.2">
      <c r="B348" s="102">
        <f t="shared" si="50"/>
        <v>326</v>
      </c>
      <c r="C348" s="111">
        <f t="shared" si="59"/>
        <v>50802</v>
      </c>
      <c r="D348" s="104">
        <f t="shared" si="51"/>
        <v>110123.63713243358</v>
      </c>
      <c r="E348" s="104"/>
      <c r="F348" s="104">
        <f t="shared" si="52"/>
        <v>3042.7815048825578</v>
      </c>
      <c r="G348" s="104">
        <f t="shared" si="53"/>
        <v>400.79773267382802</v>
      </c>
      <c r="H348" s="105">
        <f t="shared" si="54"/>
        <v>0</v>
      </c>
      <c r="I348" s="106">
        <f t="shared" si="55"/>
        <v>0</v>
      </c>
      <c r="J348" s="107">
        <f t="shared" si="56"/>
        <v>0.23824509186803397</v>
      </c>
      <c r="K348" s="108">
        <f t="shared" si="57"/>
        <v>0</v>
      </c>
      <c r="L348" s="109">
        <f t="shared" si="58"/>
        <v>3443.579237556386</v>
      </c>
      <c r="Q348" s="110"/>
    </row>
    <row r="349" spans="2:17" x14ac:dyDescent="0.2">
      <c r="B349" s="102">
        <f t="shared" si="50"/>
        <v>327</v>
      </c>
      <c r="C349" s="111">
        <f t="shared" si="59"/>
        <v>50830</v>
      </c>
      <c r="D349" s="104">
        <f t="shared" si="51"/>
        <v>107070.07910972123</v>
      </c>
      <c r="E349" s="104"/>
      <c r="F349" s="104">
        <f t="shared" si="52"/>
        <v>3053.5580227123501</v>
      </c>
      <c r="G349" s="104">
        <f t="shared" si="53"/>
        <v>390.02121484403557</v>
      </c>
      <c r="H349" s="105">
        <f t="shared" si="54"/>
        <v>0</v>
      </c>
      <c r="I349" s="106">
        <f t="shared" si="55"/>
        <v>0</v>
      </c>
      <c r="J349" s="107">
        <f t="shared" si="56"/>
        <v>0.23183923606828122</v>
      </c>
      <c r="K349" s="108">
        <f t="shared" si="57"/>
        <v>0</v>
      </c>
      <c r="L349" s="109">
        <f t="shared" si="58"/>
        <v>3443.5792375563856</v>
      </c>
      <c r="Q349" s="110"/>
    </row>
    <row r="350" spans="2:17" x14ac:dyDescent="0.2">
      <c r="B350" s="102">
        <f t="shared" si="50"/>
        <v>328</v>
      </c>
      <c r="C350" s="111">
        <f t="shared" si="59"/>
        <v>50861</v>
      </c>
      <c r="D350" s="104">
        <f t="shared" si="51"/>
        <v>104005.70640234511</v>
      </c>
      <c r="E350" s="104"/>
      <c r="F350" s="104">
        <f t="shared" si="52"/>
        <v>3064.3727073761229</v>
      </c>
      <c r="G350" s="104">
        <f t="shared" si="53"/>
        <v>379.20653018026275</v>
      </c>
      <c r="H350" s="105">
        <f t="shared" si="54"/>
        <v>0</v>
      </c>
      <c r="I350" s="106">
        <f t="shared" si="55"/>
        <v>0</v>
      </c>
      <c r="J350" s="107">
        <f t="shared" si="56"/>
        <v>0.22541069286257101</v>
      </c>
      <c r="K350" s="108">
        <f t="shared" si="57"/>
        <v>0</v>
      </c>
      <c r="L350" s="109">
        <f t="shared" si="58"/>
        <v>3443.5792375563856</v>
      </c>
      <c r="Q350" s="110"/>
    </row>
    <row r="351" spans="2:17" x14ac:dyDescent="0.2">
      <c r="B351" s="102">
        <f t="shared" si="50"/>
        <v>329</v>
      </c>
      <c r="C351" s="111">
        <f t="shared" si="59"/>
        <v>50891</v>
      </c>
      <c r="D351" s="104">
        <f t="shared" si="51"/>
        <v>100930.48070829702</v>
      </c>
      <c r="E351" s="104"/>
      <c r="F351" s="104">
        <f t="shared" si="52"/>
        <v>3075.2256940480802</v>
      </c>
      <c r="G351" s="104">
        <f t="shared" si="53"/>
        <v>368.35354350830562</v>
      </c>
      <c r="H351" s="105">
        <f t="shared" si="54"/>
        <v>0</v>
      </c>
      <c r="I351" s="106">
        <f t="shared" si="55"/>
        <v>0</v>
      </c>
      <c r="J351" s="107">
        <f t="shared" si="56"/>
        <v>0.21895938189967393</v>
      </c>
      <c r="K351" s="108">
        <f t="shared" si="57"/>
        <v>0</v>
      </c>
      <c r="L351" s="109">
        <f t="shared" si="58"/>
        <v>3443.579237556386</v>
      </c>
      <c r="Q351" s="110"/>
    </row>
    <row r="352" spans="2:17" x14ac:dyDescent="0.2">
      <c r="B352" s="102">
        <f t="shared" si="50"/>
        <v>330</v>
      </c>
      <c r="C352" s="111">
        <f t="shared" si="59"/>
        <v>50922</v>
      </c>
      <c r="D352" s="104">
        <f t="shared" si="51"/>
        <v>97844.363589915854</v>
      </c>
      <c r="E352" s="104"/>
      <c r="F352" s="104">
        <f t="shared" si="52"/>
        <v>3086.1171183811671</v>
      </c>
      <c r="G352" s="104">
        <f t="shared" si="53"/>
        <v>357.46211917521867</v>
      </c>
      <c r="H352" s="105">
        <f t="shared" si="54"/>
        <v>0</v>
      </c>
      <c r="I352" s="106">
        <f t="shared" si="55"/>
        <v>0</v>
      </c>
      <c r="J352" s="107">
        <f t="shared" si="56"/>
        <v>0.21248522254378321</v>
      </c>
      <c r="K352" s="108">
        <f t="shared" si="57"/>
        <v>0</v>
      </c>
      <c r="L352" s="109">
        <f t="shared" si="58"/>
        <v>3443.5792375563856</v>
      </c>
      <c r="Q352" s="110"/>
    </row>
    <row r="353" spans="2:17" x14ac:dyDescent="0.2">
      <c r="B353" s="102">
        <f t="shared" si="50"/>
        <v>331</v>
      </c>
      <c r="C353" s="111">
        <f t="shared" si="59"/>
        <v>50952</v>
      </c>
      <c r="D353" s="104">
        <f t="shared" si="51"/>
        <v>94747.316473407089</v>
      </c>
      <c r="E353" s="104"/>
      <c r="F353" s="104">
        <f t="shared" si="52"/>
        <v>3097.047116508767</v>
      </c>
      <c r="G353" s="104">
        <f t="shared" si="53"/>
        <v>346.53212104761866</v>
      </c>
      <c r="H353" s="105">
        <f t="shared" si="54"/>
        <v>0</v>
      </c>
      <c r="I353" s="106">
        <f t="shared" si="55"/>
        <v>0</v>
      </c>
      <c r="J353" s="107">
        <f t="shared" si="56"/>
        <v>0.20598813387350706</v>
      </c>
      <c r="K353" s="108">
        <f t="shared" si="57"/>
        <v>0</v>
      </c>
      <c r="L353" s="109">
        <f t="shared" si="58"/>
        <v>3443.5792375563856</v>
      </c>
      <c r="Q353" s="110"/>
    </row>
    <row r="354" spans="2:17" x14ac:dyDescent="0.2">
      <c r="B354" s="102">
        <f t="shared" si="50"/>
        <v>332</v>
      </c>
      <c r="C354" s="111">
        <f t="shared" si="59"/>
        <v>50983</v>
      </c>
      <c r="D354" s="104">
        <f t="shared" si="51"/>
        <v>91639.300648360688</v>
      </c>
      <c r="E354" s="104"/>
      <c r="F354" s="104">
        <f t="shared" si="52"/>
        <v>3108.0158250464019</v>
      </c>
      <c r="G354" s="104">
        <f t="shared" si="53"/>
        <v>335.56341250998349</v>
      </c>
      <c r="H354" s="105">
        <f t="shared" si="54"/>
        <v>0</v>
      </c>
      <c r="I354" s="106">
        <f t="shared" si="55"/>
        <v>0</v>
      </c>
      <c r="J354" s="107">
        <f t="shared" si="56"/>
        <v>0.19946803468085703</v>
      </c>
      <c r="K354" s="108">
        <f t="shared" si="57"/>
        <v>0</v>
      </c>
      <c r="L354" s="109">
        <f t="shared" si="58"/>
        <v>3443.5792375563856</v>
      </c>
      <c r="Q354" s="110"/>
    </row>
    <row r="355" spans="2:17" x14ac:dyDescent="0.2">
      <c r="B355" s="102">
        <f t="shared" si="50"/>
        <v>333</v>
      </c>
      <c r="C355" s="111">
        <f t="shared" si="59"/>
        <v>51014</v>
      </c>
      <c r="D355" s="104">
        <f t="shared" si="51"/>
        <v>88520.277267267244</v>
      </c>
      <c r="E355" s="104"/>
      <c r="F355" s="104">
        <f t="shared" si="52"/>
        <v>3119.0233810934415</v>
      </c>
      <c r="G355" s="104">
        <f t="shared" si="53"/>
        <v>324.55585646294412</v>
      </c>
      <c r="H355" s="105">
        <f t="shared" si="54"/>
        <v>0</v>
      </c>
      <c r="I355" s="106">
        <f t="shared" si="55"/>
        <v>0</v>
      </c>
      <c r="J355" s="107">
        <f t="shared" si="56"/>
        <v>0.19292484347023303</v>
      </c>
      <c r="K355" s="108">
        <f t="shared" si="57"/>
        <v>0</v>
      </c>
      <c r="L355" s="109">
        <f t="shared" si="58"/>
        <v>3443.5792375563856</v>
      </c>
      <c r="Q355" s="110"/>
    </row>
    <row r="356" spans="2:17" x14ac:dyDescent="0.2">
      <c r="B356" s="102">
        <f t="shared" si="50"/>
        <v>334</v>
      </c>
      <c r="C356" s="111">
        <f t="shared" si="59"/>
        <v>51044</v>
      </c>
      <c r="D356" s="104">
        <f t="shared" si="51"/>
        <v>85390.207345032424</v>
      </c>
      <c r="E356" s="104"/>
      <c r="F356" s="104">
        <f t="shared" si="52"/>
        <v>3130.0699222348139</v>
      </c>
      <c r="G356" s="104">
        <f t="shared" si="53"/>
        <v>313.50931532157148</v>
      </c>
      <c r="H356" s="105">
        <f t="shared" si="54"/>
        <v>0</v>
      </c>
      <c r="I356" s="106">
        <f t="shared" si="55"/>
        <v>0</v>
      </c>
      <c r="J356" s="107">
        <f t="shared" si="56"/>
        <v>0.18635847845740472</v>
      </c>
      <c r="K356" s="108">
        <f t="shared" si="57"/>
        <v>0</v>
      </c>
      <c r="L356" s="109">
        <f t="shared" si="58"/>
        <v>3443.5792375563856</v>
      </c>
      <c r="Q356" s="110"/>
    </row>
    <row r="357" spans="2:17" x14ac:dyDescent="0.2">
      <c r="B357" s="102">
        <f t="shared" si="50"/>
        <v>335</v>
      </c>
      <c r="C357" s="111">
        <f t="shared" si="59"/>
        <v>51075</v>
      </c>
      <c r="D357" s="104">
        <f t="shared" si="51"/>
        <v>82249.051758489688</v>
      </c>
      <c r="E357" s="104"/>
      <c r="F357" s="104">
        <f t="shared" si="52"/>
        <v>3141.155586542729</v>
      </c>
      <c r="G357" s="104">
        <f t="shared" si="53"/>
        <v>302.42365101365652</v>
      </c>
      <c r="H357" s="105">
        <f t="shared" si="54"/>
        <v>0</v>
      </c>
      <c r="I357" s="106">
        <f t="shared" si="55"/>
        <v>0</v>
      </c>
      <c r="J357" s="107">
        <f t="shared" si="56"/>
        <v>0.17976885756848932</v>
      </c>
      <c r="K357" s="108">
        <f t="shared" si="57"/>
        <v>0</v>
      </c>
      <c r="L357" s="109">
        <f t="shared" si="58"/>
        <v>3443.5792375563856</v>
      </c>
      <c r="Q357" s="110"/>
    </row>
    <row r="358" spans="2:17" x14ac:dyDescent="0.2">
      <c r="B358" s="102">
        <f t="shared" si="50"/>
        <v>336</v>
      </c>
      <c r="C358" s="111">
        <f t="shared" si="59"/>
        <v>51105</v>
      </c>
      <c r="D358" s="104">
        <f t="shared" si="51"/>
        <v>79096.771245911281</v>
      </c>
      <c r="E358" s="104"/>
      <c r="F358" s="104">
        <f t="shared" si="52"/>
        <v>3152.2805125784012</v>
      </c>
      <c r="G358" s="104">
        <f t="shared" si="53"/>
        <v>291.29872497798436</v>
      </c>
      <c r="H358" s="105">
        <f t="shared" si="54"/>
        <v>0</v>
      </c>
      <c r="I358" s="106">
        <f t="shared" si="55"/>
        <v>0</v>
      </c>
      <c r="J358" s="107">
        <f t="shared" si="56"/>
        <v>0.17315589843892565</v>
      </c>
      <c r="K358" s="108">
        <f t="shared" si="57"/>
        <v>0</v>
      </c>
      <c r="L358" s="109">
        <f t="shared" si="58"/>
        <v>3443.5792375563856</v>
      </c>
      <c r="Q358" s="110"/>
    </row>
    <row r="359" spans="2:17" x14ac:dyDescent="0.2">
      <c r="B359" s="102">
        <f t="shared" si="50"/>
        <v>337</v>
      </c>
      <c r="C359" s="111">
        <f t="shared" si="59"/>
        <v>51136</v>
      </c>
      <c r="D359" s="104">
        <f t="shared" si="51"/>
        <v>75933.326406517503</v>
      </c>
      <c r="E359" s="104"/>
      <c r="F359" s="104">
        <f t="shared" si="52"/>
        <v>3163.4448393937832</v>
      </c>
      <c r="G359" s="104">
        <f t="shared" si="53"/>
        <v>280.13439816260251</v>
      </c>
      <c r="H359" s="105">
        <f t="shared" si="54"/>
        <v>0</v>
      </c>
      <c r="I359" s="106">
        <f t="shared" si="55"/>
        <v>0</v>
      </c>
      <c r="J359" s="107">
        <f t="shared" si="56"/>
        <v>0.16651951841244481</v>
      </c>
      <c r="K359" s="108">
        <f t="shared" si="57"/>
        <v>0</v>
      </c>
      <c r="L359" s="109">
        <f t="shared" si="58"/>
        <v>3443.5792375563856</v>
      </c>
      <c r="Q359" s="110"/>
    </row>
    <row r="360" spans="2:17" x14ac:dyDescent="0.2">
      <c r="B360" s="102">
        <f t="shared" si="50"/>
        <v>338</v>
      </c>
      <c r="C360" s="111">
        <f t="shared" si="59"/>
        <v>51167</v>
      </c>
      <c r="D360" s="104">
        <f t="shared" si="51"/>
        <v>72758.677699984197</v>
      </c>
      <c r="E360" s="104"/>
      <c r="F360" s="104">
        <f t="shared" si="52"/>
        <v>3174.6487065333026</v>
      </c>
      <c r="G360" s="104">
        <f t="shared" si="53"/>
        <v>268.93053102308284</v>
      </c>
      <c r="H360" s="105">
        <f t="shared" si="54"/>
        <v>0</v>
      </c>
      <c r="I360" s="106">
        <f t="shared" si="55"/>
        <v>0</v>
      </c>
      <c r="J360" s="107">
        <f t="shared" si="56"/>
        <v>0.15985963454003685</v>
      </c>
      <c r="K360" s="108">
        <f t="shared" si="57"/>
        <v>0</v>
      </c>
      <c r="L360" s="109">
        <f t="shared" si="58"/>
        <v>3443.5792375563856</v>
      </c>
      <c r="Q360" s="110"/>
    </row>
    <row r="361" spans="2:17" x14ac:dyDescent="0.2">
      <c r="B361" s="102">
        <f t="shared" si="50"/>
        <v>339</v>
      </c>
      <c r="C361" s="111">
        <f t="shared" si="59"/>
        <v>51196</v>
      </c>
      <c r="D361" s="104">
        <f t="shared" si="51"/>
        <v>69572.785445948582</v>
      </c>
      <c r="E361" s="104"/>
      <c r="F361" s="104">
        <f t="shared" si="52"/>
        <v>3185.8922540356084</v>
      </c>
      <c r="G361" s="104">
        <f t="shared" si="53"/>
        <v>257.68698352077735</v>
      </c>
      <c r="H361" s="105">
        <f t="shared" si="54"/>
        <v>0</v>
      </c>
      <c r="I361" s="106">
        <f t="shared" si="55"/>
        <v>0</v>
      </c>
      <c r="J361" s="107">
        <f t="shared" si="56"/>
        <v>0.15317616357891409</v>
      </c>
      <c r="K361" s="108">
        <f t="shared" si="57"/>
        <v>0</v>
      </c>
      <c r="L361" s="109">
        <f t="shared" si="58"/>
        <v>3443.5792375563856</v>
      </c>
      <c r="Q361" s="110"/>
    </row>
    <row r="362" spans="2:17" x14ac:dyDescent="0.2">
      <c r="B362" s="102">
        <f t="shared" si="50"/>
        <v>340</v>
      </c>
      <c r="C362" s="111">
        <f t="shared" si="59"/>
        <v>51227</v>
      </c>
      <c r="D362" s="104">
        <f t="shared" si="51"/>
        <v>66375.609823513267</v>
      </c>
      <c r="E362" s="104"/>
      <c r="F362" s="104">
        <f t="shared" si="52"/>
        <v>3197.1756224353176</v>
      </c>
      <c r="G362" s="104">
        <f t="shared" si="53"/>
        <v>246.4036151210679</v>
      </c>
      <c r="H362" s="105">
        <f t="shared" si="54"/>
        <v>0</v>
      </c>
      <c r="I362" s="106">
        <f t="shared" si="55"/>
        <v>0</v>
      </c>
      <c r="J362" s="107">
        <f t="shared" si="56"/>
        <v>0.14646902199147069</v>
      </c>
      <c r="K362" s="108">
        <f t="shared" si="57"/>
        <v>0</v>
      </c>
      <c r="L362" s="109">
        <f t="shared" si="58"/>
        <v>3443.5792375563856</v>
      </c>
      <c r="Q362" s="110"/>
    </row>
    <row r="363" spans="2:17" x14ac:dyDescent="0.2">
      <c r="B363" s="102">
        <f t="shared" si="50"/>
        <v>341</v>
      </c>
      <c r="C363" s="111">
        <f t="shared" si="59"/>
        <v>51257</v>
      </c>
      <c r="D363" s="104">
        <f t="shared" si="51"/>
        <v>63167.110870748489</v>
      </c>
      <c r="E363" s="104"/>
      <c r="F363" s="104">
        <f t="shared" si="52"/>
        <v>3208.4989527647763</v>
      </c>
      <c r="G363" s="104">
        <f t="shared" si="53"/>
        <v>235.0802847916095</v>
      </c>
      <c r="H363" s="105">
        <f t="shared" si="54"/>
        <v>0</v>
      </c>
      <c r="I363" s="106">
        <f t="shared" si="55"/>
        <v>0</v>
      </c>
      <c r="J363" s="107">
        <f t="shared" si="56"/>
        <v>0.13973812594423846</v>
      </c>
      <c r="K363" s="108">
        <f t="shared" si="57"/>
        <v>0</v>
      </c>
      <c r="L363" s="109">
        <f t="shared" si="58"/>
        <v>3443.5792375563856</v>
      </c>
      <c r="Q363" s="110"/>
    </row>
    <row r="364" spans="2:17" x14ac:dyDescent="0.2">
      <c r="B364" s="102">
        <f t="shared" si="50"/>
        <v>342</v>
      </c>
      <c r="C364" s="111">
        <f t="shared" si="59"/>
        <v>51288</v>
      </c>
      <c r="D364" s="104">
        <f t="shared" si="51"/>
        <v>59947.248484192671</v>
      </c>
      <c r="E364" s="104"/>
      <c r="F364" s="104">
        <f t="shared" si="52"/>
        <v>3219.8623865558179</v>
      </c>
      <c r="G364" s="104">
        <f t="shared" si="53"/>
        <v>223.71685100056757</v>
      </c>
      <c r="H364" s="105">
        <f t="shared" si="54"/>
        <v>0</v>
      </c>
      <c r="I364" s="106">
        <f t="shared" si="55"/>
        <v>0</v>
      </c>
      <c r="J364" s="107">
        <f t="shared" si="56"/>
        <v>0.13298339130683892</v>
      </c>
      <c r="K364" s="108">
        <f t="shared" si="57"/>
        <v>0</v>
      </c>
      <c r="L364" s="109">
        <f t="shared" si="58"/>
        <v>3443.5792375563856</v>
      </c>
      <c r="Q364" s="110"/>
    </row>
    <row r="365" spans="2:17" x14ac:dyDescent="0.2">
      <c r="B365" s="102">
        <f t="shared" si="50"/>
        <v>343</v>
      </c>
      <c r="C365" s="111">
        <f t="shared" si="59"/>
        <v>51318</v>
      </c>
      <c r="D365" s="104">
        <f t="shared" si="51"/>
        <v>56715.982418351137</v>
      </c>
      <c r="E365" s="104"/>
      <c r="F365" s="104">
        <f t="shared" si="52"/>
        <v>3231.2660658415366</v>
      </c>
      <c r="G365" s="104">
        <f t="shared" si="53"/>
        <v>212.31317171484906</v>
      </c>
      <c r="H365" s="105">
        <f t="shared" si="54"/>
        <v>0</v>
      </c>
      <c r="I365" s="106">
        <f t="shared" si="55"/>
        <v>0</v>
      </c>
      <c r="J365" s="107">
        <f t="shared" si="56"/>
        <v>0.12620473365093193</v>
      </c>
      <c r="K365" s="108">
        <f t="shared" si="57"/>
        <v>0</v>
      </c>
      <c r="L365" s="109">
        <f t="shared" si="58"/>
        <v>3443.5792375563856</v>
      </c>
      <c r="Q365" s="110"/>
    </row>
    <row r="366" spans="2:17" x14ac:dyDescent="0.2">
      <c r="B366" s="102">
        <f t="shared" si="50"/>
        <v>344</v>
      </c>
      <c r="C366" s="111">
        <f t="shared" si="59"/>
        <v>51349</v>
      </c>
      <c r="D366" s="104">
        <f t="shared" si="51"/>
        <v>53473.272285193081</v>
      </c>
      <c r="E366" s="104"/>
      <c r="F366" s="104">
        <f t="shared" si="52"/>
        <v>3242.7101331580589</v>
      </c>
      <c r="G366" s="104">
        <f t="shared" si="53"/>
        <v>200.86910439832695</v>
      </c>
      <c r="H366" s="105">
        <f t="shared" si="54"/>
        <v>0</v>
      </c>
      <c r="I366" s="106">
        <f t="shared" si="55"/>
        <v>0</v>
      </c>
      <c r="J366" s="107">
        <f t="shared" si="56"/>
        <v>0.11940206824916029</v>
      </c>
      <c r="K366" s="108">
        <f t="shared" si="57"/>
        <v>0</v>
      </c>
      <c r="L366" s="109">
        <f t="shared" si="58"/>
        <v>3443.579237556386</v>
      </c>
      <c r="Q366" s="110"/>
    </row>
    <row r="367" spans="2:17" x14ac:dyDescent="0.2">
      <c r="B367" s="102">
        <f t="shared" si="50"/>
        <v>345</v>
      </c>
      <c r="C367" s="111">
        <f t="shared" si="59"/>
        <v>51380</v>
      </c>
      <c r="D367" s="104">
        <f t="shared" si="51"/>
        <v>50219.077553646755</v>
      </c>
      <c r="E367" s="104"/>
      <c r="F367" s="104">
        <f t="shared" si="52"/>
        <v>3254.1947315463267</v>
      </c>
      <c r="G367" s="104">
        <f t="shared" si="53"/>
        <v>189.38450601005886</v>
      </c>
      <c r="H367" s="105">
        <f t="shared" si="54"/>
        <v>0</v>
      </c>
      <c r="I367" s="106">
        <f t="shared" si="55"/>
        <v>0</v>
      </c>
      <c r="J367" s="107">
        <f t="shared" si="56"/>
        <v>0.1125753100740907</v>
      </c>
      <c r="K367" s="108">
        <f t="shared" si="57"/>
        <v>0</v>
      </c>
      <c r="L367" s="109">
        <f t="shared" si="58"/>
        <v>3443.5792375563856</v>
      </c>
      <c r="Q367" s="110"/>
    </row>
    <row r="368" spans="2:17" x14ac:dyDescent="0.2">
      <c r="B368" s="102">
        <f t="shared" si="50"/>
        <v>346</v>
      </c>
      <c r="C368" s="111">
        <f t="shared" si="59"/>
        <v>51410</v>
      </c>
      <c r="D368" s="104">
        <f t="shared" si="51"/>
        <v>46953.357549092871</v>
      </c>
      <c r="E368" s="104"/>
      <c r="F368" s="104">
        <f t="shared" si="52"/>
        <v>3265.7200045538866</v>
      </c>
      <c r="G368" s="104">
        <f t="shared" si="53"/>
        <v>177.85923300249894</v>
      </c>
      <c r="H368" s="105">
        <f t="shared" si="54"/>
        <v>0</v>
      </c>
      <c r="I368" s="106">
        <f t="shared" si="55"/>
        <v>0</v>
      </c>
      <c r="J368" s="107">
        <f t="shared" si="56"/>
        <v>0.10572437379715106</v>
      </c>
      <c r="K368" s="108">
        <f t="shared" si="57"/>
        <v>0</v>
      </c>
      <c r="L368" s="109">
        <f t="shared" si="58"/>
        <v>3443.5792375563856</v>
      </c>
      <c r="Q368" s="110"/>
    </row>
    <row r="369" spans="2:17" x14ac:dyDescent="0.2">
      <c r="B369" s="102">
        <f t="shared" si="50"/>
        <v>347</v>
      </c>
      <c r="C369" s="111">
        <f t="shared" si="59"/>
        <v>51441</v>
      </c>
      <c r="D369" s="104">
        <f t="shared" si="51"/>
        <v>43676.071452856188</v>
      </c>
      <c r="E369" s="104"/>
      <c r="F369" s="104">
        <f t="shared" si="52"/>
        <v>3277.2860962366817</v>
      </c>
      <c r="G369" s="104">
        <f t="shared" si="53"/>
        <v>166.29314131970392</v>
      </c>
      <c r="H369" s="105">
        <f t="shared" si="54"/>
        <v>0</v>
      </c>
      <c r="I369" s="106">
        <f t="shared" si="55"/>
        <v>0</v>
      </c>
      <c r="J369" s="107">
        <f t="shared" si="56"/>
        <v>9.8849173787563943E-2</v>
      </c>
      <c r="K369" s="108">
        <f t="shared" si="57"/>
        <v>0</v>
      </c>
      <c r="L369" s="109">
        <f t="shared" si="58"/>
        <v>3443.5792375563856</v>
      </c>
      <c r="Q369" s="110"/>
    </row>
    <row r="370" spans="2:17" x14ac:dyDescent="0.2">
      <c r="B370" s="102">
        <f t="shared" si="50"/>
        <v>348</v>
      </c>
      <c r="C370" s="111">
        <f t="shared" si="59"/>
        <v>51471</v>
      </c>
      <c r="D370" s="104">
        <f t="shared" si="51"/>
        <v>40387.178301695334</v>
      </c>
      <c r="E370" s="104"/>
      <c r="F370" s="104">
        <f t="shared" si="52"/>
        <v>3288.8931511608534</v>
      </c>
      <c r="G370" s="104">
        <f t="shared" si="53"/>
        <v>154.68608639553233</v>
      </c>
      <c r="H370" s="105">
        <f t="shared" si="54"/>
        <v>0</v>
      </c>
      <c r="I370" s="106">
        <f t="shared" si="55"/>
        <v>0</v>
      </c>
      <c r="J370" s="107">
        <f t="shared" si="56"/>
        <v>9.194962411127619E-2</v>
      </c>
      <c r="K370" s="108">
        <f t="shared" si="57"/>
        <v>0</v>
      </c>
      <c r="L370" s="109">
        <f t="shared" si="58"/>
        <v>3443.5792375563856</v>
      </c>
      <c r="Q370" s="110"/>
    </row>
    <row r="371" spans="2:17" x14ac:dyDescent="0.2">
      <c r="B371" s="102">
        <f t="shared" si="50"/>
        <v>349</v>
      </c>
      <c r="C371" s="111">
        <f t="shared" si="59"/>
        <v>51502</v>
      </c>
      <c r="D371" s="104">
        <f t="shared" si="51"/>
        <v>37086.636987290789</v>
      </c>
      <c r="E371" s="104"/>
      <c r="F371" s="104">
        <f t="shared" si="52"/>
        <v>3300.5413144045478</v>
      </c>
      <c r="G371" s="104">
        <f t="shared" si="53"/>
        <v>143.03792315183765</v>
      </c>
      <c r="H371" s="105">
        <f t="shared" si="54"/>
        <v>0</v>
      </c>
      <c r="I371" s="106">
        <f t="shared" si="55"/>
        <v>0</v>
      </c>
      <c r="J371" s="107">
        <f t="shared" si="56"/>
        <v>8.5025638529884914E-2</v>
      </c>
      <c r="K371" s="108">
        <f t="shared" si="57"/>
        <v>0</v>
      </c>
      <c r="L371" s="109">
        <f t="shared" si="58"/>
        <v>3443.5792375563856</v>
      </c>
      <c r="Q371" s="110"/>
    </row>
    <row r="372" spans="2:17" x14ac:dyDescent="0.2">
      <c r="B372" s="102">
        <f t="shared" si="50"/>
        <v>350</v>
      </c>
      <c r="C372" s="111">
        <f t="shared" si="59"/>
        <v>51533</v>
      </c>
      <c r="D372" s="104">
        <f t="shared" si="51"/>
        <v>33774.406255731061</v>
      </c>
      <c r="E372" s="104"/>
      <c r="F372" s="104">
        <f t="shared" si="52"/>
        <v>3312.2307315597309</v>
      </c>
      <c r="G372" s="104">
        <f t="shared" si="53"/>
        <v>131.34850599665489</v>
      </c>
      <c r="H372" s="105">
        <f t="shared" si="54"/>
        <v>0</v>
      </c>
      <c r="I372" s="106">
        <f t="shared" si="55"/>
        <v>0</v>
      </c>
      <c r="J372" s="107">
        <f t="shared" si="56"/>
        <v>7.8077130499559555E-2</v>
      </c>
      <c r="K372" s="108">
        <f t="shared" si="57"/>
        <v>0</v>
      </c>
      <c r="L372" s="109">
        <f t="shared" si="58"/>
        <v>3443.5792375563856</v>
      </c>
      <c r="Q372" s="110"/>
    </row>
    <row r="373" spans="2:17" x14ac:dyDescent="0.2">
      <c r="B373" s="102">
        <f t="shared" si="50"/>
        <v>351</v>
      </c>
      <c r="C373" s="111">
        <f t="shared" si="59"/>
        <v>51561</v>
      </c>
      <c r="D373" s="104">
        <f t="shared" si="51"/>
        <v>30450.444706997056</v>
      </c>
      <c r="E373" s="104"/>
      <c r="F373" s="104">
        <f t="shared" si="52"/>
        <v>3323.9615487340047</v>
      </c>
      <c r="G373" s="104">
        <f t="shared" si="53"/>
        <v>119.61768882238084</v>
      </c>
      <c r="H373" s="105">
        <f t="shared" si="54"/>
        <v>0</v>
      </c>
      <c r="I373" s="106">
        <f t="shared" si="55"/>
        <v>0</v>
      </c>
      <c r="J373" s="107">
        <f t="shared" si="56"/>
        <v>7.1104013169960123E-2</v>
      </c>
      <c r="K373" s="108">
        <f t="shared" si="57"/>
        <v>0</v>
      </c>
      <c r="L373" s="109">
        <f t="shared" si="58"/>
        <v>3443.5792375563856</v>
      </c>
      <c r="Q373" s="110"/>
    </row>
    <row r="374" spans="2:17" x14ac:dyDescent="0.2">
      <c r="B374" s="102">
        <f t="shared" si="50"/>
        <v>352</v>
      </c>
      <c r="C374" s="111">
        <f t="shared" si="59"/>
        <v>51592</v>
      </c>
      <c r="D374" s="104">
        <f t="shared" si="51"/>
        <v>27114.710794444618</v>
      </c>
      <c r="E374" s="104"/>
      <c r="F374" s="104">
        <f t="shared" si="52"/>
        <v>3335.7339125524377</v>
      </c>
      <c r="G374" s="104">
        <f t="shared" si="53"/>
        <v>107.84532500394791</v>
      </c>
      <c r="H374" s="105">
        <f t="shared" si="54"/>
        <v>0</v>
      </c>
      <c r="I374" s="106">
        <f t="shared" si="55"/>
        <v>0</v>
      </c>
      <c r="J374" s="107">
        <f t="shared" si="56"/>
        <v>6.4106199383151694E-2</v>
      </c>
      <c r="K374" s="108">
        <f t="shared" si="57"/>
        <v>0</v>
      </c>
      <c r="L374" s="109">
        <f t="shared" si="58"/>
        <v>3443.5792375563856</v>
      </c>
      <c r="Q374" s="110"/>
    </row>
    <row r="375" spans="2:17" x14ac:dyDescent="0.2">
      <c r="B375" s="102">
        <f t="shared" si="50"/>
        <v>353</v>
      </c>
      <c r="C375" s="111">
        <f t="shared" si="59"/>
        <v>51622</v>
      </c>
      <c r="D375" s="104">
        <f t="shared" si="51"/>
        <v>23767.162824285224</v>
      </c>
      <c r="E375" s="104"/>
      <c r="F375" s="104">
        <f t="shared" si="52"/>
        <v>3347.547970159394</v>
      </c>
      <c r="G375" s="104">
        <f t="shared" si="53"/>
        <v>96.031267396991367</v>
      </c>
      <c r="H375" s="105">
        <f t="shared" si="54"/>
        <v>0</v>
      </c>
      <c r="I375" s="106">
        <f t="shared" si="55"/>
        <v>0</v>
      </c>
      <c r="J375" s="107">
        <f t="shared" si="56"/>
        <v>5.7083601672514986E-2</v>
      </c>
      <c r="K375" s="108">
        <f t="shared" si="57"/>
        <v>0</v>
      </c>
      <c r="L375" s="109">
        <f t="shared" si="58"/>
        <v>3443.5792375563856</v>
      </c>
      <c r="Q375" s="110"/>
    </row>
    <row r="376" spans="2:17" x14ac:dyDescent="0.2">
      <c r="B376" s="102">
        <f t="shared" si="50"/>
        <v>354</v>
      </c>
      <c r="C376" s="111">
        <f t="shared" si="59"/>
        <v>51653</v>
      </c>
      <c r="D376" s="104">
        <f t="shared" si="51"/>
        <v>20407.758955064848</v>
      </c>
      <c r="E376" s="104"/>
      <c r="F376" s="104">
        <f t="shared" si="52"/>
        <v>3359.4038692203753</v>
      </c>
      <c r="G376" s="104">
        <f t="shared" si="53"/>
        <v>84.17536833601018</v>
      </c>
      <c r="H376" s="105">
        <f t="shared" si="54"/>
        <v>0</v>
      </c>
      <c r="I376" s="106">
        <f t="shared" si="55"/>
        <v>0</v>
      </c>
      <c r="J376" s="107">
        <f t="shared" si="56"/>
        <v>5.0036132261653106E-2</v>
      </c>
      <c r="K376" s="108">
        <f t="shared" si="57"/>
        <v>0</v>
      </c>
      <c r="L376" s="109">
        <f t="shared" si="58"/>
        <v>3443.5792375563856</v>
      </c>
      <c r="Q376" s="110"/>
    </row>
    <row r="377" spans="2:17" x14ac:dyDescent="0.2">
      <c r="B377" s="102">
        <f t="shared" si="50"/>
        <v>355</v>
      </c>
      <c r="C377" s="111">
        <f t="shared" si="59"/>
        <v>51683</v>
      </c>
      <c r="D377" s="104">
        <f t="shared" si="51"/>
        <v>17036.457197140982</v>
      </c>
      <c r="E377" s="104"/>
      <c r="F377" s="104">
        <f t="shared" si="52"/>
        <v>3371.3017579238644</v>
      </c>
      <c r="G377" s="104">
        <f t="shared" si="53"/>
        <v>72.277479632521349</v>
      </c>
      <c r="H377" s="105">
        <f t="shared" si="54"/>
        <v>0</v>
      </c>
      <c r="I377" s="106">
        <f t="shared" si="55"/>
        <v>0</v>
      </c>
      <c r="J377" s="107">
        <f t="shared" si="56"/>
        <v>4.2963703063294417E-2</v>
      </c>
      <c r="K377" s="108">
        <f t="shared" si="57"/>
        <v>0</v>
      </c>
      <c r="L377" s="109">
        <f t="shared" si="58"/>
        <v>3443.5792375563856</v>
      </c>
      <c r="Q377" s="110"/>
    </row>
    <row r="378" spans="2:17" x14ac:dyDescent="0.2">
      <c r="B378" s="102">
        <f t="shared" si="50"/>
        <v>356</v>
      </c>
      <c r="C378" s="111">
        <f t="shared" si="59"/>
        <v>51714</v>
      </c>
      <c r="D378" s="104">
        <f t="shared" si="51"/>
        <v>13653.215412157804</v>
      </c>
      <c r="E378" s="104"/>
      <c r="F378" s="104">
        <f t="shared" si="52"/>
        <v>3383.2417849831781</v>
      </c>
      <c r="G378" s="104">
        <f t="shared" si="53"/>
        <v>60.337452573207649</v>
      </c>
      <c r="H378" s="105">
        <f t="shared" si="54"/>
        <v>0</v>
      </c>
      <c r="I378" s="106">
        <f t="shared" si="55"/>
        <v>0</v>
      </c>
      <c r="J378" s="107">
        <f t="shared" si="56"/>
        <v>3.5866225678191539E-2</v>
      </c>
      <c r="K378" s="108">
        <f t="shared" si="57"/>
        <v>0</v>
      </c>
      <c r="L378" s="109">
        <f t="shared" si="58"/>
        <v>3443.5792375563856</v>
      </c>
      <c r="Q378" s="110"/>
    </row>
    <row r="379" spans="2:17" x14ac:dyDescent="0.2">
      <c r="B379" s="102">
        <f t="shared" si="50"/>
        <v>357</v>
      </c>
      <c r="C379" s="111">
        <f t="shared" si="59"/>
        <v>51745</v>
      </c>
      <c r="D379" s="104">
        <f t="shared" si="51"/>
        <v>10257.991312519478</v>
      </c>
      <c r="E379" s="104"/>
      <c r="F379" s="104">
        <f t="shared" si="52"/>
        <v>3395.2240996383266</v>
      </c>
      <c r="G379" s="104">
        <f t="shared" si="53"/>
        <v>48.355137918058894</v>
      </c>
      <c r="H379" s="105">
        <f t="shared" si="54"/>
        <v>0</v>
      </c>
      <c r="I379" s="106">
        <f t="shared" si="55"/>
        <v>0</v>
      </c>
      <c r="J379" s="107">
        <f t="shared" si="56"/>
        <v>2.8743611394016429E-2</v>
      </c>
      <c r="K379" s="108">
        <f t="shared" si="57"/>
        <v>0</v>
      </c>
      <c r="L379" s="109">
        <f t="shared" si="58"/>
        <v>3443.5792375563856</v>
      </c>
      <c r="Q379" s="110"/>
    </row>
    <row r="380" spans="2:17" x14ac:dyDescent="0.2">
      <c r="B380" s="102">
        <f t="shared" si="50"/>
        <v>358</v>
      </c>
      <c r="C380" s="111">
        <f t="shared" si="59"/>
        <v>51775</v>
      </c>
      <c r="D380" s="104">
        <f t="shared" si="51"/>
        <v>6850.7424608615984</v>
      </c>
      <c r="E380" s="104"/>
      <c r="F380" s="104">
        <f t="shared" si="52"/>
        <v>3407.2488516578792</v>
      </c>
      <c r="G380" s="104">
        <f t="shared" si="53"/>
        <v>36.330385898506485</v>
      </c>
      <c r="H380" s="105">
        <f t="shared" si="54"/>
        <v>0</v>
      </c>
      <c r="I380" s="106">
        <f t="shared" si="55"/>
        <v>0</v>
      </c>
      <c r="J380" s="107">
        <f t="shared" si="56"/>
        <v>2.1595771184251534E-2</v>
      </c>
      <c r="K380" s="108">
        <f t="shared" si="57"/>
        <v>0</v>
      </c>
      <c r="L380" s="109">
        <f t="shared" si="58"/>
        <v>3443.5792375563856</v>
      </c>
      <c r="Q380" s="110"/>
    </row>
    <row r="381" spans="2:17" x14ac:dyDescent="0.2">
      <c r="B381" s="102">
        <f t="shared" si="50"/>
        <v>359</v>
      </c>
      <c r="C381" s="111">
        <f t="shared" si="59"/>
        <v>51806</v>
      </c>
      <c r="D381" s="104">
        <f t="shared" si="51"/>
        <v>3431.4262695207644</v>
      </c>
      <c r="E381" s="104"/>
      <c r="F381" s="104">
        <f t="shared" si="52"/>
        <v>3419.3161913408339</v>
      </c>
      <c r="G381" s="104">
        <f t="shared" si="53"/>
        <v>24.263046215551498</v>
      </c>
      <c r="H381" s="105">
        <f t="shared" si="54"/>
        <v>0</v>
      </c>
      <c r="I381" s="106">
        <f t="shared" si="55"/>
        <v>0</v>
      </c>
      <c r="J381" s="107">
        <f t="shared" si="56"/>
        <v>1.4422615707077049E-2</v>
      </c>
      <c r="K381" s="108">
        <f t="shared" si="57"/>
        <v>0</v>
      </c>
      <c r="L381" s="109">
        <f t="shared" si="58"/>
        <v>3443.5792375563856</v>
      </c>
      <c r="Q381" s="110"/>
    </row>
    <row r="382" spans="2:17" x14ac:dyDescent="0.2">
      <c r="B382" s="114">
        <f t="shared" si="50"/>
        <v>360</v>
      </c>
      <c r="C382" s="115">
        <f t="shared" si="59"/>
        <v>51836</v>
      </c>
      <c r="D382" s="116">
        <f t="shared" si="51"/>
        <v>0</v>
      </c>
      <c r="E382" s="116"/>
      <c r="F382" s="116">
        <f t="shared" si="52"/>
        <v>3431.4262695207644</v>
      </c>
      <c r="G382" s="116">
        <f t="shared" si="53"/>
        <v>12.152968037886041</v>
      </c>
      <c r="H382" s="117">
        <f t="shared" si="54"/>
        <v>0</v>
      </c>
      <c r="I382" s="118">
        <f t="shared" si="55"/>
        <v>0</v>
      </c>
      <c r="J382" s="119">
        <f t="shared" si="56"/>
        <v>7.2240553042542408E-3</v>
      </c>
      <c r="K382" s="120">
        <f t="shared" si="57"/>
        <v>0</v>
      </c>
      <c r="L382" s="121">
        <f t="shared" si="58"/>
        <v>3443.5792375586507</v>
      </c>
      <c r="Q382" s="110"/>
    </row>
  </sheetData>
  <protectedRanges>
    <protectedRange sqref="D14:D16 D3:D8 E8:F8" name="Range1"/>
    <protectedRange sqref="H23:K382" name="Range2"/>
  </protectedRanges>
  <mergeCells count="1">
    <mergeCell ref="A10:A12"/>
  </mergeCells>
  <conditionalFormatting sqref="B23:L382">
    <cfRule type="expression" dxfId="1" priority="1" stopIfTrue="1">
      <formula>IF($C23&lt;$I$3,TRUE,FALSE)</formula>
    </cfRule>
  </conditionalFormatting>
  <conditionalFormatting sqref="B22:L382">
    <cfRule type="expression" dxfId="0" priority="2" stopIfTrue="1">
      <formula>IF($C23&gt;$I$3,TRUE,FALSE)</formula>
    </cfRule>
  </conditionalFormatting>
  <pageMargins left="0.75" right="0.75" top="1" bottom="1" header="0.5" footer="0.5"/>
  <pageSetup scale="13" orientation="portrait" horizontalDpi="4294967294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Financials</vt:lpstr>
      <vt:lpstr>PDF Version</vt:lpstr>
      <vt:lpstr>Bad Market Calc</vt:lpstr>
      <vt:lpstr>Loan</vt:lpstr>
      <vt:lpstr>Financials!Print_Area</vt:lpstr>
      <vt:lpstr>'PDF Version'!Print_Area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2019-07-25T21:48:59Z</dcterms:created>
  <dcterms:modified xsi:type="dcterms:W3CDTF">2019-08-14T21:54:36Z</dcterms:modified>
</cp:coreProperties>
</file>