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0" windowWidth="11670" windowHeight="4665" activeTab="4"/>
  </bookViews>
  <sheets>
    <sheet name="Bad 40%" sheetId="8" r:id="rId1"/>
    <sheet name="Final" sheetId="4" r:id="rId2"/>
    <sheet name="Amortization Table" sheetId="6" state="hidden" r:id="rId3"/>
    <sheet name="unnamed" sheetId="5" state="hidden" r:id="rId4"/>
    <sheet name="Good 60%" sheetId="9" r:id="rId5"/>
  </sheets>
  <definedNames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Final!$C$67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Final!$C$131</definedName>
    <definedName name="solver_pre" localSheetId="1" hidden="1">0.000001</definedName>
    <definedName name="solver_rbv" localSheetId="1" hidden="1">1</definedName>
    <definedName name="solver_rel1" localSheetId="1" hidden="1">2</definedName>
    <definedName name="solver_rhs1" localSheetId="1" hidden="1">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4" i="9" l="1"/>
  <c r="J124" i="9"/>
  <c r="K124" i="9"/>
  <c r="L124" i="9"/>
  <c r="M124" i="9"/>
  <c r="H124" i="9"/>
  <c r="B16" i="9"/>
  <c r="C51" i="9"/>
  <c r="C108" i="9"/>
  <c r="C124" i="9"/>
  <c r="C4" i="9"/>
  <c r="C5" i="9"/>
  <c r="C18" i="9"/>
  <c r="C6" i="9"/>
  <c r="C19" i="9"/>
  <c r="C20" i="9"/>
  <c r="C22" i="9"/>
  <c r="C23" i="9"/>
  <c r="C24" i="9"/>
  <c r="C27" i="9"/>
  <c r="C28" i="9"/>
  <c r="C29" i="9"/>
  <c r="C30" i="9"/>
  <c r="D100" i="9"/>
  <c r="C33" i="9"/>
  <c r="D101" i="9"/>
  <c r="D102" i="9"/>
  <c r="D83" i="9"/>
  <c r="D103" i="9"/>
  <c r="D104" i="9"/>
  <c r="D105" i="9"/>
  <c r="D106" i="9"/>
  <c r="D113" i="9"/>
  <c r="C48" i="9"/>
  <c r="D114" i="9"/>
  <c r="C57" i="9"/>
  <c r="D115" i="9"/>
  <c r="D116" i="9"/>
  <c r="D124" i="9"/>
  <c r="D4" i="9"/>
  <c r="D5" i="9"/>
  <c r="D18" i="9"/>
  <c r="D6" i="9"/>
  <c r="D19" i="9"/>
  <c r="D20" i="9"/>
  <c r="D22" i="9"/>
  <c r="D23" i="9"/>
  <c r="D24" i="9"/>
  <c r="D27" i="9"/>
  <c r="D11" i="9"/>
  <c r="D28" i="9"/>
  <c r="D13" i="9"/>
  <c r="D29" i="9"/>
  <c r="D30" i="9"/>
  <c r="E100" i="9"/>
  <c r="D51" i="9"/>
  <c r="D33" i="9"/>
  <c r="E101" i="9"/>
  <c r="E102" i="9"/>
  <c r="E103" i="9"/>
  <c r="E104" i="9"/>
  <c r="E105" i="9"/>
  <c r="E106" i="9"/>
  <c r="E113" i="9"/>
  <c r="D7" i="9"/>
  <c r="D48" i="9"/>
  <c r="E114" i="9"/>
  <c r="D9" i="9"/>
  <c r="D57" i="9"/>
  <c r="E115" i="9"/>
  <c r="E116" i="9"/>
  <c r="E124" i="9"/>
  <c r="E4" i="9"/>
  <c r="E5" i="9"/>
  <c r="E18" i="9"/>
  <c r="E6" i="9"/>
  <c r="E19" i="9"/>
  <c r="E20" i="9"/>
  <c r="E22" i="9"/>
  <c r="E23" i="9"/>
  <c r="E24" i="9"/>
  <c r="E27" i="9"/>
  <c r="E11" i="9"/>
  <c r="E28" i="9"/>
  <c r="E13" i="9"/>
  <c r="E29" i="9"/>
  <c r="E30" i="9"/>
  <c r="F100" i="9"/>
  <c r="E51" i="9"/>
  <c r="E33" i="9"/>
  <c r="F101" i="9"/>
  <c r="F102" i="9"/>
  <c r="F103" i="9"/>
  <c r="F104" i="9"/>
  <c r="F105" i="9"/>
  <c r="F106" i="9"/>
  <c r="F109" i="9"/>
  <c r="F113" i="9"/>
  <c r="E7" i="9"/>
  <c r="E48" i="9"/>
  <c r="F114" i="9"/>
  <c r="E9" i="9"/>
  <c r="E57" i="9"/>
  <c r="F115" i="9"/>
  <c r="F116" i="9"/>
  <c r="F124" i="9"/>
  <c r="F4" i="9"/>
  <c r="F5" i="9"/>
  <c r="F18" i="9"/>
  <c r="F6" i="9"/>
  <c r="F19" i="9"/>
  <c r="F20" i="9"/>
  <c r="F22" i="9"/>
  <c r="F23" i="9"/>
  <c r="F24" i="9"/>
  <c r="F27" i="9"/>
  <c r="F11" i="9"/>
  <c r="F28" i="9"/>
  <c r="F13" i="9"/>
  <c r="F29" i="9"/>
  <c r="F30" i="9"/>
  <c r="G100" i="9"/>
  <c r="F51" i="9"/>
  <c r="F33" i="9"/>
  <c r="G101" i="9"/>
  <c r="G102" i="9"/>
  <c r="G103" i="9"/>
  <c r="G104" i="9"/>
  <c r="G105" i="9"/>
  <c r="G106" i="9"/>
  <c r="G113" i="9"/>
  <c r="F7" i="9"/>
  <c r="F48" i="9"/>
  <c r="G114" i="9"/>
  <c r="F9" i="9"/>
  <c r="F57" i="9"/>
  <c r="G115" i="9"/>
  <c r="G116" i="9"/>
  <c r="G124" i="9"/>
  <c r="G4" i="9"/>
  <c r="G5" i="9"/>
  <c r="G18" i="9"/>
  <c r="G6" i="9"/>
  <c r="G19" i="9"/>
  <c r="G20" i="9"/>
  <c r="G22" i="9"/>
  <c r="G23" i="9"/>
  <c r="G24" i="9"/>
  <c r="G27" i="9"/>
  <c r="G11" i="9"/>
  <c r="G28" i="9"/>
  <c r="G13" i="9"/>
  <c r="G29" i="9"/>
  <c r="G30" i="9"/>
  <c r="H100" i="9"/>
  <c r="G51" i="9"/>
  <c r="G33" i="9"/>
  <c r="H101" i="9"/>
  <c r="H102" i="9"/>
  <c r="H103" i="9"/>
  <c r="H104" i="9"/>
  <c r="H105" i="9"/>
  <c r="H106" i="9"/>
  <c r="H113" i="9"/>
  <c r="G7" i="9"/>
  <c r="G48" i="9"/>
  <c r="H114" i="9"/>
  <c r="G9" i="9"/>
  <c r="G57" i="9"/>
  <c r="H115" i="9"/>
  <c r="H116" i="9"/>
  <c r="H4" i="9"/>
  <c r="H5" i="9"/>
  <c r="H18" i="9"/>
  <c r="H6" i="9"/>
  <c r="H19" i="9"/>
  <c r="H20" i="9"/>
  <c r="H22" i="9"/>
  <c r="H23" i="9"/>
  <c r="H24" i="9"/>
  <c r="H27" i="9"/>
  <c r="H11" i="9"/>
  <c r="H28" i="9"/>
  <c r="H13" i="9"/>
  <c r="H29" i="9"/>
  <c r="H30" i="9"/>
  <c r="I100" i="9"/>
  <c r="H51" i="9"/>
  <c r="H52" i="9"/>
  <c r="H33" i="9"/>
  <c r="I101" i="9"/>
  <c r="I102" i="9"/>
  <c r="I103" i="9"/>
  <c r="I104" i="9"/>
  <c r="I105" i="9"/>
  <c r="I106" i="9"/>
  <c r="I113" i="9"/>
  <c r="H7" i="9"/>
  <c r="H48" i="9"/>
  <c r="I114" i="9"/>
  <c r="H9" i="9"/>
  <c r="H57" i="9"/>
  <c r="I115" i="9"/>
  <c r="I116" i="9"/>
  <c r="I4" i="9"/>
  <c r="I5" i="9"/>
  <c r="I18" i="9"/>
  <c r="I6" i="9"/>
  <c r="I19" i="9"/>
  <c r="I20" i="9"/>
  <c r="I22" i="9"/>
  <c r="I23" i="9"/>
  <c r="I24" i="9"/>
  <c r="I27" i="9"/>
  <c r="I11" i="9"/>
  <c r="I28" i="9"/>
  <c r="I13" i="9"/>
  <c r="I29" i="9"/>
  <c r="I30" i="9"/>
  <c r="J100" i="9"/>
  <c r="I51" i="9"/>
  <c r="I52" i="9"/>
  <c r="I33" i="9"/>
  <c r="J101" i="9"/>
  <c r="J102" i="9"/>
  <c r="J103" i="9"/>
  <c r="J104" i="9"/>
  <c r="J105" i="9"/>
  <c r="J106" i="9"/>
  <c r="J113" i="9"/>
  <c r="I7" i="9"/>
  <c r="I48" i="9"/>
  <c r="J114" i="9"/>
  <c r="I9" i="9"/>
  <c r="I57" i="9"/>
  <c r="J115" i="9"/>
  <c r="J116" i="9"/>
  <c r="J4" i="9"/>
  <c r="J5" i="9"/>
  <c r="J18" i="9"/>
  <c r="J6" i="9"/>
  <c r="J19" i="9"/>
  <c r="J20" i="9"/>
  <c r="J22" i="9"/>
  <c r="J23" i="9"/>
  <c r="J24" i="9"/>
  <c r="J27" i="9"/>
  <c r="J11" i="9"/>
  <c r="J28" i="9"/>
  <c r="J13" i="9"/>
  <c r="J29" i="9"/>
  <c r="J30" i="9"/>
  <c r="K100" i="9"/>
  <c r="J51" i="9"/>
  <c r="J52" i="9"/>
  <c r="J33" i="9"/>
  <c r="K101" i="9"/>
  <c r="K102" i="9"/>
  <c r="K103" i="9"/>
  <c r="K104" i="9"/>
  <c r="K105" i="9"/>
  <c r="K106" i="9"/>
  <c r="K113" i="9"/>
  <c r="J7" i="9"/>
  <c r="J48" i="9"/>
  <c r="K114" i="9"/>
  <c r="J9" i="9"/>
  <c r="J57" i="9"/>
  <c r="K115" i="9"/>
  <c r="K116" i="9"/>
  <c r="K4" i="9"/>
  <c r="K5" i="9"/>
  <c r="K18" i="9"/>
  <c r="K6" i="9"/>
  <c r="K19" i="9"/>
  <c r="K20" i="9"/>
  <c r="K22" i="9"/>
  <c r="K23" i="9"/>
  <c r="K24" i="9"/>
  <c r="K27" i="9"/>
  <c r="K11" i="9"/>
  <c r="K28" i="9"/>
  <c r="K13" i="9"/>
  <c r="K29" i="9"/>
  <c r="K30" i="9"/>
  <c r="L100" i="9"/>
  <c r="K51" i="9"/>
  <c r="K52" i="9"/>
  <c r="K33" i="9"/>
  <c r="L101" i="9"/>
  <c r="L102" i="9"/>
  <c r="L103" i="9"/>
  <c r="L104" i="9"/>
  <c r="L105" i="9"/>
  <c r="L106" i="9"/>
  <c r="L113" i="9"/>
  <c r="K7" i="9"/>
  <c r="K48" i="9"/>
  <c r="L114" i="9"/>
  <c r="K9" i="9"/>
  <c r="K57" i="9"/>
  <c r="L115" i="9"/>
  <c r="L116" i="9"/>
  <c r="L4" i="9"/>
  <c r="L5" i="9"/>
  <c r="L18" i="9"/>
  <c r="L6" i="9"/>
  <c r="L19" i="9"/>
  <c r="L20" i="9"/>
  <c r="L22" i="9"/>
  <c r="L23" i="9"/>
  <c r="L24" i="9"/>
  <c r="L27" i="9"/>
  <c r="L11" i="9"/>
  <c r="L28" i="9"/>
  <c r="L13" i="9"/>
  <c r="L29" i="9"/>
  <c r="L30" i="9"/>
  <c r="M100" i="9"/>
  <c r="L51" i="9"/>
  <c r="L52" i="9"/>
  <c r="L33" i="9"/>
  <c r="M101" i="9"/>
  <c r="M102" i="9"/>
  <c r="M103" i="9"/>
  <c r="M104" i="9"/>
  <c r="M105" i="9"/>
  <c r="M106" i="9"/>
  <c r="C53" i="9"/>
  <c r="D53" i="9"/>
  <c r="E53" i="9"/>
  <c r="F53" i="9"/>
  <c r="G53" i="9"/>
  <c r="H53" i="9"/>
  <c r="I53" i="9"/>
  <c r="J53" i="9"/>
  <c r="K53" i="9"/>
  <c r="L53" i="9"/>
  <c r="P110" i="9"/>
  <c r="M110" i="9"/>
  <c r="P112" i="9"/>
  <c r="M111" i="9"/>
  <c r="M113" i="9"/>
  <c r="L7" i="9"/>
  <c r="L48" i="9"/>
  <c r="M114" i="9"/>
  <c r="L9" i="9"/>
  <c r="L57" i="9"/>
  <c r="M115" i="9"/>
  <c r="M116" i="9"/>
  <c r="M119" i="9"/>
  <c r="M120" i="9"/>
  <c r="M121" i="9"/>
  <c r="C126" i="9"/>
  <c r="L59" i="9"/>
  <c r="E79" i="9"/>
  <c r="D86" i="9"/>
  <c r="E80" i="9"/>
  <c r="D87" i="9"/>
  <c r="L63" i="9"/>
  <c r="D90" i="9"/>
  <c r="L34" i="9"/>
  <c r="L35" i="9"/>
  <c r="L36" i="9"/>
  <c r="L38" i="9"/>
  <c r="L39" i="9"/>
  <c r="L40" i="9"/>
  <c r="K34" i="9"/>
  <c r="K35" i="9"/>
  <c r="K36" i="9"/>
  <c r="K38" i="9"/>
  <c r="K39" i="9"/>
  <c r="K40" i="9"/>
  <c r="J34" i="9"/>
  <c r="J35" i="9"/>
  <c r="J36" i="9"/>
  <c r="J38" i="9"/>
  <c r="J39" i="9"/>
  <c r="J40" i="9"/>
  <c r="I34" i="9"/>
  <c r="I35" i="9"/>
  <c r="I36" i="9"/>
  <c r="I38" i="9"/>
  <c r="I39" i="9"/>
  <c r="I40" i="9"/>
  <c r="H34" i="9"/>
  <c r="H35" i="9"/>
  <c r="H36" i="9"/>
  <c r="H38" i="9"/>
  <c r="H39" i="9"/>
  <c r="H40" i="9"/>
  <c r="G34" i="9"/>
  <c r="G35" i="9"/>
  <c r="G36" i="9"/>
  <c r="G38" i="9"/>
  <c r="G39" i="9"/>
  <c r="G40" i="9"/>
  <c r="F34" i="9"/>
  <c r="F35" i="9"/>
  <c r="F36" i="9"/>
  <c r="F38" i="9"/>
  <c r="F39" i="9"/>
  <c r="F40" i="9"/>
  <c r="E34" i="9"/>
  <c r="E35" i="9"/>
  <c r="E36" i="9"/>
  <c r="E38" i="9"/>
  <c r="E39" i="9"/>
  <c r="E40" i="9"/>
  <c r="D34" i="9"/>
  <c r="D35" i="9"/>
  <c r="D36" i="9"/>
  <c r="D38" i="9"/>
  <c r="D39" i="9"/>
  <c r="D40" i="9"/>
  <c r="C34" i="9"/>
  <c r="C35" i="9"/>
  <c r="C36" i="9"/>
  <c r="C38" i="9"/>
  <c r="C39" i="9"/>
  <c r="C40" i="9"/>
  <c r="C64" i="9"/>
  <c r="D64" i="9"/>
  <c r="E64" i="9"/>
  <c r="F64" i="9"/>
  <c r="G64" i="9"/>
  <c r="H64" i="9"/>
  <c r="I64" i="9"/>
  <c r="J64" i="9"/>
  <c r="K64" i="9"/>
  <c r="L64" i="9"/>
  <c r="D91" i="9"/>
  <c r="D93" i="9"/>
  <c r="E86" i="9"/>
  <c r="D79" i="9"/>
  <c r="F79" i="9"/>
  <c r="D80" i="9"/>
  <c r="F80" i="9"/>
  <c r="D81" i="9"/>
  <c r="E90" i="9"/>
  <c r="D72" i="9"/>
  <c r="D76" i="9"/>
  <c r="D95" i="9"/>
  <c r="C130" i="9"/>
  <c r="C132" i="9"/>
  <c r="C128" i="9"/>
  <c r="D128" i="9"/>
  <c r="E128" i="9"/>
  <c r="F128" i="9"/>
  <c r="G128" i="9"/>
  <c r="H128" i="9"/>
  <c r="I128" i="9"/>
  <c r="J128" i="9"/>
  <c r="K128" i="9"/>
  <c r="L128" i="9"/>
  <c r="M128" i="9"/>
  <c r="C129" i="9"/>
  <c r="D45" i="9"/>
  <c r="E45" i="9"/>
  <c r="F45" i="9"/>
  <c r="G45" i="9"/>
  <c r="H45" i="9"/>
  <c r="I45" i="9"/>
  <c r="J45" i="9"/>
  <c r="K45" i="9"/>
  <c r="L45" i="9"/>
  <c r="L54" i="9"/>
  <c r="L58" i="9"/>
  <c r="L66" i="9"/>
  <c r="L67" i="9"/>
  <c r="K54" i="9"/>
  <c r="K58" i="9"/>
  <c r="K59" i="9"/>
  <c r="K63" i="9"/>
  <c r="K66" i="9"/>
  <c r="K67" i="9"/>
  <c r="J54" i="9"/>
  <c r="J58" i="9"/>
  <c r="J59" i="9"/>
  <c r="J63" i="9"/>
  <c r="J66" i="9"/>
  <c r="J67" i="9"/>
  <c r="I54" i="9"/>
  <c r="I58" i="9"/>
  <c r="I59" i="9"/>
  <c r="I63" i="9"/>
  <c r="I66" i="9"/>
  <c r="I67" i="9"/>
  <c r="H54" i="9"/>
  <c r="H58" i="9"/>
  <c r="H59" i="9"/>
  <c r="H63" i="9"/>
  <c r="H66" i="9"/>
  <c r="H67" i="9"/>
  <c r="G54" i="9"/>
  <c r="G58" i="9"/>
  <c r="G59" i="9"/>
  <c r="G63" i="9"/>
  <c r="G66" i="9"/>
  <c r="G67" i="9"/>
  <c r="F54" i="9"/>
  <c r="F58" i="9"/>
  <c r="F59" i="9"/>
  <c r="F63" i="9"/>
  <c r="F66" i="9"/>
  <c r="F67" i="9"/>
  <c r="E54" i="9"/>
  <c r="E58" i="9"/>
  <c r="E59" i="9"/>
  <c r="E63" i="9"/>
  <c r="E66" i="9"/>
  <c r="E67" i="9"/>
  <c r="D54" i="9"/>
  <c r="D58" i="9"/>
  <c r="D59" i="9"/>
  <c r="D63" i="9"/>
  <c r="D66" i="9"/>
  <c r="D67" i="9"/>
  <c r="C54" i="9"/>
  <c r="C58" i="9"/>
  <c r="C59" i="9"/>
  <c r="C66" i="9"/>
  <c r="C67" i="9"/>
  <c r="B63" i="9"/>
  <c r="D8" i="9"/>
  <c r="E8" i="9"/>
  <c r="F8" i="9"/>
  <c r="M113" i="8"/>
  <c r="L113" i="8"/>
  <c r="K113" i="8"/>
  <c r="J113" i="8"/>
  <c r="I113" i="8"/>
  <c r="H113" i="8"/>
  <c r="G113" i="8"/>
  <c r="F113" i="8"/>
  <c r="E113" i="8"/>
  <c r="D113" i="8"/>
  <c r="F109" i="8"/>
  <c r="C108" i="8"/>
  <c r="C124" i="8"/>
  <c r="E101" i="8"/>
  <c r="E105" i="8"/>
  <c r="D101" i="8"/>
  <c r="D105" i="8"/>
  <c r="D90" i="8"/>
  <c r="E80" i="8"/>
  <c r="D87" i="8"/>
  <c r="D83" i="8"/>
  <c r="D80" i="8"/>
  <c r="D79" i="8"/>
  <c r="L63" i="8"/>
  <c r="K63" i="8"/>
  <c r="J63" i="8"/>
  <c r="I63" i="8"/>
  <c r="H63" i="8"/>
  <c r="G63" i="8"/>
  <c r="F63" i="8"/>
  <c r="E63" i="8"/>
  <c r="D63" i="8"/>
  <c r="B63" i="8"/>
  <c r="L59" i="8"/>
  <c r="E79" i="8"/>
  <c r="K59" i="8"/>
  <c r="J59" i="8"/>
  <c r="I59" i="8"/>
  <c r="H59" i="8"/>
  <c r="G59" i="8"/>
  <c r="F59" i="8"/>
  <c r="E59" i="8"/>
  <c r="D59" i="8"/>
  <c r="C59" i="8"/>
  <c r="D53" i="8"/>
  <c r="L52" i="8"/>
  <c r="J52" i="8"/>
  <c r="H52" i="8"/>
  <c r="H33" i="8"/>
  <c r="L51" i="8"/>
  <c r="I51" i="8"/>
  <c r="H51" i="8"/>
  <c r="G51" i="8"/>
  <c r="G33" i="8"/>
  <c r="D51" i="8"/>
  <c r="C51" i="8"/>
  <c r="C33" i="8"/>
  <c r="C53" i="8"/>
  <c r="E45" i="8"/>
  <c r="F45" i="8"/>
  <c r="G45" i="8"/>
  <c r="H45" i="8"/>
  <c r="I45" i="8"/>
  <c r="J45" i="8"/>
  <c r="K45" i="8"/>
  <c r="L45" i="8"/>
  <c r="D45" i="8"/>
  <c r="L35" i="8"/>
  <c r="K35" i="8"/>
  <c r="J35" i="8"/>
  <c r="I35" i="8"/>
  <c r="H35" i="8"/>
  <c r="G35" i="8"/>
  <c r="F35" i="8"/>
  <c r="E35" i="8"/>
  <c r="D35" i="8"/>
  <c r="C35" i="8"/>
  <c r="L34" i="8"/>
  <c r="K34" i="8"/>
  <c r="J34" i="8"/>
  <c r="I34" i="8"/>
  <c r="H34" i="8"/>
  <c r="G34" i="8"/>
  <c r="F34" i="8"/>
  <c r="E34" i="8"/>
  <c r="D34" i="8"/>
  <c r="C34" i="8"/>
  <c r="D33" i="8"/>
  <c r="C30" i="8"/>
  <c r="C57" i="8"/>
  <c r="D115" i="8"/>
  <c r="C29" i="8"/>
  <c r="C28" i="8"/>
  <c r="B16" i="8"/>
  <c r="D13" i="8"/>
  <c r="D29" i="8"/>
  <c r="D11" i="8"/>
  <c r="E9" i="8"/>
  <c r="F9" i="8"/>
  <c r="G9" i="8"/>
  <c r="H9" i="8"/>
  <c r="I9" i="8"/>
  <c r="J9" i="8"/>
  <c r="K9" i="8"/>
  <c r="L9" i="8"/>
  <c r="D9" i="8"/>
  <c r="D8" i="8"/>
  <c r="E8" i="8"/>
  <c r="F8" i="8"/>
  <c r="D7" i="8"/>
  <c r="C6" i="8"/>
  <c r="C5" i="8"/>
  <c r="D5" i="8"/>
  <c r="L4" i="8"/>
  <c r="K4" i="8"/>
  <c r="J4" i="8"/>
  <c r="I4" i="8"/>
  <c r="H4" i="8"/>
  <c r="G4" i="8"/>
  <c r="F4" i="8"/>
  <c r="E4" i="8"/>
  <c r="D4" i="8"/>
  <c r="C4" i="8"/>
  <c r="C18" i="8"/>
  <c r="I101" i="8"/>
  <c r="I105" i="8"/>
  <c r="C23" i="8"/>
  <c r="D86" i="8"/>
  <c r="F79" i="8"/>
  <c r="F80" i="8"/>
  <c r="D81" i="8"/>
  <c r="D18" i="8"/>
  <c r="E5" i="8"/>
  <c r="F5" i="8"/>
  <c r="G5" i="8"/>
  <c r="H5" i="8"/>
  <c r="D28" i="8"/>
  <c r="E11" i="8"/>
  <c r="H101" i="8"/>
  <c r="H105" i="8"/>
  <c r="D6" i="8"/>
  <c r="C19" i="8"/>
  <c r="C22" i="8"/>
  <c r="E7" i="8"/>
  <c r="L33" i="8"/>
  <c r="E13" i="8"/>
  <c r="I52" i="8"/>
  <c r="I33" i="8"/>
  <c r="J51" i="8"/>
  <c r="J33" i="8"/>
  <c r="F51" i="8"/>
  <c r="F33" i="8"/>
  <c r="D30" i="8"/>
  <c r="E51" i="8"/>
  <c r="E33" i="8"/>
  <c r="K51" i="8"/>
  <c r="K52" i="8"/>
  <c r="D4" i="4"/>
  <c r="B16" i="4"/>
  <c r="D51" i="4"/>
  <c r="D33" i="4"/>
  <c r="C51" i="4"/>
  <c r="B63" i="4"/>
  <c r="B2" i="6"/>
  <c r="D35" i="4"/>
  <c r="C4" i="4"/>
  <c r="C22" i="4"/>
  <c r="C35" i="4"/>
  <c r="E4" i="4"/>
  <c r="E51" i="4"/>
  <c r="E33" i="4"/>
  <c r="F4" i="4"/>
  <c r="F51" i="4"/>
  <c r="F33" i="4"/>
  <c r="G4" i="4"/>
  <c r="G51" i="4"/>
  <c r="G33" i="4"/>
  <c r="H4" i="4"/>
  <c r="H51" i="4"/>
  <c r="H33" i="4"/>
  <c r="H52" i="4"/>
  <c r="H35" i="4"/>
  <c r="I4" i="4"/>
  <c r="I51" i="4"/>
  <c r="I52" i="4"/>
  <c r="I33" i="4"/>
  <c r="J4" i="4"/>
  <c r="J51" i="4"/>
  <c r="J52" i="4"/>
  <c r="J33" i="4"/>
  <c r="K4" i="4"/>
  <c r="K51" i="4"/>
  <c r="K52" i="4"/>
  <c r="K33" i="4"/>
  <c r="L4" i="4"/>
  <c r="L51" i="4"/>
  <c r="L33" i="4"/>
  <c r="L52" i="4"/>
  <c r="E101" i="4"/>
  <c r="E105" i="4"/>
  <c r="G101" i="4"/>
  <c r="G105" i="4"/>
  <c r="F101" i="4"/>
  <c r="G113" i="4"/>
  <c r="C108" i="4"/>
  <c r="C124" i="4"/>
  <c r="E35" i="4"/>
  <c r="F35" i="4"/>
  <c r="G35" i="4"/>
  <c r="I35" i="4"/>
  <c r="J35" i="4"/>
  <c r="K35" i="4"/>
  <c r="L35" i="4"/>
  <c r="E80" i="4"/>
  <c r="L63" i="4"/>
  <c r="D90" i="4"/>
  <c r="D79" i="4"/>
  <c r="C6" i="4"/>
  <c r="C19" i="4"/>
  <c r="C5" i="4"/>
  <c r="D5" i="4"/>
  <c r="D18" i="4"/>
  <c r="C28" i="4"/>
  <c r="C29" i="4"/>
  <c r="C30" i="4"/>
  <c r="D80" i="4"/>
  <c r="D83" i="4"/>
  <c r="D113" i="4"/>
  <c r="C57" i="4"/>
  <c r="D115" i="4"/>
  <c r="D11" i="4"/>
  <c r="D13" i="4"/>
  <c r="D30" i="4"/>
  <c r="E30" i="4"/>
  <c r="E113" i="4"/>
  <c r="D7" i="4"/>
  <c r="D9" i="4"/>
  <c r="E9" i="4"/>
  <c r="F113" i="4"/>
  <c r="E7" i="4"/>
  <c r="F7" i="4"/>
  <c r="G7" i="4"/>
  <c r="H7" i="4"/>
  <c r="H113" i="4"/>
  <c r="I113" i="4"/>
  <c r="J113" i="4"/>
  <c r="K113" i="4"/>
  <c r="L113" i="4"/>
  <c r="M113" i="4"/>
  <c r="E63" i="4"/>
  <c r="F63" i="4"/>
  <c r="G63" i="4"/>
  <c r="H63" i="4"/>
  <c r="I63" i="4"/>
  <c r="J63" i="4"/>
  <c r="K63" i="4"/>
  <c r="D63" i="4"/>
  <c r="D45" i="4"/>
  <c r="E45" i="4"/>
  <c r="F45" i="4"/>
  <c r="G45" i="4"/>
  <c r="H45" i="4"/>
  <c r="I45" i="4"/>
  <c r="J45" i="4"/>
  <c r="K45" i="4"/>
  <c r="L45" i="4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6" i="5"/>
  <c r="G6" i="5"/>
  <c r="F5" i="5"/>
  <c r="C6" i="5"/>
  <c r="F1" i="5"/>
  <c r="D8" i="4"/>
  <c r="E8" i="4"/>
  <c r="F8" i="4"/>
  <c r="F30" i="4"/>
  <c r="D57" i="4"/>
  <c r="D6" i="4"/>
  <c r="D19" i="4"/>
  <c r="D22" i="4"/>
  <c r="D87" i="4"/>
  <c r="F109" i="4"/>
  <c r="F105" i="4"/>
  <c r="E6" i="4"/>
  <c r="E19" i="4"/>
  <c r="E22" i="4"/>
  <c r="G30" i="4"/>
  <c r="L101" i="4"/>
  <c r="L105" i="4"/>
  <c r="H101" i="4"/>
  <c r="H105" i="4"/>
  <c r="J101" i="4"/>
  <c r="J105" i="4"/>
  <c r="M101" i="4"/>
  <c r="M105" i="4"/>
  <c r="I101" i="4"/>
  <c r="I105" i="4"/>
  <c r="C20" i="8"/>
  <c r="C24" i="8"/>
  <c r="F101" i="8"/>
  <c r="F105" i="8"/>
  <c r="E53" i="8"/>
  <c r="J101" i="8"/>
  <c r="J105" i="8"/>
  <c r="D19" i="8"/>
  <c r="D22" i="8"/>
  <c r="E6" i="8"/>
  <c r="I5" i="8"/>
  <c r="H18" i="8"/>
  <c r="C27" i="8"/>
  <c r="C36" i="8"/>
  <c r="C38" i="8"/>
  <c r="E30" i="8"/>
  <c r="D57" i="8"/>
  <c r="E29" i="8"/>
  <c r="F13" i="8"/>
  <c r="F18" i="8"/>
  <c r="E28" i="8"/>
  <c r="F11" i="8"/>
  <c r="D23" i="8"/>
  <c r="G101" i="8"/>
  <c r="G105" i="8"/>
  <c r="F7" i="8"/>
  <c r="E18" i="8"/>
  <c r="K33" i="8"/>
  <c r="K101" i="8"/>
  <c r="K105" i="8"/>
  <c r="M101" i="8"/>
  <c r="M105" i="8"/>
  <c r="C48" i="8"/>
  <c r="G18" i="8"/>
  <c r="E115" i="4"/>
  <c r="H30" i="4"/>
  <c r="I7" i="4"/>
  <c r="F9" i="4"/>
  <c r="E57" i="4"/>
  <c r="K101" i="4"/>
  <c r="K105" i="4"/>
  <c r="D20" i="4"/>
  <c r="D24" i="4"/>
  <c r="D23" i="4"/>
  <c r="D48" i="4"/>
  <c r="F6" i="4"/>
  <c r="D6" i="5"/>
  <c r="F6" i="5"/>
  <c r="D29" i="4"/>
  <c r="E13" i="4"/>
  <c r="D28" i="4"/>
  <c r="E11" i="4"/>
  <c r="E5" i="4"/>
  <c r="C18" i="4"/>
  <c r="D2" i="6"/>
  <c r="I4" i="6"/>
  <c r="C33" i="4"/>
  <c r="D100" i="8"/>
  <c r="D102" i="8"/>
  <c r="D48" i="8"/>
  <c r="E114" i="8"/>
  <c r="F28" i="8"/>
  <c r="G11" i="8"/>
  <c r="C39" i="8"/>
  <c r="C58" i="8"/>
  <c r="E19" i="8"/>
  <c r="E22" i="8"/>
  <c r="F6" i="8"/>
  <c r="G23" i="8"/>
  <c r="L101" i="8"/>
  <c r="L105" i="8"/>
  <c r="E115" i="8"/>
  <c r="D103" i="8"/>
  <c r="D116" i="8"/>
  <c r="D54" i="8"/>
  <c r="D114" i="8"/>
  <c r="C54" i="8"/>
  <c r="E23" i="8"/>
  <c r="F23" i="8"/>
  <c r="E57" i="8"/>
  <c r="F30" i="8"/>
  <c r="H23" i="8"/>
  <c r="G7" i="8"/>
  <c r="F53" i="8"/>
  <c r="D20" i="8"/>
  <c r="D24" i="8"/>
  <c r="G13" i="8"/>
  <c r="F29" i="8"/>
  <c r="J5" i="8"/>
  <c r="I18" i="8"/>
  <c r="C23" i="4"/>
  <c r="C48" i="4"/>
  <c r="D114" i="4"/>
  <c r="C20" i="4"/>
  <c r="C24" i="4"/>
  <c r="F13" i="4"/>
  <c r="E29" i="4"/>
  <c r="F19" i="4"/>
  <c r="F22" i="4"/>
  <c r="G6" i="4"/>
  <c r="E3" i="6"/>
  <c r="E7" i="6"/>
  <c r="E11" i="6"/>
  <c r="E17" i="6"/>
  <c r="E21" i="6"/>
  <c r="E25" i="6"/>
  <c r="E34" i="6"/>
  <c r="E38" i="6"/>
  <c r="E42" i="6"/>
  <c r="E49" i="6"/>
  <c r="E53" i="6"/>
  <c r="E57" i="6"/>
  <c r="E64" i="6"/>
  <c r="E5" i="6"/>
  <c r="E9" i="6"/>
  <c r="E13" i="6"/>
  <c r="E19" i="6"/>
  <c r="E23" i="6"/>
  <c r="E27" i="6"/>
  <c r="E32" i="6"/>
  <c r="E36" i="6"/>
  <c r="E40" i="6"/>
  <c r="E47" i="6"/>
  <c r="E51" i="6"/>
  <c r="E55" i="6"/>
  <c r="E62" i="6"/>
  <c r="E8" i="6"/>
  <c r="E22" i="6"/>
  <c r="E37" i="6"/>
  <c r="E48" i="6"/>
  <c r="E56" i="6"/>
  <c r="E65" i="6"/>
  <c r="E69" i="6"/>
  <c r="E73" i="6"/>
  <c r="E79" i="6"/>
  <c r="E83" i="6"/>
  <c r="E87" i="6"/>
  <c r="E92" i="6"/>
  <c r="E96" i="6"/>
  <c r="E4" i="6"/>
  <c r="E12" i="6"/>
  <c r="E18" i="6"/>
  <c r="E26" i="6"/>
  <c r="E33" i="6"/>
  <c r="E41" i="6"/>
  <c r="E52" i="6"/>
  <c r="E63" i="6"/>
  <c r="E67" i="6"/>
  <c r="E71" i="6"/>
  <c r="E77" i="6"/>
  <c r="E81" i="6"/>
  <c r="E85" i="6"/>
  <c r="E88" i="6"/>
  <c r="E94" i="6"/>
  <c r="E10" i="6"/>
  <c r="E68" i="6"/>
  <c r="E84" i="6"/>
  <c r="E95" i="6"/>
  <c r="E100" i="6"/>
  <c r="E110" i="6"/>
  <c r="E114" i="6"/>
  <c r="E118" i="6"/>
  <c r="E124" i="6"/>
  <c r="E128" i="6"/>
  <c r="E132" i="6"/>
  <c r="E138" i="6"/>
  <c r="E142" i="6"/>
  <c r="E146" i="6"/>
  <c r="E20" i="6"/>
  <c r="E50" i="6"/>
  <c r="E58" i="6"/>
  <c r="E70" i="6"/>
  <c r="E78" i="6"/>
  <c r="E86" i="6"/>
  <c r="E97" i="6"/>
  <c r="E101" i="6"/>
  <c r="E107" i="6"/>
  <c r="E111" i="6"/>
  <c r="E115" i="6"/>
  <c r="E125" i="6"/>
  <c r="E129" i="6"/>
  <c r="E2" i="6"/>
  <c r="C2" i="6"/>
  <c r="E24" i="6"/>
  <c r="E35" i="6"/>
  <c r="E43" i="6"/>
  <c r="E54" i="6"/>
  <c r="E72" i="6"/>
  <c r="E80" i="6"/>
  <c r="E98" i="6"/>
  <c r="E102" i="6"/>
  <c r="E108" i="6"/>
  <c r="E112" i="6"/>
  <c r="E116" i="6"/>
  <c r="E122" i="6"/>
  <c r="E126" i="6"/>
  <c r="E130" i="6"/>
  <c r="E140" i="6"/>
  <c r="E144" i="6"/>
  <c r="E148" i="6"/>
  <c r="E28" i="6"/>
  <c r="E93" i="6"/>
  <c r="E103" i="6"/>
  <c r="E117" i="6"/>
  <c r="E123" i="6"/>
  <c r="E141" i="6"/>
  <c r="E6" i="6"/>
  <c r="E66" i="6"/>
  <c r="E82" i="6"/>
  <c r="E99" i="6"/>
  <c r="E127" i="6"/>
  <c r="E143" i="6"/>
  <c r="E39" i="6"/>
  <c r="E113" i="6"/>
  <c r="E133" i="6"/>
  <c r="E139" i="6"/>
  <c r="E147" i="6"/>
  <c r="E131" i="6"/>
  <c r="E145" i="6"/>
  <c r="E109" i="6"/>
  <c r="E137" i="6"/>
  <c r="D27" i="4"/>
  <c r="E100" i="4"/>
  <c r="E102" i="4"/>
  <c r="J7" i="4"/>
  <c r="E18" i="4"/>
  <c r="F5" i="4"/>
  <c r="F115" i="4"/>
  <c r="D101" i="4"/>
  <c r="D105" i="4"/>
  <c r="C53" i="4"/>
  <c r="F11" i="4"/>
  <c r="E28" i="4"/>
  <c r="C7" i="5"/>
  <c r="G9" i="4"/>
  <c r="F57" i="4"/>
  <c r="I30" i="4"/>
  <c r="E20" i="8"/>
  <c r="E24" i="8"/>
  <c r="I23" i="8"/>
  <c r="D27" i="8"/>
  <c r="D36" i="8"/>
  <c r="D38" i="8"/>
  <c r="E100" i="8"/>
  <c r="E102" i="8"/>
  <c r="K5" i="8"/>
  <c r="J18" i="8"/>
  <c r="G53" i="8"/>
  <c r="C40" i="8"/>
  <c r="C64" i="8"/>
  <c r="C66" i="8"/>
  <c r="C67" i="8"/>
  <c r="F57" i="8"/>
  <c r="G30" i="8"/>
  <c r="E27" i="8"/>
  <c r="E36" i="8"/>
  <c r="E38" i="8"/>
  <c r="D104" i="8"/>
  <c r="D106" i="8"/>
  <c r="D124" i="8"/>
  <c r="F19" i="8"/>
  <c r="G6" i="8"/>
  <c r="G28" i="8"/>
  <c r="H11" i="8"/>
  <c r="G29" i="8"/>
  <c r="H13" i="8"/>
  <c r="H7" i="8"/>
  <c r="F115" i="8"/>
  <c r="E48" i="8"/>
  <c r="G115" i="4"/>
  <c r="J30" i="4"/>
  <c r="C54" i="4"/>
  <c r="D53" i="4"/>
  <c r="K7" i="4"/>
  <c r="G13" i="4"/>
  <c r="F29" i="4"/>
  <c r="D7" i="5"/>
  <c r="F7" i="5"/>
  <c r="F18" i="4"/>
  <c r="G5" i="4"/>
  <c r="G19" i="4"/>
  <c r="G22" i="4"/>
  <c r="H6" i="4"/>
  <c r="C27" i="4"/>
  <c r="D100" i="4"/>
  <c r="D102" i="4"/>
  <c r="E103" i="4"/>
  <c r="E104" i="4"/>
  <c r="E106" i="4"/>
  <c r="E20" i="4"/>
  <c r="E24" i="4"/>
  <c r="E23" i="4"/>
  <c r="E48" i="4"/>
  <c r="F114" i="4"/>
  <c r="H9" i="4"/>
  <c r="G57" i="4"/>
  <c r="F28" i="4"/>
  <c r="G11" i="4"/>
  <c r="F2" i="6"/>
  <c r="B3" i="6"/>
  <c r="E114" i="4"/>
  <c r="F100" i="8"/>
  <c r="F102" i="8"/>
  <c r="F103" i="8"/>
  <c r="D39" i="8"/>
  <c r="D58" i="8"/>
  <c r="I13" i="8"/>
  <c r="H29" i="8"/>
  <c r="H6" i="8"/>
  <c r="G19" i="8"/>
  <c r="E39" i="8"/>
  <c r="E58" i="8"/>
  <c r="E40" i="8"/>
  <c r="L5" i="8"/>
  <c r="L18" i="8"/>
  <c r="K18" i="8"/>
  <c r="E103" i="8"/>
  <c r="E116" i="8"/>
  <c r="F22" i="8"/>
  <c r="F48" i="8"/>
  <c r="F20" i="8"/>
  <c r="F24" i="8"/>
  <c r="H53" i="8"/>
  <c r="F114" i="8"/>
  <c r="E54" i="8"/>
  <c r="H28" i="8"/>
  <c r="I11" i="8"/>
  <c r="G57" i="8"/>
  <c r="H30" i="8"/>
  <c r="I7" i="8"/>
  <c r="G115" i="8"/>
  <c r="J23" i="8"/>
  <c r="H115" i="4"/>
  <c r="H19" i="4"/>
  <c r="H22" i="4"/>
  <c r="I6" i="4"/>
  <c r="G18" i="4"/>
  <c r="H5" i="4"/>
  <c r="I9" i="4"/>
  <c r="H57" i="4"/>
  <c r="D103" i="4"/>
  <c r="D116" i="4"/>
  <c r="F20" i="4"/>
  <c r="F24" i="4"/>
  <c r="F23" i="4"/>
  <c r="F48" i="4"/>
  <c r="G114" i="4"/>
  <c r="G29" i="4"/>
  <c r="H13" i="4"/>
  <c r="L7" i="4"/>
  <c r="K30" i="4"/>
  <c r="G28" i="4"/>
  <c r="H11" i="4"/>
  <c r="D54" i="4"/>
  <c r="E53" i="4"/>
  <c r="D3" i="6"/>
  <c r="E27" i="4"/>
  <c r="F100" i="4"/>
  <c r="F102" i="4"/>
  <c r="C8" i="5"/>
  <c r="F104" i="8"/>
  <c r="F106" i="8"/>
  <c r="H115" i="8"/>
  <c r="J7" i="8"/>
  <c r="F116" i="8"/>
  <c r="F124" i="8"/>
  <c r="E104" i="8"/>
  <c r="E106" i="8"/>
  <c r="E124" i="8"/>
  <c r="I29" i="8"/>
  <c r="J13" i="8"/>
  <c r="I28" i="8"/>
  <c r="J11" i="8"/>
  <c r="I53" i="8"/>
  <c r="F27" i="8"/>
  <c r="F36" i="8"/>
  <c r="F38" i="8"/>
  <c r="K23" i="8"/>
  <c r="G22" i="8"/>
  <c r="G48" i="8"/>
  <c r="G20" i="8"/>
  <c r="G24" i="8"/>
  <c r="I30" i="8"/>
  <c r="H57" i="8"/>
  <c r="G114" i="8"/>
  <c r="F54" i="8"/>
  <c r="L23" i="8"/>
  <c r="H19" i="8"/>
  <c r="I6" i="8"/>
  <c r="D40" i="8"/>
  <c r="D64" i="8"/>
  <c r="E64" i="8"/>
  <c r="E66" i="8"/>
  <c r="E67" i="8"/>
  <c r="F103" i="4"/>
  <c r="F116" i="4"/>
  <c r="F53" i="4"/>
  <c r="E54" i="4"/>
  <c r="L30" i="4"/>
  <c r="I13" i="4"/>
  <c r="H29" i="4"/>
  <c r="J9" i="4"/>
  <c r="I57" i="4"/>
  <c r="D8" i="5"/>
  <c r="F8" i="5"/>
  <c r="I5" i="4"/>
  <c r="H18" i="4"/>
  <c r="E116" i="4"/>
  <c r="E124" i="4"/>
  <c r="I11" i="4"/>
  <c r="H28" i="4"/>
  <c r="D104" i="4"/>
  <c r="D106" i="4"/>
  <c r="D124" i="4"/>
  <c r="G20" i="4"/>
  <c r="G23" i="4"/>
  <c r="G48" i="4"/>
  <c r="H114" i="4"/>
  <c r="C3" i="6"/>
  <c r="F27" i="4"/>
  <c r="G100" i="4"/>
  <c r="G102" i="4"/>
  <c r="I115" i="4"/>
  <c r="I19" i="4"/>
  <c r="I22" i="4"/>
  <c r="J6" i="4"/>
  <c r="D66" i="8"/>
  <c r="D67" i="8"/>
  <c r="F39" i="8"/>
  <c r="F58" i="8"/>
  <c r="I19" i="8"/>
  <c r="J6" i="8"/>
  <c r="J53" i="8"/>
  <c r="J29" i="8"/>
  <c r="K13" i="8"/>
  <c r="H22" i="8"/>
  <c r="H48" i="8"/>
  <c r="H20" i="8"/>
  <c r="H24" i="8"/>
  <c r="G27" i="8"/>
  <c r="G36" i="8"/>
  <c r="G38" i="8"/>
  <c r="K7" i="8"/>
  <c r="I115" i="8"/>
  <c r="H114" i="8"/>
  <c r="G54" i="8"/>
  <c r="J28" i="8"/>
  <c r="K11" i="8"/>
  <c r="J30" i="8"/>
  <c r="I57" i="8"/>
  <c r="G100" i="8"/>
  <c r="G102" i="8"/>
  <c r="F3" i="6"/>
  <c r="B4" i="6"/>
  <c r="J19" i="4"/>
  <c r="J22" i="4"/>
  <c r="K6" i="4"/>
  <c r="H20" i="4"/>
  <c r="H23" i="4"/>
  <c r="H48" i="4"/>
  <c r="I114" i="4"/>
  <c r="C9" i="5"/>
  <c r="J5" i="4"/>
  <c r="I18" i="4"/>
  <c r="J13" i="4"/>
  <c r="I29" i="4"/>
  <c r="F54" i="4"/>
  <c r="G53" i="4"/>
  <c r="G103" i="4"/>
  <c r="G24" i="4"/>
  <c r="I28" i="4"/>
  <c r="J11" i="4"/>
  <c r="J115" i="4"/>
  <c r="F104" i="4"/>
  <c r="F106" i="4"/>
  <c r="F124" i="4"/>
  <c r="K9" i="4"/>
  <c r="J57" i="4"/>
  <c r="H100" i="8"/>
  <c r="H102" i="8"/>
  <c r="G39" i="8"/>
  <c r="G58" i="8"/>
  <c r="J115" i="8"/>
  <c r="L7" i="8"/>
  <c r="H103" i="8"/>
  <c r="H104" i="8"/>
  <c r="H106" i="8"/>
  <c r="J19" i="8"/>
  <c r="K6" i="8"/>
  <c r="J57" i="8"/>
  <c r="K30" i="8"/>
  <c r="H27" i="8"/>
  <c r="H36" i="8"/>
  <c r="H38" i="8"/>
  <c r="K53" i="8"/>
  <c r="I22" i="8"/>
  <c r="I48" i="8"/>
  <c r="I20" i="8"/>
  <c r="K28" i="8"/>
  <c r="L11" i="8"/>
  <c r="L28" i="8"/>
  <c r="I114" i="8"/>
  <c r="H54" i="8"/>
  <c r="G103" i="8"/>
  <c r="K29" i="8"/>
  <c r="L13" i="8"/>
  <c r="L29" i="8"/>
  <c r="F40" i="8"/>
  <c r="F64" i="8"/>
  <c r="F66" i="8"/>
  <c r="F67" i="8"/>
  <c r="K115" i="4"/>
  <c r="G54" i="4"/>
  <c r="H53" i="4"/>
  <c r="I23" i="4"/>
  <c r="I48" i="4"/>
  <c r="J114" i="4"/>
  <c r="I20" i="4"/>
  <c r="I24" i="4"/>
  <c r="D9" i="5"/>
  <c r="F9" i="5"/>
  <c r="L6" i="4"/>
  <c r="L19" i="4"/>
  <c r="L22" i="4"/>
  <c r="K19" i="4"/>
  <c r="K22" i="4"/>
  <c r="G27" i="4"/>
  <c r="H100" i="4"/>
  <c r="H102" i="4"/>
  <c r="J18" i="4"/>
  <c r="K5" i="4"/>
  <c r="L9" i="4"/>
  <c r="L57" i="4"/>
  <c r="K57" i="4"/>
  <c r="G116" i="4"/>
  <c r="M121" i="4"/>
  <c r="D4" i="6"/>
  <c r="J28" i="4"/>
  <c r="K11" i="4"/>
  <c r="G104" i="4"/>
  <c r="G106" i="4"/>
  <c r="K13" i="4"/>
  <c r="J29" i="4"/>
  <c r="H24" i="4"/>
  <c r="I24" i="8"/>
  <c r="I27" i="8"/>
  <c r="I100" i="8"/>
  <c r="I102" i="8"/>
  <c r="I103" i="8"/>
  <c r="H39" i="8"/>
  <c r="H58" i="8"/>
  <c r="K115" i="8"/>
  <c r="G116" i="8"/>
  <c r="M121" i="8"/>
  <c r="J114" i="8"/>
  <c r="I54" i="8"/>
  <c r="L6" i="8"/>
  <c r="L19" i="8"/>
  <c r="K19" i="8"/>
  <c r="G104" i="8"/>
  <c r="G106" i="8"/>
  <c r="G124" i="8"/>
  <c r="L53" i="8"/>
  <c r="J22" i="8"/>
  <c r="J48" i="8"/>
  <c r="J20" i="8"/>
  <c r="K57" i="8"/>
  <c r="L30" i="8"/>
  <c r="L57" i="8"/>
  <c r="H116" i="8"/>
  <c r="H124" i="8"/>
  <c r="G40" i="8"/>
  <c r="G64" i="8"/>
  <c r="G66" i="8"/>
  <c r="G67" i="8"/>
  <c r="I53" i="4"/>
  <c r="H54" i="4"/>
  <c r="L13" i="4"/>
  <c r="L29" i="4"/>
  <c r="K29" i="4"/>
  <c r="C4" i="6"/>
  <c r="L115" i="4"/>
  <c r="J23" i="4"/>
  <c r="J48" i="4"/>
  <c r="K114" i="4"/>
  <c r="J20" i="4"/>
  <c r="J24" i="4"/>
  <c r="C10" i="5"/>
  <c r="D10" i="5"/>
  <c r="F10" i="5"/>
  <c r="L5" i="4"/>
  <c r="L18" i="4"/>
  <c r="K18" i="4"/>
  <c r="G124" i="4"/>
  <c r="M115" i="4"/>
  <c r="M120" i="4"/>
  <c r="I27" i="4"/>
  <c r="J100" i="4"/>
  <c r="J102" i="4"/>
  <c r="H27" i="4"/>
  <c r="I100" i="4"/>
  <c r="I102" i="4"/>
  <c r="L11" i="4"/>
  <c r="L28" i="4"/>
  <c r="K28" i="4"/>
  <c r="H103" i="4"/>
  <c r="H116" i="4"/>
  <c r="H104" i="4"/>
  <c r="H106" i="4"/>
  <c r="H124" i="4"/>
  <c r="I36" i="8"/>
  <c r="I38" i="8"/>
  <c r="I39" i="8"/>
  <c r="I58" i="8"/>
  <c r="J100" i="8"/>
  <c r="J102" i="8"/>
  <c r="I116" i="8"/>
  <c r="I104" i="8"/>
  <c r="I106" i="8"/>
  <c r="I124" i="8"/>
  <c r="J24" i="8"/>
  <c r="L22" i="8"/>
  <c r="L48" i="8"/>
  <c r="L54" i="8"/>
  <c r="L20" i="8"/>
  <c r="J103" i="8"/>
  <c r="J116" i="8"/>
  <c r="J104" i="8"/>
  <c r="J106" i="8"/>
  <c r="J124" i="8"/>
  <c r="J27" i="8"/>
  <c r="J36" i="8"/>
  <c r="J38" i="8"/>
  <c r="M120" i="8"/>
  <c r="M115" i="8"/>
  <c r="K114" i="8"/>
  <c r="J54" i="8"/>
  <c r="L115" i="8"/>
  <c r="P110" i="8"/>
  <c r="M110" i="8"/>
  <c r="P112" i="8"/>
  <c r="M111" i="8"/>
  <c r="K22" i="8"/>
  <c r="K48" i="8"/>
  <c r="K20" i="8"/>
  <c r="H40" i="8"/>
  <c r="H64" i="8"/>
  <c r="H66" i="8"/>
  <c r="H67" i="8"/>
  <c r="I103" i="4"/>
  <c r="I116" i="4"/>
  <c r="C11" i="5"/>
  <c r="D11" i="5"/>
  <c r="F11" i="5"/>
  <c r="J103" i="4"/>
  <c r="J116" i="4"/>
  <c r="K20" i="4"/>
  <c r="K23" i="4"/>
  <c r="K48" i="4"/>
  <c r="L114" i="4"/>
  <c r="L20" i="4"/>
  <c r="L23" i="4"/>
  <c r="L48" i="4"/>
  <c r="J27" i="4"/>
  <c r="K100" i="4"/>
  <c r="K102" i="4"/>
  <c r="F4" i="6"/>
  <c r="B5" i="6"/>
  <c r="I54" i="4"/>
  <c r="J53" i="4"/>
  <c r="L24" i="8"/>
  <c r="J39" i="8"/>
  <c r="J58" i="8"/>
  <c r="L114" i="8"/>
  <c r="K54" i="8"/>
  <c r="K24" i="8"/>
  <c r="I40" i="8"/>
  <c r="I64" i="8"/>
  <c r="I66" i="8"/>
  <c r="I67" i="8"/>
  <c r="K100" i="8"/>
  <c r="K102" i="8"/>
  <c r="M119" i="8"/>
  <c r="M114" i="8"/>
  <c r="K103" i="4"/>
  <c r="K116" i="4"/>
  <c r="C12" i="5"/>
  <c r="D12" i="5"/>
  <c r="F12" i="5"/>
  <c r="K24" i="4"/>
  <c r="D5" i="6"/>
  <c r="M119" i="4"/>
  <c r="M114" i="4"/>
  <c r="J54" i="4"/>
  <c r="K53" i="4"/>
  <c r="L24" i="4"/>
  <c r="J104" i="4"/>
  <c r="J106" i="4"/>
  <c r="J124" i="4"/>
  <c r="I104" i="4"/>
  <c r="I106" i="4"/>
  <c r="I124" i="4"/>
  <c r="M100" i="8"/>
  <c r="M102" i="8"/>
  <c r="M103" i="8"/>
  <c r="M104" i="8"/>
  <c r="M106" i="8"/>
  <c r="L27" i="8"/>
  <c r="L36" i="8"/>
  <c r="L38" i="8"/>
  <c r="L39" i="8"/>
  <c r="L58" i="8"/>
  <c r="L40" i="8"/>
  <c r="K27" i="8"/>
  <c r="K36" i="8"/>
  <c r="K38" i="8"/>
  <c r="K103" i="8"/>
  <c r="K116" i="8"/>
  <c r="J40" i="8"/>
  <c r="J64" i="8"/>
  <c r="J66" i="8"/>
  <c r="J67" i="8"/>
  <c r="C13" i="5"/>
  <c r="D13" i="5"/>
  <c r="F13" i="5"/>
  <c r="C5" i="6"/>
  <c r="L53" i="4"/>
  <c r="K54" i="4"/>
  <c r="L27" i="4"/>
  <c r="M100" i="4"/>
  <c r="M102" i="4"/>
  <c r="K27" i="4"/>
  <c r="L100" i="4"/>
  <c r="L102" i="4"/>
  <c r="K104" i="4"/>
  <c r="K106" i="4"/>
  <c r="K124" i="4"/>
  <c r="K39" i="8"/>
  <c r="K58" i="8"/>
  <c r="K104" i="8"/>
  <c r="K106" i="8"/>
  <c r="K124" i="8"/>
  <c r="L100" i="8"/>
  <c r="L102" i="8"/>
  <c r="M103" i="4"/>
  <c r="M104" i="4"/>
  <c r="M106" i="4"/>
  <c r="L103" i="4"/>
  <c r="L116" i="4"/>
  <c r="L104" i="4"/>
  <c r="L106" i="4"/>
  <c r="L124" i="4"/>
  <c r="C14" i="5"/>
  <c r="D14" i="5"/>
  <c r="F14" i="5"/>
  <c r="F5" i="6"/>
  <c r="B6" i="6"/>
  <c r="L54" i="4"/>
  <c r="P110" i="4"/>
  <c r="M110" i="4"/>
  <c r="P112" i="4"/>
  <c r="M111" i="4"/>
  <c r="L103" i="8"/>
  <c r="K40" i="8"/>
  <c r="K64" i="8"/>
  <c r="L64" i="8"/>
  <c r="C15" i="5"/>
  <c r="D15" i="5"/>
  <c r="F15" i="5"/>
  <c r="M124" i="4"/>
  <c r="C125" i="4"/>
  <c r="D6" i="6"/>
  <c r="C6" i="6"/>
  <c r="M116" i="4"/>
  <c r="D91" i="8"/>
  <c r="L66" i="8"/>
  <c r="L67" i="8"/>
  <c r="K66" i="8"/>
  <c r="K67" i="8"/>
  <c r="L116" i="8"/>
  <c r="M116" i="8"/>
  <c r="M124" i="8"/>
  <c r="L104" i="8"/>
  <c r="L106" i="8"/>
  <c r="C16" i="5"/>
  <c r="D16" i="5"/>
  <c r="F16" i="5"/>
  <c r="F6" i="6"/>
  <c r="B7" i="6"/>
  <c r="L124" i="8"/>
  <c r="C125" i="8"/>
  <c r="D93" i="8"/>
  <c r="E86" i="8"/>
  <c r="C17" i="5"/>
  <c r="D7" i="6"/>
  <c r="C7" i="6"/>
  <c r="F7" i="6"/>
  <c r="B8" i="6"/>
  <c r="E90" i="8"/>
  <c r="D72" i="8"/>
  <c r="D76" i="8"/>
  <c r="D8" i="6"/>
  <c r="C8" i="6"/>
  <c r="F8" i="6"/>
  <c r="B9" i="6"/>
  <c r="D17" i="5"/>
  <c r="F17" i="5"/>
  <c r="J7" i="5"/>
  <c r="D95" i="8"/>
  <c r="C129" i="8"/>
  <c r="D9" i="6"/>
  <c r="C9" i="6"/>
  <c r="F9" i="6"/>
  <c r="B10" i="6"/>
  <c r="C18" i="5"/>
  <c r="L127" i="8"/>
  <c r="H127" i="8"/>
  <c r="D127" i="8"/>
  <c r="J127" i="8"/>
  <c r="E127" i="8"/>
  <c r="I127" i="8"/>
  <c r="C127" i="8"/>
  <c r="M127" i="8"/>
  <c r="K127" i="8"/>
  <c r="G127" i="8"/>
  <c r="F127" i="8"/>
  <c r="C131" i="8"/>
  <c r="D10" i="6"/>
  <c r="C10" i="6"/>
  <c r="F10" i="6"/>
  <c r="B11" i="6"/>
  <c r="D18" i="5"/>
  <c r="F18" i="5"/>
  <c r="C128" i="8"/>
  <c r="C19" i="5"/>
  <c r="D11" i="6"/>
  <c r="C11" i="6"/>
  <c r="F11" i="6"/>
  <c r="B12" i="6"/>
  <c r="D12" i="6"/>
  <c r="C12" i="6"/>
  <c r="F12" i="6"/>
  <c r="B13" i="6"/>
  <c r="D19" i="5"/>
  <c r="F19" i="5"/>
  <c r="D13" i="6"/>
  <c r="C20" i="5"/>
  <c r="D20" i="5"/>
  <c r="F20" i="5"/>
  <c r="C13" i="6"/>
  <c r="D14" i="6"/>
  <c r="C34" i="4"/>
  <c r="C36" i="4"/>
  <c r="C38" i="4"/>
  <c r="C39" i="4"/>
  <c r="C58" i="4"/>
  <c r="C14" i="6"/>
  <c r="F13" i="6"/>
  <c r="C21" i="5"/>
  <c r="B17" i="6"/>
  <c r="C59" i="4"/>
  <c r="C66" i="4"/>
  <c r="C67" i="4"/>
  <c r="D21" i="5"/>
  <c r="F21" i="5"/>
  <c r="C40" i="4"/>
  <c r="C64" i="4"/>
  <c r="C22" i="5"/>
  <c r="D17" i="6"/>
  <c r="C17" i="6"/>
  <c r="D22" i="5"/>
  <c r="F22" i="5"/>
  <c r="C23" i="5"/>
  <c r="D23" i="5"/>
  <c r="F23" i="5"/>
  <c r="F17" i="6"/>
  <c r="B18" i="6"/>
  <c r="C24" i="5"/>
  <c r="D24" i="5"/>
  <c r="F24" i="5"/>
  <c r="D18" i="6"/>
  <c r="C25" i="5"/>
  <c r="D25" i="5"/>
  <c r="F25" i="5"/>
  <c r="C18" i="6"/>
  <c r="C26" i="5"/>
  <c r="D26" i="5"/>
  <c r="F26" i="5"/>
  <c r="F18" i="6"/>
  <c r="B19" i="6"/>
  <c r="C27" i="5"/>
  <c r="D27" i="5"/>
  <c r="F27" i="5"/>
  <c r="D19" i="6"/>
  <c r="C28" i="5"/>
  <c r="D28" i="5"/>
  <c r="F28" i="5"/>
  <c r="C19" i="6"/>
  <c r="C29" i="5"/>
  <c r="F19" i="6"/>
  <c r="B20" i="6"/>
  <c r="D20" i="6"/>
  <c r="D29" i="5"/>
  <c r="F29" i="5"/>
  <c r="J8" i="5"/>
  <c r="C30" i="5"/>
  <c r="C20" i="6"/>
  <c r="F20" i="6"/>
  <c r="B21" i="6"/>
  <c r="D30" i="5"/>
  <c r="F30" i="5"/>
  <c r="C31" i="5"/>
  <c r="D21" i="6"/>
  <c r="C21" i="6"/>
  <c r="D31" i="5"/>
  <c r="F31" i="5"/>
  <c r="C32" i="5"/>
  <c r="F21" i="6"/>
  <c r="B22" i="6"/>
  <c r="D22" i="6"/>
  <c r="C22" i="6"/>
  <c r="F22" i="6"/>
  <c r="B23" i="6"/>
  <c r="D32" i="5"/>
  <c r="F32" i="5"/>
  <c r="D23" i="6"/>
  <c r="C23" i="6"/>
  <c r="F23" i="6"/>
  <c r="B24" i="6"/>
  <c r="C33" i="5"/>
  <c r="D24" i="6"/>
  <c r="C24" i="6"/>
  <c r="F24" i="6"/>
  <c r="B25" i="6"/>
  <c r="D33" i="5"/>
  <c r="F33" i="5"/>
  <c r="D25" i="6"/>
  <c r="C25" i="6"/>
  <c r="F25" i="6"/>
  <c r="B26" i="6"/>
  <c r="C34" i="5"/>
  <c r="D26" i="6"/>
  <c r="C26" i="6"/>
  <c r="F26" i="6"/>
  <c r="B27" i="6"/>
  <c r="D34" i="5"/>
  <c r="F34" i="5"/>
  <c r="D27" i="6"/>
  <c r="C27" i="6"/>
  <c r="F27" i="6"/>
  <c r="B28" i="6"/>
  <c r="C35" i="5"/>
  <c r="D35" i="5"/>
  <c r="F35" i="5"/>
  <c r="C36" i="5"/>
  <c r="D36" i="5"/>
  <c r="F36" i="5"/>
  <c r="D28" i="6"/>
  <c r="C37" i="5"/>
  <c r="D37" i="5"/>
  <c r="F37" i="5"/>
  <c r="C28" i="6"/>
  <c r="D29" i="6"/>
  <c r="D34" i="4"/>
  <c r="D36" i="4"/>
  <c r="D38" i="4"/>
  <c r="C38" i="5"/>
  <c r="D38" i="5"/>
  <c r="F38" i="5"/>
  <c r="D39" i="4"/>
  <c r="D58" i="4"/>
  <c r="C29" i="6"/>
  <c r="F28" i="6"/>
  <c r="C39" i="5"/>
  <c r="D39" i="5"/>
  <c r="F39" i="5"/>
  <c r="D40" i="4"/>
  <c r="D64" i="4"/>
  <c r="D59" i="4"/>
  <c r="D66" i="4"/>
  <c r="D67" i="4"/>
  <c r="B32" i="6"/>
  <c r="C40" i="5"/>
  <c r="D40" i="5"/>
  <c r="F40" i="5"/>
  <c r="D32" i="6"/>
  <c r="C41" i="5"/>
  <c r="C32" i="6"/>
  <c r="F32" i="6"/>
  <c r="B33" i="6"/>
  <c r="D41" i="5"/>
  <c r="F41" i="5"/>
  <c r="J9" i="5"/>
  <c r="C42" i="5"/>
  <c r="D33" i="6"/>
  <c r="C33" i="6"/>
  <c r="D42" i="5"/>
  <c r="F42" i="5"/>
  <c r="C43" i="5"/>
  <c r="F33" i="6"/>
  <c r="B34" i="6"/>
  <c r="D34" i="6"/>
  <c r="D43" i="5"/>
  <c r="F43" i="5"/>
  <c r="C34" i="6"/>
  <c r="C44" i="5"/>
  <c r="D44" i="5"/>
  <c r="F44" i="5"/>
  <c r="F34" i="6"/>
  <c r="B35" i="6"/>
  <c r="D35" i="6"/>
  <c r="C45" i="5"/>
  <c r="D45" i="5"/>
  <c r="F45" i="5"/>
  <c r="C35" i="6"/>
  <c r="F35" i="6"/>
  <c r="B36" i="6"/>
  <c r="C46" i="5"/>
  <c r="D36" i="6"/>
  <c r="D46" i="5"/>
  <c r="F46" i="5"/>
  <c r="C36" i="6"/>
  <c r="C47" i="5"/>
  <c r="D47" i="5"/>
  <c r="F47" i="5"/>
  <c r="C48" i="5"/>
  <c r="D48" i="5"/>
  <c r="F48" i="5"/>
  <c r="F36" i="6"/>
  <c r="B37" i="6"/>
  <c r="C49" i="5"/>
  <c r="D49" i="5"/>
  <c r="F49" i="5"/>
  <c r="D37" i="6"/>
  <c r="C37" i="6"/>
  <c r="F37" i="6"/>
  <c r="B38" i="6"/>
  <c r="D38" i="6"/>
  <c r="C38" i="6"/>
  <c r="F38" i="6"/>
  <c r="B39" i="6"/>
  <c r="C50" i="5"/>
  <c r="D50" i="5"/>
  <c r="F50" i="5"/>
  <c r="D39" i="6"/>
  <c r="C39" i="6"/>
  <c r="F39" i="6"/>
  <c r="B40" i="6"/>
  <c r="C51" i="5"/>
  <c r="D51" i="5"/>
  <c r="F51" i="5"/>
  <c r="C52" i="5"/>
  <c r="D52" i="5"/>
  <c r="F52" i="5"/>
  <c r="D40" i="6"/>
  <c r="C40" i="6"/>
  <c r="F40" i="6"/>
  <c r="B41" i="6"/>
  <c r="D41" i="6"/>
  <c r="C41" i="6"/>
  <c r="F41" i="6"/>
  <c r="B42" i="6"/>
  <c r="C53" i="5"/>
  <c r="D42" i="6"/>
  <c r="C42" i="6"/>
  <c r="F42" i="6"/>
  <c r="B43" i="6"/>
  <c r="D53" i="5"/>
  <c r="F53" i="5"/>
  <c r="J10" i="5"/>
  <c r="D43" i="6"/>
  <c r="C54" i="5"/>
  <c r="D54" i="5"/>
  <c r="F54" i="5"/>
  <c r="C55" i="5"/>
  <c r="D55" i="5"/>
  <c r="F55" i="5"/>
  <c r="C43" i="6"/>
  <c r="D44" i="6"/>
  <c r="E34" i="4"/>
  <c r="E36" i="4"/>
  <c r="E38" i="4"/>
  <c r="C56" i="5"/>
  <c r="D56" i="5"/>
  <c r="F56" i="5"/>
  <c r="C44" i="6"/>
  <c r="F43" i="6"/>
  <c r="E39" i="4"/>
  <c r="E58" i="4"/>
  <c r="C57" i="5"/>
  <c r="D57" i="5"/>
  <c r="F57" i="5"/>
  <c r="E59" i="4"/>
  <c r="E66" i="4"/>
  <c r="E67" i="4"/>
  <c r="B47" i="6"/>
  <c r="E40" i="4"/>
  <c r="E64" i="4"/>
  <c r="C58" i="5"/>
  <c r="D58" i="5"/>
  <c r="F58" i="5"/>
  <c r="D47" i="6"/>
  <c r="C59" i="5"/>
  <c r="D59" i="5"/>
  <c r="F59" i="5"/>
  <c r="C47" i="6"/>
  <c r="C60" i="5"/>
  <c r="D60" i="5"/>
  <c r="F60" i="5"/>
  <c r="F47" i="6"/>
  <c r="B48" i="6"/>
  <c r="C61" i="5"/>
  <c r="D61" i="5"/>
  <c r="F61" i="5"/>
  <c r="D48" i="6"/>
  <c r="C62" i="5"/>
  <c r="D62" i="5"/>
  <c r="F62" i="5"/>
  <c r="C48" i="6"/>
  <c r="C63" i="5"/>
  <c r="D63" i="5"/>
  <c r="F63" i="5"/>
  <c r="F48" i="6"/>
  <c r="B49" i="6"/>
  <c r="C64" i="5"/>
  <c r="D64" i="5"/>
  <c r="F64" i="5"/>
  <c r="D49" i="6"/>
  <c r="C65" i="5"/>
  <c r="D65" i="5"/>
  <c r="F65" i="5"/>
  <c r="C49" i="6"/>
  <c r="C66" i="5"/>
  <c r="D66" i="5"/>
  <c r="F66" i="5"/>
  <c r="F49" i="6"/>
  <c r="B50" i="6"/>
  <c r="C67" i="5"/>
  <c r="D67" i="5"/>
  <c r="F67" i="5"/>
  <c r="D50" i="6"/>
  <c r="C68" i="5"/>
  <c r="D68" i="5"/>
  <c r="F68" i="5"/>
  <c r="C50" i="6"/>
  <c r="C69" i="5"/>
  <c r="D69" i="5"/>
  <c r="F69" i="5"/>
  <c r="F50" i="6"/>
  <c r="B51" i="6"/>
  <c r="C70" i="5"/>
  <c r="D70" i="5"/>
  <c r="F70" i="5"/>
  <c r="D51" i="6"/>
  <c r="C71" i="5"/>
  <c r="D71" i="5"/>
  <c r="F71" i="5"/>
  <c r="C51" i="6"/>
  <c r="C72" i="5"/>
  <c r="D72" i="5"/>
  <c r="F72" i="5"/>
  <c r="F51" i="6"/>
  <c r="B52" i="6"/>
  <c r="C73" i="5"/>
  <c r="D73" i="5"/>
  <c r="F73" i="5"/>
  <c r="D52" i="6"/>
  <c r="C52" i="6"/>
  <c r="F52" i="6"/>
  <c r="B53" i="6"/>
  <c r="D53" i="6"/>
  <c r="C53" i="6"/>
  <c r="F53" i="6"/>
  <c r="B54" i="6"/>
  <c r="C74" i="5"/>
  <c r="D74" i="5"/>
  <c r="F74" i="5"/>
  <c r="C75" i="5"/>
  <c r="D75" i="5"/>
  <c r="F75" i="5"/>
  <c r="D54" i="6"/>
  <c r="C54" i="6"/>
  <c r="F54" i="6"/>
  <c r="B55" i="6"/>
  <c r="D55" i="6"/>
  <c r="C55" i="6"/>
  <c r="F55" i="6"/>
  <c r="B56" i="6"/>
  <c r="C76" i="5"/>
  <c r="D76" i="5"/>
  <c r="F76" i="5"/>
  <c r="C77" i="5"/>
  <c r="D77" i="5"/>
  <c r="F77" i="5"/>
  <c r="D56" i="6"/>
  <c r="C56" i="6"/>
  <c r="F56" i="6"/>
  <c r="B57" i="6"/>
  <c r="D57" i="6"/>
  <c r="C57" i="6"/>
  <c r="F57" i="6"/>
  <c r="B58" i="6"/>
  <c r="C78" i="5"/>
  <c r="D78" i="5"/>
  <c r="F78" i="5"/>
  <c r="C79" i="5"/>
  <c r="D79" i="5"/>
  <c r="F79" i="5"/>
  <c r="D58" i="6"/>
  <c r="C58" i="6"/>
  <c r="D59" i="6"/>
  <c r="F34" i="4"/>
  <c r="F36" i="4"/>
  <c r="F38" i="4"/>
  <c r="C80" i="5"/>
  <c r="D80" i="5"/>
  <c r="F80" i="5"/>
  <c r="C81" i="5"/>
  <c r="D81" i="5"/>
  <c r="F81" i="5"/>
  <c r="F39" i="4"/>
  <c r="F58" i="4"/>
  <c r="C59" i="6"/>
  <c r="F58" i="6"/>
  <c r="C82" i="5"/>
  <c r="D82" i="5"/>
  <c r="F82" i="5"/>
  <c r="F40" i="4"/>
  <c r="F64" i="4"/>
  <c r="F59" i="4"/>
  <c r="F66" i="4"/>
  <c r="F67" i="4"/>
  <c r="B62" i="6"/>
  <c r="D62" i="6"/>
  <c r="C83" i="5"/>
  <c r="D83" i="5"/>
  <c r="F83" i="5"/>
  <c r="C84" i="5"/>
  <c r="D84" i="5"/>
  <c r="F84" i="5"/>
  <c r="C62" i="6"/>
  <c r="C85" i="5"/>
  <c r="D85" i="5"/>
  <c r="F85" i="5"/>
  <c r="F62" i="6"/>
  <c r="B63" i="6"/>
  <c r="C86" i="5"/>
  <c r="D86" i="5"/>
  <c r="F86" i="5"/>
  <c r="D63" i="6"/>
  <c r="C87" i="5"/>
  <c r="D87" i="5"/>
  <c r="F87" i="5"/>
  <c r="C63" i="6"/>
  <c r="C88" i="5"/>
  <c r="D88" i="5"/>
  <c r="F88" i="5"/>
  <c r="F63" i="6"/>
  <c r="B64" i="6"/>
  <c r="C89" i="5"/>
  <c r="D89" i="5"/>
  <c r="F89" i="5"/>
  <c r="D64" i="6"/>
  <c r="C90" i="5"/>
  <c r="D90" i="5"/>
  <c r="F90" i="5"/>
  <c r="C64" i="6"/>
  <c r="C91" i="5"/>
  <c r="D91" i="5"/>
  <c r="F91" i="5"/>
  <c r="F64" i="6"/>
  <c r="B65" i="6"/>
  <c r="C92" i="5"/>
  <c r="D92" i="5"/>
  <c r="F92" i="5"/>
  <c r="D65" i="6"/>
  <c r="C93" i="5"/>
  <c r="D93" i="5"/>
  <c r="F93" i="5"/>
  <c r="C65" i="6"/>
  <c r="F65" i="6"/>
  <c r="B66" i="6"/>
  <c r="C94" i="5"/>
  <c r="D94" i="5"/>
  <c r="F94" i="5"/>
  <c r="C95" i="5"/>
  <c r="D95" i="5"/>
  <c r="F95" i="5"/>
  <c r="D66" i="6"/>
  <c r="C96" i="5"/>
  <c r="D96" i="5"/>
  <c r="F96" i="5"/>
  <c r="C66" i="6"/>
  <c r="C97" i="5"/>
  <c r="D97" i="5"/>
  <c r="F97" i="5"/>
  <c r="F66" i="6"/>
  <c r="B67" i="6"/>
  <c r="C98" i="5"/>
  <c r="D98" i="5"/>
  <c r="F98" i="5"/>
  <c r="D67" i="6"/>
  <c r="C67" i="6"/>
  <c r="F67" i="6"/>
  <c r="B68" i="6"/>
  <c r="D68" i="6"/>
  <c r="C68" i="6"/>
  <c r="F68" i="6"/>
  <c r="B69" i="6"/>
  <c r="C99" i="5"/>
  <c r="D99" i="5"/>
  <c r="F99" i="5"/>
  <c r="C100" i="5"/>
  <c r="D100" i="5"/>
  <c r="F100" i="5"/>
  <c r="D69" i="6"/>
  <c r="C69" i="6"/>
  <c r="F69" i="6"/>
  <c r="B70" i="6"/>
  <c r="D70" i="6"/>
  <c r="C70" i="6"/>
  <c r="F70" i="6"/>
  <c r="B71" i="6"/>
  <c r="C101" i="5"/>
  <c r="D101" i="5"/>
  <c r="F101" i="5"/>
  <c r="C102" i="5"/>
  <c r="D102" i="5"/>
  <c r="F102" i="5"/>
  <c r="D71" i="6"/>
  <c r="C71" i="6"/>
  <c r="F71" i="6"/>
  <c r="B72" i="6"/>
  <c r="D72" i="6"/>
  <c r="C72" i="6"/>
  <c r="F72" i="6"/>
  <c r="B73" i="6"/>
  <c r="C103" i="5"/>
  <c r="D103" i="5"/>
  <c r="F103" i="5"/>
  <c r="C104" i="5"/>
  <c r="D104" i="5"/>
  <c r="F104" i="5"/>
  <c r="D73" i="6"/>
  <c r="C105" i="5"/>
  <c r="D105" i="5"/>
  <c r="F105" i="5"/>
  <c r="C73" i="6"/>
  <c r="D74" i="6"/>
  <c r="G34" i="4"/>
  <c r="G36" i="4"/>
  <c r="G38" i="4"/>
  <c r="C106" i="5"/>
  <c r="D106" i="5"/>
  <c r="F106" i="5"/>
  <c r="G39" i="4"/>
  <c r="G58" i="4"/>
  <c r="G40" i="4"/>
  <c r="G64" i="4"/>
  <c r="C74" i="6"/>
  <c r="F73" i="6"/>
  <c r="C107" i="5"/>
  <c r="D107" i="5"/>
  <c r="F107" i="5"/>
  <c r="B77" i="6"/>
  <c r="G59" i="4"/>
  <c r="G66" i="4"/>
  <c r="G67" i="4"/>
  <c r="C108" i="5"/>
  <c r="D108" i="5"/>
  <c r="F108" i="5"/>
  <c r="D77" i="6"/>
  <c r="C109" i="5"/>
  <c r="D109" i="5"/>
  <c r="F109" i="5"/>
  <c r="C77" i="6"/>
  <c r="C110" i="5"/>
  <c r="D110" i="5"/>
  <c r="F110" i="5"/>
  <c r="F77" i="6"/>
  <c r="B78" i="6"/>
  <c r="C111" i="5"/>
  <c r="D111" i="5"/>
  <c r="F111" i="5"/>
  <c r="D78" i="6"/>
  <c r="C112" i="5"/>
  <c r="D112" i="5"/>
  <c r="F112" i="5"/>
  <c r="C78" i="6"/>
  <c r="C113" i="5"/>
  <c r="D113" i="5"/>
  <c r="F113" i="5"/>
  <c r="F78" i="6"/>
  <c r="B79" i="6"/>
  <c r="C114" i="5"/>
  <c r="D114" i="5"/>
  <c r="F114" i="5"/>
  <c r="D79" i="6"/>
  <c r="C115" i="5"/>
  <c r="D115" i="5"/>
  <c r="F115" i="5"/>
  <c r="C79" i="6"/>
  <c r="C116" i="5"/>
  <c r="D116" i="5"/>
  <c r="F116" i="5"/>
  <c r="F79" i="6"/>
  <c r="B80" i="6"/>
  <c r="C117" i="5"/>
  <c r="D117" i="5"/>
  <c r="F117" i="5"/>
  <c r="D80" i="6"/>
  <c r="C118" i="5"/>
  <c r="D118" i="5"/>
  <c r="F118" i="5"/>
  <c r="C80" i="6"/>
  <c r="C119" i="5"/>
  <c r="D119" i="5"/>
  <c r="F119" i="5"/>
  <c r="F80" i="6"/>
  <c r="B81" i="6"/>
  <c r="C120" i="5"/>
  <c r="D120" i="5"/>
  <c r="F120" i="5"/>
  <c r="D81" i="6"/>
  <c r="C121" i="5"/>
  <c r="D121" i="5"/>
  <c r="F121" i="5"/>
  <c r="C81" i="6"/>
  <c r="C122" i="5"/>
  <c r="D122" i="5"/>
  <c r="F122" i="5"/>
  <c r="F81" i="6"/>
  <c r="B82" i="6"/>
  <c r="C123" i="5"/>
  <c r="D123" i="5"/>
  <c r="F123" i="5"/>
  <c r="D82" i="6"/>
  <c r="C82" i="6"/>
  <c r="F82" i="6"/>
  <c r="B83" i="6"/>
  <c r="C124" i="5"/>
  <c r="D124" i="5"/>
  <c r="F124" i="5"/>
  <c r="D83" i="6"/>
  <c r="C83" i="6"/>
  <c r="F83" i="6"/>
  <c r="B84" i="6"/>
  <c r="D84" i="6"/>
  <c r="C84" i="6"/>
  <c r="F84" i="6"/>
  <c r="B85" i="6"/>
  <c r="C125" i="5"/>
  <c r="D125" i="5"/>
  <c r="F125" i="5"/>
  <c r="C126" i="5"/>
  <c r="D126" i="5"/>
  <c r="F126" i="5"/>
  <c r="D85" i="6"/>
  <c r="C85" i="6"/>
  <c r="F85" i="6"/>
  <c r="B86" i="6"/>
  <c r="D86" i="6"/>
  <c r="C86" i="6"/>
  <c r="F86" i="6"/>
  <c r="B87" i="6"/>
  <c r="C127" i="5"/>
  <c r="D127" i="5"/>
  <c r="F127" i="5"/>
  <c r="C128" i="5"/>
  <c r="D128" i="5"/>
  <c r="F128" i="5"/>
  <c r="D87" i="6"/>
  <c r="C87" i="6"/>
  <c r="F87" i="6"/>
  <c r="B88" i="6"/>
  <c r="D88" i="6"/>
  <c r="C129" i="5"/>
  <c r="D129" i="5"/>
  <c r="F129" i="5"/>
  <c r="C130" i="5"/>
  <c r="D130" i="5"/>
  <c r="F130" i="5"/>
  <c r="C88" i="6"/>
  <c r="D89" i="6"/>
  <c r="H34" i="4"/>
  <c r="H36" i="4"/>
  <c r="H38" i="4"/>
  <c r="C131" i="5"/>
  <c r="D131" i="5"/>
  <c r="F131" i="5"/>
  <c r="C89" i="6"/>
  <c r="F88" i="6"/>
  <c r="H39" i="4"/>
  <c r="H58" i="4"/>
  <c r="C132" i="5"/>
  <c r="D132" i="5"/>
  <c r="F132" i="5"/>
  <c r="B92" i="6"/>
  <c r="H59" i="4"/>
  <c r="H40" i="4"/>
  <c r="H64" i="4"/>
  <c r="H66" i="4"/>
  <c r="H67" i="4"/>
  <c r="C133" i="5"/>
  <c r="D133" i="5"/>
  <c r="F133" i="5"/>
  <c r="D92" i="6"/>
  <c r="C134" i="5"/>
  <c r="D134" i="5"/>
  <c r="F134" i="5"/>
  <c r="C92" i="6"/>
  <c r="C135" i="5"/>
  <c r="D135" i="5"/>
  <c r="F135" i="5"/>
  <c r="F92" i="6"/>
  <c r="B93" i="6"/>
  <c r="C136" i="5"/>
  <c r="D136" i="5"/>
  <c r="F136" i="5"/>
  <c r="D93" i="6"/>
  <c r="C137" i="5"/>
  <c r="D137" i="5"/>
  <c r="F137" i="5"/>
  <c r="C93" i="6"/>
  <c r="C138" i="5"/>
  <c r="D138" i="5"/>
  <c r="F138" i="5"/>
  <c r="F93" i="6"/>
  <c r="B94" i="6"/>
  <c r="C139" i="5"/>
  <c r="D139" i="5"/>
  <c r="F139" i="5"/>
  <c r="D94" i="6"/>
  <c r="C140" i="5"/>
  <c r="D140" i="5"/>
  <c r="F140" i="5"/>
  <c r="C94" i="6"/>
  <c r="C141" i="5"/>
  <c r="D141" i="5"/>
  <c r="F141" i="5"/>
  <c r="F94" i="6"/>
  <c r="B95" i="6"/>
  <c r="C142" i="5"/>
  <c r="D142" i="5"/>
  <c r="F142" i="5"/>
  <c r="D95" i="6"/>
  <c r="C143" i="5"/>
  <c r="D143" i="5"/>
  <c r="F143" i="5"/>
  <c r="C95" i="6"/>
  <c r="C144" i="5"/>
  <c r="D144" i="5"/>
  <c r="F144" i="5"/>
  <c r="F95" i="6"/>
  <c r="B96" i="6"/>
  <c r="C145" i="5"/>
  <c r="D145" i="5"/>
  <c r="F145" i="5"/>
  <c r="D96" i="6"/>
  <c r="C146" i="5"/>
  <c r="D146" i="5"/>
  <c r="F146" i="5"/>
  <c r="C96" i="6"/>
  <c r="C147" i="5"/>
  <c r="D147" i="5"/>
  <c r="F147" i="5"/>
  <c r="F96" i="6"/>
  <c r="B97" i="6"/>
  <c r="C148" i="5"/>
  <c r="D148" i="5"/>
  <c r="F148" i="5"/>
  <c r="D97" i="6"/>
  <c r="C97" i="6"/>
  <c r="F97" i="6"/>
  <c r="B98" i="6"/>
  <c r="D98" i="6"/>
  <c r="C98" i="6"/>
  <c r="F98" i="6"/>
  <c r="B99" i="6"/>
  <c r="C149" i="5"/>
  <c r="D149" i="5"/>
  <c r="F149" i="5"/>
  <c r="C150" i="5"/>
  <c r="D150" i="5"/>
  <c r="F150" i="5"/>
  <c r="D99" i="6"/>
  <c r="C99" i="6"/>
  <c r="F99" i="6"/>
  <c r="B100" i="6"/>
  <c r="D100" i="6"/>
  <c r="C100" i="6"/>
  <c r="F100" i="6"/>
  <c r="B101" i="6"/>
  <c r="C151" i="5"/>
  <c r="D151" i="5"/>
  <c r="F151" i="5"/>
  <c r="C152" i="5"/>
  <c r="D152" i="5"/>
  <c r="F152" i="5"/>
  <c r="D101" i="6"/>
  <c r="C101" i="6"/>
  <c r="F101" i="6"/>
  <c r="B102" i="6"/>
  <c r="D102" i="6"/>
  <c r="C102" i="6"/>
  <c r="F102" i="6"/>
  <c r="B103" i="6"/>
  <c r="C153" i="5"/>
  <c r="D153" i="5"/>
  <c r="F153" i="5"/>
  <c r="C154" i="5"/>
  <c r="D154" i="5"/>
  <c r="F154" i="5"/>
  <c r="D103" i="6"/>
  <c r="C155" i="5"/>
  <c r="D155" i="5"/>
  <c r="F155" i="5"/>
  <c r="C103" i="6"/>
  <c r="D104" i="6"/>
  <c r="I34" i="4"/>
  <c r="I36" i="4"/>
  <c r="I38" i="4"/>
  <c r="C156" i="5"/>
  <c r="D156" i="5"/>
  <c r="F156" i="5"/>
  <c r="I39" i="4"/>
  <c r="I58" i="4"/>
  <c r="C104" i="6"/>
  <c r="F103" i="6"/>
  <c r="C157" i="5"/>
  <c r="D157" i="5"/>
  <c r="F157" i="5"/>
  <c r="I40" i="4"/>
  <c r="I64" i="4"/>
  <c r="I66" i="4"/>
  <c r="I67" i="4"/>
  <c r="I59" i="4"/>
  <c r="B107" i="6"/>
  <c r="C158" i="5"/>
  <c r="D158" i="5"/>
  <c r="F158" i="5"/>
  <c r="D107" i="6"/>
  <c r="C159" i="5"/>
  <c r="D159" i="5"/>
  <c r="F159" i="5"/>
  <c r="C107" i="6"/>
  <c r="C160" i="5"/>
  <c r="D160" i="5"/>
  <c r="F160" i="5"/>
  <c r="F107" i="6"/>
  <c r="B108" i="6"/>
  <c r="C161" i="5"/>
  <c r="D161" i="5"/>
  <c r="F161" i="5"/>
  <c r="D108" i="6"/>
  <c r="C162" i="5"/>
  <c r="D162" i="5"/>
  <c r="F162" i="5"/>
  <c r="C108" i="6"/>
  <c r="C163" i="5"/>
  <c r="D163" i="5"/>
  <c r="F163" i="5"/>
  <c r="F108" i="6"/>
  <c r="B109" i="6"/>
  <c r="C164" i="5"/>
  <c r="D164" i="5"/>
  <c r="F164" i="5"/>
  <c r="D109" i="6"/>
  <c r="C165" i="5"/>
  <c r="D165" i="5"/>
  <c r="F165" i="5"/>
  <c r="C109" i="6"/>
  <c r="C166" i="5"/>
  <c r="D166" i="5"/>
  <c r="F166" i="5"/>
  <c r="F109" i="6"/>
  <c r="B110" i="6"/>
  <c r="C167" i="5"/>
  <c r="D167" i="5"/>
  <c r="F167" i="5"/>
  <c r="D110" i="6"/>
  <c r="C168" i="5"/>
  <c r="D168" i="5"/>
  <c r="F168" i="5"/>
  <c r="C110" i="6"/>
  <c r="C169" i="5"/>
  <c r="D169" i="5"/>
  <c r="F169" i="5"/>
  <c r="F110" i="6"/>
  <c r="B111" i="6"/>
  <c r="C170" i="5"/>
  <c r="D170" i="5"/>
  <c r="F170" i="5"/>
  <c r="D111" i="6"/>
  <c r="C171" i="5"/>
  <c r="D171" i="5"/>
  <c r="F171" i="5"/>
  <c r="C111" i="6"/>
  <c r="C172" i="5"/>
  <c r="D172" i="5"/>
  <c r="F172" i="5"/>
  <c r="F111" i="6"/>
  <c r="B112" i="6"/>
  <c r="D112" i="6"/>
  <c r="C112" i="6"/>
  <c r="F112" i="6"/>
  <c r="B113" i="6"/>
  <c r="C173" i="5"/>
  <c r="D173" i="5"/>
  <c r="F173" i="5"/>
  <c r="D113" i="6"/>
  <c r="C113" i="6"/>
  <c r="F113" i="6"/>
  <c r="B114" i="6"/>
  <c r="C174" i="5"/>
  <c r="D174" i="5"/>
  <c r="F174" i="5"/>
  <c r="C175" i="5"/>
  <c r="D175" i="5"/>
  <c r="F175" i="5"/>
  <c r="D114" i="6"/>
  <c r="C114" i="6"/>
  <c r="F114" i="6"/>
  <c r="B115" i="6"/>
  <c r="D115" i="6"/>
  <c r="C115" i="6"/>
  <c r="F115" i="6"/>
  <c r="B116" i="6"/>
  <c r="C176" i="5"/>
  <c r="D176" i="5"/>
  <c r="F176" i="5"/>
  <c r="C177" i="5"/>
  <c r="D177" i="5"/>
  <c r="F177" i="5"/>
  <c r="D116" i="6"/>
  <c r="C116" i="6"/>
  <c r="F116" i="6"/>
  <c r="B117" i="6"/>
  <c r="D117" i="6"/>
  <c r="C117" i="6"/>
  <c r="F117" i="6"/>
  <c r="B118" i="6"/>
  <c r="C178" i="5"/>
  <c r="D178" i="5"/>
  <c r="F178" i="5"/>
  <c r="C179" i="5"/>
  <c r="D179" i="5"/>
  <c r="F179" i="5"/>
  <c r="D118" i="6"/>
  <c r="C180" i="5"/>
  <c r="D180" i="5"/>
  <c r="F180" i="5"/>
  <c r="C118" i="6"/>
  <c r="D119" i="6"/>
  <c r="J34" i="4"/>
  <c r="J36" i="4"/>
  <c r="J38" i="4"/>
  <c r="C181" i="5"/>
  <c r="D181" i="5"/>
  <c r="F181" i="5"/>
  <c r="C119" i="6"/>
  <c r="F118" i="6"/>
  <c r="J39" i="4"/>
  <c r="J58" i="4"/>
  <c r="J40" i="4"/>
  <c r="J64" i="4"/>
  <c r="B122" i="6"/>
  <c r="J59" i="4"/>
  <c r="C182" i="5"/>
  <c r="D182" i="5"/>
  <c r="F182" i="5"/>
  <c r="J66" i="4"/>
  <c r="J67" i="4"/>
  <c r="C183" i="5"/>
  <c r="D183" i="5"/>
  <c r="F183" i="5"/>
  <c r="D122" i="6"/>
  <c r="C184" i="5"/>
  <c r="D184" i="5"/>
  <c r="F184" i="5"/>
  <c r="C122" i="6"/>
  <c r="C185" i="5"/>
  <c r="D185" i="5"/>
  <c r="F185" i="5"/>
  <c r="F122" i="6"/>
  <c r="B123" i="6"/>
  <c r="C186" i="5"/>
  <c r="D186" i="5"/>
  <c r="F186" i="5"/>
  <c r="D123" i="6"/>
  <c r="C187" i="5"/>
  <c r="D187" i="5"/>
  <c r="F187" i="5"/>
  <c r="C123" i="6"/>
  <c r="C188" i="5"/>
  <c r="D188" i="5"/>
  <c r="F188" i="5"/>
  <c r="F123" i="6"/>
  <c r="B124" i="6"/>
  <c r="C189" i="5"/>
  <c r="D189" i="5"/>
  <c r="F189" i="5"/>
  <c r="D124" i="6"/>
  <c r="C190" i="5"/>
  <c r="D190" i="5"/>
  <c r="F190" i="5"/>
  <c r="C124" i="6"/>
  <c r="C191" i="5"/>
  <c r="D191" i="5"/>
  <c r="F191" i="5"/>
  <c r="F124" i="6"/>
  <c r="B125" i="6"/>
  <c r="D125" i="6"/>
  <c r="C192" i="5"/>
  <c r="D192" i="5"/>
  <c r="F192" i="5"/>
  <c r="C193" i="5"/>
  <c r="D193" i="5"/>
  <c r="F193" i="5"/>
  <c r="C125" i="6"/>
  <c r="C194" i="5"/>
  <c r="D194" i="5"/>
  <c r="F194" i="5"/>
  <c r="F125" i="6"/>
  <c r="B126" i="6"/>
  <c r="D126" i="6"/>
  <c r="C195" i="5"/>
  <c r="D195" i="5"/>
  <c r="F195" i="5"/>
  <c r="C196" i="5"/>
  <c r="D196" i="5"/>
  <c r="F196" i="5"/>
  <c r="C126" i="6"/>
  <c r="C197" i="5"/>
  <c r="D197" i="5"/>
  <c r="F197" i="5"/>
  <c r="F126" i="6"/>
  <c r="B127" i="6"/>
  <c r="D127" i="6"/>
  <c r="C127" i="6"/>
  <c r="F127" i="6"/>
  <c r="B128" i="6"/>
  <c r="C198" i="5"/>
  <c r="D198" i="5"/>
  <c r="F198" i="5"/>
  <c r="D128" i="6"/>
  <c r="C128" i="6"/>
  <c r="F128" i="6"/>
  <c r="B129" i="6"/>
  <c r="C199" i="5"/>
  <c r="D199" i="5"/>
  <c r="F199" i="5"/>
  <c r="C200" i="5"/>
  <c r="D200" i="5"/>
  <c r="F200" i="5"/>
  <c r="D129" i="6"/>
  <c r="C129" i="6"/>
  <c r="F129" i="6"/>
  <c r="B130" i="6"/>
  <c r="C201" i="5"/>
  <c r="D201" i="5"/>
  <c r="F201" i="5"/>
  <c r="D130" i="6"/>
  <c r="C130" i="6"/>
  <c r="F130" i="6"/>
  <c r="B131" i="6"/>
  <c r="D131" i="6"/>
  <c r="C131" i="6"/>
  <c r="F131" i="6"/>
  <c r="B132" i="6"/>
  <c r="C202" i="5"/>
  <c r="D202" i="5"/>
  <c r="F202" i="5"/>
  <c r="C203" i="5"/>
  <c r="D203" i="5"/>
  <c r="F203" i="5"/>
  <c r="D132" i="6"/>
  <c r="C132" i="6"/>
  <c r="F132" i="6"/>
  <c r="B133" i="6"/>
  <c r="D133" i="6"/>
  <c r="C204" i="5"/>
  <c r="D204" i="5"/>
  <c r="F204" i="5"/>
  <c r="C205" i="5"/>
  <c r="D205" i="5"/>
  <c r="F205" i="5"/>
  <c r="C133" i="6"/>
  <c r="D134" i="6"/>
  <c r="K34" i="4"/>
  <c r="K36" i="4"/>
  <c r="K38" i="4"/>
  <c r="C206" i="5"/>
  <c r="D206" i="5"/>
  <c r="F206" i="5"/>
  <c r="K39" i="4"/>
  <c r="K58" i="4"/>
  <c r="K40" i="4"/>
  <c r="K64" i="4"/>
  <c r="C134" i="6"/>
  <c r="F133" i="6"/>
  <c r="K59" i="4"/>
  <c r="B137" i="6"/>
  <c r="C207" i="5"/>
  <c r="D207" i="5"/>
  <c r="F207" i="5"/>
  <c r="K66" i="4"/>
  <c r="K67" i="4"/>
  <c r="C208" i="5"/>
  <c r="D208" i="5"/>
  <c r="F208" i="5"/>
  <c r="D137" i="6"/>
  <c r="C209" i="5"/>
  <c r="D209" i="5"/>
  <c r="F209" i="5"/>
  <c r="C137" i="6"/>
  <c r="C210" i="5"/>
  <c r="D210" i="5"/>
  <c r="F210" i="5"/>
  <c r="F137" i="6"/>
  <c r="B138" i="6"/>
  <c r="C211" i="5"/>
  <c r="D211" i="5"/>
  <c r="F211" i="5"/>
  <c r="D138" i="6"/>
  <c r="C212" i="5"/>
  <c r="D212" i="5"/>
  <c r="F212" i="5"/>
  <c r="C138" i="6"/>
  <c r="C213" i="5"/>
  <c r="D213" i="5"/>
  <c r="F213" i="5"/>
  <c r="F138" i="6"/>
  <c r="B139" i="6"/>
  <c r="C214" i="5"/>
  <c r="D214" i="5"/>
  <c r="F214" i="5"/>
  <c r="D139" i="6"/>
  <c r="C215" i="5"/>
  <c r="D215" i="5"/>
  <c r="F215" i="5"/>
  <c r="C139" i="6"/>
  <c r="C216" i="5"/>
  <c r="D216" i="5"/>
  <c r="F216" i="5"/>
  <c r="F139" i="6"/>
  <c r="B140" i="6"/>
  <c r="C217" i="5"/>
  <c r="D217" i="5"/>
  <c r="F217" i="5"/>
  <c r="D140" i="6"/>
  <c r="C218" i="5"/>
  <c r="D218" i="5"/>
  <c r="F218" i="5"/>
  <c r="C140" i="6"/>
  <c r="C219" i="5"/>
  <c r="D219" i="5"/>
  <c r="F219" i="5"/>
  <c r="F140" i="6"/>
  <c r="B141" i="6"/>
  <c r="C220" i="5"/>
  <c r="D220" i="5"/>
  <c r="F220" i="5"/>
  <c r="D141" i="6"/>
  <c r="C221" i="5"/>
  <c r="D221" i="5"/>
  <c r="F221" i="5"/>
  <c r="C141" i="6"/>
  <c r="C222" i="5"/>
  <c r="D222" i="5"/>
  <c r="F222" i="5"/>
  <c r="F141" i="6"/>
  <c r="B142" i="6"/>
  <c r="C223" i="5"/>
  <c r="D223" i="5"/>
  <c r="F223" i="5"/>
  <c r="D142" i="6"/>
  <c r="C142" i="6"/>
  <c r="F142" i="6"/>
  <c r="B143" i="6"/>
  <c r="D143" i="6"/>
  <c r="C143" i="6"/>
  <c r="F143" i="6"/>
  <c r="B144" i="6"/>
  <c r="C224" i="5"/>
  <c r="D224" i="5"/>
  <c r="F224" i="5"/>
  <c r="C225" i="5"/>
  <c r="D225" i="5"/>
  <c r="F225" i="5"/>
  <c r="D144" i="6"/>
  <c r="C144" i="6"/>
  <c r="F144" i="6"/>
  <c r="B145" i="6"/>
  <c r="D145" i="6"/>
  <c r="C145" i="6"/>
  <c r="F145" i="6"/>
  <c r="B146" i="6"/>
  <c r="C226" i="5"/>
  <c r="D226" i="5"/>
  <c r="F226" i="5"/>
  <c r="C227" i="5"/>
  <c r="D227" i="5"/>
  <c r="F227" i="5"/>
  <c r="D146" i="6"/>
  <c r="C146" i="6"/>
  <c r="F146" i="6"/>
  <c r="B147" i="6"/>
  <c r="D147" i="6"/>
  <c r="C147" i="6"/>
  <c r="F147" i="6"/>
  <c r="B148" i="6"/>
  <c r="C228" i="5"/>
  <c r="D228" i="5"/>
  <c r="F228" i="5"/>
  <c r="C229" i="5"/>
  <c r="D229" i="5"/>
  <c r="F229" i="5"/>
  <c r="D148" i="6"/>
  <c r="C230" i="5"/>
  <c r="D230" i="5"/>
  <c r="F230" i="5"/>
  <c r="C148" i="6"/>
  <c r="D149" i="6"/>
  <c r="L34" i="4"/>
  <c r="L36" i="4"/>
  <c r="L38" i="4"/>
  <c r="C231" i="5"/>
  <c r="D231" i="5"/>
  <c r="F231" i="5"/>
  <c r="C149" i="6"/>
  <c r="F148" i="6"/>
  <c r="L59" i="4"/>
  <c r="E79" i="4"/>
  <c r="L39" i="4"/>
  <c r="L58" i="4"/>
  <c r="C232" i="5"/>
  <c r="D232" i="5"/>
  <c r="F232" i="5"/>
  <c r="F79" i="4"/>
  <c r="D81" i="4"/>
  <c r="F80" i="4"/>
  <c r="D86" i="4"/>
  <c r="L40" i="4"/>
  <c r="L64" i="4"/>
  <c r="D91" i="4"/>
  <c r="C233" i="5"/>
  <c r="D233" i="5"/>
  <c r="F233" i="5"/>
  <c r="L66" i="4"/>
  <c r="L67" i="4"/>
  <c r="E90" i="4"/>
  <c r="D93" i="4"/>
  <c r="E86" i="4"/>
  <c r="D72" i="4"/>
  <c r="D76" i="4"/>
  <c r="D95" i="4"/>
  <c r="C129" i="4"/>
  <c r="C234" i="5"/>
  <c r="D234" i="5"/>
  <c r="F234" i="5"/>
  <c r="C235" i="5"/>
  <c r="D235" i="5"/>
  <c r="F235" i="5"/>
  <c r="G127" i="4"/>
  <c r="I127" i="4"/>
  <c r="C127" i="4"/>
  <c r="F127" i="4"/>
  <c r="M127" i="4"/>
  <c r="H127" i="4"/>
  <c r="K127" i="4"/>
  <c r="E127" i="4"/>
  <c r="L127" i="4"/>
  <c r="J127" i="4"/>
  <c r="D127" i="4"/>
  <c r="C131" i="4"/>
  <c r="C236" i="5"/>
  <c r="D236" i="5"/>
  <c r="F236" i="5"/>
  <c r="C128" i="4"/>
  <c r="C237" i="5"/>
  <c r="D237" i="5"/>
  <c r="F237" i="5"/>
  <c r="C238" i="5"/>
  <c r="D238" i="5"/>
  <c r="F238" i="5"/>
  <c r="C239" i="5"/>
  <c r="D239" i="5"/>
  <c r="F239" i="5"/>
  <c r="C240" i="5"/>
  <c r="D240" i="5"/>
  <c r="F240" i="5"/>
  <c r="C241" i="5"/>
  <c r="D241" i="5"/>
  <c r="F241" i="5"/>
  <c r="C242" i="5"/>
  <c r="D242" i="5"/>
  <c r="F242" i="5"/>
  <c r="C243" i="5"/>
  <c r="D243" i="5"/>
  <c r="F243" i="5"/>
  <c r="C244" i="5"/>
  <c r="D244" i="5"/>
  <c r="F244" i="5"/>
  <c r="C245" i="5"/>
  <c r="D245" i="5"/>
  <c r="F245" i="5"/>
  <c r="C246" i="5"/>
  <c r="D246" i="5"/>
  <c r="F246" i="5"/>
  <c r="C247" i="5"/>
  <c r="D247" i="5"/>
  <c r="F247" i="5"/>
  <c r="C248" i="5"/>
  <c r="D248" i="5"/>
  <c r="F248" i="5"/>
  <c r="C249" i="5"/>
  <c r="D249" i="5"/>
  <c r="F249" i="5"/>
  <c r="C250" i="5"/>
  <c r="D250" i="5"/>
  <c r="F250" i="5"/>
  <c r="C251" i="5"/>
  <c r="D251" i="5"/>
  <c r="F251" i="5"/>
  <c r="C252" i="5"/>
  <c r="D252" i="5"/>
  <c r="F252" i="5"/>
  <c r="C253" i="5"/>
  <c r="D253" i="5"/>
  <c r="F253" i="5"/>
  <c r="C254" i="5"/>
  <c r="D254" i="5"/>
  <c r="F254" i="5"/>
  <c r="C255" i="5"/>
  <c r="D255" i="5"/>
  <c r="F255" i="5"/>
  <c r="C256" i="5"/>
  <c r="D256" i="5"/>
  <c r="F256" i="5"/>
  <c r="C257" i="5"/>
  <c r="D257" i="5"/>
  <c r="F257" i="5"/>
  <c r="C258" i="5"/>
  <c r="D258" i="5"/>
  <c r="F258" i="5"/>
  <c r="C259" i="5"/>
  <c r="D259" i="5"/>
  <c r="F259" i="5"/>
  <c r="C260" i="5"/>
  <c r="D260" i="5"/>
  <c r="F260" i="5"/>
  <c r="C261" i="5"/>
  <c r="D261" i="5"/>
  <c r="F261" i="5"/>
  <c r="C262" i="5"/>
  <c r="D262" i="5"/>
  <c r="F262" i="5"/>
  <c r="C263" i="5"/>
  <c r="D263" i="5"/>
  <c r="F263" i="5"/>
  <c r="C264" i="5"/>
  <c r="D264" i="5"/>
  <c r="F264" i="5"/>
  <c r="C265" i="5"/>
  <c r="D265" i="5"/>
  <c r="F265" i="5"/>
  <c r="C266" i="5"/>
  <c r="D266" i="5"/>
  <c r="F266" i="5"/>
  <c r="C267" i="5"/>
  <c r="D267" i="5"/>
  <c r="F267" i="5"/>
  <c r="C268" i="5"/>
  <c r="D268" i="5"/>
  <c r="F268" i="5"/>
  <c r="C269" i="5"/>
  <c r="D269" i="5"/>
  <c r="F269" i="5"/>
  <c r="C270" i="5"/>
  <c r="D270" i="5"/>
  <c r="F270" i="5"/>
  <c r="C271" i="5"/>
  <c r="D271" i="5"/>
  <c r="F271" i="5"/>
  <c r="C272" i="5"/>
  <c r="D272" i="5"/>
  <c r="F272" i="5"/>
  <c r="C273" i="5"/>
  <c r="D273" i="5"/>
  <c r="F273" i="5"/>
  <c r="C274" i="5"/>
  <c r="D274" i="5"/>
  <c r="F274" i="5"/>
  <c r="C275" i="5"/>
  <c r="D275" i="5"/>
  <c r="F275" i="5"/>
  <c r="C276" i="5"/>
  <c r="D276" i="5"/>
  <c r="F276" i="5"/>
  <c r="C277" i="5"/>
  <c r="D277" i="5"/>
  <c r="F277" i="5"/>
  <c r="C278" i="5"/>
  <c r="D278" i="5"/>
  <c r="F278" i="5"/>
  <c r="C279" i="5"/>
  <c r="D279" i="5"/>
  <c r="F279" i="5"/>
  <c r="C280" i="5"/>
  <c r="D280" i="5"/>
  <c r="F280" i="5"/>
  <c r="C281" i="5"/>
  <c r="D281" i="5"/>
  <c r="F281" i="5"/>
  <c r="C282" i="5"/>
  <c r="D282" i="5"/>
  <c r="F282" i="5"/>
  <c r="C283" i="5"/>
  <c r="D283" i="5"/>
  <c r="F283" i="5"/>
  <c r="C284" i="5"/>
  <c r="D284" i="5"/>
  <c r="F284" i="5"/>
  <c r="C285" i="5"/>
  <c r="D285" i="5"/>
  <c r="F285" i="5"/>
  <c r="C286" i="5"/>
  <c r="D286" i="5"/>
  <c r="F286" i="5"/>
  <c r="C287" i="5"/>
  <c r="D287" i="5"/>
  <c r="F287" i="5"/>
  <c r="C288" i="5"/>
  <c r="D288" i="5"/>
  <c r="F288" i="5"/>
  <c r="C289" i="5"/>
  <c r="D289" i="5"/>
  <c r="F289" i="5"/>
  <c r="C290" i="5"/>
  <c r="D290" i="5"/>
  <c r="F290" i="5"/>
  <c r="C291" i="5"/>
  <c r="D291" i="5"/>
  <c r="F291" i="5"/>
  <c r="C292" i="5"/>
  <c r="D292" i="5"/>
  <c r="F292" i="5"/>
  <c r="C293" i="5"/>
  <c r="D293" i="5"/>
  <c r="F293" i="5"/>
  <c r="C294" i="5"/>
  <c r="D294" i="5"/>
  <c r="F294" i="5"/>
  <c r="C295" i="5"/>
  <c r="D295" i="5"/>
  <c r="F295" i="5"/>
  <c r="C296" i="5"/>
  <c r="D296" i="5"/>
  <c r="F296" i="5"/>
  <c r="C297" i="5"/>
  <c r="D297" i="5"/>
  <c r="F297" i="5"/>
  <c r="C298" i="5"/>
  <c r="D298" i="5"/>
  <c r="F298" i="5"/>
  <c r="C299" i="5"/>
  <c r="D299" i="5"/>
  <c r="F299" i="5"/>
  <c r="C300" i="5"/>
  <c r="D300" i="5"/>
  <c r="F300" i="5"/>
  <c r="C301" i="5"/>
  <c r="D301" i="5"/>
  <c r="F301" i="5"/>
  <c r="C302" i="5"/>
  <c r="D302" i="5"/>
  <c r="F302" i="5"/>
  <c r="C303" i="5"/>
  <c r="D303" i="5"/>
  <c r="F303" i="5"/>
  <c r="C304" i="5"/>
  <c r="D304" i="5"/>
  <c r="F304" i="5"/>
  <c r="C305" i="5"/>
  <c r="D305" i="5"/>
  <c r="F305" i="5"/>
  <c r="C306" i="5"/>
  <c r="D306" i="5"/>
  <c r="F306" i="5"/>
  <c r="C307" i="5"/>
  <c r="D307" i="5"/>
  <c r="F307" i="5"/>
  <c r="C308" i="5"/>
  <c r="D308" i="5"/>
  <c r="F308" i="5"/>
  <c r="C309" i="5"/>
  <c r="D309" i="5"/>
  <c r="F309" i="5"/>
  <c r="C310" i="5"/>
  <c r="D310" i="5"/>
  <c r="F310" i="5"/>
  <c r="C311" i="5"/>
  <c r="D311" i="5"/>
  <c r="F311" i="5"/>
  <c r="C312" i="5"/>
  <c r="D312" i="5"/>
  <c r="F312" i="5"/>
  <c r="C313" i="5"/>
  <c r="D313" i="5"/>
  <c r="F313" i="5"/>
  <c r="C314" i="5"/>
  <c r="D314" i="5"/>
  <c r="F314" i="5"/>
  <c r="C315" i="5"/>
  <c r="D315" i="5"/>
  <c r="F315" i="5"/>
  <c r="C316" i="5"/>
  <c r="D316" i="5"/>
  <c r="F316" i="5"/>
  <c r="C317" i="5"/>
  <c r="D317" i="5"/>
  <c r="F317" i="5"/>
  <c r="C318" i="5"/>
  <c r="D318" i="5"/>
  <c r="F318" i="5"/>
  <c r="C319" i="5"/>
  <c r="D319" i="5"/>
  <c r="F319" i="5"/>
  <c r="C320" i="5"/>
  <c r="D320" i="5"/>
  <c r="F320" i="5"/>
  <c r="C321" i="5"/>
  <c r="D321" i="5"/>
  <c r="F321" i="5"/>
  <c r="C322" i="5"/>
  <c r="D322" i="5"/>
  <c r="F322" i="5"/>
  <c r="C323" i="5"/>
  <c r="D323" i="5"/>
  <c r="F323" i="5"/>
  <c r="C324" i="5"/>
  <c r="D324" i="5"/>
  <c r="F324" i="5"/>
  <c r="C325" i="5"/>
  <c r="D325" i="5"/>
  <c r="F325" i="5"/>
  <c r="C326" i="5"/>
  <c r="D326" i="5"/>
  <c r="F326" i="5"/>
  <c r="C327" i="5"/>
  <c r="D327" i="5"/>
  <c r="F327" i="5"/>
  <c r="C328" i="5"/>
  <c r="D328" i="5"/>
  <c r="F328" i="5"/>
  <c r="C329" i="5"/>
  <c r="D329" i="5"/>
  <c r="F329" i="5"/>
  <c r="C330" i="5"/>
  <c r="D330" i="5"/>
  <c r="F330" i="5"/>
  <c r="C331" i="5"/>
  <c r="D331" i="5"/>
  <c r="F331" i="5"/>
  <c r="C332" i="5"/>
  <c r="D332" i="5"/>
  <c r="F332" i="5"/>
  <c r="C333" i="5"/>
  <c r="D333" i="5"/>
  <c r="F333" i="5"/>
  <c r="C334" i="5"/>
  <c r="D334" i="5"/>
  <c r="F334" i="5"/>
  <c r="C335" i="5"/>
  <c r="D335" i="5"/>
  <c r="F335" i="5"/>
  <c r="C336" i="5"/>
  <c r="D336" i="5"/>
  <c r="F336" i="5"/>
  <c r="C337" i="5"/>
  <c r="D337" i="5"/>
  <c r="F337" i="5"/>
  <c r="C338" i="5"/>
  <c r="D338" i="5"/>
  <c r="F338" i="5"/>
  <c r="C339" i="5"/>
  <c r="D339" i="5"/>
  <c r="F339" i="5"/>
  <c r="C340" i="5"/>
  <c r="D340" i="5"/>
  <c r="F340" i="5"/>
  <c r="C341" i="5"/>
  <c r="D341" i="5"/>
  <c r="F341" i="5"/>
  <c r="C342" i="5"/>
  <c r="D342" i="5"/>
  <c r="F342" i="5"/>
  <c r="C343" i="5"/>
  <c r="D343" i="5"/>
  <c r="F343" i="5"/>
  <c r="C344" i="5"/>
  <c r="D344" i="5"/>
  <c r="F344" i="5"/>
  <c r="C345" i="5"/>
  <c r="D345" i="5"/>
  <c r="F345" i="5"/>
  <c r="C346" i="5"/>
  <c r="D346" i="5"/>
  <c r="F346" i="5"/>
  <c r="C347" i="5"/>
  <c r="D347" i="5"/>
  <c r="F347" i="5"/>
  <c r="C348" i="5"/>
  <c r="D348" i="5"/>
  <c r="F348" i="5"/>
  <c r="C349" i="5"/>
  <c r="D349" i="5"/>
  <c r="F349" i="5"/>
  <c r="C350" i="5"/>
  <c r="D350" i="5"/>
  <c r="F350" i="5"/>
  <c r="C351" i="5"/>
  <c r="D351" i="5"/>
  <c r="F351" i="5"/>
  <c r="C352" i="5"/>
  <c r="D352" i="5"/>
  <c r="F352" i="5"/>
  <c r="C353" i="5"/>
  <c r="D353" i="5"/>
  <c r="F353" i="5"/>
  <c r="C354" i="5"/>
  <c r="D354" i="5"/>
  <c r="F354" i="5"/>
  <c r="C355" i="5"/>
  <c r="D355" i="5"/>
  <c r="F355" i="5"/>
  <c r="C356" i="5"/>
  <c r="D356" i="5"/>
  <c r="F356" i="5"/>
  <c r="C357" i="5"/>
  <c r="D357" i="5"/>
  <c r="F357" i="5"/>
  <c r="C358" i="5"/>
  <c r="D358" i="5"/>
  <c r="F358" i="5"/>
  <c r="C359" i="5"/>
  <c r="D359" i="5"/>
  <c r="F359" i="5"/>
  <c r="C360" i="5"/>
  <c r="D360" i="5"/>
  <c r="F360" i="5"/>
  <c r="C361" i="5"/>
  <c r="D361" i="5"/>
  <c r="F361" i="5"/>
  <c r="C362" i="5"/>
  <c r="D362" i="5"/>
  <c r="F362" i="5"/>
  <c r="C363" i="5"/>
  <c r="D363" i="5"/>
  <c r="F363" i="5"/>
  <c r="C364" i="5"/>
  <c r="D364" i="5"/>
  <c r="F364" i="5"/>
  <c r="C365" i="5"/>
  <c r="D365" i="5"/>
  <c r="F365" i="5"/>
</calcChain>
</file>

<file path=xl/sharedStrings.xml><?xml version="1.0" encoding="utf-8"?>
<sst xmlns="http://schemas.openxmlformats.org/spreadsheetml/2006/main" count="532" uniqueCount="142">
  <si>
    <t>Depreciation</t>
  </si>
  <si>
    <t>Assets</t>
  </si>
  <si>
    <t>A/R</t>
  </si>
  <si>
    <t>Inventory</t>
  </si>
  <si>
    <t>A/P</t>
  </si>
  <si>
    <t>Common Stock</t>
  </si>
  <si>
    <t>Assumptions</t>
  </si>
  <si>
    <t>INCOME STATEMENT</t>
  </si>
  <si>
    <t>BALANCE SHEET</t>
  </si>
  <si>
    <t>Operating Expenses</t>
  </si>
  <si>
    <t>Mortgage Interest Expense</t>
  </si>
  <si>
    <t>Extra Bank Loan Interest Expense</t>
  </si>
  <si>
    <t xml:space="preserve">   General Maint &amp; Admin</t>
  </si>
  <si>
    <t xml:space="preserve">   Utilities</t>
  </si>
  <si>
    <t>Taxable Income</t>
  </si>
  <si>
    <t>Income Tax</t>
  </si>
  <si>
    <t>Minimum Cash</t>
  </si>
  <si>
    <t>Extra Cash</t>
  </si>
  <si>
    <t>Buildings</t>
  </si>
  <si>
    <t>Accum. Depreciation of Buildings</t>
  </si>
  <si>
    <t>TOTAL ASSETS</t>
  </si>
  <si>
    <t>Liabilities</t>
  </si>
  <si>
    <t>Mortgage Loan</t>
  </si>
  <si>
    <t>Extra Bank Loan</t>
  </si>
  <si>
    <t>R/E</t>
  </si>
  <si>
    <t>TOTAL LIABS AND EQUITY</t>
  </si>
  <si>
    <t>Equity</t>
  </si>
  <si>
    <t>days to sell:</t>
  </si>
  <si>
    <t>cogs:</t>
  </si>
  <si>
    <t>Days of Inventory</t>
  </si>
  <si>
    <t>Days of Receivables (both revenues)</t>
  </si>
  <si>
    <t>Days of Payables (utility expense)</t>
  </si>
  <si>
    <t>daily revenue/365 * days to pay</t>
  </si>
  <si>
    <t>TOTAL INCOME</t>
  </si>
  <si>
    <t>TOTAL EXPENSES</t>
  </si>
  <si>
    <t>Loan Amount</t>
  </si>
  <si>
    <t>Extra payment</t>
  </si>
  <si>
    <t>Interest Rate</t>
  </si>
  <si>
    <t>Periods</t>
  </si>
  <si>
    <t>Payment</t>
  </si>
  <si>
    <t>interest</t>
  </si>
  <si>
    <t>principle</t>
  </si>
  <si>
    <t>Extra Pmt</t>
  </si>
  <si>
    <t>loan balance</t>
  </si>
  <si>
    <t>mortgage</t>
  </si>
  <si>
    <t>NET INCOME</t>
  </si>
  <si>
    <t>GROSS PROFIT</t>
  </si>
  <si>
    <t>Concession Sales</t>
  </si>
  <si>
    <t>COGS Concession</t>
  </si>
  <si>
    <t>Concession Income</t>
  </si>
  <si>
    <t>Ticket Income</t>
  </si>
  <si>
    <t>Ticket Price</t>
  </si>
  <si>
    <t>Occupancy (Seats * Screens * # of showings * 365 nights)</t>
  </si>
  <si>
    <t>COGS Tickets</t>
  </si>
  <si>
    <t xml:space="preserve">   Employee Salary</t>
  </si>
  <si>
    <t>Employees</t>
  </si>
  <si>
    <t>Wages</t>
  </si>
  <si>
    <t xml:space="preserve">Management </t>
  </si>
  <si>
    <t>Salary</t>
  </si>
  <si>
    <t xml:space="preserve">   Management Salary</t>
  </si>
  <si>
    <t>Regal Movie Theater</t>
  </si>
  <si>
    <t>Beg Balance</t>
  </si>
  <si>
    <t>Principal</t>
  </si>
  <si>
    <t xml:space="preserve">Interest </t>
  </si>
  <si>
    <t>End Balance</t>
  </si>
  <si>
    <t>Rate</t>
  </si>
  <si>
    <t>Term</t>
  </si>
  <si>
    <t>mortage loan</t>
  </si>
  <si>
    <t>TOTALS</t>
  </si>
  <si>
    <t>mort int. exp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</si>
  <si>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</si>
  <si>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</si>
  <si>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</si>
  <si>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</si>
  <si>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</si>
  <si>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</si>
  <si>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</si>
  <si>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</si>
  <si>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</si>
  <si>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</si>
  <si>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</si>
  <si>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</si>
  <si>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WACC</t>
  </si>
  <si>
    <t>CAPM for the return equity holders want</t>
  </si>
  <si>
    <t>T-Bill rate</t>
  </si>
  <si>
    <t>S&amp;P 500 rate</t>
  </si>
  <si>
    <t>Return equity holders want</t>
  </si>
  <si>
    <t>Return debt holders want</t>
  </si>
  <si>
    <t>This is the fixed rate of the mortgage; these mortgage holders really are "investors" because they are the people we would go back to for expansion or a new project</t>
  </si>
  <si>
    <t xml:space="preserve"> </t>
  </si>
  <si>
    <t>Fixed rate of Bank Loan debt</t>
  </si>
  <si>
    <t>The combined rate is the proportion of each in 2015</t>
  </si>
  <si>
    <t>Combined rate of all debt</t>
  </si>
  <si>
    <t>Tax Rate of Company</t>
  </si>
  <si>
    <t>Debt Investors</t>
  </si>
  <si>
    <t>Percent</t>
  </si>
  <si>
    <t>Mortgage on Buildings</t>
  </si>
  <si>
    <t>Bank Loan</t>
  </si>
  <si>
    <t>Equity Investors (Including Retained Earnings)</t>
  </si>
  <si>
    <t>Shareholder Contributions</t>
  </si>
  <si>
    <t>Retained Earnings</t>
  </si>
  <si>
    <t>Total Debt and Equity Investors</t>
  </si>
  <si>
    <t>WACC projected for 2015</t>
  </si>
  <si>
    <t>FCF</t>
  </si>
  <si>
    <t>Cash from Operations</t>
  </si>
  <si>
    <t>Operating Income</t>
  </si>
  <si>
    <t>Less: Depreciation</t>
  </si>
  <si>
    <t>Taxable Operating Income</t>
  </si>
  <si>
    <t>Taxes on OPERATIONS ONLY (=Taxes Payable on Op Only)</t>
  </si>
  <si>
    <t>Net Operating Income</t>
  </si>
  <si>
    <t>Add Back: Depreciation</t>
  </si>
  <si>
    <t>Cash In/Out from Capital Expenditures</t>
  </si>
  <si>
    <t>Bought Buildings</t>
  </si>
  <si>
    <t>Sell Buildings</t>
  </si>
  <si>
    <t>Book Value</t>
  </si>
  <si>
    <t>Tax on Sale of Buildings</t>
  </si>
  <si>
    <t>Sell for %</t>
  </si>
  <si>
    <t>Cash In/Out From Changes in Working Capital</t>
  </si>
  <si>
    <t>Gain on Sale</t>
  </si>
  <si>
    <t>-</t>
  </si>
  <si>
    <t>Accounts Receivable</t>
  </si>
  <si>
    <t>+</t>
  </si>
  <si>
    <t>Accounts Payable</t>
  </si>
  <si>
    <t>Income Tax Payable (OPERATIONS ONLY)</t>
  </si>
  <si>
    <t>Cash In/Out from Liquidating Working Capital</t>
  </si>
  <si>
    <t>TOTAL FREE CASH FLOWS</t>
  </si>
  <si>
    <t>IRR</t>
  </si>
  <si>
    <t>PV OF FCF</t>
  </si>
  <si>
    <t>NPV OF FCF</t>
  </si>
  <si>
    <t>Income Tax Payable</t>
  </si>
  <si>
    <t>Fixed rate of Mortgage debt</t>
  </si>
  <si>
    <t xml:space="preserve">Size of Building </t>
  </si>
  <si>
    <t>Price Per Square Foot</t>
  </si>
  <si>
    <t>Land</t>
  </si>
  <si>
    <t>Refurbishing Buildings</t>
  </si>
  <si>
    <t>Refurbish Buildings</t>
  </si>
  <si>
    <t>Debt in 2021</t>
  </si>
  <si>
    <t>Proportion in 2021</t>
  </si>
  <si>
    <t>Our Business Beta</t>
  </si>
  <si>
    <t>Industry Unlevered Beta</t>
    <phoneticPr fontId="22" type="noConversion"/>
  </si>
  <si>
    <t>One time Goodwill</t>
    <phoneticPr fontId="22" type="noConversion"/>
  </si>
  <si>
    <t>Good senario (remodeling the theater)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</si>
</sst>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$-409]#,##0.00;[Red]\-[$$-409]#,##0.00"/>
    <numFmt numFmtId="166" formatCode="[$$-409]#,##0.00;[Red][$$-409]#,##0.00"/>
    <numFmt numFmtId="167" formatCode="_(\$* #,##0_);_(\$* \(#,##0\);_(\$* \-??_);_(@_)"/>
    <numFmt numFmtId="168" formatCode="_(* #,##0.00_);_(* \(#,##0.00\);_(* \-??_);_(@_)"/>
    <numFmt numFmtId="169" formatCode="_(* #,##0_);_(* \(#,##0\);_(* &quot;-&quot;??_);_(@_)"/>
  </numFmts>
  <fonts count="23"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b/>
      <sz val="12"/>
      <color theme="1"/>
      <name val="Palatino Linotype"/>
      <family val="1"/>
    </font>
    <font>
      <b/>
      <sz val="14"/>
      <color theme="1"/>
      <name val="Palatino Linotype"/>
      <family val="1"/>
    </font>
    <font>
      <sz val="12"/>
      <color theme="0" tint="-0.34998626667073579"/>
      <name val="Palatino Linotype"/>
      <family val="2"/>
    </font>
    <font>
      <b/>
      <sz val="18"/>
      <color theme="1"/>
      <name val="Palatino Linotype"/>
      <family val="1"/>
    </font>
    <font>
      <sz val="12"/>
      <color theme="0" tint="-0.14999847407452621"/>
      <name val="Palatino Linotype"/>
      <family val="2"/>
    </font>
    <font>
      <sz val="12"/>
      <name val="Palatino Linotype"/>
      <family val="2"/>
    </font>
    <font>
      <sz val="12"/>
      <color theme="1"/>
      <name val="Cambria"/>
      <family val="1"/>
    </font>
    <font>
      <sz val="12"/>
      <color theme="0" tint="-4.9989318521683403E-2"/>
      <name val="Palatino Linotype"/>
      <family val="2"/>
    </font>
    <font>
      <b/>
      <sz val="12"/>
      <color theme="0" tint="-0.499984740745262"/>
      <name val="Palatino Linotype"/>
      <family val="1"/>
    </font>
    <font>
      <sz val="12"/>
      <color theme="0" tint="-0.499984740745262"/>
      <name val="Palatino Linotype"/>
      <family val="1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2"/>
      <color theme="1"/>
      <name val="Palatino Linotype"/>
      <family val="1"/>
    </font>
    <font>
      <b/>
      <sz val="12"/>
      <color indexed="8"/>
      <name val="Palatino Linotype"/>
      <family val="1"/>
    </font>
    <font>
      <sz val="12"/>
      <color indexed="8"/>
      <name val="Palatino Linotype"/>
      <family val="1"/>
    </font>
    <font>
      <i/>
      <sz val="12"/>
      <color indexed="8"/>
      <name val="Palatino Linotype"/>
      <family val="1"/>
    </font>
    <font>
      <u/>
      <sz val="12"/>
      <color theme="10"/>
      <name val="Palatino Linotype"/>
      <family val="2"/>
    </font>
    <font>
      <u/>
      <sz val="12"/>
      <color theme="11"/>
      <name val="Palatino Linotype"/>
      <family val="2"/>
    </font>
    <font>
      <sz val="12"/>
      <color theme="0"/>
      <name val="Palatino Linotype"/>
      <family val="1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4" fontId="0" fillId="0" borderId="0" xfId="1" applyFont="1" applyBorder="1"/>
    <xf numFmtId="44" fontId="0" fillId="0" borderId="9" xfId="1" applyFont="1" applyBorder="1"/>
    <xf numFmtId="44" fontId="0" fillId="0" borderId="0" xfId="0" applyNumberFormat="1" applyBorder="1"/>
    <xf numFmtId="10" fontId="0" fillId="0" borderId="0" xfId="2" applyNumberFormat="1" applyFont="1"/>
    <xf numFmtId="9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9" xfId="0" applyFont="1" applyBorder="1"/>
    <xf numFmtId="0" fontId="3" fillId="0" borderId="1" xfId="0" applyFont="1" applyBorder="1"/>
    <xf numFmtId="164" fontId="0" fillId="0" borderId="5" xfId="2" applyNumberFormat="1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/>
    <xf numFmtId="0" fontId="4" fillId="0" borderId="0" xfId="0" applyFont="1"/>
    <xf numFmtId="44" fontId="4" fillId="0" borderId="0" xfId="1" applyFont="1"/>
    <xf numFmtId="0" fontId="0" fillId="0" borderId="0" xfId="1" applyNumberFormat="1" applyFont="1"/>
    <xf numFmtId="0" fontId="6" fillId="0" borderId="0" xfId="0" applyFont="1"/>
    <xf numFmtId="44" fontId="6" fillId="0" borderId="0" xfId="1" applyFont="1"/>
    <xf numFmtId="0" fontId="6" fillId="0" borderId="0" xfId="1" applyNumberFormat="1" applyFont="1"/>
    <xf numFmtId="9" fontId="6" fillId="0" borderId="0" xfId="0" applyNumberFormat="1" applyFont="1"/>
    <xf numFmtId="9" fontId="0" fillId="0" borderId="5" xfId="2" applyFont="1" applyBorder="1"/>
    <xf numFmtId="44" fontId="0" fillId="0" borderId="9" xfId="0" applyNumberFormat="1" applyBorder="1"/>
    <xf numFmtId="44" fontId="0" fillId="0" borderId="10" xfId="0" applyNumberFormat="1" applyBorder="1"/>
    <xf numFmtId="44" fontId="0" fillId="0" borderId="0" xfId="0" applyNumberFormat="1"/>
    <xf numFmtId="164" fontId="0" fillId="0" borderId="0" xfId="2" applyNumberFormat="1" applyFont="1"/>
    <xf numFmtId="8" fontId="0" fillId="0" borderId="0" xfId="0" applyNumberFormat="1"/>
    <xf numFmtId="44" fontId="0" fillId="0" borderId="0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0" fillId="0" borderId="10" xfId="1" applyFont="1" applyBorder="1" applyAlignment="1">
      <alignment horizontal="center"/>
    </xf>
    <xf numFmtId="44" fontId="0" fillId="0" borderId="7" xfId="0" applyNumberFormat="1" applyBorder="1"/>
    <xf numFmtId="9" fontId="0" fillId="0" borderId="0" xfId="2" applyFont="1" applyBorder="1"/>
    <xf numFmtId="0" fontId="0" fillId="0" borderId="11" xfId="0" applyBorder="1"/>
    <xf numFmtId="44" fontId="0" fillId="0" borderId="9" xfId="1" applyFont="1" applyBorder="1" applyAlignment="1">
      <alignment horizontal="center"/>
    </xf>
    <xf numFmtId="0" fontId="7" fillId="0" borderId="4" xfId="0" applyFont="1" applyBorder="1"/>
    <xf numFmtId="44" fontId="0" fillId="0" borderId="12" xfId="0" applyNumberFormat="1" applyBorder="1"/>
    <xf numFmtId="0" fontId="0" fillId="0" borderId="0" xfId="0" applyAlignment="1">
      <alignment wrapText="1"/>
    </xf>
    <xf numFmtId="0" fontId="0" fillId="0" borderId="0" xfId="0" applyAlignment="1"/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/>
    <xf numFmtId="0" fontId="10" fillId="0" borderId="0" xfId="0" applyFont="1" applyAlignment="1"/>
    <xf numFmtId="3" fontId="0" fillId="0" borderId="0" xfId="0" applyNumberFormat="1"/>
    <xf numFmtId="0" fontId="0" fillId="0" borderId="0" xfId="0" applyFont="1" applyAlignment="1">
      <alignment wrapText="1"/>
    </xf>
    <xf numFmtId="165" fontId="12" fillId="2" borderId="0" xfId="0" applyNumberFormat="1" applyFont="1" applyFill="1" applyAlignment="1">
      <alignment wrapText="1"/>
    </xf>
    <xf numFmtId="165" fontId="0" fillId="0" borderId="0" xfId="0" applyNumberFormat="1" applyFont="1" applyAlignment="1">
      <alignment wrapText="1"/>
    </xf>
    <xf numFmtId="165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66" fontId="0" fillId="0" borderId="0" xfId="0" applyNumberFormat="1"/>
    <xf numFmtId="0" fontId="12" fillId="0" borderId="0" xfId="0" applyFont="1"/>
    <xf numFmtId="165" fontId="0" fillId="0" borderId="0" xfId="0" applyNumberFormat="1"/>
    <xf numFmtId="8" fontId="12" fillId="0" borderId="0" xfId="0" applyNumberFormat="1" applyFont="1"/>
    <xf numFmtId="166" fontId="1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9" fontId="0" fillId="0" borderId="0" xfId="2" applyFont="1"/>
    <xf numFmtId="8" fontId="0" fillId="0" borderId="0" xfId="1" applyNumberFormat="1" applyFont="1" applyBorder="1" applyAlignment="1">
      <alignment horizontal="center"/>
    </xf>
    <xf numFmtId="9" fontId="0" fillId="0" borderId="5" xfId="0" applyNumberFormat="1" applyBorder="1"/>
    <xf numFmtId="0" fontId="13" fillId="0" borderId="0" xfId="4"/>
    <xf numFmtId="0" fontId="13" fillId="0" borderId="13" xfId="4" applyBorder="1"/>
    <xf numFmtId="0" fontId="14" fillId="0" borderId="0" xfId="4" applyFont="1"/>
    <xf numFmtId="167" fontId="15" fillId="0" borderId="0" xfId="1" applyNumberFormat="1" applyFont="1"/>
    <xf numFmtId="0" fontId="15" fillId="0" borderId="0" xfId="0" applyFont="1"/>
    <xf numFmtId="0" fontId="16" fillId="0" borderId="0" xfId="4" applyFont="1"/>
    <xf numFmtId="0" fontId="17" fillId="0" borderId="0" xfId="4" applyFont="1"/>
    <xf numFmtId="10" fontId="17" fillId="0" borderId="0" xfId="4" applyNumberFormat="1" applyFont="1"/>
    <xf numFmtId="10" fontId="17" fillId="0" borderId="0" xfId="2" applyNumberFormat="1" applyFont="1" applyFill="1" applyBorder="1" applyAlignment="1" applyProtection="1"/>
    <xf numFmtId="164" fontId="17" fillId="0" borderId="0" xfId="2" applyNumberFormat="1" applyFont="1" applyFill="1" applyBorder="1" applyAlignment="1" applyProtection="1"/>
    <xf numFmtId="167" fontId="17" fillId="0" borderId="0" xfId="4" applyNumberFormat="1" applyFont="1"/>
    <xf numFmtId="168" fontId="17" fillId="0" borderId="0" xfId="4" applyNumberFormat="1" applyFont="1"/>
    <xf numFmtId="167" fontId="17" fillId="0" borderId="0" xfId="1" applyNumberFormat="1" applyFont="1" applyFill="1" applyBorder="1" applyAlignment="1" applyProtection="1"/>
    <xf numFmtId="0" fontId="17" fillId="0" borderId="13" xfId="4" applyFont="1" applyBorder="1"/>
    <xf numFmtId="0" fontId="16" fillId="0" borderId="0" xfId="4" applyFont="1" applyBorder="1"/>
    <xf numFmtId="0" fontId="17" fillId="0" borderId="0" xfId="4" applyFont="1" applyBorder="1"/>
    <xf numFmtId="164" fontId="17" fillId="0" borderId="0" xfId="4" applyNumberFormat="1" applyFont="1"/>
    <xf numFmtId="167" fontId="16" fillId="0" borderId="0" xfId="4" applyNumberFormat="1" applyFont="1"/>
    <xf numFmtId="9" fontId="17" fillId="0" borderId="0" xfId="4" applyNumberFormat="1" applyFont="1"/>
    <xf numFmtId="0" fontId="17" fillId="0" borderId="0" xfId="4" quotePrefix="1" applyFont="1"/>
    <xf numFmtId="0" fontId="17" fillId="0" borderId="0" xfId="4" applyFont="1" applyFill="1"/>
    <xf numFmtId="0" fontId="18" fillId="0" borderId="0" xfId="4" applyFont="1" applyFill="1"/>
    <xf numFmtId="10" fontId="16" fillId="0" borderId="14" xfId="4" applyNumberFormat="1" applyFont="1" applyBorder="1"/>
    <xf numFmtId="169" fontId="0" fillId="0" borderId="0" xfId="3" applyNumberFormat="1" applyFont="1"/>
    <xf numFmtId="43" fontId="0" fillId="0" borderId="5" xfId="3" applyFont="1" applyBorder="1"/>
    <xf numFmtId="0" fontId="17" fillId="0" borderId="0" xfId="4" applyFont="1" applyFill="1" applyBorder="1"/>
    <xf numFmtId="6" fontId="0" fillId="0" borderId="0" xfId="0" applyNumberFormat="1" applyBorder="1"/>
    <xf numFmtId="44" fontId="17" fillId="0" borderId="0" xfId="4" applyNumberFormat="1" applyFont="1"/>
    <xf numFmtId="43" fontId="17" fillId="0" borderId="0" xfId="4" applyNumberFormat="1" applyFont="1"/>
    <xf numFmtId="43" fontId="21" fillId="0" borderId="0" xfId="3" applyFont="1" applyBorder="1"/>
    <xf numFmtId="2" fontId="17" fillId="0" borderId="0" xfId="4" applyNumberFormat="1" applyFont="1"/>
    <xf numFmtId="0" fontId="5" fillId="2" borderId="0" xfId="0" applyFont="1" applyFill="1" applyAlignment="1">
      <alignment horizontal="center"/>
    </xf>
  </cellXfs>
  <cellStyles count="13">
    <cellStyle name="Comma" xfId="3" builtinId="3"/>
    <cellStyle name="Currency" xfId="1" builtinId="4"/>
    <cellStyle name="Excel Built-in Normal" xfId="4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topLeftCell="A53" zoomScale="70" zoomScaleNormal="70" workbookViewId="0">
      <selection activeCell="L67" sqref="L67"/>
    </sheetView>
  </sheetViews>
  <sheetFormatPr defaultColWidth="8.875" defaultRowHeight="18"/>
  <cols>
    <col min="1" max="1" width="51.125" bestFit="1" customWidth="1"/>
    <col min="2" max="2" width="24" customWidth="1"/>
    <col min="3" max="3" width="24.125" customWidth="1"/>
    <col min="4" max="4" width="22.375" customWidth="1"/>
    <col min="5" max="5" width="20" customWidth="1"/>
    <col min="6" max="6" width="20.625" customWidth="1"/>
    <col min="7" max="7" width="20.875" customWidth="1"/>
    <col min="8" max="13" width="19" bestFit="1" customWidth="1"/>
    <col min="14" max="14" width="12.875" bestFit="1" customWidth="1"/>
    <col min="15" max="15" width="29.5" bestFit="1" customWidth="1"/>
    <col min="16" max="16" width="13.375" bestFit="1" customWidth="1"/>
    <col min="17" max="17" width="16.875" customWidth="1"/>
    <col min="18" max="18" width="15.125" customWidth="1"/>
    <col min="20" max="20" width="9.625" bestFit="1" customWidth="1"/>
  </cols>
  <sheetData>
    <row r="1" spans="1:20" ht="25.5">
      <c r="C1" s="100" t="s">
        <v>60</v>
      </c>
      <c r="D1" s="100"/>
      <c r="E1" s="100"/>
      <c r="F1" s="100"/>
      <c r="G1" s="100"/>
      <c r="H1" s="100"/>
      <c r="I1" s="100"/>
      <c r="J1" s="100"/>
      <c r="K1" s="100"/>
      <c r="L1" s="100"/>
      <c r="O1" s="47"/>
      <c r="P1" s="47"/>
      <c r="Q1" s="47"/>
      <c r="R1" s="47"/>
      <c r="S1" s="47"/>
    </row>
    <row r="2" spans="1:20" ht="21">
      <c r="C2" s="16">
        <v>2012</v>
      </c>
      <c r="D2" s="16">
        <v>2013</v>
      </c>
      <c r="E2" s="16">
        <v>2014</v>
      </c>
      <c r="F2" s="16">
        <v>2015</v>
      </c>
      <c r="G2" s="16">
        <v>2016</v>
      </c>
      <c r="H2" s="16">
        <v>2017</v>
      </c>
      <c r="I2" s="16">
        <v>2018</v>
      </c>
      <c r="J2" s="16">
        <v>2019</v>
      </c>
      <c r="K2" s="16">
        <v>2020</v>
      </c>
      <c r="L2" s="16">
        <v>2021</v>
      </c>
      <c r="O2" s="47"/>
      <c r="P2" s="47"/>
      <c r="Q2" s="47"/>
      <c r="R2" s="47"/>
      <c r="S2" s="47"/>
    </row>
    <row r="3" spans="1:20" ht="21">
      <c r="A3" s="17" t="s">
        <v>6</v>
      </c>
      <c r="O3" s="47"/>
      <c r="P3" s="47"/>
      <c r="Q3" s="47"/>
      <c r="R3" s="47"/>
      <c r="S3" s="47"/>
    </row>
    <row r="4" spans="1:20">
      <c r="A4" t="s">
        <v>52</v>
      </c>
      <c r="B4" s="53">
        <v>75</v>
      </c>
      <c r="C4" s="53">
        <f>($B$4*18*365*3)*$M$4</f>
        <v>739125</v>
      </c>
      <c r="D4" s="53">
        <f t="shared" ref="D4:L4" si="0">($B$4*18*365*3)*$M$4</f>
        <v>739125</v>
      </c>
      <c r="E4" s="53">
        <f t="shared" si="0"/>
        <v>739125</v>
      </c>
      <c r="F4" s="53">
        <f t="shared" si="0"/>
        <v>739125</v>
      </c>
      <c r="G4" s="53">
        <f t="shared" si="0"/>
        <v>739125</v>
      </c>
      <c r="H4" s="53">
        <f t="shared" si="0"/>
        <v>739125</v>
      </c>
      <c r="I4" s="53">
        <f t="shared" si="0"/>
        <v>739125</v>
      </c>
      <c r="J4" s="53">
        <f t="shared" si="0"/>
        <v>739125</v>
      </c>
      <c r="K4" s="53">
        <f t="shared" si="0"/>
        <v>739125</v>
      </c>
      <c r="L4" s="53">
        <f t="shared" si="0"/>
        <v>739125</v>
      </c>
      <c r="M4" s="13">
        <v>0.5</v>
      </c>
      <c r="O4" s="26"/>
      <c r="P4" s="26"/>
      <c r="Q4" s="26"/>
      <c r="R4" s="26"/>
      <c r="S4" s="26"/>
      <c r="T4" s="26"/>
    </row>
    <row r="5" spans="1:20">
      <c r="A5" t="s">
        <v>51</v>
      </c>
      <c r="B5" s="15">
        <v>9</v>
      </c>
      <c r="C5" s="15">
        <f>B5</f>
        <v>9</v>
      </c>
      <c r="D5" s="15">
        <f>C5*(1+$M$5)</f>
        <v>9.3149999999999995</v>
      </c>
      <c r="E5" s="15">
        <f>D5*(1+$M$5)</f>
        <v>9.6410249999999991</v>
      </c>
      <c r="F5" s="15">
        <f>E5*(1+$M$5)</f>
        <v>9.9784608749999979</v>
      </c>
      <c r="G5" s="15">
        <f>F5*(1+$M$5)</f>
        <v>10.327707005624998</v>
      </c>
      <c r="H5" s="15">
        <f t="shared" ref="H5:L5" si="1">G5*(1+$M$5)</f>
        <v>10.689176750821872</v>
      </c>
      <c r="I5" s="15">
        <f t="shared" si="1"/>
        <v>11.063297937100637</v>
      </c>
      <c r="J5" s="15">
        <f t="shared" si="1"/>
        <v>11.450513364899159</v>
      </c>
      <c r="K5" s="15">
        <f t="shared" si="1"/>
        <v>11.851281332670629</v>
      </c>
      <c r="L5" s="15">
        <f t="shared" si="1"/>
        <v>12.2660761793141</v>
      </c>
      <c r="M5" s="13">
        <v>3.5000000000000003E-2</v>
      </c>
      <c r="O5" s="26"/>
      <c r="P5" s="26"/>
      <c r="Q5" s="26"/>
      <c r="R5" s="26"/>
      <c r="S5" s="26"/>
      <c r="T5" s="26"/>
    </row>
    <row r="6" spans="1:20">
      <c r="A6" t="s">
        <v>47</v>
      </c>
      <c r="B6" s="15">
        <v>4</v>
      </c>
      <c r="C6" s="15">
        <f>B6</f>
        <v>4</v>
      </c>
      <c r="D6" s="15">
        <f>C6*(1+$M$6)</f>
        <v>4.2</v>
      </c>
      <c r="E6" s="15">
        <f>D6*(1+$M$6)</f>
        <v>4.41</v>
      </c>
      <c r="F6" s="15">
        <f>E6*(1+$M$6)</f>
        <v>4.6305000000000005</v>
      </c>
      <c r="G6" s="15">
        <f>F6*(1+$M$6)</f>
        <v>4.8620250000000009</v>
      </c>
      <c r="H6" s="15">
        <f t="shared" ref="H6:L6" si="2">G6*(1+$M$6)</f>
        <v>5.1051262500000014</v>
      </c>
      <c r="I6" s="15">
        <f t="shared" si="2"/>
        <v>5.3603825625000017</v>
      </c>
      <c r="J6" s="15">
        <f t="shared" si="2"/>
        <v>5.6284016906250018</v>
      </c>
      <c r="K6" s="15">
        <f t="shared" si="2"/>
        <v>5.9098217751562521</v>
      </c>
      <c r="L6" s="15">
        <f t="shared" si="2"/>
        <v>6.2053128639140649</v>
      </c>
      <c r="M6" s="14">
        <v>0.05</v>
      </c>
      <c r="O6" s="26"/>
      <c r="P6" s="26"/>
      <c r="Q6" s="26"/>
      <c r="R6" s="26"/>
      <c r="S6" s="26"/>
      <c r="T6" s="26"/>
    </row>
    <row r="7" spans="1:20">
      <c r="A7" t="s">
        <v>29</v>
      </c>
      <c r="B7" s="15"/>
      <c r="C7" s="25">
        <v>25</v>
      </c>
      <c r="D7">
        <f>C7*(1+$M$7)</f>
        <v>25</v>
      </c>
      <c r="E7">
        <f>D7*(1+$M$7)</f>
        <v>25</v>
      </c>
      <c r="F7">
        <f>E7*(1+$M$7)</f>
        <v>25</v>
      </c>
      <c r="G7">
        <f t="shared" ref="G7:L7" si="3">F7*(1+$M$7)</f>
        <v>25</v>
      </c>
      <c r="H7">
        <f t="shared" si="3"/>
        <v>25</v>
      </c>
      <c r="I7">
        <f t="shared" si="3"/>
        <v>25</v>
      </c>
      <c r="J7">
        <f t="shared" si="3"/>
        <v>25</v>
      </c>
      <c r="K7">
        <f t="shared" si="3"/>
        <v>25</v>
      </c>
      <c r="L7">
        <f t="shared" si="3"/>
        <v>25</v>
      </c>
      <c r="M7" s="14">
        <v>0</v>
      </c>
      <c r="O7" s="26"/>
      <c r="P7" s="26"/>
      <c r="Q7" s="26"/>
      <c r="R7" s="26"/>
      <c r="S7" s="26"/>
      <c r="T7" s="26"/>
    </row>
    <row r="8" spans="1:20">
      <c r="A8" s="26" t="s">
        <v>30</v>
      </c>
      <c r="B8" s="26"/>
      <c r="C8" s="28">
        <v>30</v>
      </c>
      <c r="D8" s="26">
        <f>C8*(1+$M$8)</f>
        <v>48</v>
      </c>
      <c r="E8" s="26">
        <f>D8*(1+$M$8)</f>
        <v>76.800000000000011</v>
      </c>
      <c r="F8" s="26">
        <f>E8*(1+$M$8)</f>
        <v>122.88000000000002</v>
      </c>
      <c r="G8" s="26"/>
      <c r="H8" s="26"/>
      <c r="I8" s="26"/>
      <c r="J8" s="26"/>
      <c r="K8" s="26"/>
      <c r="L8" s="26"/>
      <c r="M8" s="29">
        <v>0.6</v>
      </c>
      <c r="O8" s="26" t="s">
        <v>32</v>
      </c>
      <c r="P8" s="26"/>
      <c r="Q8" s="26"/>
      <c r="R8" s="26"/>
      <c r="S8" s="26"/>
      <c r="T8" s="27"/>
    </row>
    <row r="9" spans="1:20">
      <c r="A9" t="s">
        <v>31</v>
      </c>
      <c r="C9" s="92">
        <v>20</v>
      </c>
      <c r="D9" s="92">
        <f>C9</f>
        <v>20</v>
      </c>
      <c r="E9" s="92">
        <f t="shared" ref="E9:L9" si="4">D9</f>
        <v>20</v>
      </c>
      <c r="F9" s="92">
        <f t="shared" si="4"/>
        <v>20</v>
      </c>
      <c r="G9" s="92">
        <f t="shared" si="4"/>
        <v>20</v>
      </c>
      <c r="H9" s="92">
        <f t="shared" si="4"/>
        <v>20</v>
      </c>
      <c r="I9" s="92">
        <f t="shared" si="4"/>
        <v>20</v>
      </c>
      <c r="J9" s="92">
        <f t="shared" si="4"/>
        <v>20</v>
      </c>
      <c r="K9" s="92">
        <f t="shared" si="4"/>
        <v>20</v>
      </c>
      <c r="L9" s="92">
        <f t="shared" si="4"/>
        <v>20</v>
      </c>
      <c r="M9" s="14"/>
    </row>
    <row r="10" spans="1:20">
      <c r="A10" t="s">
        <v>55</v>
      </c>
      <c r="C10" s="25">
        <v>60</v>
      </c>
      <c r="D10" s="25">
        <v>60</v>
      </c>
      <c r="E10" s="25">
        <v>60</v>
      </c>
      <c r="F10" s="25">
        <v>60</v>
      </c>
      <c r="G10" s="25">
        <v>60</v>
      </c>
      <c r="H10" s="25">
        <v>60</v>
      </c>
      <c r="I10" s="25">
        <v>60</v>
      </c>
      <c r="J10" s="25">
        <v>60</v>
      </c>
      <c r="K10" s="25">
        <v>60</v>
      </c>
      <c r="L10" s="25">
        <v>60</v>
      </c>
      <c r="M10" s="14"/>
      <c r="O10" s="49"/>
    </row>
    <row r="11" spans="1:20">
      <c r="A11" t="s">
        <v>56</v>
      </c>
      <c r="C11" s="15">
        <v>14000</v>
      </c>
      <c r="D11" s="15">
        <f>C11*(1+$M$11)</f>
        <v>14420</v>
      </c>
      <c r="E11" s="15">
        <f>D11*(1+$M$11)</f>
        <v>14852.6</v>
      </c>
      <c r="F11" s="15">
        <f>E11*(1+$M$11)</f>
        <v>15298.178</v>
      </c>
      <c r="G11" s="15">
        <f t="shared" ref="G11:L11" si="5">F11*(1+$M$11)</f>
        <v>15757.12334</v>
      </c>
      <c r="H11" s="15">
        <f t="shared" si="5"/>
        <v>16229.8370402</v>
      </c>
      <c r="I11" s="15">
        <f t="shared" si="5"/>
        <v>16716.732151406002</v>
      </c>
      <c r="J11" s="15">
        <f t="shared" si="5"/>
        <v>17218.234115948184</v>
      </c>
      <c r="K11" s="15">
        <f t="shared" si="5"/>
        <v>17734.781139426628</v>
      </c>
      <c r="L11" s="15">
        <f t="shared" si="5"/>
        <v>18266.824573609429</v>
      </c>
      <c r="M11" s="14">
        <v>0.03</v>
      </c>
      <c r="O11" s="49"/>
    </row>
    <row r="12" spans="1:20">
      <c r="A12" t="s">
        <v>57</v>
      </c>
      <c r="C12" s="25">
        <v>6</v>
      </c>
      <c r="D12" s="25">
        <v>6</v>
      </c>
      <c r="E12" s="25">
        <v>6</v>
      </c>
      <c r="F12" s="25">
        <v>6</v>
      </c>
      <c r="G12" s="25">
        <v>6</v>
      </c>
      <c r="H12" s="25">
        <v>6</v>
      </c>
      <c r="I12" s="25">
        <v>6</v>
      </c>
      <c r="J12" s="25">
        <v>6</v>
      </c>
      <c r="K12" s="25">
        <v>6</v>
      </c>
      <c r="L12" s="25">
        <v>6</v>
      </c>
      <c r="M12" s="14"/>
      <c r="O12" s="49"/>
    </row>
    <row r="13" spans="1:20">
      <c r="A13" t="s">
        <v>58</v>
      </c>
      <c r="C13" s="15">
        <v>45000</v>
      </c>
      <c r="D13" s="15">
        <f>C13*(1+$M$13)</f>
        <v>46350</v>
      </c>
      <c r="E13" s="15">
        <f>D13*(1+$M$13)</f>
        <v>47740.5</v>
      </c>
      <c r="F13" s="15">
        <f>E13*(1+$M$13)</f>
        <v>49172.715000000004</v>
      </c>
      <c r="G13" s="15">
        <f t="shared" ref="G13:L13" si="6">F13*(1+$M$13)</f>
        <v>50647.896450000007</v>
      </c>
      <c r="H13" s="15">
        <f t="shared" si="6"/>
        <v>52167.33334350001</v>
      </c>
      <c r="I13" s="15">
        <f t="shared" si="6"/>
        <v>53732.353343805014</v>
      </c>
      <c r="J13" s="15">
        <f t="shared" si="6"/>
        <v>55344.323944119169</v>
      </c>
      <c r="K13" s="15">
        <f t="shared" si="6"/>
        <v>57004.653662442746</v>
      </c>
      <c r="L13" s="15">
        <f t="shared" si="6"/>
        <v>58714.793272316027</v>
      </c>
      <c r="M13" s="14">
        <v>0.03</v>
      </c>
      <c r="O13" s="49"/>
    </row>
    <row r="14" spans="1:20">
      <c r="A14" t="s">
        <v>131</v>
      </c>
      <c r="B14" s="53">
        <v>76701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14"/>
      <c r="O14" s="49"/>
    </row>
    <row r="15" spans="1:20">
      <c r="A15" t="s">
        <v>132</v>
      </c>
      <c r="B15" s="53">
        <v>150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4"/>
      <c r="O15" s="49"/>
    </row>
    <row r="16" spans="1:20" ht="18.75" thickBot="1">
      <c r="B16" s="15">
        <f>B14*B15</f>
        <v>11505150</v>
      </c>
      <c r="O16" s="50"/>
    </row>
    <row r="17" spans="1:24" ht="21">
      <c r="A17" s="18" t="s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O17" s="50"/>
      <c r="P17" s="45"/>
      <c r="Q17" s="45"/>
      <c r="R17" s="45"/>
      <c r="S17" s="45"/>
      <c r="T17" s="45"/>
      <c r="U17" s="45"/>
      <c r="V17" s="45"/>
      <c r="W17" s="45"/>
      <c r="X17" s="45"/>
    </row>
    <row r="18" spans="1:24">
      <c r="A18" s="3" t="s">
        <v>50</v>
      </c>
      <c r="B18" s="4"/>
      <c r="C18" s="12">
        <f t="shared" ref="C18:L18" si="7">C4*C5</f>
        <v>6652125</v>
      </c>
      <c r="D18" s="12">
        <f t="shared" si="7"/>
        <v>6884949.375</v>
      </c>
      <c r="E18" s="12">
        <f t="shared" si="7"/>
        <v>7125922.6031249994</v>
      </c>
      <c r="F18" s="12">
        <f t="shared" si="7"/>
        <v>7375329.8942343732</v>
      </c>
      <c r="G18" s="12">
        <f t="shared" si="7"/>
        <v>7633466.4405325763</v>
      </c>
      <c r="H18" s="12">
        <f t="shared" si="7"/>
        <v>7900637.7659512162</v>
      </c>
      <c r="I18" s="12">
        <f t="shared" si="7"/>
        <v>8177160.0877595088</v>
      </c>
      <c r="J18" s="12">
        <f t="shared" si="7"/>
        <v>8463360.6908310913</v>
      </c>
      <c r="K18" s="12">
        <f t="shared" si="7"/>
        <v>8759578.3150101788</v>
      </c>
      <c r="L18" s="12">
        <f t="shared" si="7"/>
        <v>9066163.5560355335</v>
      </c>
      <c r="M18" s="5"/>
      <c r="O18" s="51"/>
      <c r="P18" s="46"/>
      <c r="Q18" s="46"/>
      <c r="R18" s="46"/>
      <c r="S18" s="46"/>
      <c r="T18" s="46"/>
      <c r="U18" s="46"/>
      <c r="V18" s="46"/>
      <c r="W18" s="46"/>
      <c r="X18" s="45"/>
    </row>
    <row r="19" spans="1:24">
      <c r="A19" s="3" t="s">
        <v>49</v>
      </c>
      <c r="B19" s="4"/>
      <c r="C19" s="31">
        <f>C6*(C4*$M$19)</f>
        <v>1182600</v>
      </c>
      <c r="D19" s="31">
        <f t="shared" ref="D19:L19" si="8">D6*(D4*$M$19)</f>
        <v>1241730</v>
      </c>
      <c r="E19" s="31">
        <f t="shared" si="8"/>
        <v>1303816.5</v>
      </c>
      <c r="F19" s="31">
        <f t="shared" si="8"/>
        <v>1369007.3250000002</v>
      </c>
      <c r="G19" s="31">
        <f t="shared" si="8"/>
        <v>1437457.6912500004</v>
      </c>
      <c r="H19" s="31">
        <f t="shared" si="8"/>
        <v>1509330.5758125004</v>
      </c>
      <c r="I19" s="31">
        <f t="shared" si="8"/>
        <v>1584797.1046031255</v>
      </c>
      <c r="J19" s="31">
        <f t="shared" si="8"/>
        <v>1664036.9598332818</v>
      </c>
      <c r="K19" s="31">
        <f t="shared" si="8"/>
        <v>1747238.807824946</v>
      </c>
      <c r="L19" s="31">
        <f t="shared" si="8"/>
        <v>1834600.7482161932</v>
      </c>
      <c r="M19" s="30">
        <v>0.4</v>
      </c>
      <c r="O19" s="51"/>
      <c r="P19" s="46"/>
      <c r="Q19" s="46"/>
      <c r="R19" s="46"/>
      <c r="S19" s="46"/>
      <c r="T19" s="46"/>
      <c r="U19" s="46"/>
      <c r="V19" s="46"/>
      <c r="W19" s="46"/>
      <c r="X19" s="45"/>
    </row>
    <row r="20" spans="1:24">
      <c r="A20" s="3" t="s">
        <v>33</v>
      </c>
      <c r="B20" s="4"/>
      <c r="C20" s="44">
        <f>SUM(C18:C19)</f>
        <v>7834725</v>
      </c>
      <c r="D20" s="44">
        <f t="shared" ref="D20:L20" si="9">SUM(D18:D19)</f>
        <v>8126679.375</v>
      </c>
      <c r="E20" s="44">
        <f t="shared" si="9"/>
        <v>8429739.1031249985</v>
      </c>
      <c r="F20" s="44">
        <f t="shared" si="9"/>
        <v>8744337.2192343734</v>
      </c>
      <c r="G20" s="44">
        <f t="shared" si="9"/>
        <v>9070924.1317825764</v>
      </c>
      <c r="H20" s="44">
        <f t="shared" si="9"/>
        <v>9409968.3417637162</v>
      </c>
      <c r="I20" s="44">
        <f t="shared" si="9"/>
        <v>9761957.1923626345</v>
      </c>
      <c r="J20" s="44">
        <f t="shared" si="9"/>
        <v>10127397.650664372</v>
      </c>
      <c r="K20" s="44">
        <f t="shared" si="9"/>
        <v>10506817.122835126</v>
      </c>
      <c r="L20" s="44">
        <f t="shared" si="9"/>
        <v>10900764.304251727</v>
      </c>
      <c r="M20" s="5"/>
      <c r="O20" s="51"/>
      <c r="P20" s="46"/>
      <c r="Q20" s="46"/>
      <c r="R20" s="46"/>
      <c r="S20" s="46"/>
      <c r="T20" s="46"/>
      <c r="U20" s="46"/>
      <c r="V20" s="46"/>
      <c r="W20" s="46"/>
      <c r="X20" s="45"/>
    </row>
    <row r="21" spans="1:24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O21" s="51"/>
      <c r="P21" s="46"/>
      <c r="Q21" s="46"/>
      <c r="R21" s="46"/>
      <c r="S21" s="46"/>
      <c r="T21" s="46"/>
      <c r="U21" s="46"/>
      <c r="V21" s="46"/>
      <c r="W21" s="46"/>
      <c r="X21" s="45"/>
    </row>
    <row r="22" spans="1:24">
      <c r="A22" s="3" t="s">
        <v>48</v>
      </c>
      <c r="B22" s="4"/>
      <c r="C22" s="10">
        <f>$M$22*C19</f>
        <v>236520</v>
      </c>
      <c r="D22" s="10">
        <f>$M$22*D19</f>
        <v>248346</v>
      </c>
      <c r="E22" s="10">
        <f>$M$22*E19</f>
        <v>260763.30000000002</v>
      </c>
      <c r="F22" s="10">
        <f>$M$22*F19</f>
        <v>273801.46500000003</v>
      </c>
      <c r="G22" s="10">
        <f t="shared" ref="G22:L22" si="10">$M$22*G19</f>
        <v>287491.5382500001</v>
      </c>
      <c r="H22" s="10">
        <f t="shared" si="10"/>
        <v>301866.11516250012</v>
      </c>
      <c r="I22" s="10">
        <f t="shared" si="10"/>
        <v>316959.4209206251</v>
      </c>
      <c r="J22" s="10">
        <f t="shared" si="10"/>
        <v>332807.39196665637</v>
      </c>
      <c r="K22" s="10">
        <f t="shared" si="10"/>
        <v>349447.76156498923</v>
      </c>
      <c r="L22" s="10">
        <f t="shared" si="10"/>
        <v>366920.14964323863</v>
      </c>
      <c r="M22" s="19">
        <v>0.2</v>
      </c>
      <c r="O22" s="52"/>
      <c r="P22" s="46"/>
      <c r="Q22" s="46"/>
      <c r="R22" s="46"/>
      <c r="S22" s="46"/>
      <c r="T22" s="46"/>
      <c r="U22" s="46"/>
      <c r="V22" s="46"/>
      <c r="W22" s="46"/>
      <c r="X22" s="45"/>
    </row>
    <row r="23" spans="1:24">
      <c r="A23" s="3" t="s">
        <v>53</v>
      </c>
      <c r="B23" s="4"/>
      <c r="C23" s="10">
        <f>C18*$M$23</f>
        <v>5986912.5</v>
      </c>
      <c r="D23" s="10">
        <f>D18*$M$23</f>
        <v>6196454.4375</v>
      </c>
      <c r="E23" s="10">
        <f>E18*$M$23</f>
        <v>6413330.3428125</v>
      </c>
      <c r="F23" s="10">
        <f>F18*$M$23</f>
        <v>6637796.9048109362</v>
      </c>
      <c r="G23" s="10">
        <f t="shared" ref="G23:L23" si="11">G18*$M$23</f>
        <v>6870119.7964793192</v>
      </c>
      <c r="H23" s="10">
        <f t="shared" si="11"/>
        <v>7110573.989356095</v>
      </c>
      <c r="I23" s="10">
        <f t="shared" si="11"/>
        <v>7359444.0789835583</v>
      </c>
      <c r="J23" s="10">
        <f t="shared" si="11"/>
        <v>7617024.6217479827</v>
      </c>
      <c r="K23" s="10">
        <f t="shared" si="11"/>
        <v>7883620.4835091615</v>
      </c>
      <c r="L23" s="10">
        <f t="shared" si="11"/>
        <v>8159547.2004319802</v>
      </c>
      <c r="M23" s="19">
        <v>0.9</v>
      </c>
      <c r="O23" s="52"/>
      <c r="P23" s="46"/>
      <c r="Q23" s="46"/>
      <c r="R23" s="46"/>
      <c r="S23" s="46"/>
      <c r="T23" s="46"/>
      <c r="U23" s="46"/>
      <c r="V23" s="46"/>
      <c r="W23" s="46"/>
      <c r="X23" s="45"/>
    </row>
    <row r="24" spans="1:24" ht="18.75" thickBot="1">
      <c r="A24" s="3" t="s">
        <v>46</v>
      </c>
      <c r="B24" s="4"/>
      <c r="C24" s="32">
        <f>(C20)-(SUM(C22:C23))</f>
        <v>1611292.5</v>
      </c>
      <c r="D24" s="32">
        <f t="shared" ref="D24:F24" si="12">(D20)-(SUM(D22:D23))</f>
        <v>1681878.9375</v>
      </c>
      <c r="E24" s="32">
        <f t="shared" si="12"/>
        <v>1755645.4603124987</v>
      </c>
      <c r="F24" s="32">
        <f t="shared" si="12"/>
        <v>1832738.8494234374</v>
      </c>
      <c r="G24" s="32">
        <f t="shared" ref="G24:L24" si="13">(G20)-(SUM(G22:G23))</f>
        <v>1913312.797053257</v>
      </c>
      <c r="H24" s="32">
        <f t="shared" si="13"/>
        <v>1997528.237245121</v>
      </c>
      <c r="I24" s="32">
        <f t="shared" si="13"/>
        <v>2085553.6924584508</v>
      </c>
      <c r="J24" s="32">
        <f t="shared" si="13"/>
        <v>2177565.6369497329</v>
      </c>
      <c r="K24" s="32">
        <f t="shared" si="13"/>
        <v>2273748.8777609747</v>
      </c>
      <c r="L24" s="32">
        <f t="shared" si="13"/>
        <v>2374296.9541765079</v>
      </c>
      <c r="M24" s="5"/>
      <c r="O24" s="51"/>
      <c r="P24" s="46"/>
      <c r="Q24" s="46"/>
      <c r="R24" s="46"/>
      <c r="S24" s="46"/>
      <c r="T24" s="46"/>
      <c r="U24" s="46"/>
      <c r="V24" s="46"/>
      <c r="W24" s="46"/>
      <c r="X24" s="45"/>
    </row>
    <row r="25" spans="1:24" ht="18.75" thickTop="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  <c r="O25" s="51"/>
      <c r="P25" s="46"/>
      <c r="Q25" s="46"/>
      <c r="R25" s="46"/>
      <c r="S25" s="46"/>
      <c r="T25" s="46"/>
      <c r="U25" s="46"/>
      <c r="V25" s="46"/>
      <c r="W25" s="46"/>
      <c r="X25" s="45"/>
    </row>
    <row r="26" spans="1:24">
      <c r="A26" s="3" t="s">
        <v>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  <c r="O26" s="51"/>
      <c r="P26" s="46"/>
      <c r="Q26" s="46"/>
      <c r="R26" s="46"/>
      <c r="S26" s="46"/>
      <c r="T26" s="46"/>
      <c r="U26" s="46"/>
      <c r="V26" s="46"/>
      <c r="W26" s="46"/>
      <c r="X26" s="45"/>
    </row>
    <row r="27" spans="1:24">
      <c r="A27" s="3" t="s">
        <v>12</v>
      </c>
      <c r="B27" s="4"/>
      <c r="C27" s="10">
        <f>C24*$M$27</f>
        <v>112790.47500000001</v>
      </c>
      <c r="D27" s="10">
        <f t="shared" ref="D27:L27" si="14">D24*$M$27</f>
        <v>117731.52562500001</v>
      </c>
      <c r="E27" s="10">
        <f t="shared" si="14"/>
        <v>122895.18222187493</v>
      </c>
      <c r="F27" s="10">
        <f t="shared" si="14"/>
        <v>128291.71945964063</v>
      </c>
      <c r="G27" s="10">
        <f t="shared" si="14"/>
        <v>133931.89579372801</v>
      </c>
      <c r="H27" s="10">
        <f t="shared" si="14"/>
        <v>139826.97660715849</v>
      </c>
      <c r="I27" s="10">
        <f t="shared" si="14"/>
        <v>145988.75847209158</v>
      </c>
      <c r="J27" s="10">
        <f t="shared" si="14"/>
        <v>152429.59458648131</v>
      </c>
      <c r="K27" s="10">
        <f t="shared" si="14"/>
        <v>159162.42144326825</v>
      </c>
      <c r="L27" s="10">
        <f t="shared" si="14"/>
        <v>166200.78679235556</v>
      </c>
      <c r="M27" s="19">
        <v>7.0000000000000007E-2</v>
      </c>
      <c r="O27" s="51"/>
      <c r="P27" s="46"/>
      <c r="Q27" s="46"/>
      <c r="R27" s="46"/>
      <c r="S27" s="46"/>
      <c r="T27" s="46"/>
      <c r="U27" s="46"/>
      <c r="V27" s="46"/>
      <c r="W27" s="46"/>
      <c r="X27" s="45"/>
    </row>
    <row r="28" spans="1:24">
      <c r="A28" s="3" t="s">
        <v>54</v>
      </c>
      <c r="B28" s="4"/>
      <c r="C28" s="10">
        <f t="shared" ref="C28:L28" si="15">C10*C11</f>
        <v>840000</v>
      </c>
      <c r="D28" s="10">
        <f t="shared" si="15"/>
        <v>865200</v>
      </c>
      <c r="E28" s="10">
        <f t="shared" si="15"/>
        <v>891156</v>
      </c>
      <c r="F28" s="10">
        <f t="shared" si="15"/>
        <v>917890.67999999993</v>
      </c>
      <c r="G28" s="10">
        <f t="shared" si="15"/>
        <v>945427.40040000004</v>
      </c>
      <c r="H28" s="10">
        <f t="shared" si="15"/>
        <v>973790.22241199994</v>
      </c>
      <c r="I28" s="10">
        <f t="shared" si="15"/>
        <v>1003003.9290843601</v>
      </c>
      <c r="J28" s="10">
        <f t="shared" si="15"/>
        <v>1033094.0469568911</v>
      </c>
      <c r="K28" s="10">
        <f t="shared" si="15"/>
        <v>1064086.8683655977</v>
      </c>
      <c r="L28" s="10">
        <f t="shared" si="15"/>
        <v>1096009.4744165656</v>
      </c>
      <c r="M28" s="19">
        <v>3.5000000000000003E-2</v>
      </c>
      <c r="O28" s="51"/>
      <c r="P28" s="46"/>
      <c r="Q28" s="46"/>
      <c r="R28" s="46"/>
      <c r="S28" s="46"/>
      <c r="T28" s="46"/>
      <c r="U28" s="46"/>
      <c r="V28" s="46"/>
      <c r="W28" s="46"/>
      <c r="X28" s="45"/>
    </row>
    <row r="29" spans="1:24">
      <c r="A29" s="3" t="s">
        <v>59</v>
      </c>
      <c r="B29" s="4"/>
      <c r="C29" s="10">
        <f t="shared" ref="C29:L29" si="16">C12*C13</f>
        <v>270000</v>
      </c>
      <c r="D29" s="10">
        <f t="shared" si="16"/>
        <v>278100</v>
      </c>
      <c r="E29" s="10">
        <f t="shared" si="16"/>
        <v>286443</v>
      </c>
      <c r="F29" s="10">
        <f t="shared" si="16"/>
        <v>295036.29000000004</v>
      </c>
      <c r="G29" s="10">
        <f t="shared" si="16"/>
        <v>303887.37870000006</v>
      </c>
      <c r="H29" s="10">
        <f t="shared" si="16"/>
        <v>313004.00006100006</v>
      </c>
      <c r="I29" s="10">
        <f t="shared" si="16"/>
        <v>322394.1200628301</v>
      </c>
      <c r="J29" s="10">
        <f t="shared" si="16"/>
        <v>332065.94366471504</v>
      </c>
      <c r="K29" s="10">
        <f t="shared" si="16"/>
        <v>342027.92197465646</v>
      </c>
      <c r="L29" s="10">
        <f t="shared" si="16"/>
        <v>352288.75963389617</v>
      </c>
      <c r="M29" s="19">
        <v>3.5000000000000003E-2</v>
      </c>
      <c r="O29" s="51"/>
      <c r="P29" s="46"/>
      <c r="Q29" s="46"/>
      <c r="R29" s="46"/>
      <c r="S29" s="46"/>
      <c r="T29" s="46"/>
      <c r="U29" s="46"/>
      <c r="V29" s="46"/>
      <c r="W29" s="46"/>
      <c r="X29" s="45"/>
    </row>
    <row r="30" spans="1:24">
      <c r="A30" s="3" t="s">
        <v>13</v>
      </c>
      <c r="B30" s="4"/>
      <c r="C30" s="10">
        <f>50000*12</f>
        <v>600000</v>
      </c>
      <c r="D30" s="10">
        <f>C30*(1+$M$30)</f>
        <v>618000</v>
      </c>
      <c r="E30" s="10">
        <f>D30*(1+$M$30)</f>
        <v>636540</v>
      </c>
      <c r="F30" s="10">
        <f>E30*(1+$M$30)</f>
        <v>655636.20000000007</v>
      </c>
      <c r="G30" s="10">
        <f t="shared" ref="G30:L30" si="17">F30*(1+$M$30)</f>
        <v>675305.28600000008</v>
      </c>
      <c r="H30" s="10">
        <f t="shared" si="17"/>
        <v>695564.44458000013</v>
      </c>
      <c r="I30" s="10">
        <f t="shared" si="17"/>
        <v>716431.3779174001</v>
      </c>
      <c r="J30" s="10">
        <f t="shared" si="17"/>
        <v>737924.3192549221</v>
      </c>
      <c r="K30" s="10">
        <f t="shared" si="17"/>
        <v>760062.04883256974</v>
      </c>
      <c r="L30" s="10">
        <f t="shared" si="17"/>
        <v>782863.91029754688</v>
      </c>
      <c r="M30" s="30">
        <v>0.03</v>
      </c>
      <c r="O30" s="51"/>
      <c r="P30" s="46"/>
      <c r="Q30" s="46"/>
      <c r="R30" s="46"/>
      <c r="S30" s="46"/>
      <c r="T30" s="46"/>
      <c r="U30" s="46"/>
      <c r="V30" s="46"/>
      <c r="W30" s="46"/>
      <c r="X30" s="45"/>
    </row>
    <row r="31" spans="1:24">
      <c r="A31" s="3"/>
      <c r="B31" s="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30"/>
      <c r="O31" s="51"/>
      <c r="P31" s="46"/>
      <c r="Q31" s="46"/>
      <c r="R31" s="46"/>
      <c r="S31" s="46"/>
      <c r="T31" s="46"/>
      <c r="U31" s="46"/>
      <c r="V31" s="46"/>
      <c r="W31" s="46"/>
      <c r="X31" s="45"/>
    </row>
    <row r="32" spans="1:24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  <c r="O32" s="46"/>
      <c r="P32" s="46"/>
      <c r="Q32" s="46"/>
      <c r="R32" s="46"/>
      <c r="S32" s="46"/>
      <c r="T32" s="46"/>
      <c r="U32" s="46"/>
      <c r="V32" s="46"/>
      <c r="W32" s="46"/>
      <c r="X32" s="45"/>
    </row>
    <row r="33" spans="1:24">
      <c r="A33" s="3" t="s">
        <v>0</v>
      </c>
      <c r="B33" s="4"/>
      <c r="C33" s="10">
        <f>C51/30</f>
        <v>383505</v>
      </c>
      <c r="D33" s="10">
        <f t="shared" ref="D33:F33" si="18">D51/30</f>
        <v>383505</v>
      </c>
      <c r="E33" s="10">
        <f t="shared" si="18"/>
        <v>383505</v>
      </c>
      <c r="F33" s="10">
        <f t="shared" si="18"/>
        <v>383505</v>
      </c>
      <c r="G33" s="10">
        <f>(G51+G52)/30</f>
        <v>383505</v>
      </c>
      <c r="H33" s="10">
        <f t="shared" ref="H33:L33" si="19">(H51+H52)/30</f>
        <v>460206</v>
      </c>
      <c r="I33" s="10">
        <f t="shared" si="19"/>
        <v>460206</v>
      </c>
      <c r="J33" s="10">
        <f t="shared" si="19"/>
        <v>460206</v>
      </c>
      <c r="K33" s="10">
        <f t="shared" si="19"/>
        <v>460206</v>
      </c>
      <c r="L33" s="10">
        <f t="shared" si="19"/>
        <v>460206</v>
      </c>
      <c r="M33" s="5"/>
      <c r="O33" s="46"/>
      <c r="P33" s="46"/>
      <c r="Q33" s="46"/>
      <c r="R33" s="46"/>
      <c r="S33" s="46"/>
      <c r="T33" s="46"/>
      <c r="U33" s="46"/>
      <c r="V33" s="46"/>
      <c r="W33" s="46"/>
      <c r="X33" s="45"/>
    </row>
    <row r="34" spans="1:24">
      <c r="A34" s="3" t="s">
        <v>10</v>
      </c>
      <c r="B34" s="4"/>
      <c r="C34" s="12">
        <f>'Amortization Table'!D14</f>
        <v>372742.83424108889</v>
      </c>
      <c r="D34" s="12">
        <f>'Amortization Table'!D29</f>
        <v>367077.76005668187</v>
      </c>
      <c r="E34" s="12">
        <f>'Amortization Table'!D44</f>
        <v>361122.84992535977</v>
      </c>
      <c r="F34" s="12">
        <f>'Amortization Table'!D59</f>
        <v>354863.27529000404</v>
      </c>
      <c r="G34" s="12">
        <f>'Amortization Table'!D74</f>
        <v>348283.44893637131</v>
      </c>
      <c r="H34" s="12">
        <f>'Amortization Table'!D89</f>
        <v>341366.98617875436</v>
      </c>
      <c r="I34" s="12">
        <f>'Amortization Table'!D104</f>
        <v>334096.66405982943</v>
      </c>
      <c r="J34" s="12">
        <f>'Amortization Table'!D119</f>
        <v>326454.37846308883</v>
      </c>
      <c r="K34" s="12">
        <f>'Amortization Table'!D134</f>
        <v>318421.09903106466</v>
      </c>
      <c r="L34" s="12">
        <f>'Amortization Table'!D149</f>
        <v>309976.82177708385</v>
      </c>
      <c r="M34" s="5"/>
      <c r="O34" s="48"/>
      <c r="P34" s="46"/>
      <c r="Q34" s="46"/>
      <c r="R34" s="46"/>
      <c r="S34" s="46"/>
      <c r="T34" s="46"/>
      <c r="U34" s="46"/>
      <c r="V34" s="46"/>
      <c r="W34" s="46"/>
      <c r="X34" s="45"/>
    </row>
    <row r="35" spans="1:24">
      <c r="A35" s="3" t="s">
        <v>11</v>
      </c>
      <c r="B35" s="4"/>
      <c r="C35" s="11">
        <f>$M$35*C60</f>
        <v>219321.13351979753</v>
      </c>
      <c r="D35" s="11">
        <f t="shared" ref="D35:L35" si="20">$M$35*D60</f>
        <v>303587.60014143283</v>
      </c>
      <c r="E35" s="11">
        <f t="shared" si="20"/>
        <v>395077.22629082174</v>
      </c>
      <c r="F35" s="11">
        <f t="shared" si="20"/>
        <v>494383.86081822816</v>
      </c>
      <c r="G35" s="11">
        <f t="shared" si="20"/>
        <v>602152.76239588601</v>
      </c>
      <c r="H35" s="11">
        <f t="shared" si="20"/>
        <v>1032862.1530174254</v>
      </c>
      <c r="I35" s="11">
        <f t="shared" si="20"/>
        <v>1189197.141420057</v>
      </c>
      <c r="J35" s="11">
        <f t="shared" si="20"/>
        <v>1359302.9051193153</v>
      </c>
      <c r="K35" s="11">
        <f t="shared" si="20"/>
        <v>1544390.8037451457</v>
      </c>
      <c r="L35" s="11">
        <f t="shared" si="20"/>
        <v>1745783.8582724689</v>
      </c>
      <c r="M35" s="68">
        <v>0.12</v>
      </c>
      <c r="O35" s="46"/>
      <c r="P35" s="46"/>
      <c r="Q35" s="46"/>
      <c r="R35" s="46"/>
      <c r="S35" s="46"/>
      <c r="T35" s="46"/>
      <c r="U35" s="46"/>
      <c r="V35" s="46"/>
      <c r="W35" s="46"/>
      <c r="X35" s="45"/>
    </row>
    <row r="36" spans="1:24" ht="18.75" thickBot="1">
      <c r="A36" s="3" t="s">
        <v>34</v>
      </c>
      <c r="B36" s="4"/>
      <c r="C36" s="32">
        <f>SUM(C33:C35,C27:C30)</f>
        <v>2798359.4427608866</v>
      </c>
      <c r="D36" s="32">
        <f>SUM(D33:D35,D27:D30)</f>
        <v>2933201.8858231148</v>
      </c>
      <c r="E36" s="32">
        <f>SUM(E33:E35,E27:E30)</f>
        <v>3076739.2584380563</v>
      </c>
      <c r="F36" s="32">
        <f>SUM(F33:F35,F27:F30)</f>
        <v>3229607.0255678729</v>
      </c>
      <c r="G36" s="32">
        <f t="shared" ref="G36:L36" si="21">SUM(G33:G35,G27:G30)</f>
        <v>3392493.1722259857</v>
      </c>
      <c r="H36" s="32">
        <f t="shared" si="21"/>
        <v>3956620.7828563387</v>
      </c>
      <c r="I36" s="32">
        <f t="shared" si="21"/>
        <v>4171317.9910165682</v>
      </c>
      <c r="J36" s="32">
        <f t="shared" si="21"/>
        <v>4401477.1880454142</v>
      </c>
      <c r="K36" s="32">
        <f t="shared" si="21"/>
        <v>4648357.1633923026</v>
      </c>
      <c r="L36" s="32">
        <f t="shared" si="21"/>
        <v>4913329.6111899167</v>
      </c>
      <c r="M36" s="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ht="18.75" thickTop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</row>
    <row r="38" spans="1:24">
      <c r="A38" s="3" t="s">
        <v>14</v>
      </c>
      <c r="B38" s="4"/>
      <c r="C38" s="12">
        <f>C24-C36</f>
        <v>-1187066.9427608866</v>
      </c>
      <c r="D38" s="12">
        <f t="shared" ref="D38:L38" si="22">D24-D36</f>
        <v>-1251322.9483231148</v>
      </c>
      <c r="E38" s="12">
        <f t="shared" si="22"/>
        <v>-1321093.7981255576</v>
      </c>
      <c r="F38" s="12">
        <f t="shared" si="22"/>
        <v>-1396868.1761444355</v>
      </c>
      <c r="G38" s="12">
        <f t="shared" si="22"/>
        <v>-1479180.3751727287</v>
      </c>
      <c r="H38" s="12">
        <f t="shared" si="22"/>
        <v>-1959092.5456112176</v>
      </c>
      <c r="I38" s="12">
        <f t="shared" si="22"/>
        <v>-2085764.2985581174</v>
      </c>
      <c r="J38" s="12">
        <f t="shared" si="22"/>
        <v>-2223911.5510956813</v>
      </c>
      <c r="K38" s="12">
        <f t="shared" si="22"/>
        <v>-2374608.2856313279</v>
      </c>
      <c r="L38" s="12">
        <f t="shared" si="22"/>
        <v>-2539032.6570134088</v>
      </c>
      <c r="M38" s="5"/>
    </row>
    <row r="39" spans="1:24">
      <c r="A39" s="3" t="s">
        <v>15</v>
      </c>
      <c r="B39" s="4"/>
      <c r="C39" s="31">
        <f>C38*$M$39</f>
        <v>-296766.73569022166</v>
      </c>
      <c r="D39" s="31">
        <f>D38*$M$39</f>
        <v>-312830.73708077869</v>
      </c>
      <c r="E39" s="31">
        <f>E38*$M$39</f>
        <v>-330273.4495313894</v>
      </c>
      <c r="F39" s="31">
        <f>F38*$M$39</f>
        <v>-349217.04403610888</v>
      </c>
      <c r="G39" s="31">
        <f t="shared" ref="G39:L39" si="23">G38*$M$39</f>
        <v>-369795.09379318217</v>
      </c>
      <c r="H39" s="31">
        <f t="shared" si="23"/>
        <v>-489773.1364028044</v>
      </c>
      <c r="I39" s="31">
        <f t="shared" si="23"/>
        <v>-521441.07463952934</v>
      </c>
      <c r="J39" s="31">
        <f t="shared" si="23"/>
        <v>-555977.88777392032</v>
      </c>
      <c r="K39" s="31">
        <f t="shared" si="23"/>
        <v>-593652.07140783197</v>
      </c>
      <c r="L39" s="31">
        <f t="shared" si="23"/>
        <v>-634758.16425335221</v>
      </c>
      <c r="M39" s="40">
        <v>0.25</v>
      </c>
      <c r="N39" s="41"/>
    </row>
    <row r="40" spans="1:24" ht="18.75" thickBot="1">
      <c r="A40" s="4" t="s">
        <v>45</v>
      </c>
      <c r="B40" s="4"/>
      <c r="C40" s="32">
        <f>C38-C39</f>
        <v>-890300.20707066497</v>
      </c>
      <c r="D40" s="32">
        <f t="shared" ref="D40:L40" si="24">D38-D39</f>
        <v>-938492.21124233608</v>
      </c>
      <c r="E40" s="32">
        <f t="shared" si="24"/>
        <v>-990820.3485941682</v>
      </c>
      <c r="F40" s="32">
        <f t="shared" si="24"/>
        <v>-1047651.1321083267</v>
      </c>
      <c r="G40" s="32">
        <f t="shared" si="24"/>
        <v>-1109385.2813795465</v>
      </c>
      <c r="H40" s="32">
        <f t="shared" si="24"/>
        <v>-1469319.4092084132</v>
      </c>
      <c r="I40" s="32">
        <f t="shared" si="24"/>
        <v>-1564323.2239185879</v>
      </c>
      <c r="J40" s="32">
        <f t="shared" si="24"/>
        <v>-1667933.6633217609</v>
      </c>
      <c r="K40" s="32">
        <f t="shared" si="24"/>
        <v>-1780956.2142234959</v>
      </c>
      <c r="L40" s="32">
        <f t="shared" si="24"/>
        <v>-1904274.4927600566</v>
      </c>
      <c r="M40" s="4"/>
      <c r="N40" s="41"/>
      <c r="O40" s="4"/>
    </row>
    <row r="41" spans="1:24" ht="19.5" thickTop="1" thickBot="1">
      <c r="A41" s="8"/>
      <c r="B41" s="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8"/>
      <c r="N41" s="41"/>
      <c r="O41" s="4"/>
    </row>
    <row r="42" spans="1:24" ht="18.75" thickBot="1"/>
    <row r="43" spans="1:24" ht="21">
      <c r="A43" s="18" t="s">
        <v>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</row>
    <row r="44" spans="1:24">
      <c r="A44" s="6" t="s">
        <v>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</row>
    <row r="45" spans="1:24">
      <c r="A45" s="3" t="s">
        <v>16</v>
      </c>
      <c r="B45" s="4"/>
      <c r="C45" s="10">
        <v>20000</v>
      </c>
      <c r="D45" s="10">
        <f>C45*(1+$M$45)</f>
        <v>20600</v>
      </c>
      <c r="E45" s="10">
        <f t="shared" ref="E45:L45" si="25">D45*(1+$M$45)</f>
        <v>21218</v>
      </c>
      <c r="F45" s="10">
        <f t="shared" si="25"/>
        <v>21854.54</v>
      </c>
      <c r="G45" s="10">
        <f t="shared" si="25"/>
        <v>22510.176200000002</v>
      </c>
      <c r="H45" s="10">
        <f t="shared" si="25"/>
        <v>23185.481486000001</v>
      </c>
      <c r="I45" s="10">
        <f t="shared" si="25"/>
        <v>23881.04593058</v>
      </c>
      <c r="J45" s="10">
        <f t="shared" si="25"/>
        <v>24597.4773084974</v>
      </c>
      <c r="K45" s="10">
        <f t="shared" si="25"/>
        <v>25335.401627752322</v>
      </c>
      <c r="L45" s="10">
        <f t="shared" si="25"/>
        <v>26095.463676584892</v>
      </c>
      <c r="M45" s="68">
        <v>0.03</v>
      </c>
    </row>
    <row r="46" spans="1:24">
      <c r="A46" s="3" t="s">
        <v>17</v>
      </c>
      <c r="B46" s="4"/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5"/>
    </row>
    <row r="47" spans="1:24">
      <c r="A47" s="3" t="s">
        <v>2</v>
      </c>
      <c r="B47" s="4"/>
      <c r="C47" s="12">
        <v>0</v>
      </c>
      <c r="D47" s="12">
        <v>0</v>
      </c>
      <c r="E47" s="12"/>
      <c r="F47" s="12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5"/>
    </row>
    <row r="48" spans="1:24">
      <c r="A48" s="3" t="s">
        <v>3</v>
      </c>
      <c r="B48" s="4"/>
      <c r="C48" s="12">
        <f>SUM(C22:C23)/365*C7</f>
        <v>426262.5</v>
      </c>
      <c r="D48" s="12">
        <f t="shared" ref="D48:L48" si="26">SUM(D22:D23)/365*D7</f>
        <v>441424.6875</v>
      </c>
      <c r="E48" s="12">
        <f t="shared" si="26"/>
        <v>457129.70156249992</v>
      </c>
      <c r="F48" s="12">
        <f t="shared" si="26"/>
        <v>473397.1486171874</v>
      </c>
      <c r="G48" s="12">
        <f t="shared" si="26"/>
        <v>490247.35169378901</v>
      </c>
      <c r="H48" s="12">
        <f t="shared" si="26"/>
        <v>507701.37702182156</v>
      </c>
      <c r="I48" s="12">
        <f t="shared" si="26"/>
        <v>525781.06163727294</v>
      </c>
      <c r="J48" s="12">
        <f t="shared" si="26"/>
        <v>544509.04203524929</v>
      </c>
      <c r="K48" s="12">
        <f t="shared" si="26"/>
        <v>563908.78390918847</v>
      </c>
      <c r="L48" s="12">
        <f t="shared" si="26"/>
        <v>584004.61301885056</v>
      </c>
      <c r="M48" s="5"/>
      <c r="O48" s="23" t="s">
        <v>27</v>
      </c>
      <c r="P48" s="23">
        <v>3</v>
      </c>
      <c r="Q48" s="23"/>
      <c r="R48" s="23" t="s">
        <v>28</v>
      </c>
      <c r="S48" s="24">
        <v>1</v>
      </c>
    </row>
    <row r="49" spans="1:18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/>
    </row>
    <row r="50" spans="1:18">
      <c r="A50" s="3" t="s">
        <v>133</v>
      </c>
      <c r="B50" s="4"/>
      <c r="C50" s="95">
        <v>500000</v>
      </c>
      <c r="D50" s="95">
        <v>500000</v>
      </c>
      <c r="E50" s="95">
        <v>500000</v>
      </c>
      <c r="F50" s="95">
        <v>500000</v>
      </c>
      <c r="G50" s="95">
        <v>500000</v>
      </c>
      <c r="H50" s="95">
        <v>500000</v>
      </c>
      <c r="I50" s="95">
        <v>500000</v>
      </c>
      <c r="J50" s="95">
        <v>500000</v>
      </c>
      <c r="K50" s="95">
        <v>500000</v>
      </c>
      <c r="L50" s="95">
        <v>500000</v>
      </c>
      <c r="M50" s="5"/>
    </row>
    <row r="51" spans="1:18">
      <c r="A51" s="3" t="s">
        <v>18</v>
      </c>
      <c r="B51" s="12"/>
      <c r="C51" s="10">
        <f>$B$16</f>
        <v>11505150</v>
      </c>
      <c r="D51" s="10">
        <f t="shared" ref="D51:L51" si="27">$B$16</f>
        <v>11505150</v>
      </c>
      <c r="E51" s="10">
        <f t="shared" si="27"/>
        <v>11505150</v>
      </c>
      <c r="F51" s="10">
        <f t="shared" si="27"/>
        <v>11505150</v>
      </c>
      <c r="G51" s="10">
        <f t="shared" si="27"/>
        <v>11505150</v>
      </c>
      <c r="H51" s="10">
        <f t="shared" si="27"/>
        <v>11505150</v>
      </c>
      <c r="I51" s="10">
        <f t="shared" si="27"/>
        <v>11505150</v>
      </c>
      <c r="J51" s="10">
        <f t="shared" si="27"/>
        <v>11505150</v>
      </c>
      <c r="K51" s="10">
        <f t="shared" si="27"/>
        <v>11505150</v>
      </c>
      <c r="L51" s="10">
        <f t="shared" si="27"/>
        <v>11505150</v>
      </c>
      <c r="M51" s="5"/>
    </row>
    <row r="52" spans="1:18">
      <c r="A52" s="3" t="s">
        <v>134</v>
      </c>
      <c r="B52" s="12"/>
      <c r="C52" s="10">
        <v>0</v>
      </c>
      <c r="D52" s="10"/>
      <c r="E52" s="10">
        <v>0</v>
      </c>
      <c r="F52" s="10">
        <v>0</v>
      </c>
      <c r="G52" s="10">
        <v>0</v>
      </c>
      <c r="H52" s="10">
        <f t="shared" ref="H52:L52" si="28">$B$16*0.2</f>
        <v>2301030</v>
      </c>
      <c r="I52" s="10">
        <f t="shared" si="28"/>
        <v>2301030</v>
      </c>
      <c r="J52" s="10">
        <f t="shared" si="28"/>
        <v>2301030</v>
      </c>
      <c r="K52" s="10">
        <f t="shared" si="28"/>
        <v>2301030</v>
      </c>
      <c r="L52" s="10">
        <f t="shared" si="28"/>
        <v>2301030</v>
      </c>
      <c r="M52" s="5"/>
    </row>
    <row r="53" spans="1:18">
      <c r="A53" s="43" t="s">
        <v>19</v>
      </c>
      <c r="B53" s="4"/>
      <c r="C53" s="31">
        <f>C33</f>
        <v>383505</v>
      </c>
      <c r="D53" s="31">
        <f>D33+C53</f>
        <v>767010</v>
      </c>
      <c r="E53" s="31">
        <f>E33+D53</f>
        <v>1150515</v>
      </c>
      <c r="F53" s="31">
        <f>F33+E53</f>
        <v>1534020</v>
      </c>
      <c r="G53" s="31">
        <f>G33+F53</f>
        <v>1917525</v>
      </c>
      <c r="H53" s="31">
        <f t="shared" ref="H53:L53" si="29">H33+G53</f>
        <v>2377731</v>
      </c>
      <c r="I53" s="31">
        <f t="shared" si="29"/>
        <v>2837937</v>
      </c>
      <c r="J53" s="31">
        <f t="shared" si="29"/>
        <v>3298143</v>
      </c>
      <c r="K53" s="31">
        <f t="shared" si="29"/>
        <v>3758349</v>
      </c>
      <c r="L53" s="31">
        <f t="shared" si="29"/>
        <v>4218555</v>
      </c>
      <c r="M53" s="5"/>
    </row>
    <row r="54" spans="1:18" ht="18.75" thickBot="1">
      <c r="A54" s="3" t="s">
        <v>20</v>
      </c>
      <c r="B54" s="4"/>
      <c r="C54" s="32">
        <f>SUM(C45:C52)-C53</f>
        <v>12067907.5</v>
      </c>
      <c r="D54" s="32">
        <f t="shared" ref="D54:L54" si="30">SUM(D45:D52)-D53</f>
        <v>11700164.6875</v>
      </c>
      <c r="E54" s="32">
        <f t="shared" si="30"/>
        <v>11332982.7015625</v>
      </c>
      <c r="F54" s="32">
        <f t="shared" si="30"/>
        <v>10966381.688617187</v>
      </c>
      <c r="G54" s="32">
        <f t="shared" si="30"/>
        <v>10600382.527893789</v>
      </c>
      <c r="H54" s="32">
        <f t="shared" si="30"/>
        <v>12459335.858507821</v>
      </c>
      <c r="I54" s="32">
        <f t="shared" si="30"/>
        <v>12017905.107567852</v>
      </c>
      <c r="J54" s="32">
        <f t="shared" si="30"/>
        <v>11577143.519343747</v>
      </c>
      <c r="K54" s="32">
        <f t="shared" si="30"/>
        <v>11137075.185536942</v>
      </c>
      <c r="L54" s="32">
        <f t="shared" si="30"/>
        <v>10697725.076695435</v>
      </c>
      <c r="M54" s="5"/>
    </row>
    <row r="55" spans="1:18" ht="18.75" thickTop="1">
      <c r="A55" s="3"/>
      <c r="B55" s="4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5"/>
    </row>
    <row r="56" spans="1:18">
      <c r="A56" s="6" t="s">
        <v>21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1:18">
      <c r="A57" s="3" t="s">
        <v>4</v>
      </c>
      <c r="B57" s="4"/>
      <c r="C57" s="36">
        <f>(C30/365)*C9</f>
        <v>32876.71232876712</v>
      </c>
      <c r="D57" s="36">
        <f t="shared" ref="D57:L57" si="31">(D30/365)*D9</f>
        <v>33863.013698630137</v>
      </c>
      <c r="E57" s="36">
        <f t="shared" si="31"/>
        <v>34878.904109589042</v>
      </c>
      <c r="F57" s="36">
        <f t="shared" si="31"/>
        <v>35925.271232876716</v>
      </c>
      <c r="G57" s="36">
        <f t="shared" si="31"/>
        <v>37003.029369863019</v>
      </c>
      <c r="H57" s="36">
        <f t="shared" si="31"/>
        <v>38113.120250958906</v>
      </c>
      <c r="I57" s="36">
        <f t="shared" si="31"/>
        <v>39256.513858487677</v>
      </c>
      <c r="J57" s="36">
        <f t="shared" si="31"/>
        <v>40434.209274242305</v>
      </c>
      <c r="K57" s="36">
        <f t="shared" si="31"/>
        <v>41647.235552469574</v>
      </c>
      <c r="L57" s="36">
        <f t="shared" si="31"/>
        <v>42896.652619043663</v>
      </c>
      <c r="M57" s="5"/>
    </row>
    <row r="58" spans="1:18">
      <c r="A58" s="3" t="s">
        <v>129</v>
      </c>
      <c r="B58" s="4"/>
      <c r="C58" s="36">
        <f>C39</f>
        <v>-296766.73569022166</v>
      </c>
      <c r="D58" s="36">
        <f t="shared" ref="D58:L58" si="32">D39</f>
        <v>-312830.73708077869</v>
      </c>
      <c r="E58" s="36">
        <f t="shared" si="32"/>
        <v>-330273.4495313894</v>
      </c>
      <c r="F58" s="36">
        <f t="shared" si="32"/>
        <v>-349217.04403610888</v>
      </c>
      <c r="G58" s="36">
        <f t="shared" si="32"/>
        <v>-369795.09379318217</v>
      </c>
      <c r="H58" s="36">
        <f t="shared" si="32"/>
        <v>-489773.1364028044</v>
      </c>
      <c r="I58" s="36">
        <f t="shared" si="32"/>
        <v>-521441.07463952934</v>
      </c>
      <c r="J58" s="36">
        <f t="shared" si="32"/>
        <v>-555977.88777392032</v>
      </c>
      <c r="K58" s="36">
        <f t="shared" si="32"/>
        <v>-593652.07140783197</v>
      </c>
      <c r="L58" s="36">
        <f t="shared" si="32"/>
        <v>-634758.16425335221</v>
      </c>
      <c r="M58" s="5"/>
    </row>
    <row r="59" spans="1:18">
      <c r="A59" s="3" t="s">
        <v>22</v>
      </c>
      <c r="B59" s="4"/>
      <c r="C59" s="36">
        <f>'Amortization Table'!F13</f>
        <v>7394421.6177671412</v>
      </c>
      <c r="D59" s="36">
        <f>'Amortization Table'!F28</f>
        <v>7278028.1613498759</v>
      </c>
      <c r="E59" s="36">
        <f>'Amortization Table'!F43</f>
        <v>7155679.7948012864</v>
      </c>
      <c r="F59" s="36">
        <f>'Amortization Table'!F58</f>
        <v>7027071.853617345</v>
      </c>
      <c r="G59" s="67">
        <f>'Amortization Table'!F73</f>
        <v>6891884.0860797707</v>
      </c>
      <c r="H59" s="67">
        <f>'Amortization Table'!F88</f>
        <v>6749779.8557845782</v>
      </c>
      <c r="I59" s="67">
        <f>'Amortization Table'!F103</f>
        <v>6600405.3033704618</v>
      </c>
      <c r="J59" s="67">
        <f>'Amortization Table'!F118</f>
        <v>6443388.4653596031</v>
      </c>
      <c r="K59" s="67">
        <f>'Amortization Table'!F133</f>
        <v>6278338.3479167223</v>
      </c>
      <c r="L59" s="67">
        <f>'Amortization Table'!F148</f>
        <v>6104843.9532198599</v>
      </c>
      <c r="M59" s="5"/>
    </row>
    <row r="60" spans="1:18">
      <c r="A60" s="3" t="s">
        <v>23</v>
      </c>
      <c r="B60" s="4"/>
      <c r="C60" s="36">
        <v>1827676.1126649794</v>
      </c>
      <c r="D60" s="36">
        <v>2529896.6678452739</v>
      </c>
      <c r="E60" s="36">
        <v>3292310.2190901814</v>
      </c>
      <c r="F60" s="36">
        <v>4119865.5068185683</v>
      </c>
      <c r="G60" s="36">
        <v>5017939.6866323836</v>
      </c>
      <c r="H60" s="36">
        <v>8607184.6084785461</v>
      </c>
      <c r="I60" s="36">
        <v>9909976.1785004754</v>
      </c>
      <c r="J60" s="36">
        <v>11327524.209327627</v>
      </c>
      <c r="K60" s="36">
        <v>12869923.364542881</v>
      </c>
      <c r="L60" s="36">
        <v>14548198.818937242</v>
      </c>
      <c r="M60" s="5"/>
    </row>
    <row r="61" spans="1:18">
      <c r="A61" s="3"/>
      <c r="B61" s="4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5"/>
    </row>
    <row r="62" spans="1:18" s="22" customFormat="1">
      <c r="A62" s="6" t="s">
        <v>26</v>
      </c>
      <c r="B62" s="20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21"/>
    </row>
    <row r="63" spans="1:18">
      <c r="A63" s="3" t="s">
        <v>5</v>
      </c>
      <c r="B63" s="98">
        <f>C51-C63</f>
        <v>7505150</v>
      </c>
      <c r="C63" s="36">
        <v>4000000</v>
      </c>
      <c r="D63" s="36">
        <f>$C$63</f>
        <v>4000000</v>
      </c>
      <c r="E63" s="36">
        <f t="shared" ref="E63:L63" si="33">$C$63</f>
        <v>4000000</v>
      </c>
      <c r="F63" s="36">
        <f t="shared" si="33"/>
        <v>4000000</v>
      </c>
      <c r="G63" s="36">
        <f t="shared" si="33"/>
        <v>4000000</v>
      </c>
      <c r="H63" s="36">
        <f t="shared" si="33"/>
        <v>4000000</v>
      </c>
      <c r="I63" s="36">
        <f t="shared" si="33"/>
        <v>4000000</v>
      </c>
      <c r="J63" s="36">
        <f t="shared" si="33"/>
        <v>4000000</v>
      </c>
      <c r="K63" s="36">
        <f t="shared" si="33"/>
        <v>4000000</v>
      </c>
      <c r="L63" s="36">
        <f t="shared" si="33"/>
        <v>4000000</v>
      </c>
      <c r="M63" s="93">
        <v>20000000000</v>
      </c>
      <c r="P63" s="33"/>
      <c r="Q63" s="33"/>
      <c r="R63" s="33"/>
    </row>
    <row r="64" spans="1:18">
      <c r="A64" s="3" t="s">
        <v>24</v>
      </c>
      <c r="B64" s="4"/>
      <c r="C64" s="36">
        <f>C40</f>
        <v>-890300.20707066497</v>
      </c>
      <c r="D64" s="36">
        <f>D40+C64</f>
        <v>-1828792.418313001</v>
      </c>
      <c r="E64" s="36">
        <f t="shared" ref="E64" si="34">E40+D64</f>
        <v>-2819612.7669071695</v>
      </c>
      <c r="F64" s="36">
        <f>F40+E64</f>
        <v>-3867263.899015496</v>
      </c>
      <c r="G64" s="36">
        <f t="shared" ref="G64:L64" si="35">G40+F64</f>
        <v>-4976649.1803950425</v>
      </c>
      <c r="H64" s="36">
        <f t="shared" si="35"/>
        <v>-6445968.5896034557</v>
      </c>
      <c r="I64" s="36">
        <f t="shared" si="35"/>
        <v>-8010291.8135220436</v>
      </c>
      <c r="J64" s="36">
        <f t="shared" si="35"/>
        <v>-9678225.4768438041</v>
      </c>
      <c r="K64" s="36">
        <f t="shared" si="35"/>
        <v>-11459181.691067301</v>
      </c>
      <c r="L64" s="36">
        <f t="shared" si="35"/>
        <v>-13363456.183827357</v>
      </c>
      <c r="M64" s="5"/>
    </row>
    <row r="65" spans="1:13">
      <c r="A65" s="3"/>
      <c r="B65" s="4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5"/>
    </row>
    <row r="66" spans="1:13" ht="18.75" thickBot="1">
      <c r="A66" s="3" t="s">
        <v>25</v>
      </c>
      <c r="B66" s="4"/>
      <c r="C66" s="38">
        <f>SUM(C57:C64)</f>
        <v>12067907.5</v>
      </c>
      <c r="D66" s="38">
        <f t="shared" ref="D66:L66" si="36">SUM(D57:D64)</f>
        <v>11700164.6875</v>
      </c>
      <c r="E66" s="38">
        <f t="shared" si="36"/>
        <v>11332982.701562498</v>
      </c>
      <c r="F66" s="38">
        <f t="shared" si="36"/>
        <v>10966381.688617187</v>
      </c>
      <c r="G66" s="38">
        <f t="shared" si="36"/>
        <v>10600382.527893793</v>
      </c>
      <c r="H66" s="38">
        <f t="shared" si="36"/>
        <v>12459335.858507825</v>
      </c>
      <c r="I66" s="38">
        <f t="shared" si="36"/>
        <v>12017905.107567851</v>
      </c>
      <c r="J66" s="38">
        <f t="shared" si="36"/>
        <v>11577143.519343749</v>
      </c>
      <c r="K66" s="38">
        <f t="shared" si="36"/>
        <v>11137075.18553694</v>
      </c>
      <c r="L66" s="38">
        <f t="shared" si="36"/>
        <v>10697725.076695437</v>
      </c>
      <c r="M66" s="5"/>
    </row>
    <row r="67" spans="1:13" ht="19.5" thickTop="1" thickBot="1">
      <c r="A67" s="7"/>
      <c r="B67" s="8"/>
      <c r="C67" s="39">
        <f>C54-C66</f>
        <v>0</v>
      </c>
      <c r="D67" s="39">
        <f t="shared" ref="D67:L67" si="37">D54-D66</f>
        <v>0</v>
      </c>
      <c r="E67" s="39">
        <f t="shared" si="37"/>
        <v>0</v>
      </c>
      <c r="F67" s="39">
        <f t="shared" si="37"/>
        <v>0</v>
      </c>
      <c r="G67" s="39">
        <f t="shared" si="37"/>
        <v>0</v>
      </c>
      <c r="H67" s="39">
        <f t="shared" si="37"/>
        <v>0</v>
      </c>
      <c r="I67" s="39">
        <f t="shared" si="37"/>
        <v>0</v>
      </c>
      <c r="J67" s="39">
        <f t="shared" si="37"/>
        <v>0</v>
      </c>
      <c r="K67" s="39">
        <f t="shared" si="37"/>
        <v>0</v>
      </c>
      <c r="L67" s="39">
        <f t="shared" si="37"/>
        <v>0</v>
      </c>
      <c r="M67" s="9"/>
    </row>
    <row r="68" spans="1:13">
      <c r="A68" s="74" t="s">
        <v>82</v>
      </c>
      <c r="B68" s="75"/>
      <c r="C68" s="96"/>
      <c r="D68" s="96"/>
      <c r="E68" s="96"/>
      <c r="F68" s="96"/>
      <c r="G68" s="96"/>
      <c r="H68" s="96"/>
      <c r="I68" s="96"/>
      <c r="J68" s="96"/>
      <c r="K68" s="96"/>
      <c r="L68" s="96"/>
    </row>
    <row r="69" spans="1:13">
      <c r="A69" s="75"/>
      <c r="B69" s="75"/>
      <c r="C69" s="75"/>
      <c r="D69" s="76"/>
      <c r="E69" s="96"/>
      <c r="F69" s="96"/>
      <c r="G69" s="75"/>
      <c r="H69" s="75"/>
      <c r="I69" s="75"/>
      <c r="J69" s="75"/>
      <c r="K69" s="69"/>
      <c r="L69" s="69"/>
    </row>
    <row r="70" spans="1:13">
      <c r="A70" s="74" t="s">
        <v>83</v>
      </c>
      <c r="B70" s="75"/>
      <c r="C70" s="75"/>
      <c r="D70" s="75"/>
      <c r="E70" s="96"/>
      <c r="F70" s="96"/>
      <c r="G70" s="75"/>
      <c r="H70" s="75"/>
      <c r="I70" s="75"/>
      <c r="J70" s="75"/>
      <c r="K70" s="69"/>
      <c r="L70" s="69"/>
    </row>
    <row r="71" spans="1:13">
      <c r="A71" s="75"/>
      <c r="B71" s="75" t="s">
        <v>139</v>
      </c>
      <c r="C71" s="75"/>
      <c r="D71" s="75">
        <v>0.8</v>
      </c>
      <c r="E71" s="75"/>
      <c r="F71" s="75"/>
      <c r="G71" s="75"/>
      <c r="H71" s="75"/>
      <c r="I71" s="75"/>
      <c r="J71" s="75"/>
      <c r="K71" s="69"/>
      <c r="L71" s="69"/>
    </row>
    <row r="72" spans="1:13">
      <c r="A72" s="75"/>
      <c r="B72" s="75" t="s">
        <v>138</v>
      </c>
      <c r="C72" s="75"/>
      <c r="D72" s="99">
        <f>D71*(1+(1-D83)*(E86/E90))</f>
        <v>-0.52342432324268595</v>
      </c>
      <c r="E72" s="75"/>
      <c r="F72" s="75"/>
      <c r="G72" s="75"/>
      <c r="H72" s="75"/>
      <c r="I72" s="75"/>
      <c r="J72" s="75"/>
      <c r="K72" s="69"/>
      <c r="L72" s="69"/>
    </row>
    <row r="73" spans="1:13">
      <c r="A73" s="75"/>
      <c r="B73" s="75" t="s">
        <v>84</v>
      </c>
      <c r="C73" s="75"/>
      <c r="D73" s="77">
        <v>1.2500000000000001E-2</v>
      </c>
      <c r="E73" s="75"/>
      <c r="F73" s="75"/>
      <c r="G73" s="75"/>
      <c r="H73" s="75"/>
      <c r="I73" s="75"/>
      <c r="J73" s="75"/>
      <c r="K73" s="69"/>
      <c r="L73" s="69"/>
    </row>
    <row r="74" spans="1:13">
      <c r="A74" s="75"/>
      <c r="B74" s="75" t="s">
        <v>85</v>
      </c>
      <c r="C74" s="75"/>
      <c r="D74" s="77">
        <v>0.1125</v>
      </c>
      <c r="E74" s="75"/>
      <c r="F74" s="75"/>
      <c r="G74" s="75"/>
      <c r="H74" s="75"/>
      <c r="I74" s="75"/>
      <c r="J74" s="75"/>
      <c r="K74" s="69"/>
      <c r="L74" s="69"/>
    </row>
    <row r="75" spans="1:13">
      <c r="A75" s="75"/>
      <c r="B75" s="75"/>
      <c r="C75" s="75"/>
      <c r="D75" s="78"/>
      <c r="E75" s="75"/>
      <c r="F75" s="75"/>
      <c r="G75" s="75"/>
      <c r="H75" s="75"/>
      <c r="I75" s="75"/>
      <c r="J75" s="75"/>
      <c r="K75" s="69"/>
      <c r="L75" s="69"/>
    </row>
    <row r="76" spans="1:13">
      <c r="A76" s="75"/>
      <c r="B76" s="75" t="s">
        <v>86</v>
      </c>
      <c r="C76" s="75"/>
      <c r="D76" s="77">
        <f>D73+D72*(D74-D73)</f>
        <v>-3.9842432324268595E-2</v>
      </c>
      <c r="E76" s="75"/>
      <c r="F76" s="75"/>
      <c r="G76" s="75"/>
      <c r="H76" s="75"/>
      <c r="I76" s="75"/>
      <c r="J76" s="75"/>
      <c r="K76" s="69"/>
      <c r="L76" s="69"/>
    </row>
    <row r="77" spans="1:13">
      <c r="A77" s="75"/>
      <c r="B77" s="75"/>
      <c r="C77" s="75"/>
      <c r="D77" s="78"/>
      <c r="E77" s="75"/>
      <c r="F77" s="75"/>
      <c r="G77" s="75"/>
      <c r="H77" s="75"/>
      <c r="I77" s="75"/>
      <c r="J77" s="75"/>
      <c r="K77" s="69"/>
      <c r="L77" s="69"/>
    </row>
    <row r="78" spans="1:13">
      <c r="A78" s="74" t="s">
        <v>87</v>
      </c>
      <c r="B78" s="75"/>
      <c r="C78" s="75"/>
      <c r="D78" s="78"/>
      <c r="E78" s="75" t="s">
        <v>136</v>
      </c>
      <c r="F78" s="75" t="s">
        <v>137</v>
      </c>
      <c r="G78" s="75"/>
      <c r="H78" s="75"/>
      <c r="I78" s="75"/>
      <c r="J78" s="75"/>
      <c r="K78" s="69"/>
      <c r="L78" s="69"/>
    </row>
    <row r="79" spans="1:13">
      <c r="A79" s="75"/>
      <c r="B79" s="75" t="s">
        <v>130</v>
      </c>
      <c r="C79" s="75"/>
      <c r="D79" s="78">
        <f>'Amortization Table'!I2</f>
        <v>0.05</v>
      </c>
      <c r="E79" s="79">
        <f>L59</f>
        <v>6104843.9532198599</v>
      </c>
      <c r="F79" s="80">
        <f>E79/SUM($E$79:$E$80)</f>
        <v>0.29559053455551626</v>
      </c>
      <c r="G79" s="75" t="s">
        <v>88</v>
      </c>
      <c r="H79" s="75"/>
      <c r="I79" s="75"/>
      <c r="J79" s="75"/>
      <c r="K79" s="69"/>
      <c r="L79" s="69"/>
    </row>
    <row r="80" spans="1:13">
      <c r="A80" s="75" t="s">
        <v>89</v>
      </c>
      <c r="B80" s="75" t="s">
        <v>90</v>
      </c>
      <c r="C80" s="75"/>
      <c r="D80" s="78">
        <f>M35</f>
        <v>0.12</v>
      </c>
      <c r="E80" s="79">
        <f>L60</f>
        <v>14548198.818937242</v>
      </c>
      <c r="F80" s="80">
        <f>E80/SUM($E$79:$E$80)</f>
        <v>0.70440946544448368</v>
      </c>
      <c r="G80" s="75" t="s">
        <v>91</v>
      </c>
      <c r="H80" s="75"/>
      <c r="I80" s="75"/>
      <c r="J80" s="75"/>
      <c r="K80" s="69"/>
      <c r="L80" s="69"/>
    </row>
    <row r="81" spans="1:12">
      <c r="A81" s="75"/>
      <c r="B81" s="75" t="s">
        <v>92</v>
      </c>
      <c r="C81" s="75"/>
      <c r="D81" s="78">
        <f>+D79*F79+D80*F80</f>
        <v>9.9308662581113857E-2</v>
      </c>
      <c r="E81" s="79"/>
      <c r="F81" s="80"/>
      <c r="G81" s="75"/>
      <c r="H81" s="75"/>
      <c r="I81" s="75"/>
      <c r="J81" s="75"/>
      <c r="K81" s="69"/>
      <c r="L81" s="69"/>
    </row>
    <row r="82" spans="1:12">
      <c r="A82" s="75"/>
      <c r="B82" s="75"/>
      <c r="C82" s="75"/>
      <c r="D82" s="78"/>
      <c r="E82" s="75"/>
      <c r="F82" s="75"/>
      <c r="G82" s="75"/>
      <c r="H82" s="75"/>
      <c r="I82" s="75"/>
      <c r="J82" s="75"/>
      <c r="K82" s="69"/>
      <c r="L82" s="69"/>
    </row>
    <row r="83" spans="1:12">
      <c r="A83" s="75" t="s">
        <v>93</v>
      </c>
      <c r="B83" s="75"/>
      <c r="C83" s="75"/>
      <c r="D83" s="78">
        <f>M39</f>
        <v>0.25</v>
      </c>
      <c r="E83" s="75"/>
      <c r="F83" s="75"/>
      <c r="G83" s="75"/>
      <c r="H83" s="75"/>
      <c r="I83" s="75"/>
      <c r="J83" s="75"/>
      <c r="K83" s="69"/>
      <c r="L83" s="69"/>
    </row>
    <row r="84" spans="1:12">
      <c r="A84" s="75"/>
      <c r="B84" s="75"/>
      <c r="C84" s="75"/>
      <c r="D84" s="81"/>
      <c r="E84" s="75"/>
      <c r="F84" s="75"/>
      <c r="G84" s="75"/>
      <c r="H84" s="75"/>
      <c r="I84" s="75"/>
      <c r="J84" s="75"/>
      <c r="K84" s="69"/>
      <c r="L84" s="69"/>
    </row>
    <row r="85" spans="1:12">
      <c r="A85" s="74" t="s">
        <v>94</v>
      </c>
      <c r="B85" s="75"/>
      <c r="C85" s="75"/>
      <c r="D85" s="81"/>
      <c r="E85" s="75" t="s">
        <v>95</v>
      </c>
      <c r="F85" s="75"/>
      <c r="G85" s="75"/>
      <c r="H85" s="75"/>
      <c r="I85" s="75"/>
      <c r="J85" s="75"/>
      <c r="K85" s="69"/>
      <c r="L85" s="69"/>
    </row>
    <row r="86" spans="1:12">
      <c r="A86" s="75" t="s">
        <v>96</v>
      </c>
      <c r="B86" s="75"/>
      <c r="C86" s="75"/>
      <c r="D86" s="81">
        <f>E79</f>
        <v>6104843.9532198599</v>
      </c>
      <c r="E86" s="78">
        <f>+(D86+D87)/D93</f>
        <v>1.8293887566712617</v>
      </c>
      <c r="F86" s="75"/>
      <c r="G86" s="75"/>
      <c r="H86" s="75"/>
      <c r="I86" s="75"/>
      <c r="J86" s="75"/>
      <c r="K86" s="69"/>
      <c r="L86" s="69"/>
    </row>
    <row r="87" spans="1:12">
      <c r="A87" s="75" t="s">
        <v>97</v>
      </c>
      <c r="B87" s="75"/>
      <c r="C87" s="75"/>
      <c r="D87" s="81">
        <f>E80</f>
        <v>14548198.818937242</v>
      </c>
      <c r="E87" s="78"/>
      <c r="F87" s="75"/>
      <c r="G87" s="75"/>
      <c r="H87" s="75"/>
      <c r="I87" s="75"/>
      <c r="J87" s="75"/>
      <c r="K87" s="69"/>
      <c r="L87" s="69"/>
    </row>
    <row r="88" spans="1:12">
      <c r="A88" s="75"/>
      <c r="B88" s="75"/>
      <c r="C88" s="75"/>
      <c r="D88" s="75"/>
      <c r="E88" s="78"/>
      <c r="F88" s="75"/>
      <c r="G88" s="75"/>
      <c r="H88" s="75"/>
      <c r="I88" s="75"/>
      <c r="J88" s="75"/>
      <c r="K88" s="69"/>
      <c r="L88" s="69"/>
    </row>
    <row r="89" spans="1:12">
      <c r="A89" s="74" t="s">
        <v>98</v>
      </c>
      <c r="B89" s="75"/>
      <c r="C89" s="75"/>
      <c r="D89" s="75"/>
      <c r="E89" s="78"/>
      <c r="F89" s="75"/>
      <c r="G89" s="75"/>
      <c r="H89" s="75"/>
      <c r="I89" s="75"/>
      <c r="J89" s="75"/>
      <c r="K89" s="69"/>
      <c r="L89" s="69"/>
    </row>
    <row r="90" spans="1:12">
      <c r="A90" s="75" t="s">
        <v>99</v>
      </c>
      <c r="B90" s="75"/>
      <c r="C90" s="75"/>
      <c r="D90" s="81">
        <f>L63</f>
        <v>4000000</v>
      </c>
      <c r="E90" s="78">
        <f>(+D90+D91)/D93</f>
        <v>-0.82938875667126155</v>
      </c>
      <c r="F90" s="75"/>
      <c r="G90" s="75"/>
      <c r="H90" s="75"/>
      <c r="I90" s="75"/>
      <c r="J90" s="75"/>
      <c r="K90" s="69"/>
      <c r="L90" s="69"/>
    </row>
    <row r="91" spans="1:12">
      <c r="A91" s="75" t="s">
        <v>100</v>
      </c>
      <c r="B91" s="75"/>
      <c r="C91" s="75"/>
      <c r="D91" s="81">
        <f>L64</f>
        <v>-13363456.183827357</v>
      </c>
      <c r="E91" s="75"/>
      <c r="F91" s="75"/>
      <c r="G91" s="75"/>
      <c r="H91" s="75"/>
      <c r="I91" s="75"/>
      <c r="J91" s="75"/>
      <c r="K91" s="69"/>
      <c r="L91" s="69"/>
    </row>
    <row r="92" spans="1:12">
      <c r="A92" s="75"/>
      <c r="B92" s="75"/>
      <c r="C92" s="75"/>
      <c r="D92" s="81"/>
      <c r="E92" s="75"/>
      <c r="F92" s="75"/>
      <c r="G92" s="75"/>
      <c r="H92" s="75"/>
      <c r="I92" s="75"/>
      <c r="J92" s="75"/>
      <c r="K92" s="69"/>
      <c r="L92" s="69"/>
    </row>
    <row r="93" spans="1:12">
      <c r="A93" s="74" t="s">
        <v>101</v>
      </c>
      <c r="B93" s="75"/>
      <c r="C93" s="75"/>
      <c r="D93" s="79">
        <f>SUM(D86:D91)</f>
        <v>11289586.588329745</v>
      </c>
      <c r="E93" s="75"/>
      <c r="F93" s="75"/>
      <c r="G93" s="75"/>
      <c r="H93" s="75"/>
      <c r="I93" s="75"/>
      <c r="J93" s="75"/>
      <c r="K93" s="69"/>
      <c r="L93" s="69"/>
    </row>
    <row r="94" spans="1:12">
      <c r="A94" s="75"/>
      <c r="B94" s="75"/>
      <c r="C94" s="75"/>
      <c r="D94" s="81"/>
      <c r="E94" s="75"/>
      <c r="F94" s="75"/>
      <c r="G94" s="75"/>
      <c r="H94" s="75"/>
      <c r="I94" s="75"/>
      <c r="J94" s="75"/>
      <c r="K94" s="69"/>
      <c r="L94" s="69"/>
    </row>
    <row r="95" spans="1:12">
      <c r="A95" s="74" t="s">
        <v>102</v>
      </c>
      <c r="B95" s="75"/>
      <c r="C95" s="75"/>
      <c r="D95" s="77">
        <f>+E86*(1-D83)*D81+E90*D76</f>
        <v>0.16930047848264632</v>
      </c>
      <c r="E95" s="75"/>
      <c r="F95" s="75"/>
      <c r="G95" s="75"/>
      <c r="H95" s="75"/>
      <c r="I95" s="75"/>
      <c r="J95" s="75"/>
      <c r="K95" s="69"/>
      <c r="L95" s="69"/>
    </row>
    <row r="96" spans="1:12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70"/>
      <c r="L96" s="70"/>
    </row>
    <row r="97" spans="1:16">
      <c r="A97" s="83" t="s">
        <v>103</v>
      </c>
      <c r="B97" s="84"/>
      <c r="C97" s="84"/>
      <c r="D97" s="84"/>
      <c r="E97" s="84"/>
      <c r="F97" s="84"/>
      <c r="G97" s="84"/>
      <c r="H97" s="84"/>
      <c r="I97" s="84"/>
      <c r="J97" s="84"/>
      <c r="K97" s="71"/>
      <c r="L97" s="71"/>
    </row>
    <row r="98" spans="1:16">
      <c r="A98" s="84"/>
      <c r="B98" s="84"/>
      <c r="C98" s="84">
        <v>0</v>
      </c>
      <c r="D98" s="84">
        <v>1</v>
      </c>
      <c r="E98" s="84">
        <v>2</v>
      </c>
      <c r="F98" s="84">
        <v>3</v>
      </c>
      <c r="G98" s="84">
        <v>4</v>
      </c>
      <c r="H98" s="84">
        <v>5</v>
      </c>
      <c r="I98" s="84">
        <v>6</v>
      </c>
      <c r="J98" s="84">
        <v>7</v>
      </c>
      <c r="K98" s="71">
        <v>8</v>
      </c>
      <c r="L98" s="71">
        <v>9</v>
      </c>
      <c r="M98" s="94">
        <v>10</v>
      </c>
    </row>
    <row r="99" spans="1:16">
      <c r="A99" s="74" t="s">
        <v>104</v>
      </c>
      <c r="B99" s="75"/>
      <c r="C99" s="85"/>
      <c r="D99" s="75"/>
      <c r="E99" s="75"/>
      <c r="F99" s="75"/>
      <c r="G99" s="75"/>
      <c r="H99" s="75"/>
      <c r="I99" s="75"/>
      <c r="J99" s="75"/>
      <c r="K99" s="69"/>
      <c r="L99" s="69"/>
    </row>
    <row r="100" spans="1:16">
      <c r="A100" s="75"/>
      <c r="B100" s="75" t="s">
        <v>105</v>
      </c>
      <c r="C100" s="75"/>
      <c r="D100" s="79">
        <f>C24-SUM(C27:C30)</f>
        <v>-211497.97500000009</v>
      </c>
      <c r="E100" s="79">
        <f t="shared" ref="E100:M100" si="38">D24-SUM(D27:D30)</f>
        <v>-197152.58812500001</v>
      </c>
      <c r="F100" s="79">
        <f t="shared" si="38"/>
        <v>-181388.72190937633</v>
      </c>
      <c r="G100" s="79">
        <f t="shared" si="38"/>
        <v>-164116.04003620334</v>
      </c>
      <c r="H100" s="79">
        <f t="shared" si="38"/>
        <v>-145239.16384047107</v>
      </c>
      <c r="I100" s="79">
        <f t="shared" si="38"/>
        <v>-124657.40641503781</v>
      </c>
      <c r="J100" s="79">
        <f t="shared" si="38"/>
        <v>-102264.49307823088</v>
      </c>
      <c r="K100" s="79">
        <f t="shared" si="38"/>
        <v>-77948.267513276543</v>
      </c>
      <c r="L100" s="79">
        <f t="shared" si="38"/>
        <v>-51590.382855117321</v>
      </c>
      <c r="M100" s="79">
        <f t="shared" si="38"/>
        <v>-23065.976963856257</v>
      </c>
    </row>
    <row r="101" spans="1:16">
      <c r="A101" s="75"/>
      <c r="B101" s="75" t="s">
        <v>106</v>
      </c>
      <c r="C101" s="75"/>
      <c r="D101" s="79">
        <f>C33</f>
        <v>383505</v>
      </c>
      <c r="E101" s="79">
        <f t="shared" ref="E101:M101" si="39">D33</f>
        <v>383505</v>
      </c>
      <c r="F101" s="79">
        <f t="shared" si="39"/>
        <v>383505</v>
      </c>
      <c r="G101" s="79">
        <f t="shared" si="39"/>
        <v>383505</v>
      </c>
      <c r="H101" s="79">
        <f t="shared" si="39"/>
        <v>383505</v>
      </c>
      <c r="I101" s="79">
        <f t="shared" si="39"/>
        <v>460206</v>
      </c>
      <c r="J101" s="79">
        <f t="shared" si="39"/>
        <v>460206</v>
      </c>
      <c r="K101" s="79">
        <f t="shared" si="39"/>
        <v>460206</v>
      </c>
      <c r="L101" s="79">
        <f t="shared" si="39"/>
        <v>460206</v>
      </c>
      <c r="M101" s="79">
        <f t="shared" si="39"/>
        <v>460206</v>
      </c>
    </row>
    <row r="102" spans="1:16">
      <c r="A102" s="75"/>
      <c r="B102" s="75" t="s">
        <v>107</v>
      </c>
      <c r="C102" s="75"/>
      <c r="D102" s="79">
        <f>D100-D101</f>
        <v>-595002.97500000009</v>
      </c>
      <c r="E102" s="79">
        <f t="shared" ref="E102:M102" si="40">E100-E101</f>
        <v>-580657.58812500001</v>
      </c>
      <c r="F102" s="79">
        <f t="shared" si="40"/>
        <v>-564893.72190937633</v>
      </c>
      <c r="G102" s="79">
        <f t="shared" si="40"/>
        <v>-547621.04003620334</v>
      </c>
      <c r="H102" s="79">
        <f t="shared" si="40"/>
        <v>-528744.16384047107</v>
      </c>
      <c r="I102" s="79">
        <f t="shared" si="40"/>
        <v>-584863.40641503781</v>
      </c>
      <c r="J102" s="79">
        <f t="shared" si="40"/>
        <v>-562470.49307823088</v>
      </c>
      <c r="K102" s="79">
        <f t="shared" si="40"/>
        <v>-538154.26751327654</v>
      </c>
      <c r="L102" s="79">
        <f t="shared" si="40"/>
        <v>-511796.38285511732</v>
      </c>
      <c r="M102" s="79">
        <f t="shared" si="40"/>
        <v>-483271.97696385626</v>
      </c>
    </row>
    <row r="103" spans="1:16">
      <c r="A103" s="75"/>
      <c r="B103" s="75" t="s">
        <v>108</v>
      </c>
      <c r="C103" s="75"/>
      <c r="D103" s="79">
        <f>D102*$D$83</f>
        <v>-148750.74375000002</v>
      </c>
      <c r="E103" s="79">
        <f t="shared" ref="E103:M103" si="41">E102*$D$83</f>
        <v>-145164.39703125</v>
      </c>
      <c r="F103" s="79">
        <f t="shared" si="41"/>
        <v>-141223.43047734408</v>
      </c>
      <c r="G103" s="79">
        <f t="shared" si="41"/>
        <v>-136905.26000905083</v>
      </c>
      <c r="H103" s="79">
        <f t="shared" si="41"/>
        <v>-132186.04096011777</v>
      </c>
      <c r="I103" s="79">
        <f t="shared" si="41"/>
        <v>-146215.85160375945</v>
      </c>
      <c r="J103" s="79">
        <f t="shared" si="41"/>
        <v>-140617.62326955772</v>
      </c>
      <c r="K103" s="79">
        <f t="shared" si="41"/>
        <v>-134538.56687831914</v>
      </c>
      <c r="L103" s="79">
        <f t="shared" si="41"/>
        <v>-127949.09571377933</v>
      </c>
      <c r="M103" s="79">
        <f t="shared" si="41"/>
        <v>-120817.99424096406</v>
      </c>
    </row>
    <row r="104" spans="1:16">
      <c r="A104" s="75"/>
      <c r="B104" s="75" t="s">
        <v>109</v>
      </c>
      <c r="C104" s="75"/>
      <c r="D104" s="79">
        <f>D102-D103</f>
        <v>-446252.23125000007</v>
      </c>
      <c r="E104" s="79">
        <f t="shared" ref="E104:M104" si="42">E102-E103</f>
        <v>-435493.19109375001</v>
      </c>
      <c r="F104" s="79">
        <f t="shared" si="42"/>
        <v>-423670.29143203225</v>
      </c>
      <c r="G104" s="79">
        <f t="shared" si="42"/>
        <v>-410715.7800271525</v>
      </c>
      <c r="H104" s="79">
        <f t="shared" si="42"/>
        <v>-396558.1228803533</v>
      </c>
      <c r="I104" s="79">
        <f t="shared" si="42"/>
        <v>-438647.55481127836</v>
      </c>
      <c r="J104" s="79">
        <f t="shared" si="42"/>
        <v>-421852.86980867316</v>
      </c>
      <c r="K104" s="79">
        <f t="shared" si="42"/>
        <v>-403615.70063495741</v>
      </c>
      <c r="L104" s="79">
        <f t="shared" si="42"/>
        <v>-383847.28714133799</v>
      </c>
      <c r="M104" s="79">
        <f t="shared" si="42"/>
        <v>-362453.98272289219</v>
      </c>
    </row>
    <row r="105" spans="1:16">
      <c r="A105" s="75"/>
      <c r="B105" s="75" t="s">
        <v>110</v>
      </c>
      <c r="C105" s="75"/>
      <c r="D105" s="79">
        <f>D101</f>
        <v>383505</v>
      </c>
      <c r="E105" s="79">
        <f>E101</f>
        <v>383505</v>
      </c>
      <c r="F105" s="79">
        <f>F101</f>
        <v>383505</v>
      </c>
      <c r="G105" s="79">
        <f>G101</f>
        <v>383505</v>
      </c>
      <c r="H105" s="79">
        <f t="shared" ref="H105:M105" si="43">H101</f>
        <v>383505</v>
      </c>
      <c r="I105" s="79">
        <f t="shared" si="43"/>
        <v>460206</v>
      </c>
      <c r="J105" s="79">
        <f t="shared" si="43"/>
        <v>460206</v>
      </c>
      <c r="K105" s="79">
        <f t="shared" si="43"/>
        <v>460206</v>
      </c>
      <c r="L105" s="79">
        <f t="shared" si="43"/>
        <v>460206</v>
      </c>
      <c r="M105" s="79">
        <f t="shared" si="43"/>
        <v>460206</v>
      </c>
    </row>
    <row r="106" spans="1:16">
      <c r="A106" s="75"/>
      <c r="B106" s="75" t="s">
        <v>104</v>
      </c>
      <c r="C106" s="75"/>
      <c r="D106" s="86">
        <f>D104+D105</f>
        <v>-62747.23125000007</v>
      </c>
      <c r="E106" s="86">
        <f>E104+E105</f>
        <v>-51988.191093750007</v>
      </c>
      <c r="F106" s="86">
        <f>F104+F105</f>
        <v>-40165.291432032245</v>
      </c>
      <c r="G106" s="86">
        <f>G104+G105</f>
        <v>-27210.780027152505</v>
      </c>
      <c r="H106" s="86">
        <f t="shared" ref="H106:M106" si="44">H104+H105</f>
        <v>-13053.122880353301</v>
      </c>
      <c r="I106" s="86">
        <f t="shared" si="44"/>
        <v>21558.445188721642</v>
      </c>
      <c r="J106" s="86">
        <f t="shared" si="44"/>
        <v>38353.13019132684</v>
      </c>
      <c r="K106" s="86">
        <f t="shared" si="44"/>
        <v>56590.299365042592</v>
      </c>
      <c r="L106" s="86">
        <f t="shared" si="44"/>
        <v>76358.712858662009</v>
      </c>
      <c r="M106" s="86">
        <f t="shared" si="44"/>
        <v>97752.017277107807</v>
      </c>
    </row>
    <row r="107" spans="1:16">
      <c r="A107" s="74" t="s">
        <v>111</v>
      </c>
      <c r="B107" s="75"/>
      <c r="C107" s="75"/>
      <c r="D107" s="75"/>
      <c r="E107" s="75"/>
      <c r="F107" s="75"/>
      <c r="G107" s="75"/>
      <c r="H107" s="75"/>
      <c r="I107" s="75"/>
      <c r="J107" s="75"/>
      <c r="K107" s="69"/>
      <c r="L107" s="69"/>
    </row>
    <row r="108" spans="1:16">
      <c r="A108" s="75"/>
      <c r="B108" s="75" t="s">
        <v>112</v>
      </c>
      <c r="C108" s="79">
        <f>-C51</f>
        <v>-11505150</v>
      </c>
      <c r="D108" s="75"/>
      <c r="E108" s="75"/>
      <c r="F108" s="75"/>
      <c r="G108" s="75"/>
      <c r="H108" s="75"/>
      <c r="I108" s="75"/>
      <c r="J108" s="75"/>
      <c r="K108" s="69"/>
      <c r="L108" s="69"/>
    </row>
    <row r="109" spans="1:16">
      <c r="A109" s="75"/>
      <c r="B109" s="75" t="s">
        <v>135</v>
      </c>
      <c r="C109" s="79"/>
      <c r="D109" s="75"/>
      <c r="E109" s="75"/>
      <c r="F109" s="96">
        <f>-G52</f>
        <v>0</v>
      </c>
      <c r="G109" s="75"/>
      <c r="H109" s="75"/>
      <c r="I109" s="75"/>
      <c r="J109" s="75"/>
      <c r="K109" s="69"/>
      <c r="L109" s="69"/>
    </row>
    <row r="110" spans="1:16">
      <c r="A110" s="75"/>
      <c r="B110" s="75" t="s">
        <v>113</v>
      </c>
      <c r="C110" s="75"/>
      <c r="D110" s="75"/>
      <c r="E110" s="75"/>
      <c r="F110" s="75"/>
      <c r="H110" s="75"/>
      <c r="K110" s="69"/>
      <c r="M110" s="97">
        <f>P110*P111</f>
        <v>12194404.36125</v>
      </c>
      <c r="O110" s="75" t="s">
        <v>114</v>
      </c>
      <c r="P110" s="79">
        <f>(L51+L52)-L53</f>
        <v>9587625</v>
      </c>
    </row>
    <row r="111" spans="1:16">
      <c r="A111" s="75"/>
      <c r="B111" s="75" t="s">
        <v>115</v>
      </c>
      <c r="C111" s="75"/>
      <c r="D111" s="75"/>
      <c r="E111" s="75"/>
      <c r="F111" s="75"/>
      <c r="H111" s="75"/>
      <c r="K111" s="69"/>
      <c r="M111" s="72">
        <f>-P112*D83</f>
        <v>-651694.84031250002</v>
      </c>
      <c r="O111" s="75" t="s">
        <v>116</v>
      </c>
      <c r="P111" s="87">
        <v>1.27189</v>
      </c>
    </row>
    <row r="112" spans="1:16">
      <c r="A112" s="74" t="s">
        <v>117</v>
      </c>
      <c r="B112" s="75"/>
      <c r="C112" s="75"/>
      <c r="D112" s="75"/>
      <c r="E112" s="75"/>
      <c r="F112" s="75"/>
      <c r="G112" s="75"/>
      <c r="H112" s="75"/>
      <c r="K112" s="69"/>
      <c r="M112" s="69"/>
      <c r="O112" s="75" t="s">
        <v>118</v>
      </c>
      <c r="P112" s="79">
        <f>M110-P110</f>
        <v>2606779.3612500001</v>
      </c>
    </row>
    <row r="113" spans="1:13">
      <c r="A113" s="88" t="s">
        <v>119</v>
      </c>
      <c r="B113" s="89" t="s">
        <v>120</v>
      </c>
      <c r="C113" s="75"/>
      <c r="D113" s="79">
        <f>-(C47-B47)</f>
        <v>0</v>
      </c>
      <c r="E113" s="79">
        <f t="shared" ref="E113:M114" si="45">-(D47-C47)</f>
        <v>0</v>
      </c>
      <c r="F113" s="79">
        <f t="shared" si="45"/>
        <v>0</v>
      </c>
      <c r="G113" s="79">
        <f t="shared" si="45"/>
        <v>0</v>
      </c>
      <c r="H113" s="79">
        <f t="shared" si="45"/>
        <v>0</v>
      </c>
      <c r="I113" s="79">
        <f t="shared" si="45"/>
        <v>0</v>
      </c>
      <c r="J113" s="79">
        <f t="shared" si="45"/>
        <v>0</v>
      </c>
      <c r="K113" s="79">
        <f t="shared" si="45"/>
        <v>0</v>
      </c>
      <c r="L113" s="79">
        <f t="shared" si="45"/>
        <v>0</v>
      </c>
      <c r="M113" s="79">
        <f t="shared" si="45"/>
        <v>0</v>
      </c>
    </row>
    <row r="114" spans="1:13">
      <c r="A114" s="88" t="s">
        <v>119</v>
      </c>
      <c r="B114" s="89" t="s">
        <v>3</v>
      </c>
      <c r="C114" s="75"/>
      <c r="D114" s="79">
        <f>-(C48-B48)</f>
        <v>-426262.5</v>
      </c>
      <c r="E114" s="79">
        <f t="shared" si="45"/>
        <v>-15162.1875</v>
      </c>
      <c r="F114" s="79">
        <f t="shared" si="45"/>
        <v>-15705.014062499919</v>
      </c>
      <c r="G114" s="79">
        <f t="shared" si="45"/>
        <v>-16267.44705468748</v>
      </c>
      <c r="H114" s="79">
        <f t="shared" si="45"/>
        <v>-16850.203076601611</v>
      </c>
      <c r="I114" s="79">
        <f t="shared" si="45"/>
        <v>-17454.025328032556</v>
      </c>
      <c r="J114" s="79">
        <f t="shared" si="45"/>
        <v>-18079.684615451377</v>
      </c>
      <c r="K114" s="79">
        <f t="shared" si="45"/>
        <v>-18727.980397976353</v>
      </c>
      <c r="L114" s="79">
        <f t="shared" si="45"/>
        <v>-19399.741873939172</v>
      </c>
      <c r="M114" s="79">
        <f t="shared" si="45"/>
        <v>-20095.829109662096</v>
      </c>
    </row>
    <row r="115" spans="1:13">
      <c r="A115" s="88" t="s">
        <v>121</v>
      </c>
      <c r="B115" s="89" t="s">
        <v>122</v>
      </c>
      <c r="C115" s="75"/>
      <c r="D115" s="79">
        <f>(C57-B57)</f>
        <v>32876.71232876712</v>
      </c>
      <c r="E115" s="79">
        <f t="shared" ref="E115:M115" si="46">(D57-C57)</f>
        <v>986.30136986301659</v>
      </c>
      <c r="F115" s="79">
        <f t="shared" si="46"/>
        <v>1015.8904109589057</v>
      </c>
      <c r="G115" s="79">
        <f t="shared" si="46"/>
        <v>1046.3671232876732</v>
      </c>
      <c r="H115" s="79">
        <f t="shared" si="46"/>
        <v>1077.7581369863037</v>
      </c>
      <c r="I115" s="79">
        <f t="shared" si="46"/>
        <v>1110.0908810958863</v>
      </c>
      <c r="J115" s="79">
        <f t="shared" si="46"/>
        <v>1143.3936075287711</v>
      </c>
      <c r="K115" s="79">
        <f t="shared" si="46"/>
        <v>1177.6954157546279</v>
      </c>
      <c r="L115" s="79">
        <f t="shared" si="46"/>
        <v>1213.0262782272694</v>
      </c>
      <c r="M115" s="79">
        <f t="shared" si="46"/>
        <v>1249.4170665740894</v>
      </c>
    </row>
    <row r="116" spans="1:13" ht="19.5">
      <c r="A116" s="88" t="s">
        <v>121</v>
      </c>
      <c r="B116" s="90" t="s">
        <v>123</v>
      </c>
      <c r="C116" s="75"/>
      <c r="D116" s="79">
        <f>D103-C103</f>
        <v>-148750.74375000002</v>
      </c>
      <c r="E116" s="79">
        <f t="shared" ref="E116:M116" si="47">E103-D103</f>
        <v>3586.346718750021</v>
      </c>
      <c r="F116" s="79">
        <f t="shared" si="47"/>
        <v>3940.9665539059206</v>
      </c>
      <c r="G116" s="79">
        <f t="shared" si="47"/>
        <v>4318.1704682932468</v>
      </c>
      <c r="H116" s="79">
        <f t="shared" si="47"/>
        <v>4719.2190489330678</v>
      </c>
      <c r="I116" s="79">
        <f t="shared" si="47"/>
        <v>-14029.810643641686</v>
      </c>
      <c r="J116" s="79">
        <f t="shared" si="47"/>
        <v>5598.2283342017327</v>
      </c>
      <c r="K116" s="79">
        <f t="shared" si="47"/>
        <v>6079.0563912385842</v>
      </c>
      <c r="L116" s="79">
        <f t="shared" si="47"/>
        <v>6589.4711645398056</v>
      </c>
      <c r="M116" s="79">
        <f t="shared" si="47"/>
        <v>7131.1014728152659</v>
      </c>
    </row>
    <row r="117" spans="1:13">
      <c r="A117" s="74" t="s">
        <v>124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69"/>
      <c r="L117" s="69"/>
    </row>
    <row r="118" spans="1:13">
      <c r="A118" s="88" t="s">
        <v>121</v>
      </c>
      <c r="B118" s="89" t="s">
        <v>120</v>
      </c>
      <c r="C118" s="75"/>
      <c r="D118" s="75"/>
      <c r="E118" s="75"/>
      <c r="F118" s="75"/>
      <c r="G118" s="79"/>
      <c r="H118" s="75"/>
      <c r="I118" s="75"/>
      <c r="J118" s="75"/>
      <c r="K118" s="69"/>
      <c r="L118" s="69"/>
    </row>
    <row r="119" spans="1:13">
      <c r="A119" s="88" t="s">
        <v>121</v>
      </c>
      <c r="B119" s="89" t="s">
        <v>3</v>
      </c>
      <c r="C119" s="75"/>
      <c r="D119" s="75"/>
      <c r="E119" s="75"/>
      <c r="F119" s="75"/>
      <c r="H119" s="75"/>
      <c r="I119" s="75"/>
      <c r="J119" s="75"/>
      <c r="K119" s="69"/>
      <c r="M119" s="79">
        <f>L48</f>
        <v>584004.61301885056</v>
      </c>
    </row>
    <row r="120" spans="1:13">
      <c r="A120" s="75"/>
      <c r="B120" s="89" t="s">
        <v>122</v>
      </c>
      <c r="C120" s="75"/>
      <c r="D120" s="75"/>
      <c r="E120" s="75"/>
      <c r="F120" s="75"/>
      <c r="H120" s="75"/>
      <c r="I120" s="75"/>
      <c r="J120" s="75"/>
      <c r="K120" s="69"/>
      <c r="M120" s="79">
        <f>-L57</f>
        <v>-42896.652619043663</v>
      </c>
    </row>
    <row r="121" spans="1:13" ht="19.5">
      <c r="A121" s="74"/>
      <c r="B121" s="90" t="s">
        <v>123</v>
      </c>
      <c r="C121" s="75"/>
      <c r="D121" s="75"/>
      <c r="E121" s="75"/>
      <c r="F121" s="75"/>
      <c r="H121" s="75"/>
      <c r="I121" s="75"/>
      <c r="J121" s="75"/>
      <c r="K121" s="69"/>
      <c r="M121" s="79">
        <f>-G103</f>
        <v>136905.26000905083</v>
      </c>
    </row>
    <row r="122" spans="1:13">
      <c r="A122" s="74"/>
      <c r="B122" s="89" t="s">
        <v>140</v>
      </c>
      <c r="C122" s="75">
        <v>430000</v>
      </c>
      <c r="D122" s="75"/>
      <c r="E122" s="75"/>
      <c r="F122" s="75"/>
      <c r="H122" s="75"/>
      <c r="I122" s="75"/>
      <c r="J122" s="75"/>
      <c r="K122" s="69"/>
      <c r="M122" s="79"/>
    </row>
    <row r="123" spans="1:13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69"/>
      <c r="L123" s="69"/>
    </row>
    <row r="124" spans="1:13" ht="18.75" thickBot="1">
      <c r="A124" s="74" t="s">
        <v>125</v>
      </c>
      <c r="B124" s="75"/>
      <c r="C124" s="72">
        <f>SUM(C106:C122)</f>
        <v>-11075150</v>
      </c>
      <c r="D124" s="72">
        <f t="shared" ref="D124:M124" si="48">SUM(D106:D122)</f>
        <v>-604883.76267123292</v>
      </c>
      <c r="E124" s="72">
        <f t="shared" si="48"/>
        <v>-62577.730505136977</v>
      </c>
      <c r="F124" s="72">
        <f t="shared" si="48"/>
        <v>-50913.448529667337</v>
      </c>
      <c r="G124" s="72">
        <f t="shared" si="48"/>
        <v>-38113.689490259065</v>
      </c>
      <c r="H124" s="72">
        <f t="shared" si="48"/>
        <v>-24106.34877103554</v>
      </c>
      <c r="I124" s="72">
        <f t="shared" si="48"/>
        <v>-8815.2999018567134</v>
      </c>
      <c r="J124" s="72">
        <f t="shared" si="48"/>
        <v>27015.067517605967</v>
      </c>
      <c r="K124" s="72">
        <f t="shared" si="48"/>
        <v>45119.070774059452</v>
      </c>
      <c r="L124" s="72">
        <f t="shared" si="48"/>
        <v>64761.468427489912</v>
      </c>
      <c r="M124" s="72">
        <f t="shared" si="48"/>
        <v>12306759.448053194</v>
      </c>
    </row>
    <row r="125" spans="1:13" ht="18.75" thickBot="1">
      <c r="A125" s="74" t="s">
        <v>126</v>
      </c>
      <c r="B125" s="75"/>
      <c r="C125" s="91">
        <f>IRR(C124:M124)</f>
        <v>4.8352234580346654E-3</v>
      </c>
      <c r="D125" s="75"/>
      <c r="E125" s="75"/>
      <c r="F125" s="75"/>
      <c r="G125" s="75"/>
      <c r="H125" s="75"/>
      <c r="I125" s="75"/>
      <c r="J125" s="75"/>
      <c r="K125" s="69"/>
      <c r="L125" s="69"/>
    </row>
    <row r="126" spans="1:13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69"/>
      <c r="L126" s="69"/>
    </row>
    <row r="127" spans="1:13">
      <c r="A127" s="75" t="s">
        <v>127</v>
      </c>
      <c r="B127" s="75"/>
      <c r="C127" s="72">
        <f t="shared" ref="C127:M127" si="49">-PV($C$129,C98,,C124)</f>
        <v>-11075150</v>
      </c>
      <c r="D127" s="72">
        <f t="shared" si="49"/>
        <v>-517303.95548641693</v>
      </c>
      <c r="E127" s="72">
        <f t="shared" si="49"/>
        <v>-45768.592167703908</v>
      </c>
      <c r="F127" s="72">
        <f t="shared" si="49"/>
        <v>-31845.944360204961</v>
      </c>
      <c r="G127" s="72">
        <f t="shared" si="49"/>
        <v>-20388.087176281992</v>
      </c>
      <c r="H127" s="72">
        <f t="shared" si="49"/>
        <v>-11028.102619139267</v>
      </c>
      <c r="I127" s="72">
        <f t="shared" si="49"/>
        <v>-3448.8978175450516</v>
      </c>
      <c r="J127" s="72">
        <f t="shared" si="49"/>
        <v>9039.0578422050658</v>
      </c>
      <c r="K127" s="72">
        <f t="shared" si="49"/>
        <v>12910.739772268562</v>
      </c>
      <c r="L127" s="72">
        <f t="shared" si="49"/>
        <v>15848.258304780755</v>
      </c>
      <c r="M127" s="72">
        <f t="shared" si="49"/>
        <v>2575623.8493631571</v>
      </c>
    </row>
    <row r="128" spans="1:13" ht="18.75" thickBot="1">
      <c r="A128" s="74" t="s">
        <v>128</v>
      </c>
      <c r="B128" s="74"/>
      <c r="C128" s="86">
        <f>SUM(C127:M127)</f>
        <v>-9091511.6743448805</v>
      </c>
      <c r="D128" s="75"/>
      <c r="E128" s="75"/>
      <c r="F128" s="75"/>
      <c r="G128" s="75"/>
      <c r="H128" s="75"/>
      <c r="I128" s="75"/>
      <c r="J128" s="75"/>
      <c r="K128" s="69"/>
      <c r="L128" s="69"/>
    </row>
    <row r="129" spans="1:12" ht="18.75" thickBot="1">
      <c r="A129" s="74" t="s">
        <v>82</v>
      </c>
      <c r="B129" s="74"/>
      <c r="C129" s="91">
        <f>D95</f>
        <v>0.16930047848264632</v>
      </c>
      <c r="D129" s="75"/>
      <c r="E129" s="75"/>
      <c r="F129" s="75"/>
      <c r="G129" s="75"/>
      <c r="H129" s="75"/>
      <c r="I129" s="75"/>
      <c r="J129" s="75"/>
      <c r="K129" s="69"/>
      <c r="L129" s="69"/>
    </row>
    <row r="130" spans="1:12">
      <c r="A130" s="75"/>
      <c r="B130" s="75"/>
      <c r="C130" s="76"/>
      <c r="D130" s="75"/>
      <c r="E130" s="75"/>
      <c r="F130" s="75"/>
      <c r="G130" s="75"/>
      <c r="H130" s="75"/>
      <c r="I130" s="75"/>
      <c r="J130" s="75"/>
      <c r="K130" s="69"/>
      <c r="L130" s="69"/>
    </row>
    <row r="131" spans="1:12">
      <c r="A131" s="73"/>
      <c r="B131" s="73"/>
      <c r="C131" s="76">
        <f>C125-C129</f>
        <v>-0.16446525502461165</v>
      </c>
      <c r="D131" s="73"/>
      <c r="E131" s="73"/>
      <c r="F131" s="73"/>
      <c r="G131" s="73"/>
      <c r="H131" s="73"/>
      <c r="I131" s="73"/>
      <c r="J131" s="73"/>
    </row>
    <row r="132" spans="1:12">
      <c r="A132" s="73"/>
      <c r="B132" s="73"/>
      <c r="C132" s="73"/>
      <c r="D132" s="73"/>
      <c r="E132" s="73"/>
      <c r="F132" s="73"/>
      <c r="G132" s="73"/>
      <c r="H132" s="73"/>
      <c r="I132" s="73"/>
      <c r="J132" s="73"/>
    </row>
    <row r="133" spans="1:12">
      <c r="A133" s="73"/>
      <c r="B133" s="73"/>
      <c r="C133" s="73"/>
      <c r="D133" s="73"/>
      <c r="E133" s="73"/>
      <c r="F133" s="73"/>
      <c r="G133" s="73"/>
      <c r="H133" s="73"/>
      <c r="I133" s="73"/>
      <c r="J133" s="73"/>
    </row>
    <row r="134" spans="1:12">
      <c r="A134" s="73"/>
      <c r="B134" s="73"/>
      <c r="C134" s="73"/>
      <c r="D134" s="73"/>
      <c r="E134" s="73"/>
      <c r="F134" s="73"/>
      <c r="G134" s="73"/>
      <c r="H134" s="73"/>
      <c r="I134" s="73"/>
      <c r="J134" s="73"/>
    </row>
    <row r="135" spans="1:12">
      <c r="A135" s="73"/>
      <c r="B135" s="73"/>
      <c r="C135" s="73"/>
      <c r="D135" s="73"/>
      <c r="E135" s="73"/>
      <c r="F135" s="73"/>
      <c r="G135" s="73"/>
      <c r="H135" s="73"/>
      <c r="I135" s="73"/>
      <c r="J135" s="73"/>
    </row>
    <row r="136" spans="1:12">
      <c r="A136" s="73"/>
      <c r="B136" s="73"/>
      <c r="C136" s="73"/>
      <c r="D136" s="73"/>
      <c r="E136" s="73"/>
      <c r="F136" s="73"/>
      <c r="G136" s="73"/>
      <c r="H136" s="73"/>
      <c r="I136" s="73"/>
      <c r="J136" s="73"/>
    </row>
    <row r="137" spans="1:12">
      <c r="A137" s="73"/>
      <c r="B137" s="73"/>
      <c r="C137" s="73"/>
      <c r="D137" s="73"/>
      <c r="E137" s="73"/>
      <c r="F137" s="73"/>
      <c r="G137" s="73"/>
      <c r="H137" s="73"/>
      <c r="I137" s="73"/>
      <c r="J137" s="73"/>
    </row>
  </sheetData>
  <mergeCells count="1">
    <mergeCell ref="C1:L1"/>
  </mergeCells>
  <phoneticPr fontId="2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topLeftCell="B45" zoomScale="70" zoomScaleNormal="70" zoomScalePageLayoutView="70" workbookViewId="0">
      <selection activeCell="E56" sqref="E56"/>
    </sheetView>
  </sheetViews>
  <sheetFormatPr defaultColWidth="8.875" defaultRowHeight="18"/>
  <cols>
    <col min="1" max="1" width="51.125" bestFit="1" customWidth="1"/>
    <col min="2" max="2" width="24" customWidth="1"/>
    <col min="3" max="3" width="24.125" customWidth="1"/>
    <col min="4" max="4" width="22.375" customWidth="1"/>
    <col min="5" max="5" width="20" customWidth="1"/>
    <col min="6" max="6" width="20.625" customWidth="1"/>
    <col min="7" max="7" width="20.875" customWidth="1"/>
    <col min="8" max="13" width="19" bestFit="1" customWidth="1"/>
    <col min="14" max="14" width="12.875" bestFit="1" customWidth="1"/>
    <col min="15" max="15" width="29.5" bestFit="1" customWidth="1"/>
    <col min="16" max="16" width="13.375" bestFit="1" customWidth="1"/>
    <col min="17" max="17" width="16.875" customWidth="1"/>
    <col min="18" max="18" width="15.125" customWidth="1"/>
    <col min="20" max="20" width="9.625" bestFit="1" customWidth="1"/>
  </cols>
  <sheetData>
    <row r="1" spans="1:20" ht="25.5">
      <c r="C1" s="100" t="s">
        <v>60</v>
      </c>
      <c r="D1" s="100"/>
      <c r="E1" s="100"/>
      <c r="F1" s="100"/>
      <c r="G1" s="100"/>
      <c r="H1" s="100"/>
      <c r="I1" s="100"/>
      <c r="J1" s="100"/>
      <c r="K1" s="100"/>
      <c r="L1" s="100"/>
      <c r="O1" s="47"/>
      <c r="P1" s="47"/>
      <c r="Q1" s="47"/>
      <c r="R1" s="47"/>
      <c r="S1" s="47"/>
    </row>
    <row r="2" spans="1:20" ht="21">
      <c r="C2" s="16">
        <v>2012</v>
      </c>
      <c r="D2" s="16">
        <v>2013</v>
      </c>
      <c r="E2" s="16">
        <v>2014</v>
      </c>
      <c r="F2" s="16">
        <v>2015</v>
      </c>
      <c r="G2" s="16">
        <v>2016</v>
      </c>
      <c r="H2" s="16">
        <v>2017</v>
      </c>
      <c r="I2" s="16">
        <v>2018</v>
      </c>
      <c r="J2" s="16">
        <v>2019</v>
      </c>
      <c r="K2" s="16">
        <v>2020</v>
      </c>
      <c r="L2" s="16">
        <v>2021</v>
      </c>
      <c r="O2" s="47"/>
      <c r="P2" s="47"/>
      <c r="Q2" s="47"/>
      <c r="R2" s="47"/>
      <c r="S2" s="47"/>
    </row>
    <row r="3" spans="1:20" ht="21">
      <c r="A3" s="17" t="s">
        <v>6</v>
      </c>
      <c r="O3" s="47"/>
      <c r="P3" s="47"/>
      <c r="Q3" s="47"/>
      <c r="R3" s="47"/>
      <c r="S3" s="47"/>
    </row>
    <row r="4" spans="1:20">
      <c r="A4" t="s">
        <v>52</v>
      </c>
      <c r="B4" s="53">
        <v>135</v>
      </c>
      <c r="C4" s="53">
        <f>($B$4*18*365*3)*$M$4</f>
        <v>1330425</v>
      </c>
      <c r="D4" s="53">
        <f t="shared" ref="D4:L4" si="0">($B$4*18*365*3)*$M$4</f>
        <v>1330425</v>
      </c>
      <c r="E4" s="53">
        <f t="shared" si="0"/>
        <v>1330425</v>
      </c>
      <c r="F4" s="53">
        <f t="shared" si="0"/>
        <v>1330425</v>
      </c>
      <c r="G4" s="53">
        <f t="shared" si="0"/>
        <v>1330425</v>
      </c>
      <c r="H4" s="53">
        <f t="shared" si="0"/>
        <v>1330425</v>
      </c>
      <c r="I4" s="53">
        <f t="shared" si="0"/>
        <v>1330425</v>
      </c>
      <c r="J4" s="53">
        <f t="shared" si="0"/>
        <v>1330425</v>
      </c>
      <c r="K4" s="53">
        <f t="shared" si="0"/>
        <v>1330425</v>
      </c>
      <c r="L4" s="53">
        <f t="shared" si="0"/>
        <v>1330425</v>
      </c>
      <c r="M4" s="13">
        <v>0.5</v>
      </c>
      <c r="O4" s="26"/>
      <c r="P4" s="26"/>
      <c r="Q4" s="26"/>
      <c r="R4" s="26"/>
      <c r="S4" s="26"/>
      <c r="T4" s="26"/>
    </row>
    <row r="5" spans="1:20">
      <c r="A5" t="s">
        <v>51</v>
      </c>
      <c r="B5" s="15">
        <v>9</v>
      </c>
      <c r="C5" s="15">
        <f>B5</f>
        <v>9</v>
      </c>
      <c r="D5" s="15">
        <f>C5*(1+$M$5)</f>
        <v>9.3149999999999995</v>
      </c>
      <c r="E5" s="15">
        <f>D5*(1+$M$5)</f>
        <v>9.6410249999999991</v>
      </c>
      <c r="F5" s="15">
        <f>E5*(1+$M$5)</f>
        <v>9.9784608749999979</v>
      </c>
      <c r="G5" s="15">
        <f>F5*(1+$M$5)</f>
        <v>10.327707005624998</v>
      </c>
      <c r="H5" s="15">
        <f t="shared" ref="H5:L5" si="1">G5*(1+$M$5)</f>
        <v>10.689176750821872</v>
      </c>
      <c r="I5" s="15">
        <f t="shared" si="1"/>
        <v>11.063297937100637</v>
      </c>
      <c r="J5" s="15">
        <f t="shared" si="1"/>
        <v>11.450513364899159</v>
      </c>
      <c r="K5" s="15">
        <f t="shared" si="1"/>
        <v>11.851281332670629</v>
      </c>
      <c r="L5" s="15">
        <f t="shared" si="1"/>
        <v>12.2660761793141</v>
      </c>
      <c r="M5" s="13">
        <v>3.5000000000000003E-2</v>
      </c>
      <c r="O5" s="26"/>
      <c r="P5" s="26"/>
      <c r="Q5" s="26"/>
      <c r="R5" s="26"/>
      <c r="S5" s="26"/>
      <c r="T5" s="26"/>
    </row>
    <row r="6" spans="1:20">
      <c r="A6" t="s">
        <v>47</v>
      </c>
      <c r="B6" s="15">
        <v>4</v>
      </c>
      <c r="C6" s="15">
        <f>B6</f>
        <v>4</v>
      </c>
      <c r="D6" s="15">
        <f>C6*(1+$M$6)</f>
        <v>4.2</v>
      </c>
      <c r="E6" s="15">
        <f>D6*(1+$M$6)</f>
        <v>4.41</v>
      </c>
      <c r="F6" s="15">
        <f>E6*(1+$M$6)</f>
        <v>4.6305000000000005</v>
      </c>
      <c r="G6" s="15">
        <f>F6*(1+$M$6)</f>
        <v>4.8620250000000009</v>
      </c>
      <c r="H6" s="15">
        <f t="shared" ref="H6:L6" si="2">G6*(1+$M$6)</f>
        <v>5.1051262500000014</v>
      </c>
      <c r="I6" s="15">
        <f t="shared" si="2"/>
        <v>5.3603825625000017</v>
      </c>
      <c r="J6" s="15">
        <f t="shared" si="2"/>
        <v>5.6284016906250018</v>
      </c>
      <c r="K6" s="15">
        <f t="shared" si="2"/>
        <v>5.9098217751562521</v>
      </c>
      <c r="L6" s="15">
        <f t="shared" si="2"/>
        <v>6.2053128639140649</v>
      </c>
      <c r="M6" s="14">
        <v>0.05</v>
      </c>
      <c r="O6" s="26"/>
      <c r="P6" s="26"/>
      <c r="Q6" s="26"/>
      <c r="R6" s="26"/>
      <c r="S6" s="26"/>
      <c r="T6" s="26"/>
    </row>
    <row r="7" spans="1:20">
      <c r="A7" t="s">
        <v>29</v>
      </c>
      <c r="B7" s="15"/>
      <c r="C7" s="25">
        <v>25</v>
      </c>
      <c r="D7">
        <f>C7*(1+$M$7)</f>
        <v>25</v>
      </c>
      <c r="E7">
        <f>D7*(1+$M$7)</f>
        <v>25</v>
      </c>
      <c r="F7">
        <f>E7*(1+$M$7)</f>
        <v>25</v>
      </c>
      <c r="G7">
        <f t="shared" ref="G7:L7" si="3">F7*(1+$M$7)</f>
        <v>25</v>
      </c>
      <c r="H7">
        <f t="shared" si="3"/>
        <v>25</v>
      </c>
      <c r="I7">
        <f t="shared" si="3"/>
        <v>25</v>
      </c>
      <c r="J7">
        <f t="shared" si="3"/>
        <v>25</v>
      </c>
      <c r="K7">
        <f t="shared" si="3"/>
        <v>25</v>
      </c>
      <c r="L7">
        <f t="shared" si="3"/>
        <v>25</v>
      </c>
      <c r="M7" s="14">
        <v>0</v>
      </c>
      <c r="O7" s="26"/>
      <c r="P7" s="26"/>
      <c r="Q7" s="26"/>
      <c r="R7" s="26"/>
      <c r="S7" s="26"/>
      <c r="T7" s="26"/>
    </row>
    <row r="8" spans="1:20">
      <c r="A8" s="26" t="s">
        <v>30</v>
      </c>
      <c r="B8" s="26"/>
      <c r="C8" s="28">
        <v>30</v>
      </c>
      <c r="D8" s="26">
        <f>C8*(1+$M$8)</f>
        <v>48</v>
      </c>
      <c r="E8" s="26">
        <f>D8*(1+$M$8)</f>
        <v>76.800000000000011</v>
      </c>
      <c r="F8" s="26">
        <f>E8*(1+$M$8)</f>
        <v>122.88000000000002</v>
      </c>
      <c r="G8" s="26"/>
      <c r="H8" s="26"/>
      <c r="I8" s="26"/>
      <c r="J8" s="26"/>
      <c r="K8" s="26"/>
      <c r="L8" s="26"/>
      <c r="M8" s="29">
        <v>0.6</v>
      </c>
      <c r="O8" s="26" t="s">
        <v>32</v>
      </c>
      <c r="P8" s="26"/>
      <c r="Q8" s="26"/>
      <c r="R8" s="26"/>
      <c r="S8" s="26"/>
      <c r="T8" s="27"/>
    </row>
    <row r="9" spans="1:20">
      <c r="A9" t="s">
        <v>31</v>
      </c>
      <c r="C9" s="92">
        <v>20</v>
      </c>
      <c r="D9" s="92">
        <f>C9</f>
        <v>20</v>
      </c>
      <c r="E9" s="92">
        <f t="shared" ref="E9:L9" si="4">D9</f>
        <v>20</v>
      </c>
      <c r="F9" s="92">
        <f t="shared" si="4"/>
        <v>20</v>
      </c>
      <c r="G9" s="92">
        <f t="shared" si="4"/>
        <v>20</v>
      </c>
      <c r="H9" s="92">
        <f t="shared" si="4"/>
        <v>20</v>
      </c>
      <c r="I9" s="92">
        <f t="shared" si="4"/>
        <v>20</v>
      </c>
      <c r="J9" s="92">
        <f t="shared" si="4"/>
        <v>20</v>
      </c>
      <c r="K9" s="92">
        <f t="shared" si="4"/>
        <v>20</v>
      </c>
      <c r="L9" s="92">
        <f t="shared" si="4"/>
        <v>20</v>
      </c>
      <c r="M9" s="14"/>
    </row>
    <row r="10" spans="1:20">
      <c r="A10" t="s">
        <v>55</v>
      </c>
      <c r="C10" s="25">
        <v>60</v>
      </c>
      <c r="D10" s="25">
        <v>60</v>
      </c>
      <c r="E10" s="25">
        <v>60</v>
      </c>
      <c r="F10" s="25">
        <v>60</v>
      </c>
      <c r="G10" s="25">
        <v>60</v>
      </c>
      <c r="H10" s="25">
        <v>60</v>
      </c>
      <c r="I10" s="25">
        <v>60</v>
      </c>
      <c r="J10" s="25">
        <v>60</v>
      </c>
      <c r="K10" s="25">
        <v>60</v>
      </c>
      <c r="L10" s="25">
        <v>60</v>
      </c>
      <c r="M10" s="14"/>
      <c r="O10" s="49"/>
    </row>
    <row r="11" spans="1:20">
      <c r="A11" t="s">
        <v>56</v>
      </c>
      <c r="C11" s="15">
        <v>14000</v>
      </c>
      <c r="D11" s="15">
        <f>C11*(1+$M$11)</f>
        <v>14420</v>
      </c>
      <c r="E11" s="15">
        <f>D11*(1+$M$11)</f>
        <v>14852.6</v>
      </c>
      <c r="F11" s="15">
        <f>E11*(1+$M$11)</f>
        <v>15298.178</v>
      </c>
      <c r="G11" s="15">
        <f t="shared" ref="G11:L11" si="5">F11*(1+$M$11)</f>
        <v>15757.12334</v>
      </c>
      <c r="H11" s="15">
        <f t="shared" si="5"/>
        <v>16229.8370402</v>
      </c>
      <c r="I11" s="15">
        <f t="shared" si="5"/>
        <v>16716.732151406002</v>
      </c>
      <c r="J11" s="15">
        <f t="shared" si="5"/>
        <v>17218.234115948184</v>
      </c>
      <c r="K11" s="15">
        <f t="shared" si="5"/>
        <v>17734.781139426628</v>
      </c>
      <c r="L11" s="15">
        <f t="shared" si="5"/>
        <v>18266.824573609429</v>
      </c>
      <c r="M11" s="14">
        <v>0.03</v>
      </c>
      <c r="O11" s="49"/>
    </row>
    <row r="12" spans="1:20">
      <c r="A12" t="s">
        <v>57</v>
      </c>
      <c r="C12" s="25">
        <v>6</v>
      </c>
      <c r="D12" s="25">
        <v>6</v>
      </c>
      <c r="E12" s="25">
        <v>6</v>
      </c>
      <c r="F12" s="25">
        <v>6</v>
      </c>
      <c r="G12" s="25">
        <v>6</v>
      </c>
      <c r="H12" s="25">
        <v>6</v>
      </c>
      <c r="I12" s="25">
        <v>6</v>
      </c>
      <c r="J12" s="25">
        <v>6</v>
      </c>
      <c r="K12" s="25">
        <v>6</v>
      </c>
      <c r="L12" s="25">
        <v>6</v>
      </c>
      <c r="M12" s="14"/>
      <c r="O12" s="49"/>
    </row>
    <row r="13" spans="1:20">
      <c r="A13" t="s">
        <v>58</v>
      </c>
      <c r="C13" s="15">
        <v>45000</v>
      </c>
      <c r="D13" s="15">
        <f>C13*(1+$M$13)</f>
        <v>46350</v>
      </c>
      <c r="E13" s="15">
        <f>D13*(1+$M$13)</f>
        <v>47740.5</v>
      </c>
      <c r="F13" s="15">
        <f>E13*(1+$M$13)</f>
        <v>49172.715000000004</v>
      </c>
      <c r="G13" s="15">
        <f t="shared" ref="G13:L13" si="6">F13*(1+$M$13)</f>
        <v>50647.896450000007</v>
      </c>
      <c r="H13" s="15">
        <f t="shared" si="6"/>
        <v>52167.33334350001</v>
      </c>
      <c r="I13" s="15">
        <f t="shared" si="6"/>
        <v>53732.353343805014</v>
      </c>
      <c r="J13" s="15">
        <f t="shared" si="6"/>
        <v>55344.323944119169</v>
      </c>
      <c r="K13" s="15">
        <f t="shared" si="6"/>
        <v>57004.653662442746</v>
      </c>
      <c r="L13" s="15">
        <f t="shared" si="6"/>
        <v>58714.793272316027</v>
      </c>
      <c r="M13" s="14">
        <v>0.03</v>
      </c>
      <c r="O13" s="49"/>
    </row>
    <row r="14" spans="1:20">
      <c r="A14" t="s">
        <v>131</v>
      </c>
      <c r="B14" s="53">
        <v>76701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14"/>
      <c r="O14" s="49"/>
    </row>
    <row r="15" spans="1:20">
      <c r="A15" t="s">
        <v>132</v>
      </c>
      <c r="B15" s="53">
        <v>150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4"/>
      <c r="O15" s="49"/>
    </row>
    <row r="16" spans="1:20" ht="18.75" thickBot="1">
      <c r="B16" s="15">
        <f>B14*B15</f>
        <v>11505150</v>
      </c>
      <c r="O16" s="50"/>
    </row>
    <row r="17" spans="1:24" ht="21">
      <c r="A17" s="18" t="s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O17" s="50"/>
      <c r="P17" s="45"/>
      <c r="Q17" s="45"/>
      <c r="R17" s="45"/>
      <c r="S17" s="45"/>
      <c r="T17" s="45"/>
      <c r="U17" s="45"/>
      <c r="V17" s="45"/>
      <c r="W17" s="45"/>
      <c r="X17" s="45"/>
    </row>
    <row r="18" spans="1:24">
      <c r="A18" s="3" t="s">
        <v>50</v>
      </c>
      <c r="B18" s="4"/>
      <c r="C18" s="12">
        <f t="shared" ref="C18:L18" si="7">C4*C5</f>
        <v>11973825</v>
      </c>
      <c r="D18" s="12">
        <f t="shared" si="7"/>
        <v>12392908.875</v>
      </c>
      <c r="E18" s="12">
        <f t="shared" si="7"/>
        <v>12826660.685624998</v>
      </c>
      <c r="F18" s="12">
        <f t="shared" si="7"/>
        <v>13275593.809621872</v>
      </c>
      <c r="G18" s="12">
        <f t="shared" si="7"/>
        <v>13740239.592958637</v>
      </c>
      <c r="H18" s="12">
        <f t="shared" si="7"/>
        <v>14221147.97871219</v>
      </c>
      <c r="I18" s="12">
        <f t="shared" si="7"/>
        <v>14718888.157967115</v>
      </c>
      <c r="J18" s="12">
        <f t="shared" si="7"/>
        <v>15234049.243495964</v>
      </c>
      <c r="K18" s="12">
        <f t="shared" si="7"/>
        <v>15767240.967018321</v>
      </c>
      <c r="L18" s="12">
        <f t="shared" si="7"/>
        <v>16319094.40086396</v>
      </c>
      <c r="M18" s="5"/>
      <c r="O18" s="51"/>
      <c r="P18" s="46"/>
      <c r="Q18" s="46"/>
      <c r="R18" s="46"/>
      <c r="S18" s="46"/>
      <c r="T18" s="46"/>
      <c r="U18" s="46"/>
      <c r="V18" s="46"/>
      <c r="W18" s="46"/>
      <c r="X18" s="45"/>
    </row>
    <row r="19" spans="1:24">
      <c r="A19" s="3" t="s">
        <v>49</v>
      </c>
      <c r="B19" s="4"/>
      <c r="C19" s="31">
        <f>C6*(C4*$M$19)</f>
        <v>2128680</v>
      </c>
      <c r="D19" s="31">
        <f t="shared" ref="D19:L19" si="8">D6*(D4*$M$19)</f>
        <v>2235114</v>
      </c>
      <c r="E19" s="31">
        <f t="shared" si="8"/>
        <v>2346869.7000000002</v>
      </c>
      <c r="F19" s="31">
        <f t="shared" si="8"/>
        <v>2464213.1850000001</v>
      </c>
      <c r="G19" s="31">
        <f t="shared" si="8"/>
        <v>2587423.8442500005</v>
      </c>
      <c r="H19" s="31">
        <f t="shared" si="8"/>
        <v>2716795.0364625007</v>
      </c>
      <c r="I19" s="31">
        <f t="shared" si="8"/>
        <v>2852634.7882856261</v>
      </c>
      <c r="J19" s="31">
        <f t="shared" si="8"/>
        <v>2995266.5276999073</v>
      </c>
      <c r="K19" s="31">
        <f t="shared" si="8"/>
        <v>3145029.8540849024</v>
      </c>
      <c r="L19" s="31">
        <f t="shared" si="8"/>
        <v>3302281.3467891477</v>
      </c>
      <c r="M19" s="30">
        <v>0.4</v>
      </c>
      <c r="O19" s="51"/>
      <c r="P19" s="46"/>
      <c r="Q19" s="46"/>
      <c r="R19" s="46"/>
      <c r="S19" s="46"/>
      <c r="T19" s="46"/>
      <c r="U19" s="46"/>
      <c r="V19" s="46"/>
      <c r="W19" s="46"/>
      <c r="X19" s="45"/>
    </row>
    <row r="20" spans="1:24">
      <c r="A20" s="3" t="s">
        <v>33</v>
      </c>
      <c r="B20" s="4"/>
      <c r="C20" s="44">
        <f>SUM(C18:C19)</f>
        <v>14102505</v>
      </c>
      <c r="D20" s="44">
        <f t="shared" ref="D20:F20" si="9">SUM(D18:D19)</f>
        <v>14628022.875</v>
      </c>
      <c r="E20" s="44">
        <f t="shared" si="9"/>
        <v>15173530.385624997</v>
      </c>
      <c r="F20" s="44">
        <f t="shared" si="9"/>
        <v>15739806.994621873</v>
      </c>
      <c r="G20" s="44">
        <f t="shared" ref="G20:L20" si="10">SUM(G18:G19)</f>
        <v>16327663.437208638</v>
      </c>
      <c r="H20" s="44">
        <f t="shared" si="10"/>
        <v>16937943.015174691</v>
      </c>
      <c r="I20" s="44">
        <f t="shared" si="10"/>
        <v>17571522.946252741</v>
      </c>
      <c r="J20" s="44">
        <f t="shared" si="10"/>
        <v>18229315.77119587</v>
      </c>
      <c r="K20" s="44">
        <f t="shared" si="10"/>
        <v>18912270.821103223</v>
      </c>
      <c r="L20" s="44">
        <f t="shared" si="10"/>
        <v>19621375.747653108</v>
      </c>
      <c r="M20" s="5"/>
      <c r="O20" s="51"/>
      <c r="P20" s="46"/>
      <c r="Q20" s="46"/>
      <c r="R20" s="46"/>
      <c r="S20" s="46"/>
      <c r="T20" s="46"/>
      <c r="U20" s="46"/>
      <c r="V20" s="46"/>
      <c r="W20" s="46"/>
      <c r="X20" s="45"/>
    </row>
    <row r="21" spans="1:24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O21" s="51"/>
      <c r="P21" s="46"/>
      <c r="Q21" s="46"/>
      <c r="R21" s="46"/>
      <c r="S21" s="46"/>
      <c r="T21" s="46"/>
      <c r="U21" s="46"/>
      <c r="V21" s="46"/>
      <c r="W21" s="46"/>
      <c r="X21" s="45"/>
    </row>
    <row r="22" spans="1:24">
      <c r="A22" s="3" t="s">
        <v>48</v>
      </c>
      <c r="B22" s="4"/>
      <c r="C22" s="10">
        <f>$M$22*C19</f>
        <v>425736</v>
      </c>
      <c r="D22" s="10">
        <f>$M$22*D19</f>
        <v>447022.80000000005</v>
      </c>
      <c r="E22" s="10">
        <f>$M$22*E19</f>
        <v>469373.94000000006</v>
      </c>
      <c r="F22" s="10">
        <f>$M$22*F19</f>
        <v>492842.63700000005</v>
      </c>
      <c r="G22" s="10">
        <f t="shared" ref="G22:L22" si="11">$M$22*G19</f>
        <v>517484.76885000011</v>
      </c>
      <c r="H22" s="10">
        <f t="shared" si="11"/>
        <v>543359.00729250011</v>
      </c>
      <c r="I22" s="10">
        <f t="shared" si="11"/>
        <v>570526.9576571252</v>
      </c>
      <c r="J22" s="10">
        <f t="shared" si="11"/>
        <v>599053.30553998146</v>
      </c>
      <c r="K22" s="10">
        <f t="shared" si="11"/>
        <v>629005.97081698058</v>
      </c>
      <c r="L22" s="10">
        <f t="shared" si="11"/>
        <v>660456.26935782959</v>
      </c>
      <c r="M22" s="19">
        <v>0.2</v>
      </c>
      <c r="O22" s="52"/>
      <c r="P22" s="46"/>
      <c r="Q22" s="46"/>
      <c r="R22" s="46"/>
      <c r="S22" s="46"/>
      <c r="T22" s="46"/>
      <c r="U22" s="46"/>
      <c r="V22" s="46"/>
      <c r="W22" s="46"/>
      <c r="X22" s="45"/>
    </row>
    <row r="23" spans="1:24">
      <c r="A23" s="3" t="s">
        <v>53</v>
      </c>
      <c r="B23" s="4"/>
      <c r="C23" s="10">
        <f>C18*$M$23</f>
        <v>10776442.5</v>
      </c>
      <c r="D23" s="10">
        <f>D18*$M$23</f>
        <v>11153617.987500001</v>
      </c>
      <c r="E23" s="10">
        <f>E18*$M$23</f>
        <v>11543994.617062498</v>
      </c>
      <c r="F23" s="10">
        <f>F18*$M$23</f>
        <v>11948034.428659685</v>
      </c>
      <c r="G23" s="10">
        <f t="shared" ref="G23:L23" si="12">G18*$M$23</f>
        <v>12366215.633662773</v>
      </c>
      <c r="H23" s="10">
        <f t="shared" si="12"/>
        <v>12799033.180840971</v>
      </c>
      <c r="I23" s="10">
        <f t="shared" si="12"/>
        <v>13246999.342170404</v>
      </c>
      <c r="J23" s="10">
        <f t="shared" si="12"/>
        <v>13710644.319146367</v>
      </c>
      <c r="K23" s="10">
        <f t="shared" si="12"/>
        <v>14190516.870316489</v>
      </c>
      <c r="L23" s="10">
        <f t="shared" si="12"/>
        <v>14687184.960777564</v>
      </c>
      <c r="M23" s="19">
        <v>0.9</v>
      </c>
      <c r="O23" s="52"/>
      <c r="P23" s="46"/>
      <c r="Q23" s="46"/>
      <c r="R23" s="46"/>
      <c r="S23" s="46"/>
      <c r="T23" s="46"/>
      <c r="U23" s="46"/>
      <c r="V23" s="46"/>
      <c r="W23" s="46"/>
      <c r="X23" s="45"/>
    </row>
    <row r="24" spans="1:24" ht="18.75" thickBot="1">
      <c r="A24" s="3" t="s">
        <v>46</v>
      </c>
      <c r="B24" s="4"/>
      <c r="C24" s="32">
        <f>(C20)-(SUM(C22:C23))</f>
        <v>2900326.5</v>
      </c>
      <c r="D24" s="32">
        <f t="shared" ref="D24:F24" si="13">(D20)-(SUM(D22:D23))</f>
        <v>3027382.0874999985</v>
      </c>
      <c r="E24" s="32">
        <f t="shared" si="13"/>
        <v>3160161.8285625</v>
      </c>
      <c r="F24" s="32">
        <f t="shared" si="13"/>
        <v>3298929.9289621878</v>
      </c>
      <c r="G24" s="32">
        <f t="shared" ref="G24:L24" si="14">(G20)-(SUM(G22:G23))</f>
        <v>3443963.0346958637</v>
      </c>
      <c r="H24" s="32">
        <f t="shared" si="14"/>
        <v>3595550.8270412199</v>
      </c>
      <c r="I24" s="32">
        <f t="shared" si="14"/>
        <v>3753996.6464252118</v>
      </c>
      <c r="J24" s="32">
        <f t="shared" si="14"/>
        <v>3919618.1465095207</v>
      </c>
      <c r="K24" s="32">
        <f t="shared" si="14"/>
        <v>4092747.979969753</v>
      </c>
      <c r="L24" s="32">
        <f t="shared" si="14"/>
        <v>4273734.5175177138</v>
      </c>
      <c r="M24" s="5"/>
      <c r="O24" s="51"/>
      <c r="P24" s="46"/>
      <c r="Q24" s="46"/>
      <c r="R24" s="46"/>
      <c r="S24" s="46"/>
      <c r="T24" s="46"/>
      <c r="U24" s="46"/>
      <c r="V24" s="46"/>
      <c r="W24" s="46"/>
      <c r="X24" s="45"/>
    </row>
    <row r="25" spans="1:24" ht="18.75" thickTop="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  <c r="O25" s="51"/>
      <c r="P25" s="46"/>
      <c r="Q25" s="46"/>
      <c r="R25" s="46"/>
      <c r="S25" s="46"/>
      <c r="T25" s="46"/>
      <c r="U25" s="46"/>
      <c r="V25" s="46"/>
      <c r="W25" s="46"/>
      <c r="X25" s="45"/>
    </row>
    <row r="26" spans="1:24">
      <c r="A26" s="3" t="s">
        <v>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  <c r="O26" s="51"/>
      <c r="P26" s="46"/>
      <c r="Q26" s="46"/>
      <c r="R26" s="46"/>
      <c r="S26" s="46"/>
      <c r="T26" s="46"/>
      <c r="U26" s="46"/>
      <c r="V26" s="46"/>
      <c r="W26" s="46"/>
      <c r="X26" s="45"/>
    </row>
    <row r="27" spans="1:24">
      <c r="A27" s="3" t="s">
        <v>12</v>
      </c>
      <c r="B27" s="4"/>
      <c r="C27" s="10">
        <f>C24*$M$27</f>
        <v>203022.85500000001</v>
      </c>
      <c r="D27" s="10">
        <f t="shared" ref="D27:L27" si="15">D24*$M$27</f>
        <v>211916.74612499992</v>
      </c>
      <c r="E27" s="10">
        <f t="shared" si="15"/>
        <v>221211.327999375</v>
      </c>
      <c r="F27" s="10">
        <f t="shared" si="15"/>
        <v>230925.09502735318</v>
      </c>
      <c r="G27" s="10">
        <f t="shared" si="15"/>
        <v>241077.41242871049</v>
      </c>
      <c r="H27" s="10">
        <f t="shared" si="15"/>
        <v>251688.55789288541</v>
      </c>
      <c r="I27" s="10">
        <f t="shared" si="15"/>
        <v>262779.76524976484</v>
      </c>
      <c r="J27" s="10">
        <f t="shared" si="15"/>
        <v>274373.27025566646</v>
      </c>
      <c r="K27" s="10">
        <f t="shared" si="15"/>
        <v>286492.35859788273</v>
      </c>
      <c r="L27" s="10">
        <f t="shared" si="15"/>
        <v>299161.41622623999</v>
      </c>
      <c r="M27" s="19">
        <v>7.0000000000000007E-2</v>
      </c>
      <c r="O27" s="51"/>
      <c r="P27" s="46"/>
      <c r="Q27" s="46"/>
      <c r="R27" s="46"/>
      <c r="S27" s="46"/>
      <c r="T27" s="46"/>
      <c r="U27" s="46"/>
      <c r="V27" s="46"/>
      <c r="W27" s="46"/>
      <c r="X27" s="45"/>
    </row>
    <row r="28" spans="1:24">
      <c r="A28" s="3" t="s">
        <v>54</v>
      </c>
      <c r="B28" s="4"/>
      <c r="C28" s="10">
        <f t="shared" ref="C28:L28" si="16">C10*C11</f>
        <v>840000</v>
      </c>
      <c r="D28" s="10">
        <f t="shared" si="16"/>
        <v>865200</v>
      </c>
      <c r="E28" s="10">
        <f t="shared" si="16"/>
        <v>891156</v>
      </c>
      <c r="F28" s="10">
        <f t="shared" si="16"/>
        <v>917890.67999999993</v>
      </c>
      <c r="G28" s="10">
        <f t="shared" si="16"/>
        <v>945427.40040000004</v>
      </c>
      <c r="H28" s="10">
        <f t="shared" si="16"/>
        <v>973790.22241199994</v>
      </c>
      <c r="I28" s="10">
        <f t="shared" si="16"/>
        <v>1003003.9290843601</v>
      </c>
      <c r="J28" s="10">
        <f t="shared" si="16"/>
        <v>1033094.0469568911</v>
      </c>
      <c r="K28" s="10">
        <f t="shared" si="16"/>
        <v>1064086.8683655977</v>
      </c>
      <c r="L28" s="10">
        <f t="shared" si="16"/>
        <v>1096009.4744165656</v>
      </c>
      <c r="M28" s="19">
        <v>3.5000000000000003E-2</v>
      </c>
      <c r="O28" s="51"/>
      <c r="P28" s="46"/>
      <c r="Q28" s="46"/>
      <c r="R28" s="46"/>
      <c r="S28" s="46"/>
      <c r="T28" s="46"/>
      <c r="U28" s="46"/>
      <c r="V28" s="46"/>
      <c r="W28" s="46"/>
      <c r="X28" s="45"/>
    </row>
    <row r="29" spans="1:24">
      <c r="A29" s="3" t="s">
        <v>59</v>
      </c>
      <c r="B29" s="4"/>
      <c r="C29" s="10">
        <f t="shared" ref="C29:L29" si="17">C12*C13</f>
        <v>270000</v>
      </c>
      <c r="D29" s="10">
        <f t="shared" si="17"/>
        <v>278100</v>
      </c>
      <c r="E29" s="10">
        <f t="shared" si="17"/>
        <v>286443</v>
      </c>
      <c r="F29" s="10">
        <f t="shared" si="17"/>
        <v>295036.29000000004</v>
      </c>
      <c r="G29" s="10">
        <f t="shared" si="17"/>
        <v>303887.37870000006</v>
      </c>
      <c r="H29" s="10">
        <f t="shared" si="17"/>
        <v>313004.00006100006</v>
      </c>
      <c r="I29" s="10">
        <f t="shared" si="17"/>
        <v>322394.1200628301</v>
      </c>
      <c r="J29" s="10">
        <f t="shared" si="17"/>
        <v>332065.94366471504</v>
      </c>
      <c r="K29" s="10">
        <f t="shared" si="17"/>
        <v>342027.92197465646</v>
      </c>
      <c r="L29" s="10">
        <f t="shared" si="17"/>
        <v>352288.75963389617</v>
      </c>
      <c r="M29" s="19">
        <v>3.5000000000000003E-2</v>
      </c>
      <c r="O29" s="51"/>
      <c r="P29" s="46"/>
      <c r="Q29" s="46"/>
      <c r="R29" s="46"/>
      <c r="S29" s="46"/>
      <c r="T29" s="46"/>
      <c r="U29" s="46"/>
      <c r="V29" s="46"/>
      <c r="W29" s="46"/>
      <c r="X29" s="45"/>
    </row>
    <row r="30" spans="1:24">
      <c r="A30" s="3" t="s">
        <v>13</v>
      </c>
      <c r="B30" s="4"/>
      <c r="C30" s="10">
        <f>50000*12</f>
        <v>600000</v>
      </c>
      <c r="D30" s="10">
        <f>C30*(1+$M$30)</f>
        <v>618000</v>
      </c>
      <c r="E30" s="10">
        <f>D30*(1+$M$30)</f>
        <v>636540</v>
      </c>
      <c r="F30" s="10">
        <f>E30*(1+$M$30)</f>
        <v>655636.20000000007</v>
      </c>
      <c r="G30" s="10">
        <f t="shared" ref="G30:L30" si="18">F30*(1+$M$30)</f>
        <v>675305.28600000008</v>
      </c>
      <c r="H30" s="10">
        <f t="shared" si="18"/>
        <v>695564.44458000013</v>
      </c>
      <c r="I30" s="10">
        <f t="shared" si="18"/>
        <v>716431.3779174001</v>
      </c>
      <c r="J30" s="10">
        <f t="shared" si="18"/>
        <v>737924.3192549221</v>
      </c>
      <c r="K30" s="10">
        <f t="shared" si="18"/>
        <v>760062.04883256974</v>
      </c>
      <c r="L30" s="10">
        <f t="shared" si="18"/>
        <v>782863.91029754688</v>
      </c>
      <c r="M30" s="30">
        <v>0.03</v>
      </c>
      <c r="O30" s="51"/>
      <c r="P30" s="46"/>
      <c r="Q30" s="46"/>
      <c r="R30" s="46"/>
      <c r="S30" s="46"/>
      <c r="T30" s="46"/>
      <c r="U30" s="46"/>
      <c r="V30" s="46"/>
      <c r="W30" s="46"/>
      <c r="X30" s="45"/>
    </row>
    <row r="31" spans="1:24">
      <c r="A31" s="3"/>
      <c r="B31" s="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30"/>
      <c r="O31" s="51"/>
      <c r="P31" s="46"/>
      <c r="Q31" s="46"/>
      <c r="R31" s="46"/>
      <c r="S31" s="46"/>
      <c r="T31" s="46"/>
      <c r="U31" s="46"/>
      <c r="V31" s="46"/>
      <c r="W31" s="46"/>
      <c r="X31" s="45"/>
    </row>
    <row r="32" spans="1:24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  <c r="O32" s="46"/>
      <c r="P32" s="46"/>
      <c r="Q32" s="46"/>
      <c r="R32" s="46"/>
      <c r="S32" s="46"/>
      <c r="T32" s="46"/>
      <c r="U32" s="46"/>
      <c r="V32" s="46"/>
      <c r="W32" s="46"/>
      <c r="X32" s="45"/>
    </row>
    <row r="33" spans="1:24">
      <c r="A33" s="3" t="s">
        <v>0</v>
      </c>
      <c r="B33" s="4"/>
      <c r="C33" s="10">
        <f>C51/30</f>
        <v>383505</v>
      </c>
      <c r="D33" s="10">
        <f t="shared" ref="D33:F33" si="19">D51/30</f>
        <v>383505</v>
      </c>
      <c r="E33" s="10">
        <f t="shared" si="19"/>
        <v>383505</v>
      </c>
      <c r="F33" s="10">
        <f t="shared" si="19"/>
        <v>383505</v>
      </c>
      <c r="G33" s="10">
        <f>(G51+G52)/30</f>
        <v>383505</v>
      </c>
      <c r="H33" s="10">
        <f t="shared" ref="H33:L33" si="20">(H51+H52)/30</f>
        <v>460206</v>
      </c>
      <c r="I33" s="10">
        <f t="shared" si="20"/>
        <v>460206</v>
      </c>
      <c r="J33" s="10">
        <f t="shared" si="20"/>
        <v>460206</v>
      </c>
      <c r="K33" s="10">
        <f t="shared" si="20"/>
        <v>460206</v>
      </c>
      <c r="L33" s="10">
        <f t="shared" si="20"/>
        <v>460206</v>
      </c>
      <c r="M33" s="5"/>
      <c r="O33" s="46"/>
      <c r="P33" s="46"/>
      <c r="Q33" s="46"/>
      <c r="R33" s="46"/>
      <c r="S33" s="46"/>
      <c r="T33" s="46"/>
      <c r="U33" s="46"/>
      <c r="V33" s="46"/>
      <c r="W33" s="46"/>
      <c r="X33" s="45"/>
    </row>
    <row r="34" spans="1:24">
      <c r="A34" s="3" t="s">
        <v>10</v>
      </c>
      <c r="B34" s="4"/>
      <c r="C34" s="12">
        <f>'Amortization Table'!D14</f>
        <v>372742.83424108889</v>
      </c>
      <c r="D34" s="12">
        <f>'Amortization Table'!D29</f>
        <v>367077.76005668187</v>
      </c>
      <c r="E34" s="12">
        <f>'Amortization Table'!D44</f>
        <v>361122.84992535977</v>
      </c>
      <c r="F34" s="12">
        <f>'Amortization Table'!D59</f>
        <v>354863.27529000404</v>
      </c>
      <c r="G34" s="12">
        <f>'Amortization Table'!D74</f>
        <v>348283.44893637131</v>
      </c>
      <c r="H34" s="12">
        <f>'Amortization Table'!D89</f>
        <v>341366.98617875436</v>
      </c>
      <c r="I34" s="12">
        <f>'Amortization Table'!D104</f>
        <v>334096.66405982943</v>
      </c>
      <c r="J34" s="12">
        <f>'Amortization Table'!D119</f>
        <v>326454.37846308883</v>
      </c>
      <c r="K34" s="12">
        <f>'Amortization Table'!D134</f>
        <v>318421.09903106466</v>
      </c>
      <c r="L34" s="12">
        <f>'Amortization Table'!D149</f>
        <v>309976.82177708385</v>
      </c>
      <c r="M34" s="5"/>
      <c r="O34" s="48"/>
      <c r="P34" s="46"/>
      <c r="Q34" s="46"/>
      <c r="R34" s="46"/>
      <c r="S34" s="46"/>
      <c r="T34" s="46"/>
      <c r="U34" s="46"/>
      <c r="V34" s="46"/>
      <c r="W34" s="46"/>
      <c r="X34" s="45"/>
    </row>
    <row r="35" spans="1:24">
      <c r="A35" s="3" t="s">
        <v>11</v>
      </c>
      <c r="B35" s="4"/>
      <c r="C35" s="11">
        <f>$M$35*C60</f>
        <v>102349.54897434283</v>
      </c>
      <c r="D35" s="11">
        <f t="shared" ref="D35:L35" si="21">$M$35*D60</f>
        <v>46541.0433811025</v>
      </c>
      <c r="E35" s="11">
        <f t="shared" si="21"/>
        <v>0</v>
      </c>
      <c r="F35" s="11">
        <f t="shared" si="21"/>
        <v>0</v>
      </c>
      <c r="G35" s="11">
        <f t="shared" si="21"/>
        <v>0</v>
      </c>
      <c r="H35" s="11">
        <f t="shared" si="21"/>
        <v>25576.623783653355</v>
      </c>
      <c r="I35" s="11">
        <f t="shared" si="21"/>
        <v>0</v>
      </c>
      <c r="J35" s="11">
        <f t="shared" si="21"/>
        <v>0</v>
      </c>
      <c r="K35" s="11">
        <f t="shared" si="21"/>
        <v>0</v>
      </c>
      <c r="L35" s="11">
        <f t="shared" si="21"/>
        <v>0</v>
      </c>
      <c r="M35" s="68">
        <v>0.12</v>
      </c>
      <c r="O35" s="46"/>
      <c r="P35" s="46"/>
      <c r="Q35" s="46"/>
      <c r="R35" s="46"/>
      <c r="S35" s="46"/>
      <c r="T35" s="46"/>
      <c r="U35" s="46"/>
      <c r="V35" s="46"/>
      <c r="W35" s="46"/>
      <c r="X35" s="45"/>
    </row>
    <row r="36" spans="1:24" ht="18.75" thickBot="1">
      <c r="A36" s="3" t="s">
        <v>34</v>
      </c>
      <c r="B36" s="4"/>
      <c r="C36" s="32">
        <f>SUM(C33:C35,C27:C30)</f>
        <v>2771620.2382154316</v>
      </c>
      <c r="D36" s="32">
        <f>SUM(D33:D35,D27:D30)</f>
        <v>2770340.5495627844</v>
      </c>
      <c r="E36" s="32">
        <f>SUM(E33:E35,E27:E30)</f>
        <v>2779978.1779247345</v>
      </c>
      <c r="F36" s="32">
        <f>SUM(F33:F35,F27:F30)</f>
        <v>2837856.5403173575</v>
      </c>
      <c r="G36" s="32">
        <f t="shared" ref="G36:L36" si="22">SUM(G33:G35,G27:G30)</f>
        <v>2897485.926465082</v>
      </c>
      <c r="H36" s="32">
        <f t="shared" si="22"/>
        <v>3061196.8349082936</v>
      </c>
      <c r="I36" s="32">
        <f t="shared" si="22"/>
        <v>3098911.8563741846</v>
      </c>
      <c r="J36" s="32">
        <f t="shared" si="22"/>
        <v>3164117.9585952838</v>
      </c>
      <c r="K36" s="32">
        <f t="shared" si="22"/>
        <v>3231296.2968017715</v>
      </c>
      <c r="L36" s="32">
        <f t="shared" si="22"/>
        <v>3300506.3823513328</v>
      </c>
      <c r="M36" s="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ht="18.75" thickTop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</row>
    <row r="38" spans="1:24">
      <c r="A38" s="3" t="s">
        <v>14</v>
      </c>
      <c r="B38" s="4"/>
      <c r="C38" s="12">
        <f>C24-C36</f>
        <v>128706.26178456843</v>
      </c>
      <c r="D38" s="12">
        <f t="shared" ref="D38:F38" si="23">D24-D36</f>
        <v>257041.53793721413</v>
      </c>
      <c r="E38" s="12">
        <f t="shared" si="23"/>
        <v>380183.65063776542</v>
      </c>
      <c r="F38" s="12">
        <f t="shared" si="23"/>
        <v>461073.38864483032</v>
      </c>
      <c r="G38" s="12">
        <f t="shared" ref="G38:L38" si="24">G24-G36</f>
        <v>546477.10823078174</v>
      </c>
      <c r="H38" s="12">
        <f t="shared" si="24"/>
        <v>534353.99213292636</v>
      </c>
      <c r="I38" s="12">
        <f t="shared" si="24"/>
        <v>655084.7900510272</v>
      </c>
      <c r="J38" s="12">
        <f t="shared" si="24"/>
        <v>755500.18791423691</v>
      </c>
      <c r="K38" s="12">
        <f t="shared" si="24"/>
        <v>861451.68316798145</v>
      </c>
      <c r="L38" s="12">
        <f t="shared" si="24"/>
        <v>973228.13516638102</v>
      </c>
      <c r="M38" s="5"/>
    </row>
    <row r="39" spans="1:24">
      <c r="A39" s="3" t="s">
        <v>15</v>
      </c>
      <c r="B39" s="4"/>
      <c r="C39" s="31">
        <f>C38*$M$39</f>
        <v>32176.565446142107</v>
      </c>
      <c r="D39" s="31">
        <f>D38*$M$39</f>
        <v>64260.384484303533</v>
      </c>
      <c r="E39" s="31">
        <f>E38*$M$39</f>
        <v>95045.912659441354</v>
      </c>
      <c r="F39" s="31">
        <f>F38*$M$39</f>
        <v>115268.34716120758</v>
      </c>
      <c r="G39" s="31">
        <f t="shared" ref="G39:L39" si="25">G38*$M$39</f>
        <v>136619.27705769544</v>
      </c>
      <c r="H39" s="31">
        <f t="shared" si="25"/>
        <v>133588.49803323159</v>
      </c>
      <c r="I39" s="31">
        <f t="shared" si="25"/>
        <v>163771.1975127568</v>
      </c>
      <c r="J39" s="31">
        <f t="shared" si="25"/>
        <v>188875.04697855923</v>
      </c>
      <c r="K39" s="31">
        <f t="shared" si="25"/>
        <v>215362.92079199536</v>
      </c>
      <c r="L39" s="31">
        <f t="shared" si="25"/>
        <v>243307.03379159526</v>
      </c>
      <c r="M39" s="40">
        <v>0.25</v>
      </c>
      <c r="N39" s="41"/>
    </row>
    <row r="40" spans="1:24" ht="18.75" thickBot="1">
      <c r="A40" s="4" t="s">
        <v>45</v>
      </c>
      <c r="B40" s="4"/>
      <c r="C40" s="32">
        <f>C38-C39</f>
        <v>96529.696338426322</v>
      </c>
      <c r="D40" s="32">
        <f t="shared" ref="D40:F40" si="26">D38-D39</f>
        <v>192781.1534529106</v>
      </c>
      <c r="E40" s="32">
        <f t="shared" si="26"/>
        <v>285137.73797832406</v>
      </c>
      <c r="F40" s="32">
        <f t="shared" si="26"/>
        <v>345805.04148362274</v>
      </c>
      <c r="G40" s="32">
        <f t="shared" ref="G40:L40" si="27">G38-G39</f>
        <v>409857.83117308631</v>
      </c>
      <c r="H40" s="32">
        <f t="shared" si="27"/>
        <v>400765.49409969477</v>
      </c>
      <c r="I40" s="32">
        <f t="shared" si="27"/>
        <v>491313.5925382704</v>
      </c>
      <c r="J40" s="32">
        <f t="shared" si="27"/>
        <v>566625.14093567769</v>
      </c>
      <c r="K40" s="32">
        <f t="shared" si="27"/>
        <v>646088.76237598609</v>
      </c>
      <c r="L40" s="32">
        <f t="shared" si="27"/>
        <v>729921.10137478577</v>
      </c>
      <c r="M40" s="4"/>
      <c r="N40" s="41"/>
      <c r="O40" s="4"/>
    </row>
    <row r="41" spans="1:24" ht="19.5" thickTop="1" thickBot="1">
      <c r="A41" s="8"/>
      <c r="B41" s="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8"/>
      <c r="N41" s="41"/>
      <c r="O41" s="4"/>
    </row>
    <row r="42" spans="1:24" ht="18.75" thickBot="1"/>
    <row r="43" spans="1:24" ht="21">
      <c r="A43" s="18" t="s">
        <v>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</row>
    <row r="44" spans="1:24">
      <c r="A44" s="6" t="s">
        <v>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</row>
    <row r="45" spans="1:24">
      <c r="A45" s="3" t="s">
        <v>16</v>
      </c>
      <c r="B45" s="4"/>
      <c r="C45" s="10">
        <v>20000</v>
      </c>
      <c r="D45" s="10">
        <f>C45*(1+$M$45)</f>
        <v>20600</v>
      </c>
      <c r="E45" s="10">
        <f t="shared" ref="E45:L45" si="28">D45*(1+$M$45)</f>
        <v>21218</v>
      </c>
      <c r="F45" s="10">
        <f t="shared" si="28"/>
        <v>21854.54</v>
      </c>
      <c r="G45" s="10">
        <f t="shared" si="28"/>
        <v>22510.176200000002</v>
      </c>
      <c r="H45" s="10">
        <f t="shared" si="28"/>
        <v>23185.481486000001</v>
      </c>
      <c r="I45" s="10">
        <f t="shared" si="28"/>
        <v>23881.04593058</v>
      </c>
      <c r="J45" s="10">
        <f t="shared" si="28"/>
        <v>24597.4773084974</v>
      </c>
      <c r="K45" s="10">
        <f t="shared" si="28"/>
        <v>25335.401627752322</v>
      </c>
      <c r="L45" s="10">
        <f t="shared" si="28"/>
        <v>26095.463676584892</v>
      </c>
      <c r="M45" s="68">
        <v>0.03</v>
      </c>
    </row>
    <row r="46" spans="1:24">
      <c r="A46" s="3" t="s">
        <v>17</v>
      </c>
      <c r="B46" s="4"/>
      <c r="C46" s="10">
        <v>0</v>
      </c>
      <c r="D46" s="10">
        <v>0</v>
      </c>
      <c r="E46" s="10">
        <v>161366.74</v>
      </c>
      <c r="F46" s="10">
        <v>753419.69</v>
      </c>
      <c r="G46" s="10">
        <v>1403037.4439999999</v>
      </c>
      <c r="H46" s="10"/>
      <c r="I46" s="10">
        <v>587093.6</v>
      </c>
      <c r="J46" s="10">
        <v>1448762.66</v>
      </c>
      <c r="K46" s="10">
        <v>2382050.7400000002</v>
      </c>
      <c r="L46" s="10">
        <v>3390944.42</v>
      </c>
      <c r="M46" s="5"/>
    </row>
    <row r="47" spans="1:24">
      <c r="A47" s="3" t="s">
        <v>2</v>
      </c>
      <c r="B47" s="4"/>
      <c r="C47" s="12">
        <v>0</v>
      </c>
      <c r="D47" s="12">
        <v>0</v>
      </c>
      <c r="E47" s="12"/>
      <c r="F47" s="12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5"/>
    </row>
    <row r="48" spans="1:24">
      <c r="A48" s="3" t="s">
        <v>3</v>
      </c>
      <c r="B48" s="4"/>
      <c r="C48" s="12">
        <f>SUM(C22:C23)/365*C7</f>
        <v>767272.5</v>
      </c>
      <c r="D48" s="12">
        <f t="shared" ref="D48:L48" si="29">SUM(D22:D23)/365*D7</f>
        <v>794564.43750000012</v>
      </c>
      <c r="E48" s="12">
        <f t="shared" si="29"/>
        <v>822833.46281249984</v>
      </c>
      <c r="F48" s="12">
        <f t="shared" si="29"/>
        <v>852114.86751093727</v>
      </c>
      <c r="G48" s="12">
        <f t="shared" si="29"/>
        <v>882445.23304882005</v>
      </c>
      <c r="H48" s="12">
        <f t="shared" si="29"/>
        <v>913862.47863927879</v>
      </c>
      <c r="I48" s="12">
        <f t="shared" si="29"/>
        <v>946405.91094709106</v>
      </c>
      <c r="J48" s="12">
        <f t="shared" si="29"/>
        <v>980116.2756634485</v>
      </c>
      <c r="K48" s="12">
        <f t="shared" si="29"/>
        <v>1015035.811036539</v>
      </c>
      <c r="L48" s="12">
        <f t="shared" si="29"/>
        <v>1051208.3034339312</v>
      </c>
      <c r="M48" s="5"/>
      <c r="O48" s="23" t="s">
        <v>27</v>
      </c>
      <c r="P48" s="23">
        <v>3</v>
      </c>
      <c r="Q48" s="23"/>
      <c r="R48" s="23" t="s">
        <v>28</v>
      </c>
      <c r="S48" s="24">
        <v>1</v>
      </c>
    </row>
    <row r="49" spans="1:18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/>
    </row>
    <row r="50" spans="1:18">
      <c r="A50" s="3" t="s">
        <v>133</v>
      </c>
      <c r="B50" s="4"/>
      <c r="C50" s="95">
        <v>500000</v>
      </c>
      <c r="D50" s="95">
        <v>500000</v>
      </c>
      <c r="E50" s="95">
        <v>500000</v>
      </c>
      <c r="F50" s="95">
        <v>500000</v>
      </c>
      <c r="G50" s="95">
        <v>500000</v>
      </c>
      <c r="H50" s="95">
        <v>500000</v>
      </c>
      <c r="I50" s="95">
        <v>500000</v>
      </c>
      <c r="J50" s="95">
        <v>500000</v>
      </c>
      <c r="K50" s="95">
        <v>500000</v>
      </c>
      <c r="L50" s="95">
        <v>500000</v>
      </c>
      <c r="M50" s="5"/>
    </row>
    <row r="51" spans="1:18">
      <c r="A51" s="3" t="s">
        <v>18</v>
      </c>
      <c r="B51" s="12"/>
      <c r="C51" s="10">
        <f>$B$16</f>
        <v>11505150</v>
      </c>
      <c r="D51" s="10">
        <f t="shared" ref="D51:L51" si="30">$B$16</f>
        <v>11505150</v>
      </c>
      <c r="E51" s="10">
        <f t="shared" si="30"/>
        <v>11505150</v>
      </c>
      <c r="F51" s="10">
        <f t="shared" si="30"/>
        <v>11505150</v>
      </c>
      <c r="G51" s="10">
        <f t="shared" si="30"/>
        <v>11505150</v>
      </c>
      <c r="H51" s="10">
        <f t="shared" si="30"/>
        <v>11505150</v>
      </c>
      <c r="I51" s="10">
        <f t="shared" si="30"/>
        <v>11505150</v>
      </c>
      <c r="J51" s="10">
        <f t="shared" si="30"/>
        <v>11505150</v>
      </c>
      <c r="K51" s="10">
        <f t="shared" si="30"/>
        <v>11505150</v>
      </c>
      <c r="L51" s="10">
        <f t="shared" si="30"/>
        <v>11505150</v>
      </c>
      <c r="M51" s="5"/>
    </row>
    <row r="52" spans="1:18">
      <c r="A52" s="3" t="s">
        <v>134</v>
      </c>
      <c r="B52" s="12"/>
      <c r="C52" s="10">
        <v>0</v>
      </c>
      <c r="D52" s="10"/>
      <c r="E52" s="10">
        <v>0</v>
      </c>
      <c r="F52" s="10">
        <v>0</v>
      </c>
      <c r="G52" s="10">
        <v>0</v>
      </c>
      <c r="H52" s="10">
        <f t="shared" ref="H52:L52" si="31">$B$16*0.2</f>
        <v>2301030</v>
      </c>
      <c r="I52" s="10">
        <f t="shared" si="31"/>
        <v>2301030</v>
      </c>
      <c r="J52" s="10">
        <f t="shared" si="31"/>
        <v>2301030</v>
      </c>
      <c r="K52" s="10">
        <f t="shared" si="31"/>
        <v>2301030</v>
      </c>
      <c r="L52" s="10">
        <f t="shared" si="31"/>
        <v>2301030</v>
      </c>
      <c r="M52" s="5"/>
    </row>
    <row r="53" spans="1:18">
      <c r="A53" s="43" t="s">
        <v>19</v>
      </c>
      <c r="B53" s="4"/>
      <c r="C53" s="31">
        <f>C33</f>
        <v>383505</v>
      </c>
      <c r="D53" s="31">
        <f>D33+C53</f>
        <v>767010</v>
      </c>
      <c r="E53" s="31">
        <f>E33+D53</f>
        <v>1150515</v>
      </c>
      <c r="F53" s="31">
        <f>F33+E53</f>
        <v>1534020</v>
      </c>
      <c r="G53" s="31">
        <f>G33+F53</f>
        <v>1917525</v>
      </c>
      <c r="H53" s="31">
        <f t="shared" ref="H53:L53" si="32">H33+G53</f>
        <v>2377731</v>
      </c>
      <c r="I53" s="31">
        <f t="shared" si="32"/>
        <v>2837937</v>
      </c>
      <c r="J53" s="31">
        <f t="shared" si="32"/>
        <v>3298143</v>
      </c>
      <c r="K53" s="31">
        <f t="shared" si="32"/>
        <v>3758349</v>
      </c>
      <c r="L53" s="31">
        <f t="shared" si="32"/>
        <v>4218555</v>
      </c>
      <c r="M53" s="5"/>
    </row>
    <row r="54" spans="1:18" ht="18.75" thickBot="1">
      <c r="A54" s="3" t="s">
        <v>20</v>
      </c>
      <c r="B54" s="4"/>
      <c r="C54" s="32">
        <f>SUM(C45:C52)-C53</f>
        <v>12408917.5</v>
      </c>
      <c r="D54" s="32">
        <f t="shared" ref="D54:L54" si="33">SUM(D45:D52)-D53</f>
        <v>12053304.4375</v>
      </c>
      <c r="E54" s="32">
        <f t="shared" si="33"/>
        <v>11860053.2028125</v>
      </c>
      <c r="F54" s="32">
        <f t="shared" si="33"/>
        <v>12098519.097510938</v>
      </c>
      <c r="G54" s="32">
        <f t="shared" si="33"/>
        <v>12395617.85324882</v>
      </c>
      <c r="H54" s="32">
        <f t="shared" si="33"/>
        <v>12865496.960125279</v>
      </c>
      <c r="I54" s="32">
        <f t="shared" si="33"/>
        <v>13025623.556877671</v>
      </c>
      <c r="J54" s="32">
        <f t="shared" si="33"/>
        <v>13461513.412971945</v>
      </c>
      <c r="K54" s="32">
        <f t="shared" si="33"/>
        <v>13970252.952664293</v>
      </c>
      <c r="L54" s="32">
        <f t="shared" si="33"/>
        <v>14555873.187110517</v>
      </c>
      <c r="M54" s="5"/>
    </row>
    <row r="55" spans="1:18" ht="18.75" thickTop="1">
      <c r="A55" s="3"/>
      <c r="B55" s="4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5"/>
    </row>
    <row r="56" spans="1:18">
      <c r="A56" s="6" t="s">
        <v>21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1:18">
      <c r="A57" s="3" t="s">
        <v>4</v>
      </c>
      <c r="B57" s="4"/>
      <c r="C57" s="36">
        <f>(C30/365)*C9</f>
        <v>32876.71232876712</v>
      </c>
      <c r="D57" s="36">
        <f t="shared" ref="D57:L57" si="34">(D30/365)*D9</f>
        <v>33863.013698630137</v>
      </c>
      <c r="E57" s="36">
        <f t="shared" si="34"/>
        <v>34878.904109589042</v>
      </c>
      <c r="F57" s="36">
        <f t="shared" si="34"/>
        <v>35925.271232876716</v>
      </c>
      <c r="G57" s="36">
        <f t="shared" si="34"/>
        <v>37003.029369863019</v>
      </c>
      <c r="H57" s="36">
        <f t="shared" si="34"/>
        <v>38113.120250958906</v>
      </c>
      <c r="I57" s="36">
        <f t="shared" si="34"/>
        <v>39256.513858487677</v>
      </c>
      <c r="J57" s="36">
        <f t="shared" si="34"/>
        <v>40434.209274242305</v>
      </c>
      <c r="K57" s="36">
        <f t="shared" si="34"/>
        <v>41647.235552469574</v>
      </c>
      <c r="L57" s="36">
        <f t="shared" si="34"/>
        <v>42896.652619043663</v>
      </c>
      <c r="M57" s="5"/>
    </row>
    <row r="58" spans="1:18">
      <c r="A58" s="3" t="s">
        <v>129</v>
      </c>
      <c r="B58" s="4"/>
      <c r="C58" s="36">
        <f>C39</f>
        <v>32176.565446142107</v>
      </c>
      <c r="D58" s="36">
        <f t="shared" ref="D58:L58" si="35">D39</f>
        <v>64260.384484303533</v>
      </c>
      <c r="E58" s="36">
        <f t="shared" si="35"/>
        <v>95045.912659441354</v>
      </c>
      <c r="F58" s="36">
        <f t="shared" si="35"/>
        <v>115268.34716120758</v>
      </c>
      <c r="G58" s="36">
        <f t="shared" si="35"/>
        <v>136619.27705769544</v>
      </c>
      <c r="H58" s="36">
        <f t="shared" si="35"/>
        <v>133588.49803323159</v>
      </c>
      <c r="I58" s="36">
        <f t="shared" si="35"/>
        <v>163771.1975127568</v>
      </c>
      <c r="J58" s="36">
        <f t="shared" si="35"/>
        <v>188875.04697855923</v>
      </c>
      <c r="K58" s="36">
        <f t="shared" si="35"/>
        <v>215362.92079199536</v>
      </c>
      <c r="L58" s="36">
        <f t="shared" si="35"/>
        <v>243307.03379159526</v>
      </c>
      <c r="M58" s="5"/>
    </row>
    <row r="59" spans="1:18">
      <c r="A59" s="3" t="s">
        <v>22</v>
      </c>
      <c r="B59" s="4"/>
      <c r="C59" s="36">
        <f>'Amortization Table'!F13</f>
        <v>7394421.6177671412</v>
      </c>
      <c r="D59" s="36">
        <f>'Amortization Table'!F28</f>
        <v>7278028.1613498759</v>
      </c>
      <c r="E59" s="36">
        <f>'Amortization Table'!F43</f>
        <v>7155679.7948012864</v>
      </c>
      <c r="F59" s="36">
        <f>'Amortization Table'!F58</f>
        <v>7027071.853617345</v>
      </c>
      <c r="G59" s="67">
        <f>'Amortization Table'!F73</f>
        <v>6891884.0860797707</v>
      </c>
      <c r="H59" s="67">
        <f>'Amortization Table'!F88</f>
        <v>6749779.8557845782</v>
      </c>
      <c r="I59" s="67">
        <f>'Amortization Table'!F103</f>
        <v>6600405.3033704618</v>
      </c>
      <c r="J59" s="67">
        <f>'Amortization Table'!F118</f>
        <v>6443388.4653596031</v>
      </c>
      <c r="K59" s="67">
        <f>'Amortization Table'!F133</f>
        <v>6278338.3479167223</v>
      </c>
      <c r="L59" s="67">
        <f>'Amortization Table'!F148</f>
        <v>6104843.9532198599</v>
      </c>
      <c r="M59" s="5"/>
    </row>
    <row r="60" spans="1:18">
      <c r="A60" s="3" t="s">
        <v>23</v>
      </c>
      <c r="B60" s="4"/>
      <c r="C60" s="36">
        <v>852912.90811952366</v>
      </c>
      <c r="D60" s="36">
        <v>387842.02817585418</v>
      </c>
      <c r="E60" s="36">
        <v>0</v>
      </c>
      <c r="F60" s="36">
        <v>0</v>
      </c>
      <c r="G60" s="36">
        <v>0</v>
      </c>
      <c r="H60" s="36">
        <v>213138.53153044463</v>
      </c>
      <c r="I60" s="36">
        <v>0</v>
      </c>
      <c r="J60" s="36">
        <v>0</v>
      </c>
      <c r="K60" s="36">
        <v>0</v>
      </c>
      <c r="L60" s="36">
        <v>0</v>
      </c>
      <c r="M60" s="5"/>
    </row>
    <row r="61" spans="1:18">
      <c r="A61" s="3"/>
      <c r="B61" s="4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5"/>
    </row>
    <row r="62" spans="1:18" s="22" customFormat="1">
      <c r="A62" s="6" t="s">
        <v>26</v>
      </c>
      <c r="B62" s="20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21"/>
    </row>
    <row r="63" spans="1:18">
      <c r="A63" s="3" t="s">
        <v>5</v>
      </c>
      <c r="B63" s="98">
        <f>C51-C63</f>
        <v>7505150</v>
      </c>
      <c r="C63" s="36">
        <v>4000000</v>
      </c>
      <c r="D63" s="36">
        <f>$C$63</f>
        <v>4000000</v>
      </c>
      <c r="E63" s="36">
        <f t="shared" ref="E63:L63" si="36">$C$63</f>
        <v>4000000</v>
      </c>
      <c r="F63" s="36">
        <f t="shared" si="36"/>
        <v>4000000</v>
      </c>
      <c r="G63" s="36">
        <f t="shared" si="36"/>
        <v>4000000</v>
      </c>
      <c r="H63" s="36">
        <f t="shared" si="36"/>
        <v>4000000</v>
      </c>
      <c r="I63" s="36">
        <f t="shared" si="36"/>
        <v>4000000</v>
      </c>
      <c r="J63" s="36">
        <f t="shared" si="36"/>
        <v>4000000</v>
      </c>
      <c r="K63" s="36">
        <f t="shared" si="36"/>
        <v>4000000</v>
      </c>
      <c r="L63" s="36">
        <f t="shared" si="36"/>
        <v>4000000</v>
      </c>
      <c r="M63" s="93">
        <v>20000000000</v>
      </c>
      <c r="P63" s="33"/>
      <c r="Q63" s="33"/>
      <c r="R63" s="33"/>
    </row>
    <row r="64" spans="1:18">
      <c r="A64" s="3" t="s">
        <v>24</v>
      </c>
      <c r="B64" s="4"/>
      <c r="C64" s="36">
        <f>C40</f>
        <v>96529.696338426322</v>
      </c>
      <c r="D64" s="36">
        <f>D40+C64</f>
        <v>289310.84979133692</v>
      </c>
      <c r="E64" s="36">
        <f t="shared" ref="E64" si="37">E40+D64</f>
        <v>574448.58776966098</v>
      </c>
      <c r="F64" s="36">
        <f>F40+E64</f>
        <v>920253.62925328373</v>
      </c>
      <c r="G64" s="36">
        <f t="shared" ref="G64:L64" si="38">G40+F64</f>
        <v>1330111.4604263701</v>
      </c>
      <c r="H64" s="36">
        <f t="shared" si="38"/>
        <v>1730876.9545260649</v>
      </c>
      <c r="I64" s="36">
        <f t="shared" si="38"/>
        <v>2222190.5470643351</v>
      </c>
      <c r="J64" s="36">
        <f t="shared" si="38"/>
        <v>2788815.6880000127</v>
      </c>
      <c r="K64" s="36">
        <f t="shared" si="38"/>
        <v>3434904.4503759989</v>
      </c>
      <c r="L64" s="36">
        <f t="shared" si="38"/>
        <v>4164825.5517507847</v>
      </c>
      <c r="M64" s="5"/>
    </row>
    <row r="65" spans="1:13">
      <c r="A65" s="3"/>
      <c r="B65" s="4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5"/>
    </row>
    <row r="66" spans="1:13" ht="18.75" thickBot="1">
      <c r="A66" s="3" t="s">
        <v>25</v>
      </c>
      <c r="B66" s="4"/>
      <c r="C66" s="38">
        <f>SUM(C57:C64)</f>
        <v>12408917.5</v>
      </c>
      <c r="D66" s="38">
        <f t="shared" ref="D66:L66" si="39">SUM(D57:D64)</f>
        <v>12053304.4375</v>
      </c>
      <c r="E66" s="38">
        <f t="shared" si="39"/>
        <v>11860053.199339978</v>
      </c>
      <c r="F66" s="38">
        <f t="shared" si="39"/>
        <v>12098519.101264711</v>
      </c>
      <c r="G66" s="38">
        <f t="shared" si="39"/>
        <v>12395617.852933699</v>
      </c>
      <c r="H66" s="38">
        <f t="shared" si="39"/>
        <v>12865496.960125277</v>
      </c>
      <c r="I66" s="38">
        <f t="shared" si="39"/>
        <v>13025623.561806042</v>
      </c>
      <c r="J66" s="38">
        <f t="shared" si="39"/>
        <v>13461513.409612417</v>
      </c>
      <c r="K66" s="38">
        <f t="shared" si="39"/>
        <v>13970252.954637187</v>
      </c>
      <c r="L66" s="38">
        <f t="shared" si="39"/>
        <v>14555873.191381283</v>
      </c>
      <c r="M66" s="5"/>
    </row>
    <row r="67" spans="1:13" ht="19.5" thickTop="1" thickBot="1">
      <c r="A67" s="7"/>
      <c r="B67" s="8"/>
      <c r="C67" s="39">
        <f>C54-C66</f>
        <v>0</v>
      </c>
      <c r="D67" s="39">
        <f t="shared" ref="D67:L67" si="40">D54-D66</f>
        <v>0</v>
      </c>
      <c r="E67" s="39">
        <f t="shared" si="40"/>
        <v>3.4725219011306763E-3</v>
      </c>
      <c r="F67" s="39">
        <f t="shared" si="40"/>
        <v>-3.7537738680839539E-3</v>
      </c>
      <c r="G67" s="39">
        <f t="shared" si="40"/>
        <v>3.1512044370174408E-4</v>
      </c>
      <c r="H67" s="39">
        <f t="shared" si="40"/>
        <v>0</v>
      </c>
      <c r="I67" s="39">
        <f t="shared" si="40"/>
        <v>-4.92837093770504E-3</v>
      </c>
      <c r="J67" s="39">
        <f t="shared" si="40"/>
        <v>3.3595282584428787E-3</v>
      </c>
      <c r="K67" s="39">
        <f t="shared" si="40"/>
        <v>-1.9728932529687881E-3</v>
      </c>
      <c r="L67" s="39">
        <f t="shared" si="40"/>
        <v>-4.2707659304141998E-3</v>
      </c>
      <c r="M67" s="9"/>
    </row>
    <row r="68" spans="1:13">
      <c r="A68" s="74" t="s">
        <v>82</v>
      </c>
      <c r="B68" s="75"/>
      <c r="C68" s="96"/>
      <c r="D68" s="96"/>
      <c r="E68" s="96"/>
      <c r="F68" s="96"/>
      <c r="G68" s="96"/>
      <c r="H68" s="96"/>
      <c r="I68" s="96"/>
      <c r="J68" s="96"/>
      <c r="K68" s="96"/>
      <c r="L68" s="96"/>
    </row>
    <row r="69" spans="1:13">
      <c r="A69" s="75"/>
      <c r="B69" s="75"/>
      <c r="C69" s="75"/>
      <c r="D69" s="76"/>
      <c r="E69" s="96"/>
      <c r="F69" s="96"/>
      <c r="G69" s="75"/>
      <c r="H69" s="75"/>
      <c r="I69" s="75"/>
      <c r="J69" s="75"/>
      <c r="K69" s="69"/>
      <c r="L69" s="69"/>
    </row>
    <row r="70" spans="1:13">
      <c r="A70" s="74" t="s">
        <v>83</v>
      </c>
      <c r="B70" s="75"/>
      <c r="C70" s="75"/>
      <c r="D70" s="75"/>
      <c r="E70" s="96"/>
      <c r="F70" s="96"/>
      <c r="G70" s="75"/>
      <c r="H70" s="75"/>
      <c r="I70" s="75"/>
      <c r="J70" s="75"/>
      <c r="K70" s="69"/>
      <c r="L70" s="69"/>
    </row>
    <row r="71" spans="1:13">
      <c r="A71" s="75"/>
      <c r="B71" s="75" t="s">
        <v>139</v>
      </c>
      <c r="C71" s="75"/>
      <c r="D71" s="75">
        <v>0.8</v>
      </c>
      <c r="E71" s="75"/>
      <c r="F71" s="75"/>
      <c r="G71" s="75"/>
      <c r="H71" s="75"/>
      <c r="I71" s="75"/>
      <c r="J71" s="75"/>
      <c r="K71" s="69"/>
      <c r="L71" s="69"/>
    </row>
    <row r="72" spans="1:13">
      <c r="A72" s="75"/>
      <c r="B72" s="75" t="s">
        <v>138</v>
      </c>
      <c r="C72" s="75"/>
      <c r="D72" s="99">
        <f>D71*(1+(1-D83)*(E86/E90))</f>
        <v>1.2486202857263102</v>
      </c>
      <c r="E72" s="75"/>
      <c r="F72" s="75"/>
      <c r="G72" s="75"/>
      <c r="H72" s="75"/>
      <c r="I72" s="75"/>
      <c r="J72" s="75"/>
      <c r="K72" s="69"/>
      <c r="L72" s="69"/>
    </row>
    <row r="73" spans="1:13">
      <c r="A73" s="75"/>
      <c r="B73" s="75" t="s">
        <v>84</v>
      </c>
      <c r="C73" s="75"/>
      <c r="D73" s="77">
        <v>1.2500000000000001E-2</v>
      </c>
      <c r="E73" s="75"/>
      <c r="F73" s="75"/>
      <c r="G73" s="75"/>
      <c r="H73" s="75"/>
      <c r="I73" s="75"/>
      <c r="J73" s="75"/>
      <c r="K73" s="69"/>
      <c r="L73" s="69"/>
    </row>
    <row r="74" spans="1:13">
      <c r="A74" s="75"/>
      <c r="B74" s="75" t="s">
        <v>85</v>
      </c>
      <c r="C74" s="75"/>
      <c r="D74" s="77">
        <v>0.1125</v>
      </c>
      <c r="E74" s="75"/>
      <c r="F74" s="75"/>
      <c r="G74" s="75"/>
      <c r="H74" s="75"/>
      <c r="I74" s="75"/>
      <c r="J74" s="75"/>
      <c r="K74" s="69"/>
      <c r="L74" s="69"/>
    </row>
    <row r="75" spans="1:13">
      <c r="A75" s="75"/>
      <c r="B75" s="75"/>
      <c r="C75" s="75"/>
      <c r="D75" s="78"/>
      <c r="E75" s="75"/>
      <c r="F75" s="75"/>
      <c r="G75" s="75"/>
      <c r="H75" s="75"/>
      <c r="I75" s="75"/>
      <c r="J75" s="75"/>
      <c r="K75" s="69"/>
      <c r="L75" s="69"/>
    </row>
    <row r="76" spans="1:13">
      <c r="A76" s="75"/>
      <c r="B76" s="75" t="s">
        <v>86</v>
      </c>
      <c r="C76" s="75"/>
      <c r="D76" s="77">
        <f>D73+D72*(D74-D73)</f>
        <v>0.13736202857263102</v>
      </c>
      <c r="E76" s="75"/>
      <c r="F76" s="75"/>
      <c r="G76" s="75"/>
      <c r="H76" s="75"/>
      <c r="I76" s="75"/>
      <c r="J76" s="75"/>
      <c r="K76" s="69"/>
      <c r="L76" s="69"/>
    </row>
    <row r="77" spans="1:13">
      <c r="A77" s="75"/>
      <c r="B77" s="75"/>
      <c r="C77" s="75"/>
      <c r="D77" s="78"/>
      <c r="E77" s="75"/>
      <c r="F77" s="75"/>
      <c r="G77" s="75"/>
      <c r="H77" s="75"/>
      <c r="I77" s="75"/>
      <c r="J77" s="75"/>
      <c r="K77" s="69"/>
      <c r="L77" s="69"/>
    </row>
    <row r="78" spans="1:13">
      <c r="A78" s="74" t="s">
        <v>87</v>
      </c>
      <c r="B78" s="75"/>
      <c r="C78" s="75"/>
      <c r="D78" s="78"/>
      <c r="E78" s="75" t="s">
        <v>136</v>
      </c>
      <c r="F78" s="75" t="s">
        <v>137</v>
      </c>
      <c r="G78" s="75"/>
      <c r="H78" s="75"/>
      <c r="I78" s="75"/>
      <c r="J78" s="75"/>
      <c r="K78" s="69"/>
      <c r="L78" s="69"/>
    </row>
    <row r="79" spans="1:13">
      <c r="A79" s="75"/>
      <c r="B79" s="75" t="s">
        <v>130</v>
      </c>
      <c r="C79" s="75"/>
      <c r="D79" s="78">
        <f>'Amortization Table'!I2</f>
        <v>0.05</v>
      </c>
      <c r="E79" s="79">
        <f>L59</f>
        <v>6104843.9532198599</v>
      </c>
      <c r="F79" s="80">
        <f>E79/SUM($E$79:$E$80)</f>
        <v>1</v>
      </c>
      <c r="G79" s="75" t="s">
        <v>88</v>
      </c>
      <c r="H79" s="75"/>
      <c r="I79" s="75"/>
      <c r="J79" s="75"/>
      <c r="K79" s="69"/>
      <c r="L79" s="69"/>
    </row>
    <row r="80" spans="1:13">
      <c r="A80" s="75" t="s">
        <v>89</v>
      </c>
      <c r="B80" s="75" t="s">
        <v>90</v>
      </c>
      <c r="C80" s="75"/>
      <c r="D80" s="78">
        <f>M35</f>
        <v>0.12</v>
      </c>
      <c r="E80" s="79">
        <f>L60</f>
        <v>0</v>
      </c>
      <c r="F80" s="80">
        <f>E80/SUM($E$79:$E$80)</f>
        <v>0</v>
      </c>
      <c r="G80" s="75" t="s">
        <v>91</v>
      </c>
      <c r="H80" s="75"/>
      <c r="I80" s="75"/>
      <c r="J80" s="75"/>
      <c r="K80" s="69"/>
      <c r="L80" s="69"/>
    </row>
    <row r="81" spans="1:12">
      <c r="A81" s="75"/>
      <c r="B81" s="75" t="s">
        <v>92</v>
      </c>
      <c r="C81" s="75"/>
      <c r="D81" s="78">
        <f>+D79*F79+D80*F80</f>
        <v>0.05</v>
      </c>
      <c r="E81" s="79"/>
      <c r="F81" s="80"/>
      <c r="G81" s="75"/>
      <c r="H81" s="75"/>
      <c r="I81" s="75"/>
      <c r="J81" s="75"/>
      <c r="K81" s="69"/>
      <c r="L81" s="69"/>
    </row>
    <row r="82" spans="1:12">
      <c r="A82" s="75"/>
      <c r="B82" s="75"/>
      <c r="C82" s="75"/>
      <c r="D82" s="78"/>
      <c r="E82" s="75"/>
      <c r="F82" s="75"/>
      <c r="G82" s="75"/>
      <c r="H82" s="75"/>
      <c r="I82" s="75"/>
      <c r="J82" s="75"/>
      <c r="K82" s="69"/>
      <c r="L82" s="69"/>
    </row>
    <row r="83" spans="1:12">
      <c r="A83" s="75" t="s">
        <v>93</v>
      </c>
      <c r="B83" s="75"/>
      <c r="C83" s="75"/>
      <c r="D83" s="78">
        <f>M39</f>
        <v>0.25</v>
      </c>
      <c r="E83" s="75"/>
      <c r="F83" s="75"/>
      <c r="G83" s="75"/>
      <c r="H83" s="75"/>
      <c r="I83" s="75"/>
      <c r="J83" s="75"/>
      <c r="K83" s="69"/>
      <c r="L83" s="69"/>
    </row>
    <row r="84" spans="1:12">
      <c r="A84" s="75"/>
      <c r="B84" s="75"/>
      <c r="C84" s="75"/>
      <c r="D84" s="81"/>
      <c r="E84" s="75"/>
      <c r="F84" s="75"/>
      <c r="G84" s="75"/>
      <c r="H84" s="75"/>
      <c r="I84" s="75"/>
      <c r="J84" s="75"/>
      <c r="K84" s="69"/>
      <c r="L84" s="69"/>
    </row>
    <row r="85" spans="1:12">
      <c r="A85" s="74" t="s">
        <v>94</v>
      </c>
      <c r="B85" s="75"/>
      <c r="C85" s="75"/>
      <c r="D85" s="81"/>
      <c r="E85" s="75" t="s">
        <v>95</v>
      </c>
      <c r="F85" s="75"/>
      <c r="G85" s="75"/>
      <c r="H85" s="75"/>
      <c r="I85" s="75"/>
      <c r="J85" s="75"/>
      <c r="K85" s="69"/>
      <c r="L85" s="69"/>
    </row>
    <row r="86" spans="1:12">
      <c r="A86" s="75" t="s">
        <v>96</v>
      </c>
      <c r="B86" s="75"/>
      <c r="C86" s="75"/>
      <c r="D86" s="81">
        <f>E79</f>
        <v>6104843.9532198599</v>
      </c>
      <c r="E86" s="78">
        <f>+(D86+D87)/D93</f>
        <v>0.42781957571570389</v>
      </c>
      <c r="F86" s="75"/>
      <c r="G86" s="75"/>
      <c r="H86" s="75"/>
      <c r="I86" s="75"/>
      <c r="J86" s="75"/>
      <c r="K86" s="69"/>
      <c r="L86" s="69"/>
    </row>
    <row r="87" spans="1:12">
      <c r="A87" s="75" t="s">
        <v>97</v>
      </c>
      <c r="B87" s="75"/>
      <c r="C87" s="75"/>
      <c r="D87" s="81">
        <f>E80</f>
        <v>0</v>
      </c>
      <c r="E87" s="78"/>
      <c r="F87" s="75"/>
      <c r="G87" s="75"/>
      <c r="H87" s="75"/>
      <c r="I87" s="75"/>
      <c r="J87" s="75"/>
      <c r="K87" s="69"/>
      <c r="L87" s="69"/>
    </row>
    <row r="88" spans="1:12">
      <c r="A88" s="75"/>
      <c r="B88" s="75"/>
      <c r="C88" s="75"/>
      <c r="D88" s="75"/>
      <c r="E88" s="78"/>
      <c r="F88" s="75"/>
      <c r="G88" s="75"/>
      <c r="H88" s="75"/>
      <c r="I88" s="75"/>
      <c r="J88" s="75"/>
      <c r="K88" s="69"/>
      <c r="L88" s="69"/>
    </row>
    <row r="89" spans="1:12">
      <c r="A89" s="74" t="s">
        <v>98</v>
      </c>
      <c r="B89" s="75"/>
      <c r="C89" s="75"/>
      <c r="D89" s="75"/>
      <c r="E89" s="78"/>
      <c r="F89" s="75"/>
      <c r="G89" s="75"/>
      <c r="H89" s="75"/>
      <c r="I89" s="75"/>
      <c r="J89" s="75"/>
      <c r="K89" s="69"/>
      <c r="L89" s="69"/>
    </row>
    <row r="90" spans="1:12">
      <c r="A90" s="75" t="s">
        <v>99</v>
      </c>
      <c r="B90" s="75"/>
      <c r="C90" s="75"/>
      <c r="D90" s="81">
        <f>L63</f>
        <v>4000000</v>
      </c>
      <c r="E90" s="78">
        <f>(+D90+D91)/D93</f>
        <v>0.57218042428429605</v>
      </c>
      <c r="F90" s="75"/>
      <c r="G90" s="75"/>
      <c r="H90" s="75"/>
      <c r="I90" s="75"/>
      <c r="J90" s="75"/>
      <c r="K90" s="69"/>
      <c r="L90" s="69"/>
    </row>
    <row r="91" spans="1:12">
      <c r="A91" s="75" t="s">
        <v>100</v>
      </c>
      <c r="B91" s="75"/>
      <c r="C91" s="75"/>
      <c r="D91" s="81">
        <f>L64</f>
        <v>4164825.5517507847</v>
      </c>
      <c r="E91" s="75"/>
      <c r="F91" s="75"/>
      <c r="G91" s="75"/>
      <c r="H91" s="75"/>
      <c r="I91" s="75"/>
      <c r="J91" s="75"/>
      <c r="K91" s="69"/>
      <c r="L91" s="69"/>
    </row>
    <row r="92" spans="1:12">
      <c r="A92" s="75"/>
      <c r="B92" s="75"/>
      <c r="C92" s="75"/>
      <c r="D92" s="81"/>
      <c r="E92" s="75"/>
      <c r="F92" s="75"/>
      <c r="G92" s="75"/>
      <c r="H92" s="75"/>
      <c r="I92" s="75"/>
      <c r="J92" s="75"/>
      <c r="K92" s="69"/>
      <c r="L92" s="69"/>
    </row>
    <row r="93" spans="1:12">
      <c r="A93" s="74" t="s">
        <v>101</v>
      </c>
      <c r="B93" s="75"/>
      <c r="C93" s="75"/>
      <c r="D93" s="79">
        <f>SUM(D86:D91)</f>
        <v>14269669.504970646</v>
      </c>
      <c r="E93" s="75"/>
      <c r="F93" s="75"/>
      <c r="G93" s="75"/>
      <c r="H93" s="75"/>
      <c r="I93" s="75"/>
      <c r="J93" s="75"/>
      <c r="K93" s="69"/>
      <c r="L93" s="69"/>
    </row>
    <row r="94" spans="1:12">
      <c r="A94" s="75"/>
      <c r="B94" s="75"/>
      <c r="C94" s="75"/>
      <c r="D94" s="81"/>
      <c r="E94" s="75"/>
      <c r="F94" s="75"/>
      <c r="G94" s="75"/>
      <c r="H94" s="75"/>
      <c r="I94" s="75"/>
      <c r="J94" s="75"/>
      <c r="K94" s="69"/>
      <c r="L94" s="69"/>
    </row>
    <row r="95" spans="1:12">
      <c r="A95" s="74" t="s">
        <v>102</v>
      </c>
      <c r="B95" s="75"/>
      <c r="C95" s="75"/>
      <c r="D95" s="77">
        <f>+E86*(1-D83)*D81+E90*D76</f>
        <v>9.4639097878578521E-2</v>
      </c>
      <c r="E95" s="75"/>
      <c r="F95" s="75"/>
      <c r="G95" s="75"/>
      <c r="H95" s="75"/>
      <c r="I95" s="75"/>
      <c r="J95" s="75"/>
      <c r="K95" s="69"/>
      <c r="L95" s="69"/>
    </row>
    <row r="96" spans="1:12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70"/>
      <c r="L96" s="70"/>
    </row>
    <row r="97" spans="1:16">
      <c r="A97" s="83" t="s">
        <v>103</v>
      </c>
      <c r="B97" s="84"/>
      <c r="C97" s="84"/>
      <c r="D97" s="84"/>
      <c r="E97" s="84"/>
      <c r="F97" s="84"/>
      <c r="G97" s="84"/>
      <c r="H97" s="84"/>
      <c r="I97" s="84"/>
      <c r="J97" s="84"/>
      <c r="K97" s="71"/>
      <c r="L97" s="71"/>
    </row>
    <row r="98" spans="1:16">
      <c r="A98" s="84"/>
      <c r="B98" s="84"/>
      <c r="C98" s="84">
        <v>0</v>
      </c>
      <c r="D98" s="84">
        <v>1</v>
      </c>
      <c r="E98" s="84">
        <v>2</v>
      </c>
      <c r="F98" s="84">
        <v>3</v>
      </c>
      <c r="G98" s="84">
        <v>4</v>
      </c>
      <c r="H98" s="84">
        <v>5</v>
      </c>
      <c r="I98" s="84">
        <v>6</v>
      </c>
      <c r="J98" s="84">
        <v>7</v>
      </c>
      <c r="K98" s="71">
        <v>8</v>
      </c>
      <c r="L98" s="71">
        <v>9</v>
      </c>
      <c r="M98" s="94">
        <v>10</v>
      </c>
    </row>
    <row r="99" spans="1:16">
      <c r="A99" s="74" t="s">
        <v>104</v>
      </c>
      <c r="B99" s="75"/>
      <c r="C99" s="85"/>
      <c r="D99" s="75"/>
      <c r="E99" s="75"/>
      <c r="F99" s="75"/>
      <c r="G99" s="75"/>
      <c r="H99" s="75"/>
      <c r="I99" s="75"/>
      <c r="J99" s="75"/>
      <c r="K99" s="69"/>
      <c r="L99" s="69"/>
    </row>
    <row r="100" spans="1:16">
      <c r="A100" s="75"/>
      <c r="B100" s="75" t="s">
        <v>105</v>
      </c>
      <c r="C100" s="75"/>
      <c r="D100" s="79">
        <f>C24-SUM(C27:C30)</f>
        <v>987303.64500000002</v>
      </c>
      <c r="E100" s="79">
        <f t="shared" ref="E100:M100" si="41">D24-SUM(D27:D30)</f>
        <v>1054165.3413749987</v>
      </c>
      <c r="F100" s="79">
        <f t="shared" si="41"/>
        <v>1124811.5005631249</v>
      </c>
      <c r="G100" s="79">
        <f t="shared" si="41"/>
        <v>1199441.6639348348</v>
      </c>
      <c r="H100" s="79">
        <f t="shared" si="41"/>
        <v>1278265.5571671529</v>
      </c>
      <c r="I100" s="79">
        <f t="shared" si="41"/>
        <v>1361503.6020953343</v>
      </c>
      <c r="J100" s="79">
        <f t="shared" si="41"/>
        <v>1449387.4541108566</v>
      </c>
      <c r="K100" s="79">
        <f t="shared" si="41"/>
        <v>1542160.5663773259</v>
      </c>
      <c r="L100" s="79">
        <f t="shared" si="41"/>
        <v>1640078.7821990466</v>
      </c>
      <c r="M100" s="79">
        <f t="shared" si="41"/>
        <v>1743410.9569434654</v>
      </c>
    </row>
    <row r="101" spans="1:16">
      <c r="A101" s="75"/>
      <c r="B101" s="75" t="s">
        <v>106</v>
      </c>
      <c r="C101" s="75"/>
      <c r="D101" s="79">
        <f>C33</f>
        <v>383505</v>
      </c>
      <c r="E101" s="79">
        <f t="shared" ref="E101:G101" si="42">D33</f>
        <v>383505</v>
      </c>
      <c r="F101" s="79">
        <f t="shared" si="42"/>
        <v>383505</v>
      </c>
      <c r="G101" s="79">
        <f t="shared" si="42"/>
        <v>383505</v>
      </c>
      <c r="H101" s="79">
        <f t="shared" ref="H101" si="43">G33</f>
        <v>383505</v>
      </c>
      <c r="I101" s="79">
        <f t="shared" ref="I101" si="44">H33</f>
        <v>460206</v>
      </c>
      <c r="J101" s="79">
        <f t="shared" ref="J101" si="45">I33</f>
        <v>460206</v>
      </c>
      <c r="K101" s="79">
        <f t="shared" ref="K101" si="46">J33</f>
        <v>460206</v>
      </c>
      <c r="L101" s="79">
        <f t="shared" ref="L101:M101" si="47">K33</f>
        <v>460206</v>
      </c>
      <c r="M101" s="79">
        <f t="shared" si="47"/>
        <v>460206</v>
      </c>
    </row>
    <row r="102" spans="1:16">
      <c r="A102" s="75"/>
      <c r="B102" s="75" t="s">
        <v>107</v>
      </c>
      <c r="C102" s="75"/>
      <c r="D102" s="79">
        <f>D100-D101</f>
        <v>603798.64500000002</v>
      </c>
      <c r="E102" s="79">
        <f t="shared" ref="E102:L102" si="48">E100-E101</f>
        <v>670660.34137499868</v>
      </c>
      <c r="F102" s="79">
        <f t="shared" si="48"/>
        <v>741306.50056312489</v>
      </c>
      <c r="G102" s="79">
        <f t="shared" si="48"/>
        <v>815936.66393483477</v>
      </c>
      <c r="H102" s="79">
        <f t="shared" si="48"/>
        <v>894760.55716715287</v>
      </c>
      <c r="I102" s="79">
        <f t="shared" si="48"/>
        <v>901297.60209533432</v>
      </c>
      <c r="J102" s="79">
        <f t="shared" si="48"/>
        <v>989181.45411085663</v>
      </c>
      <c r="K102" s="79">
        <f t="shared" si="48"/>
        <v>1081954.5663773259</v>
      </c>
      <c r="L102" s="79">
        <f t="shared" si="48"/>
        <v>1179872.7821990466</v>
      </c>
      <c r="M102" s="79">
        <f t="shared" ref="M102" si="49">M100-M101</f>
        <v>1283204.9569434654</v>
      </c>
    </row>
    <row r="103" spans="1:16">
      <c r="A103" s="75"/>
      <c r="B103" s="75" t="s">
        <v>108</v>
      </c>
      <c r="C103" s="75"/>
      <c r="D103" s="79">
        <f>D102*$D$83</f>
        <v>150949.66125</v>
      </c>
      <c r="E103" s="79">
        <f t="shared" ref="E103:L103" si="50">E102*$D$83</f>
        <v>167665.08534374967</v>
      </c>
      <c r="F103" s="79">
        <f t="shared" si="50"/>
        <v>185326.62514078122</v>
      </c>
      <c r="G103" s="79">
        <f t="shared" si="50"/>
        <v>203984.16598370869</v>
      </c>
      <c r="H103" s="79">
        <f t="shared" si="50"/>
        <v>223690.13929178822</v>
      </c>
      <c r="I103" s="79">
        <f t="shared" si="50"/>
        <v>225324.40052383358</v>
      </c>
      <c r="J103" s="79">
        <f t="shared" si="50"/>
        <v>247295.36352771416</v>
      </c>
      <c r="K103" s="79">
        <f t="shared" si="50"/>
        <v>270488.64159433148</v>
      </c>
      <c r="L103" s="79">
        <f t="shared" si="50"/>
        <v>294968.19554976164</v>
      </c>
      <c r="M103" s="79">
        <f t="shared" ref="M103" si="51">M102*$D$83</f>
        <v>320801.23923586635</v>
      </c>
    </row>
    <row r="104" spans="1:16">
      <c r="A104" s="75"/>
      <c r="B104" s="75" t="s">
        <v>109</v>
      </c>
      <c r="C104" s="75"/>
      <c r="D104" s="79">
        <f>D102-D103</f>
        <v>452848.98375000001</v>
      </c>
      <c r="E104" s="79">
        <f t="shared" ref="E104:L104" si="52">E102-E103</f>
        <v>502995.25603124901</v>
      </c>
      <c r="F104" s="79">
        <f t="shared" si="52"/>
        <v>555979.87542234361</v>
      </c>
      <c r="G104" s="79">
        <f t="shared" si="52"/>
        <v>611952.49795112608</v>
      </c>
      <c r="H104" s="79">
        <f t="shared" si="52"/>
        <v>671070.41787536466</v>
      </c>
      <c r="I104" s="79">
        <f t="shared" si="52"/>
        <v>675973.20157150074</v>
      </c>
      <c r="J104" s="79">
        <f t="shared" si="52"/>
        <v>741886.09058314248</v>
      </c>
      <c r="K104" s="79">
        <f t="shared" si="52"/>
        <v>811465.92478299444</v>
      </c>
      <c r="L104" s="79">
        <f t="shared" si="52"/>
        <v>884904.58664928493</v>
      </c>
      <c r="M104" s="79">
        <f t="shared" ref="M104" si="53">M102-M103</f>
        <v>962403.71770759905</v>
      </c>
    </row>
    <row r="105" spans="1:16">
      <c r="A105" s="75"/>
      <c r="B105" s="75" t="s">
        <v>110</v>
      </c>
      <c r="C105" s="75"/>
      <c r="D105" s="79">
        <f>D101</f>
        <v>383505</v>
      </c>
      <c r="E105" s="79">
        <f>E101</f>
        <v>383505</v>
      </c>
      <c r="F105" s="79">
        <f>F101</f>
        <v>383505</v>
      </c>
      <c r="G105" s="79">
        <f>G101</f>
        <v>383505</v>
      </c>
      <c r="H105" s="79">
        <f t="shared" ref="H105:L105" si="54">H101</f>
        <v>383505</v>
      </c>
      <c r="I105" s="79">
        <f t="shared" si="54"/>
        <v>460206</v>
      </c>
      <c r="J105" s="79">
        <f t="shared" si="54"/>
        <v>460206</v>
      </c>
      <c r="K105" s="79">
        <f t="shared" si="54"/>
        <v>460206</v>
      </c>
      <c r="L105" s="79">
        <f t="shared" si="54"/>
        <v>460206</v>
      </c>
      <c r="M105" s="79">
        <f t="shared" ref="M105" si="55">M101</f>
        <v>460206</v>
      </c>
    </row>
    <row r="106" spans="1:16">
      <c r="A106" s="75"/>
      <c r="B106" s="75" t="s">
        <v>104</v>
      </c>
      <c r="C106" s="75"/>
      <c r="D106" s="86">
        <f>D104+D105</f>
        <v>836353.98375000001</v>
      </c>
      <c r="E106" s="86">
        <f>E104+E105</f>
        <v>886500.25603124895</v>
      </c>
      <c r="F106" s="86">
        <f>F104+F105</f>
        <v>939484.87542234361</v>
      </c>
      <c r="G106" s="86">
        <f>G104+G105</f>
        <v>995457.49795112608</v>
      </c>
      <c r="H106" s="86">
        <f t="shared" ref="H106:L106" si="56">H104+H105</f>
        <v>1054575.4178753647</v>
      </c>
      <c r="I106" s="86">
        <f t="shared" si="56"/>
        <v>1136179.2015715009</v>
      </c>
      <c r="J106" s="86">
        <f t="shared" si="56"/>
        <v>1202092.0905831424</v>
      </c>
      <c r="K106" s="86">
        <f t="shared" si="56"/>
        <v>1271671.9247829944</v>
      </c>
      <c r="L106" s="86">
        <f t="shared" si="56"/>
        <v>1345110.5866492849</v>
      </c>
      <c r="M106" s="86">
        <f t="shared" ref="M106" si="57">M104+M105</f>
        <v>1422609.717707599</v>
      </c>
    </row>
    <row r="107" spans="1:16">
      <c r="A107" s="74" t="s">
        <v>111</v>
      </c>
      <c r="B107" s="75"/>
      <c r="C107" s="75"/>
      <c r="D107" s="75"/>
      <c r="E107" s="75"/>
      <c r="F107" s="75"/>
      <c r="G107" s="75"/>
      <c r="H107" s="75"/>
      <c r="I107" s="75"/>
      <c r="J107" s="75"/>
      <c r="K107" s="69"/>
      <c r="L107" s="69"/>
    </row>
    <row r="108" spans="1:16">
      <c r="A108" s="75"/>
      <c r="B108" s="75" t="s">
        <v>112</v>
      </c>
      <c r="C108" s="79">
        <f>-C51</f>
        <v>-11505150</v>
      </c>
      <c r="D108" s="75"/>
      <c r="E108" s="75"/>
      <c r="F108" s="75"/>
      <c r="G108" s="75"/>
      <c r="H108" s="75"/>
      <c r="I108" s="75"/>
      <c r="J108" s="75"/>
      <c r="K108" s="69"/>
      <c r="L108" s="69"/>
    </row>
    <row r="109" spans="1:16">
      <c r="A109" s="75"/>
      <c r="B109" s="75" t="s">
        <v>135</v>
      </c>
      <c r="C109" s="79"/>
      <c r="D109" s="75"/>
      <c r="E109" s="75"/>
      <c r="F109" s="96">
        <f>-G52</f>
        <v>0</v>
      </c>
      <c r="G109" s="75"/>
      <c r="H109" s="75"/>
      <c r="I109" s="75"/>
      <c r="J109" s="75"/>
      <c r="K109" s="69"/>
      <c r="L109" s="69"/>
    </row>
    <row r="110" spans="1:16">
      <c r="A110" s="75"/>
      <c r="B110" s="75" t="s">
        <v>113</v>
      </c>
      <c r="C110" s="75"/>
      <c r="D110" s="75"/>
      <c r="E110" s="75"/>
      <c r="F110" s="75"/>
      <c r="H110" s="75"/>
      <c r="K110" s="69"/>
      <c r="M110" s="97">
        <f>P110*P111</f>
        <v>12194404.36125</v>
      </c>
      <c r="O110" s="75" t="s">
        <v>114</v>
      </c>
      <c r="P110" s="79">
        <f>(L51+L52)-L53</f>
        <v>9587625</v>
      </c>
    </row>
    <row r="111" spans="1:16">
      <c r="A111" s="75"/>
      <c r="B111" s="75" t="s">
        <v>115</v>
      </c>
      <c r="C111" s="75"/>
      <c r="D111" s="75"/>
      <c r="E111" s="75"/>
      <c r="F111" s="75"/>
      <c r="H111" s="75"/>
      <c r="K111" s="69"/>
      <c r="M111" s="72">
        <f>-P112*D83</f>
        <v>-651694.84031250002</v>
      </c>
      <c r="O111" s="75" t="s">
        <v>116</v>
      </c>
      <c r="P111" s="87">
        <v>1.27189</v>
      </c>
    </row>
    <row r="112" spans="1:16">
      <c r="A112" s="74" t="s">
        <v>117</v>
      </c>
      <c r="B112" s="75"/>
      <c r="C112" s="75"/>
      <c r="D112" s="75"/>
      <c r="E112" s="75"/>
      <c r="F112" s="75"/>
      <c r="G112" s="75"/>
      <c r="H112" s="75"/>
      <c r="K112" s="69"/>
      <c r="M112" s="69"/>
      <c r="O112" s="75" t="s">
        <v>118</v>
      </c>
      <c r="P112" s="79">
        <f>M110-P110</f>
        <v>2606779.3612500001</v>
      </c>
    </row>
    <row r="113" spans="1:13">
      <c r="A113" s="88" t="s">
        <v>119</v>
      </c>
      <c r="B113" s="89" t="s">
        <v>120</v>
      </c>
      <c r="C113" s="75"/>
      <c r="D113" s="79">
        <f>-(C47-B47)</f>
        <v>0</v>
      </c>
      <c r="E113" s="79">
        <f t="shared" ref="E113:M113" si="58">-(D47-C47)</f>
        <v>0</v>
      </c>
      <c r="F113" s="79">
        <f t="shared" si="58"/>
        <v>0</v>
      </c>
      <c r="G113" s="79">
        <f t="shared" si="58"/>
        <v>0</v>
      </c>
      <c r="H113" s="79">
        <f t="shared" si="58"/>
        <v>0</v>
      </c>
      <c r="I113" s="79">
        <f t="shared" si="58"/>
        <v>0</v>
      </c>
      <c r="J113" s="79">
        <f t="shared" si="58"/>
        <v>0</v>
      </c>
      <c r="K113" s="79">
        <f t="shared" si="58"/>
        <v>0</v>
      </c>
      <c r="L113" s="79">
        <f t="shared" si="58"/>
        <v>0</v>
      </c>
      <c r="M113" s="79">
        <f t="shared" si="58"/>
        <v>0</v>
      </c>
    </row>
    <row r="114" spans="1:13">
      <c r="A114" s="88" t="s">
        <v>119</v>
      </c>
      <c r="B114" s="89" t="s">
        <v>3</v>
      </c>
      <c r="C114" s="75"/>
      <c r="D114" s="79">
        <f>-(C48-B48)</f>
        <v>-767272.5</v>
      </c>
      <c r="E114" s="79">
        <f t="shared" ref="E114:M114" si="59">-(D48-C48)</f>
        <v>-27291.937500000116</v>
      </c>
      <c r="F114" s="79">
        <f t="shared" si="59"/>
        <v>-28269.025312499725</v>
      </c>
      <c r="G114" s="79">
        <f t="shared" si="59"/>
        <v>-29281.404698437429</v>
      </c>
      <c r="H114" s="79">
        <f t="shared" si="59"/>
        <v>-30330.365537882783</v>
      </c>
      <c r="I114" s="79">
        <f t="shared" si="59"/>
        <v>-31417.24559045874</v>
      </c>
      <c r="J114" s="79">
        <f t="shared" si="59"/>
        <v>-32543.432307812269</v>
      </c>
      <c r="K114" s="79">
        <f t="shared" si="59"/>
        <v>-33710.364716357435</v>
      </c>
      <c r="L114" s="79">
        <f t="shared" si="59"/>
        <v>-34919.535373090534</v>
      </c>
      <c r="M114" s="79">
        <f t="shared" si="59"/>
        <v>-36172.492397392169</v>
      </c>
    </row>
    <row r="115" spans="1:13">
      <c r="A115" s="88" t="s">
        <v>121</v>
      </c>
      <c r="B115" s="89" t="s">
        <v>122</v>
      </c>
      <c r="C115" s="75"/>
      <c r="D115" s="79">
        <f>(C57-B57)</f>
        <v>32876.71232876712</v>
      </c>
      <c r="E115" s="79">
        <f t="shared" ref="E115:M115" si="60">(D57-C57)</f>
        <v>986.30136986301659</v>
      </c>
      <c r="F115" s="79">
        <f t="shared" si="60"/>
        <v>1015.8904109589057</v>
      </c>
      <c r="G115" s="79">
        <f t="shared" si="60"/>
        <v>1046.3671232876732</v>
      </c>
      <c r="H115" s="79">
        <f t="shared" si="60"/>
        <v>1077.7581369863037</v>
      </c>
      <c r="I115" s="79">
        <f t="shared" si="60"/>
        <v>1110.0908810958863</v>
      </c>
      <c r="J115" s="79">
        <f t="shared" si="60"/>
        <v>1143.3936075287711</v>
      </c>
      <c r="K115" s="79">
        <f t="shared" si="60"/>
        <v>1177.6954157546279</v>
      </c>
      <c r="L115" s="79">
        <f t="shared" si="60"/>
        <v>1213.0262782272694</v>
      </c>
      <c r="M115" s="79">
        <f t="shared" si="60"/>
        <v>1249.4170665740894</v>
      </c>
    </row>
    <row r="116" spans="1:13" ht="19.5">
      <c r="A116" s="88" t="s">
        <v>121</v>
      </c>
      <c r="B116" s="90" t="s">
        <v>123</v>
      </c>
      <c r="C116" s="75"/>
      <c r="D116" s="79">
        <f>D103-C103</f>
        <v>150949.66125</v>
      </c>
      <c r="E116" s="79">
        <f t="shared" ref="E116:M116" si="61">E103-D103</f>
        <v>16715.424093749665</v>
      </c>
      <c r="F116" s="79">
        <f t="shared" si="61"/>
        <v>17661.539797031553</v>
      </c>
      <c r="G116" s="79">
        <f t="shared" si="61"/>
        <v>18657.540842927468</v>
      </c>
      <c r="H116" s="79">
        <f t="shared" si="61"/>
        <v>19705.973308079527</v>
      </c>
      <c r="I116" s="79">
        <f t="shared" si="61"/>
        <v>1634.2612320453627</v>
      </c>
      <c r="J116" s="79">
        <f t="shared" si="61"/>
        <v>21970.963003880577</v>
      </c>
      <c r="K116" s="79">
        <f t="shared" si="61"/>
        <v>23193.27806661732</v>
      </c>
      <c r="L116" s="79">
        <f t="shared" si="61"/>
        <v>24479.553955430165</v>
      </c>
      <c r="M116" s="79">
        <f t="shared" si="61"/>
        <v>25833.043686104706</v>
      </c>
    </row>
    <row r="117" spans="1:13">
      <c r="A117" s="74" t="s">
        <v>124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69"/>
      <c r="L117" s="69"/>
    </row>
    <row r="118" spans="1:13">
      <c r="A118" s="88" t="s">
        <v>121</v>
      </c>
      <c r="B118" s="89" t="s">
        <v>120</v>
      </c>
      <c r="C118" s="75"/>
      <c r="D118" s="75"/>
      <c r="E118" s="75"/>
      <c r="F118" s="75"/>
      <c r="G118" s="79"/>
      <c r="H118" s="75"/>
      <c r="I118" s="75"/>
      <c r="J118" s="75"/>
      <c r="K118" s="69"/>
      <c r="L118" s="69"/>
    </row>
    <row r="119" spans="1:13">
      <c r="A119" s="88" t="s">
        <v>121</v>
      </c>
      <c r="B119" s="89" t="s">
        <v>3</v>
      </c>
      <c r="C119" s="75"/>
      <c r="D119" s="75"/>
      <c r="E119" s="75"/>
      <c r="F119" s="75"/>
      <c r="H119" s="75"/>
      <c r="I119" s="75"/>
      <c r="J119" s="75"/>
      <c r="K119" s="69"/>
      <c r="M119" s="79">
        <f>L48</f>
        <v>1051208.3034339312</v>
      </c>
    </row>
    <row r="120" spans="1:13">
      <c r="A120" s="75"/>
      <c r="B120" s="89" t="s">
        <v>122</v>
      </c>
      <c r="C120" s="75"/>
      <c r="D120" s="75"/>
      <c r="E120" s="75"/>
      <c r="F120" s="75"/>
      <c r="H120" s="75"/>
      <c r="I120" s="75"/>
      <c r="J120" s="75"/>
      <c r="K120" s="69"/>
      <c r="M120" s="79">
        <f>-L57</f>
        <v>-42896.652619043663</v>
      </c>
    </row>
    <row r="121" spans="1:13" ht="19.5">
      <c r="A121" s="74"/>
      <c r="B121" s="90" t="s">
        <v>123</v>
      </c>
      <c r="C121" s="75"/>
      <c r="D121" s="75"/>
      <c r="E121" s="75"/>
      <c r="F121" s="75"/>
      <c r="H121" s="75"/>
      <c r="I121" s="75"/>
      <c r="J121" s="75"/>
      <c r="K121" s="69"/>
      <c r="M121" s="79">
        <f>-G103</f>
        <v>-203984.16598370869</v>
      </c>
    </row>
    <row r="122" spans="1:13">
      <c r="A122" s="74"/>
      <c r="B122" s="89" t="s">
        <v>140</v>
      </c>
      <c r="C122" s="75">
        <v>430000</v>
      </c>
      <c r="D122" s="75"/>
      <c r="E122" s="75"/>
      <c r="F122" s="75"/>
      <c r="H122" s="75"/>
      <c r="I122" s="75"/>
      <c r="J122" s="75"/>
      <c r="K122" s="69"/>
      <c r="M122" s="79"/>
    </row>
    <row r="123" spans="1:13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69"/>
      <c r="L123" s="69"/>
    </row>
    <row r="124" spans="1:13" ht="18.75" thickBot="1">
      <c r="A124" s="74" t="s">
        <v>125</v>
      </c>
      <c r="B124" s="75"/>
      <c r="C124" s="72">
        <f>SUM(C106:C122)</f>
        <v>-11075150</v>
      </c>
      <c r="D124" s="72">
        <f t="shared" ref="D124:M124" si="62">SUM(D106:D122)</f>
        <v>252907.85732876713</v>
      </c>
      <c r="E124" s="72">
        <f t="shared" si="62"/>
        <v>876910.04399486142</v>
      </c>
      <c r="F124" s="72">
        <f t="shared" si="62"/>
        <v>929893.28031783435</v>
      </c>
      <c r="G124" s="72">
        <f t="shared" si="62"/>
        <v>985880.00121890381</v>
      </c>
      <c r="H124" s="72">
        <f t="shared" si="62"/>
        <v>1045028.7837825477</v>
      </c>
      <c r="I124" s="72">
        <f t="shared" si="62"/>
        <v>1107506.3080941834</v>
      </c>
      <c r="J124" s="72">
        <f t="shared" si="62"/>
        <v>1192663.0148867394</v>
      </c>
      <c r="K124" s="72">
        <f t="shared" si="62"/>
        <v>1262332.5335490089</v>
      </c>
      <c r="L124" s="72">
        <f t="shared" si="62"/>
        <v>1335883.6315098519</v>
      </c>
      <c r="M124" s="72">
        <f t="shared" si="62"/>
        <v>13760556.691831565</v>
      </c>
    </row>
    <row r="125" spans="1:13" ht="18.75" thickBot="1">
      <c r="A125" s="74" t="s">
        <v>126</v>
      </c>
      <c r="B125" s="75"/>
      <c r="C125" s="91">
        <f>IRR(C124:M124)</f>
        <v>9.4647223693781202E-2</v>
      </c>
      <c r="D125" s="75"/>
      <c r="E125" s="75"/>
      <c r="F125" s="75"/>
      <c r="G125" s="75"/>
      <c r="H125" s="75"/>
      <c r="I125" s="75"/>
      <c r="J125" s="75"/>
      <c r="K125" s="69"/>
      <c r="L125" s="69"/>
    </row>
    <row r="126" spans="1:13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69"/>
      <c r="L126" s="69"/>
    </row>
    <row r="127" spans="1:13">
      <c r="A127" s="75" t="s">
        <v>127</v>
      </c>
      <c r="B127" s="75"/>
      <c r="C127" s="72">
        <f t="shared" ref="C127:M127" si="63">-PV($C$129,C98,,C124)</f>
        <v>-11075150</v>
      </c>
      <c r="D127" s="72">
        <f t="shared" si="63"/>
        <v>231042.2291866836</v>
      </c>
      <c r="E127" s="72">
        <f t="shared" si="63"/>
        <v>731834.92685818044</v>
      </c>
      <c r="F127" s="72">
        <f t="shared" si="63"/>
        <v>708957.5653478381</v>
      </c>
      <c r="G127" s="72">
        <f t="shared" si="63"/>
        <v>686657.60245951451</v>
      </c>
      <c r="H127" s="72">
        <f t="shared" si="63"/>
        <v>664926.24085342325</v>
      </c>
      <c r="I127" s="72">
        <f t="shared" si="63"/>
        <v>643754.78819394065</v>
      </c>
      <c r="J127" s="72">
        <f t="shared" si="63"/>
        <v>633316.87404193683</v>
      </c>
      <c r="K127" s="72">
        <f t="shared" si="63"/>
        <v>612359.03068988048</v>
      </c>
      <c r="L127" s="72">
        <f t="shared" si="63"/>
        <v>592011.33784932189</v>
      </c>
      <c r="M127" s="72">
        <f t="shared" si="63"/>
        <v>5570913.8633893495</v>
      </c>
    </row>
    <row r="128" spans="1:13" ht="18.75" thickBot="1">
      <c r="A128" s="74" t="s">
        <v>128</v>
      </c>
      <c r="B128" s="74"/>
      <c r="C128" s="86">
        <f>SUM(C127:M127)</f>
        <v>624.45887007005513</v>
      </c>
      <c r="D128" s="75"/>
      <c r="E128" s="75"/>
      <c r="F128" s="75"/>
      <c r="G128" s="75"/>
      <c r="H128" s="75"/>
      <c r="I128" s="75"/>
      <c r="J128" s="75"/>
      <c r="K128" s="69"/>
      <c r="L128" s="69"/>
    </row>
    <row r="129" spans="1:12" ht="18.75" thickBot="1">
      <c r="A129" s="74" t="s">
        <v>82</v>
      </c>
      <c r="B129" s="74"/>
      <c r="C129" s="91">
        <f>D95</f>
        <v>9.4639097878578521E-2</v>
      </c>
      <c r="D129" s="75"/>
      <c r="E129" s="75"/>
      <c r="F129" s="75"/>
      <c r="G129" s="75"/>
      <c r="H129" s="75"/>
      <c r="I129" s="75"/>
      <c r="J129" s="75"/>
      <c r="K129" s="69"/>
      <c r="L129" s="69"/>
    </row>
    <row r="130" spans="1:12">
      <c r="A130" s="75"/>
      <c r="B130" s="75"/>
      <c r="C130" s="76"/>
      <c r="D130" s="75"/>
      <c r="E130" s="75"/>
      <c r="F130" s="75"/>
      <c r="G130" s="75"/>
      <c r="H130" s="75"/>
      <c r="I130" s="75"/>
      <c r="J130" s="75"/>
      <c r="K130" s="69"/>
      <c r="L130" s="69"/>
    </row>
    <row r="131" spans="1:12">
      <c r="A131" s="73"/>
      <c r="B131" s="73"/>
      <c r="C131" s="76">
        <f>C125-C129</f>
        <v>8.1258152026808528E-6</v>
      </c>
      <c r="D131" s="73"/>
      <c r="E131" s="73"/>
      <c r="F131" s="73"/>
      <c r="G131" s="73"/>
      <c r="H131" s="73"/>
      <c r="I131" s="73"/>
      <c r="J131" s="73"/>
    </row>
    <row r="132" spans="1:12">
      <c r="A132" s="73"/>
      <c r="B132" s="73"/>
      <c r="C132" s="73"/>
      <c r="D132" s="73"/>
      <c r="E132" s="73"/>
      <c r="F132" s="73"/>
      <c r="G132" s="73"/>
      <c r="H132" s="73"/>
      <c r="I132" s="73"/>
      <c r="J132" s="73"/>
    </row>
    <row r="133" spans="1:12">
      <c r="A133" s="73"/>
      <c r="B133" s="73"/>
      <c r="C133" s="73"/>
      <c r="D133" s="73"/>
      <c r="E133" s="73"/>
      <c r="F133" s="73"/>
      <c r="G133" s="73"/>
      <c r="H133" s="73"/>
      <c r="I133" s="73"/>
      <c r="J133" s="73"/>
    </row>
    <row r="134" spans="1:12">
      <c r="A134" s="73"/>
      <c r="B134" s="73"/>
      <c r="C134" s="73"/>
      <c r="D134" s="73"/>
      <c r="E134" s="73"/>
      <c r="F134" s="73"/>
      <c r="G134" s="73"/>
      <c r="H134" s="73"/>
      <c r="I134" s="73"/>
      <c r="J134" s="73"/>
    </row>
    <row r="135" spans="1:12">
      <c r="A135" s="73"/>
      <c r="B135" s="73"/>
      <c r="C135" s="73"/>
      <c r="D135" s="73"/>
      <c r="E135" s="73"/>
      <c r="F135" s="73"/>
      <c r="G135" s="73"/>
      <c r="H135" s="73"/>
      <c r="I135" s="73"/>
      <c r="J135" s="73"/>
    </row>
    <row r="136" spans="1:12">
      <c r="A136" s="73"/>
      <c r="B136" s="73"/>
      <c r="C136" s="73"/>
      <c r="D136" s="73"/>
      <c r="E136" s="73"/>
      <c r="F136" s="73"/>
      <c r="G136" s="73"/>
      <c r="H136" s="73"/>
      <c r="I136" s="73"/>
      <c r="J136" s="73"/>
    </row>
    <row r="137" spans="1:12">
      <c r="A137" s="73"/>
      <c r="B137" s="73"/>
      <c r="C137" s="73"/>
      <c r="D137" s="73"/>
      <c r="E137" s="73"/>
      <c r="F137" s="73"/>
      <c r="G137" s="73"/>
      <c r="H137" s="73"/>
      <c r="I137" s="73"/>
      <c r="J137" s="73"/>
    </row>
  </sheetData>
  <scenarios current="0">
    <scenario name="a" count="2" user="Author">
      <inputCells r="C51" val="23305943.1917986" numFmtId="44"/>
      <inputCells r="C63" val="30004.4504802963" numFmtId="44"/>
    </scenario>
  </scenarios>
  <mergeCells count="1">
    <mergeCell ref="C1:L1"/>
  </mergeCells>
  <phoneticPr fontId="22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80" zoomScaleNormal="80" zoomScalePageLayoutView="80" workbookViewId="0">
      <selection activeCell="B2" sqref="B2"/>
    </sheetView>
  </sheetViews>
  <sheetFormatPr defaultColWidth="10.125" defaultRowHeight="18"/>
  <cols>
    <col min="1" max="1" width="16.125" bestFit="1" customWidth="1"/>
    <col min="2" max="2" width="16.5" bestFit="1" customWidth="1"/>
    <col min="3" max="3" width="11.375" bestFit="1" customWidth="1"/>
    <col min="4" max="4" width="10.625" bestFit="1" customWidth="1"/>
    <col min="5" max="5" width="13.125" bestFit="1" customWidth="1"/>
    <col min="6" max="6" width="15.125" bestFit="1" customWidth="1"/>
    <col min="7" max="7" width="13.375" bestFit="1" customWidth="1"/>
    <col min="8" max="8" width="9.5" bestFit="1" customWidth="1"/>
    <col min="9" max="9" width="12.375" bestFit="1" customWidth="1"/>
    <col min="257" max="257" width="26.375" customWidth="1"/>
    <col min="258" max="260" width="11.125" customWidth="1"/>
    <col min="261" max="261" width="11.875" customWidth="1"/>
    <col min="262" max="262" width="10.875" customWidth="1"/>
    <col min="513" max="513" width="26.375" customWidth="1"/>
    <col min="514" max="516" width="11.125" customWidth="1"/>
    <col min="517" max="517" width="11.875" customWidth="1"/>
    <col min="518" max="518" width="10.875" customWidth="1"/>
    <col min="769" max="769" width="26.375" customWidth="1"/>
    <col min="770" max="772" width="11.125" customWidth="1"/>
    <col min="773" max="773" width="11.875" customWidth="1"/>
    <col min="774" max="774" width="10.875" customWidth="1"/>
    <col min="1025" max="1025" width="26.375" customWidth="1"/>
    <col min="1026" max="1028" width="11.125" customWidth="1"/>
    <col min="1029" max="1029" width="11.875" customWidth="1"/>
    <col min="1030" max="1030" width="10.875" customWidth="1"/>
    <col min="1281" max="1281" width="26.375" customWidth="1"/>
    <col min="1282" max="1284" width="11.125" customWidth="1"/>
    <col min="1285" max="1285" width="11.875" customWidth="1"/>
    <col min="1286" max="1286" width="10.875" customWidth="1"/>
    <col min="1537" max="1537" width="26.375" customWidth="1"/>
    <col min="1538" max="1540" width="11.125" customWidth="1"/>
    <col min="1541" max="1541" width="11.875" customWidth="1"/>
    <col min="1542" max="1542" width="10.875" customWidth="1"/>
    <col min="1793" max="1793" width="26.375" customWidth="1"/>
    <col min="1794" max="1796" width="11.125" customWidth="1"/>
    <col min="1797" max="1797" width="11.875" customWidth="1"/>
    <col min="1798" max="1798" width="10.875" customWidth="1"/>
    <col min="2049" max="2049" width="26.375" customWidth="1"/>
    <col min="2050" max="2052" width="11.125" customWidth="1"/>
    <col min="2053" max="2053" width="11.875" customWidth="1"/>
    <col min="2054" max="2054" width="10.875" customWidth="1"/>
    <col min="2305" max="2305" width="26.375" customWidth="1"/>
    <col min="2306" max="2308" width="11.125" customWidth="1"/>
    <col min="2309" max="2309" width="11.875" customWidth="1"/>
    <col min="2310" max="2310" width="10.875" customWidth="1"/>
    <col min="2561" max="2561" width="26.375" customWidth="1"/>
    <col min="2562" max="2564" width="11.125" customWidth="1"/>
    <col min="2565" max="2565" width="11.875" customWidth="1"/>
    <col min="2566" max="2566" width="10.875" customWidth="1"/>
    <col min="2817" max="2817" width="26.375" customWidth="1"/>
    <col min="2818" max="2820" width="11.125" customWidth="1"/>
    <col min="2821" max="2821" width="11.875" customWidth="1"/>
    <col min="2822" max="2822" width="10.875" customWidth="1"/>
    <col min="3073" max="3073" width="26.375" customWidth="1"/>
    <col min="3074" max="3076" width="11.125" customWidth="1"/>
    <col min="3077" max="3077" width="11.875" customWidth="1"/>
    <col min="3078" max="3078" width="10.875" customWidth="1"/>
    <col min="3329" max="3329" width="26.375" customWidth="1"/>
    <col min="3330" max="3332" width="11.125" customWidth="1"/>
    <col min="3333" max="3333" width="11.875" customWidth="1"/>
    <col min="3334" max="3334" width="10.875" customWidth="1"/>
    <col min="3585" max="3585" width="26.375" customWidth="1"/>
    <col min="3586" max="3588" width="11.125" customWidth="1"/>
    <col min="3589" max="3589" width="11.875" customWidth="1"/>
    <col min="3590" max="3590" width="10.875" customWidth="1"/>
    <col min="3841" max="3841" width="26.375" customWidth="1"/>
    <col min="3842" max="3844" width="11.125" customWidth="1"/>
    <col min="3845" max="3845" width="11.875" customWidth="1"/>
    <col min="3846" max="3846" width="10.875" customWidth="1"/>
    <col min="4097" max="4097" width="26.375" customWidth="1"/>
    <col min="4098" max="4100" width="11.125" customWidth="1"/>
    <col min="4101" max="4101" width="11.875" customWidth="1"/>
    <col min="4102" max="4102" width="10.875" customWidth="1"/>
    <col min="4353" max="4353" width="26.375" customWidth="1"/>
    <col min="4354" max="4356" width="11.125" customWidth="1"/>
    <col min="4357" max="4357" width="11.875" customWidth="1"/>
    <col min="4358" max="4358" width="10.875" customWidth="1"/>
    <col min="4609" max="4609" width="26.375" customWidth="1"/>
    <col min="4610" max="4612" width="11.125" customWidth="1"/>
    <col min="4613" max="4613" width="11.875" customWidth="1"/>
    <col min="4614" max="4614" width="10.875" customWidth="1"/>
    <col min="4865" max="4865" width="26.375" customWidth="1"/>
    <col min="4866" max="4868" width="11.125" customWidth="1"/>
    <col min="4869" max="4869" width="11.875" customWidth="1"/>
    <col min="4870" max="4870" width="10.875" customWidth="1"/>
    <col min="5121" max="5121" width="26.375" customWidth="1"/>
    <col min="5122" max="5124" width="11.125" customWidth="1"/>
    <col min="5125" max="5125" width="11.875" customWidth="1"/>
    <col min="5126" max="5126" width="10.875" customWidth="1"/>
    <col min="5377" max="5377" width="26.375" customWidth="1"/>
    <col min="5378" max="5380" width="11.125" customWidth="1"/>
    <col min="5381" max="5381" width="11.875" customWidth="1"/>
    <col min="5382" max="5382" width="10.875" customWidth="1"/>
    <col min="5633" max="5633" width="26.375" customWidth="1"/>
    <col min="5634" max="5636" width="11.125" customWidth="1"/>
    <col min="5637" max="5637" width="11.875" customWidth="1"/>
    <col min="5638" max="5638" width="10.875" customWidth="1"/>
    <col min="5889" max="5889" width="26.375" customWidth="1"/>
    <col min="5890" max="5892" width="11.125" customWidth="1"/>
    <col min="5893" max="5893" width="11.875" customWidth="1"/>
    <col min="5894" max="5894" width="10.875" customWidth="1"/>
    <col min="6145" max="6145" width="26.375" customWidth="1"/>
    <col min="6146" max="6148" width="11.125" customWidth="1"/>
    <col min="6149" max="6149" width="11.875" customWidth="1"/>
    <col min="6150" max="6150" width="10.875" customWidth="1"/>
    <col min="6401" max="6401" width="26.375" customWidth="1"/>
    <col min="6402" max="6404" width="11.125" customWidth="1"/>
    <col min="6405" max="6405" width="11.875" customWidth="1"/>
    <col min="6406" max="6406" width="10.875" customWidth="1"/>
    <col min="6657" max="6657" width="26.375" customWidth="1"/>
    <col min="6658" max="6660" width="11.125" customWidth="1"/>
    <col min="6661" max="6661" width="11.875" customWidth="1"/>
    <col min="6662" max="6662" width="10.875" customWidth="1"/>
    <col min="6913" max="6913" width="26.375" customWidth="1"/>
    <col min="6914" max="6916" width="11.125" customWidth="1"/>
    <col min="6917" max="6917" width="11.875" customWidth="1"/>
    <col min="6918" max="6918" width="10.875" customWidth="1"/>
    <col min="7169" max="7169" width="26.375" customWidth="1"/>
    <col min="7170" max="7172" width="11.125" customWidth="1"/>
    <col min="7173" max="7173" width="11.875" customWidth="1"/>
    <col min="7174" max="7174" width="10.875" customWidth="1"/>
    <col min="7425" max="7425" width="26.375" customWidth="1"/>
    <col min="7426" max="7428" width="11.125" customWidth="1"/>
    <col min="7429" max="7429" width="11.875" customWidth="1"/>
    <col min="7430" max="7430" width="10.875" customWidth="1"/>
    <col min="7681" max="7681" width="26.375" customWidth="1"/>
    <col min="7682" max="7684" width="11.125" customWidth="1"/>
    <col min="7685" max="7685" width="11.875" customWidth="1"/>
    <col min="7686" max="7686" width="10.875" customWidth="1"/>
    <col min="7937" max="7937" width="26.375" customWidth="1"/>
    <col min="7938" max="7940" width="11.125" customWidth="1"/>
    <col min="7941" max="7941" width="11.875" customWidth="1"/>
    <col min="7942" max="7942" width="10.875" customWidth="1"/>
    <col min="8193" max="8193" width="26.375" customWidth="1"/>
    <col min="8194" max="8196" width="11.125" customWidth="1"/>
    <col min="8197" max="8197" width="11.875" customWidth="1"/>
    <col min="8198" max="8198" width="10.875" customWidth="1"/>
    <col min="8449" max="8449" width="26.375" customWidth="1"/>
    <col min="8450" max="8452" width="11.125" customWidth="1"/>
    <col min="8453" max="8453" width="11.875" customWidth="1"/>
    <col min="8454" max="8454" width="10.875" customWidth="1"/>
    <col min="8705" max="8705" width="26.375" customWidth="1"/>
    <col min="8706" max="8708" width="11.125" customWidth="1"/>
    <col min="8709" max="8709" width="11.875" customWidth="1"/>
    <col min="8710" max="8710" width="10.875" customWidth="1"/>
    <col min="8961" max="8961" width="26.375" customWidth="1"/>
    <col min="8962" max="8964" width="11.125" customWidth="1"/>
    <col min="8965" max="8965" width="11.875" customWidth="1"/>
    <col min="8966" max="8966" width="10.875" customWidth="1"/>
    <col min="9217" max="9217" width="26.375" customWidth="1"/>
    <col min="9218" max="9220" width="11.125" customWidth="1"/>
    <col min="9221" max="9221" width="11.875" customWidth="1"/>
    <col min="9222" max="9222" width="10.875" customWidth="1"/>
    <col min="9473" max="9473" width="26.375" customWidth="1"/>
    <col min="9474" max="9476" width="11.125" customWidth="1"/>
    <col min="9477" max="9477" width="11.875" customWidth="1"/>
    <col min="9478" max="9478" width="10.875" customWidth="1"/>
    <col min="9729" max="9729" width="26.375" customWidth="1"/>
    <col min="9730" max="9732" width="11.125" customWidth="1"/>
    <col min="9733" max="9733" width="11.875" customWidth="1"/>
    <col min="9734" max="9734" width="10.875" customWidth="1"/>
    <col min="9985" max="9985" width="26.375" customWidth="1"/>
    <col min="9986" max="9988" width="11.125" customWidth="1"/>
    <col min="9989" max="9989" width="11.875" customWidth="1"/>
    <col min="9990" max="9990" width="10.875" customWidth="1"/>
    <col min="10241" max="10241" width="26.375" customWidth="1"/>
    <col min="10242" max="10244" width="11.125" customWidth="1"/>
    <col min="10245" max="10245" width="11.875" customWidth="1"/>
    <col min="10246" max="10246" width="10.875" customWidth="1"/>
    <col min="10497" max="10497" width="26.375" customWidth="1"/>
    <col min="10498" max="10500" width="11.125" customWidth="1"/>
    <col min="10501" max="10501" width="11.875" customWidth="1"/>
    <col min="10502" max="10502" width="10.875" customWidth="1"/>
    <col min="10753" max="10753" width="26.375" customWidth="1"/>
    <col min="10754" max="10756" width="11.125" customWidth="1"/>
    <col min="10757" max="10757" width="11.875" customWidth="1"/>
    <col min="10758" max="10758" width="10.875" customWidth="1"/>
    <col min="11009" max="11009" width="26.375" customWidth="1"/>
    <col min="11010" max="11012" width="11.125" customWidth="1"/>
    <col min="11013" max="11013" width="11.875" customWidth="1"/>
    <col min="11014" max="11014" width="10.875" customWidth="1"/>
    <col min="11265" max="11265" width="26.375" customWidth="1"/>
    <col min="11266" max="11268" width="11.125" customWidth="1"/>
    <col min="11269" max="11269" width="11.875" customWidth="1"/>
    <col min="11270" max="11270" width="10.875" customWidth="1"/>
    <col min="11521" max="11521" width="26.375" customWidth="1"/>
    <col min="11522" max="11524" width="11.125" customWidth="1"/>
    <col min="11525" max="11525" width="11.875" customWidth="1"/>
    <col min="11526" max="11526" width="10.875" customWidth="1"/>
    <col min="11777" max="11777" width="26.375" customWidth="1"/>
    <col min="11778" max="11780" width="11.125" customWidth="1"/>
    <col min="11781" max="11781" width="11.875" customWidth="1"/>
    <col min="11782" max="11782" width="10.875" customWidth="1"/>
    <col min="12033" max="12033" width="26.375" customWidth="1"/>
    <col min="12034" max="12036" width="11.125" customWidth="1"/>
    <col min="12037" max="12037" width="11.875" customWidth="1"/>
    <col min="12038" max="12038" width="10.875" customWidth="1"/>
    <col min="12289" max="12289" width="26.375" customWidth="1"/>
    <col min="12290" max="12292" width="11.125" customWidth="1"/>
    <col min="12293" max="12293" width="11.875" customWidth="1"/>
    <col min="12294" max="12294" width="10.875" customWidth="1"/>
    <col min="12545" max="12545" width="26.375" customWidth="1"/>
    <col min="12546" max="12548" width="11.125" customWidth="1"/>
    <col min="12549" max="12549" width="11.875" customWidth="1"/>
    <col min="12550" max="12550" width="10.875" customWidth="1"/>
    <col min="12801" max="12801" width="26.375" customWidth="1"/>
    <col min="12802" max="12804" width="11.125" customWidth="1"/>
    <col min="12805" max="12805" width="11.875" customWidth="1"/>
    <col min="12806" max="12806" width="10.875" customWidth="1"/>
    <col min="13057" max="13057" width="26.375" customWidth="1"/>
    <col min="13058" max="13060" width="11.125" customWidth="1"/>
    <col min="13061" max="13061" width="11.875" customWidth="1"/>
    <col min="13062" max="13062" width="10.875" customWidth="1"/>
    <col min="13313" max="13313" width="26.375" customWidth="1"/>
    <col min="13314" max="13316" width="11.125" customWidth="1"/>
    <col min="13317" max="13317" width="11.875" customWidth="1"/>
    <col min="13318" max="13318" width="10.875" customWidth="1"/>
    <col min="13569" max="13569" width="26.375" customWidth="1"/>
    <col min="13570" max="13572" width="11.125" customWidth="1"/>
    <col min="13573" max="13573" width="11.875" customWidth="1"/>
    <col min="13574" max="13574" width="10.875" customWidth="1"/>
    <col min="13825" max="13825" width="26.375" customWidth="1"/>
    <col min="13826" max="13828" width="11.125" customWidth="1"/>
    <col min="13829" max="13829" width="11.875" customWidth="1"/>
    <col min="13830" max="13830" width="10.875" customWidth="1"/>
    <col min="14081" max="14081" width="26.375" customWidth="1"/>
    <col min="14082" max="14084" width="11.125" customWidth="1"/>
    <col min="14085" max="14085" width="11.875" customWidth="1"/>
    <col min="14086" max="14086" width="10.875" customWidth="1"/>
    <col min="14337" max="14337" width="26.375" customWidth="1"/>
    <col min="14338" max="14340" width="11.125" customWidth="1"/>
    <col min="14341" max="14341" width="11.875" customWidth="1"/>
    <col min="14342" max="14342" width="10.875" customWidth="1"/>
    <col min="14593" max="14593" width="26.375" customWidth="1"/>
    <col min="14594" max="14596" width="11.125" customWidth="1"/>
    <col min="14597" max="14597" width="11.875" customWidth="1"/>
    <col min="14598" max="14598" width="10.875" customWidth="1"/>
    <col min="14849" max="14849" width="26.375" customWidth="1"/>
    <col min="14850" max="14852" width="11.125" customWidth="1"/>
    <col min="14853" max="14853" width="11.875" customWidth="1"/>
    <col min="14854" max="14854" width="10.875" customWidth="1"/>
    <col min="15105" max="15105" width="26.375" customWidth="1"/>
    <col min="15106" max="15108" width="11.125" customWidth="1"/>
    <col min="15109" max="15109" width="11.875" customWidth="1"/>
    <col min="15110" max="15110" width="10.875" customWidth="1"/>
    <col min="15361" max="15361" width="26.375" customWidth="1"/>
    <col min="15362" max="15364" width="11.125" customWidth="1"/>
    <col min="15365" max="15365" width="11.875" customWidth="1"/>
    <col min="15366" max="15366" width="10.875" customWidth="1"/>
    <col min="15617" max="15617" width="26.375" customWidth="1"/>
    <col min="15618" max="15620" width="11.125" customWidth="1"/>
    <col min="15621" max="15621" width="11.875" customWidth="1"/>
    <col min="15622" max="15622" width="10.875" customWidth="1"/>
    <col min="15873" max="15873" width="26.375" customWidth="1"/>
    <col min="15874" max="15876" width="11.125" customWidth="1"/>
    <col min="15877" max="15877" width="11.875" customWidth="1"/>
    <col min="15878" max="15878" width="10.875" customWidth="1"/>
    <col min="16129" max="16129" width="26.375" customWidth="1"/>
    <col min="16130" max="16132" width="11.125" customWidth="1"/>
    <col min="16133" max="16133" width="11.875" customWidth="1"/>
    <col min="16134" max="16134" width="10.875" customWidth="1"/>
  </cols>
  <sheetData>
    <row r="1" spans="1:9">
      <c r="A1" s="64">
        <v>2012</v>
      </c>
      <c r="B1" t="s">
        <v>61</v>
      </c>
      <c r="C1" t="s">
        <v>62</v>
      </c>
      <c r="D1" t="s">
        <v>63</v>
      </c>
      <c r="E1" t="s">
        <v>39</v>
      </c>
      <c r="F1" t="s">
        <v>64</v>
      </c>
    </row>
    <row r="2" spans="1:9">
      <c r="A2" t="s">
        <v>70</v>
      </c>
      <c r="B2" s="55">
        <f>Final!B63</f>
        <v>7505150</v>
      </c>
      <c r="C2" s="56">
        <f t="shared" ref="C2:C13" si="0">+E2-D2</f>
        <v>9017.8097061622211</v>
      </c>
      <c r="D2" s="56">
        <f>+B2*$I$2/12</f>
        <v>31271.458333333332</v>
      </c>
      <c r="E2" s="56">
        <f t="shared" ref="E2:E13" si="1">$I$4</f>
        <v>40289.268039495553</v>
      </c>
      <c r="F2" s="56">
        <f t="shared" ref="F2:F13" si="2">+B2-C2</f>
        <v>7496132.1902938373</v>
      </c>
      <c r="H2" t="s">
        <v>65</v>
      </c>
      <c r="I2" s="66">
        <v>0.05</v>
      </c>
    </row>
    <row r="3" spans="1:9">
      <c r="A3" t="s">
        <v>71</v>
      </c>
      <c r="B3" s="56">
        <f t="shared" ref="B3:B13" si="3">+F2</f>
        <v>7496132.1902938373</v>
      </c>
      <c r="C3" s="56">
        <f t="shared" si="0"/>
        <v>9055.383913271231</v>
      </c>
      <c r="D3" s="56">
        <f t="shared" ref="D3:D13" si="4">+B3*$I$2/12</f>
        <v>31233.884126224322</v>
      </c>
      <c r="E3" s="56">
        <f t="shared" si="1"/>
        <v>40289.268039495553</v>
      </c>
      <c r="F3" s="56">
        <f t="shared" si="2"/>
        <v>7487076.8063805662</v>
      </c>
      <c r="H3" t="s">
        <v>66</v>
      </c>
      <c r="I3">
        <v>360</v>
      </c>
    </row>
    <row r="4" spans="1:9">
      <c r="A4" t="s">
        <v>72</v>
      </c>
      <c r="B4" s="56">
        <f t="shared" si="3"/>
        <v>7487076.8063805662</v>
      </c>
      <c r="C4" s="56">
        <f t="shared" si="0"/>
        <v>9093.1146795765235</v>
      </c>
      <c r="D4" s="56">
        <f t="shared" si="4"/>
        <v>31196.15335991903</v>
      </c>
      <c r="E4" s="56">
        <f t="shared" si="1"/>
        <v>40289.268039495553</v>
      </c>
      <c r="F4" s="56">
        <f t="shared" si="2"/>
        <v>7477983.6917009894</v>
      </c>
      <c r="H4" t="s">
        <v>39</v>
      </c>
      <c r="I4" s="35">
        <f>-PMT(I2/12,I3,B2)</f>
        <v>40289.268039495553</v>
      </c>
    </row>
    <row r="5" spans="1:9">
      <c r="A5" t="s">
        <v>73</v>
      </c>
      <c r="B5" s="56">
        <f t="shared" si="3"/>
        <v>7477983.6917009894</v>
      </c>
      <c r="C5" s="56">
        <f t="shared" si="0"/>
        <v>9131.0026574080948</v>
      </c>
      <c r="D5" s="56">
        <f t="shared" si="4"/>
        <v>31158.265382087458</v>
      </c>
      <c r="E5" s="56">
        <f t="shared" si="1"/>
        <v>40289.268039495553</v>
      </c>
      <c r="F5" s="56">
        <f t="shared" si="2"/>
        <v>7468852.6890435815</v>
      </c>
    </row>
    <row r="6" spans="1:9">
      <c r="A6" t="s">
        <v>74</v>
      </c>
      <c r="B6" s="56">
        <f t="shared" si="3"/>
        <v>7468852.6890435815</v>
      </c>
      <c r="C6" s="56">
        <f t="shared" si="0"/>
        <v>9169.0485018139625</v>
      </c>
      <c r="D6" s="56">
        <f t="shared" si="4"/>
        <v>31120.219537681591</v>
      </c>
      <c r="E6" s="56">
        <f t="shared" si="1"/>
        <v>40289.268039495553</v>
      </c>
      <c r="F6" s="56">
        <f t="shared" si="2"/>
        <v>7459683.6405417677</v>
      </c>
    </row>
    <row r="7" spans="1:9">
      <c r="A7" t="s">
        <v>75</v>
      </c>
      <c r="B7" s="56">
        <f t="shared" si="3"/>
        <v>7459683.6405417677</v>
      </c>
      <c r="C7" s="56">
        <f t="shared" si="0"/>
        <v>9207.2528705715195</v>
      </c>
      <c r="D7" s="56">
        <f t="shared" si="4"/>
        <v>31082.015168924034</v>
      </c>
      <c r="E7" s="56">
        <f t="shared" si="1"/>
        <v>40289.268039495553</v>
      </c>
      <c r="F7" s="56">
        <f t="shared" si="2"/>
        <v>7450476.3876711959</v>
      </c>
    </row>
    <row r="8" spans="1:9">
      <c r="A8" t="s">
        <v>76</v>
      </c>
      <c r="B8" s="56">
        <f t="shared" si="3"/>
        <v>7450476.3876711959</v>
      </c>
      <c r="C8" s="56">
        <f t="shared" si="0"/>
        <v>9245.6164241989027</v>
      </c>
      <c r="D8" s="56">
        <f t="shared" si="4"/>
        <v>31043.651615296651</v>
      </c>
      <c r="E8" s="56">
        <f t="shared" si="1"/>
        <v>40289.268039495553</v>
      </c>
      <c r="F8" s="56">
        <f t="shared" si="2"/>
        <v>7441230.7712469967</v>
      </c>
    </row>
    <row r="9" spans="1:9">
      <c r="A9" t="s">
        <v>77</v>
      </c>
      <c r="B9" s="56">
        <f t="shared" si="3"/>
        <v>7441230.7712469967</v>
      </c>
      <c r="C9" s="56">
        <f t="shared" si="0"/>
        <v>9284.1398259663983</v>
      </c>
      <c r="D9" s="56">
        <f t="shared" si="4"/>
        <v>31005.128213529155</v>
      </c>
      <c r="E9" s="56">
        <f t="shared" si="1"/>
        <v>40289.268039495553</v>
      </c>
      <c r="F9" s="56">
        <f t="shared" si="2"/>
        <v>7431946.6314210305</v>
      </c>
    </row>
    <row r="10" spans="1:9">
      <c r="A10" t="s">
        <v>78</v>
      </c>
      <c r="B10" s="56">
        <f t="shared" si="3"/>
        <v>7431946.6314210305</v>
      </c>
      <c r="C10" s="56">
        <f t="shared" si="0"/>
        <v>9322.8237419079232</v>
      </c>
      <c r="D10" s="56">
        <f t="shared" si="4"/>
        <v>30966.44429758763</v>
      </c>
      <c r="E10" s="56">
        <f t="shared" si="1"/>
        <v>40289.268039495553</v>
      </c>
      <c r="F10" s="56">
        <f t="shared" si="2"/>
        <v>7422623.8076791223</v>
      </c>
    </row>
    <row r="11" spans="1:9">
      <c r="A11" t="s">
        <v>79</v>
      </c>
      <c r="B11" s="56">
        <f t="shared" si="3"/>
        <v>7422623.8076791223</v>
      </c>
      <c r="C11" s="56">
        <f t="shared" si="0"/>
        <v>9361.6688408325426</v>
      </c>
      <c r="D11" s="56">
        <f t="shared" si="4"/>
        <v>30927.599198663011</v>
      </c>
      <c r="E11" s="56">
        <f t="shared" si="1"/>
        <v>40289.268039495553</v>
      </c>
      <c r="F11" s="56">
        <f t="shared" si="2"/>
        <v>7413262.1388382893</v>
      </c>
    </row>
    <row r="12" spans="1:9">
      <c r="A12" t="s">
        <v>80</v>
      </c>
      <c r="B12" s="56">
        <f t="shared" si="3"/>
        <v>7413262.1388382893</v>
      </c>
      <c r="C12" s="56">
        <f t="shared" si="0"/>
        <v>9400.6757943360135</v>
      </c>
      <c r="D12" s="56">
        <f t="shared" si="4"/>
        <v>30888.59224515954</v>
      </c>
      <c r="E12" s="56">
        <f t="shared" si="1"/>
        <v>40289.268039495553</v>
      </c>
      <c r="F12" s="56">
        <f t="shared" si="2"/>
        <v>7403861.4630439533</v>
      </c>
    </row>
    <row r="13" spans="1:9">
      <c r="A13" t="s">
        <v>81</v>
      </c>
      <c r="B13" s="56">
        <f t="shared" si="3"/>
        <v>7403861.4630439533</v>
      </c>
      <c r="C13" s="56">
        <f t="shared" si="0"/>
        <v>9439.8452768124116</v>
      </c>
      <c r="D13" s="56">
        <f t="shared" si="4"/>
        <v>30849.422762683142</v>
      </c>
      <c r="E13" s="56">
        <f t="shared" si="1"/>
        <v>40289.268039495553</v>
      </c>
      <c r="F13" s="57">
        <f t="shared" si="2"/>
        <v>7394421.6177671412</v>
      </c>
      <c r="G13" t="s">
        <v>67</v>
      </c>
    </row>
    <row r="14" spans="1:9">
      <c r="A14" s="58" t="s">
        <v>68</v>
      </c>
      <c r="B14" s="58"/>
      <c r="C14" s="57">
        <f>SUM(C2:C13)</f>
        <v>110728.38223285775</v>
      </c>
      <c r="D14" s="57">
        <f>SUM(D2:D13)</f>
        <v>372742.83424108889</v>
      </c>
      <c r="E14" s="56" t="s">
        <v>69</v>
      </c>
      <c r="F14" s="56"/>
    </row>
    <row r="15" spans="1:9">
      <c r="A15" s="58"/>
      <c r="B15" s="58"/>
      <c r="C15" s="57"/>
      <c r="D15" s="57"/>
      <c r="E15" s="56"/>
      <c r="F15" s="56"/>
    </row>
    <row r="16" spans="1:9">
      <c r="A16" s="65">
        <v>2013</v>
      </c>
      <c r="B16" s="54"/>
      <c r="C16" s="56"/>
      <c r="D16" s="56"/>
      <c r="E16" s="56"/>
      <c r="F16" s="56"/>
    </row>
    <row r="17" spans="1:9">
      <c r="A17" t="s">
        <v>70</v>
      </c>
      <c r="B17" s="56">
        <f>+F13</f>
        <v>7394421.6177671412</v>
      </c>
      <c r="C17" s="56">
        <f t="shared" ref="C17:C28" si="5">+E17-D17</f>
        <v>9479.1779654657985</v>
      </c>
      <c r="D17" s="56">
        <f>+B17*$I$2/12</f>
        <v>30810.090074029755</v>
      </c>
      <c r="E17" s="56">
        <f t="shared" ref="E17:E28" si="6">$I$4</f>
        <v>40289.268039495553</v>
      </c>
      <c r="F17" s="56">
        <f t="shared" ref="F17:F28" si="7">+B17-C17</f>
        <v>7384942.4398016753</v>
      </c>
    </row>
    <row r="18" spans="1:9">
      <c r="A18" t="s">
        <v>71</v>
      </c>
      <c r="B18" s="56">
        <f t="shared" ref="B18:B28" si="8">+F17</f>
        <v>7384942.4398016753</v>
      </c>
      <c r="C18" s="56">
        <f t="shared" si="5"/>
        <v>9518.6745403219065</v>
      </c>
      <c r="D18" s="56">
        <f t="shared" ref="D18:D28" si="9">+B18*$I$2/12</f>
        <v>30770.593499173647</v>
      </c>
      <c r="E18" s="56">
        <f t="shared" si="6"/>
        <v>40289.268039495553</v>
      </c>
      <c r="F18" s="56">
        <f t="shared" si="7"/>
        <v>7375423.765261353</v>
      </c>
      <c r="I18" s="59"/>
    </row>
    <row r="19" spans="1:9">
      <c r="A19" t="s">
        <v>72</v>
      </c>
      <c r="B19" s="56">
        <f t="shared" si="8"/>
        <v>7375423.765261353</v>
      </c>
      <c r="C19" s="56">
        <f t="shared" si="5"/>
        <v>9558.3356842399116</v>
      </c>
      <c r="D19" s="56">
        <f t="shared" si="9"/>
        <v>30730.932355255642</v>
      </c>
      <c r="E19" s="56">
        <f t="shared" si="6"/>
        <v>40289.268039495553</v>
      </c>
      <c r="F19" s="56">
        <f t="shared" si="7"/>
        <v>7365865.4295771131</v>
      </c>
      <c r="I19" s="59"/>
    </row>
    <row r="20" spans="1:9">
      <c r="A20" t="s">
        <v>73</v>
      </c>
      <c r="B20" s="56">
        <f t="shared" si="8"/>
        <v>7365865.4295771131</v>
      </c>
      <c r="C20" s="56">
        <f t="shared" si="5"/>
        <v>9598.1620829242456</v>
      </c>
      <c r="D20" s="56">
        <f t="shared" si="9"/>
        <v>30691.105956571308</v>
      </c>
      <c r="E20" s="56">
        <f t="shared" si="6"/>
        <v>40289.268039495553</v>
      </c>
      <c r="F20" s="56">
        <f t="shared" si="7"/>
        <v>7356267.2674941886</v>
      </c>
      <c r="I20" s="59"/>
    </row>
    <row r="21" spans="1:9">
      <c r="A21" t="s">
        <v>74</v>
      </c>
      <c r="B21" s="56">
        <f t="shared" si="8"/>
        <v>7356267.2674941886</v>
      </c>
      <c r="C21" s="56">
        <f t="shared" si="5"/>
        <v>9638.1544249364342</v>
      </c>
      <c r="D21" s="56">
        <f t="shared" si="9"/>
        <v>30651.113614559119</v>
      </c>
      <c r="E21" s="56">
        <f t="shared" si="6"/>
        <v>40289.268039495553</v>
      </c>
      <c r="F21" s="56">
        <f t="shared" si="7"/>
        <v>7346629.1130692521</v>
      </c>
    </row>
    <row r="22" spans="1:9">
      <c r="A22" t="s">
        <v>75</v>
      </c>
      <c r="B22" s="56">
        <f t="shared" si="8"/>
        <v>7346629.1130692521</v>
      </c>
      <c r="C22" s="56">
        <f t="shared" si="5"/>
        <v>9678.3134017070006</v>
      </c>
      <c r="D22" s="56">
        <f t="shared" si="9"/>
        <v>30610.954637788553</v>
      </c>
      <c r="E22" s="56">
        <f t="shared" si="6"/>
        <v>40289.268039495553</v>
      </c>
      <c r="F22" s="56">
        <f t="shared" si="7"/>
        <v>7336950.7996675447</v>
      </c>
    </row>
    <row r="23" spans="1:9">
      <c r="A23" t="s">
        <v>76</v>
      </c>
      <c r="B23" s="56">
        <f t="shared" si="8"/>
        <v>7336950.7996675447</v>
      </c>
      <c r="C23" s="56">
        <f t="shared" si="5"/>
        <v>9718.6397075474488</v>
      </c>
      <c r="D23" s="56">
        <f t="shared" si="9"/>
        <v>30570.628331948104</v>
      </c>
      <c r="E23" s="56">
        <f t="shared" si="6"/>
        <v>40289.268039495553</v>
      </c>
      <c r="F23" s="56">
        <f t="shared" si="7"/>
        <v>7327232.1599599971</v>
      </c>
    </row>
    <row r="24" spans="1:9">
      <c r="A24" t="s">
        <v>77</v>
      </c>
      <c r="B24" s="56">
        <f t="shared" si="8"/>
        <v>7327232.1599599971</v>
      </c>
      <c r="C24" s="56">
        <f t="shared" si="5"/>
        <v>9759.134039662229</v>
      </c>
      <c r="D24" s="56">
        <f t="shared" si="9"/>
        <v>30530.133999833324</v>
      </c>
      <c r="E24" s="56">
        <f t="shared" si="6"/>
        <v>40289.268039495553</v>
      </c>
      <c r="F24" s="56">
        <f t="shared" si="7"/>
        <v>7317473.0259203352</v>
      </c>
    </row>
    <row r="25" spans="1:9">
      <c r="A25" t="s">
        <v>78</v>
      </c>
      <c r="B25" s="56">
        <f t="shared" si="8"/>
        <v>7317473.0259203352</v>
      </c>
      <c r="C25" s="56">
        <f t="shared" si="5"/>
        <v>9799.7970981608232</v>
      </c>
      <c r="D25" s="56">
        <f t="shared" si="9"/>
        <v>30489.47094133473</v>
      </c>
      <c r="E25" s="56">
        <f t="shared" si="6"/>
        <v>40289.268039495553</v>
      </c>
      <c r="F25" s="56">
        <f t="shared" si="7"/>
        <v>7307673.2288221745</v>
      </c>
    </row>
    <row r="26" spans="1:9">
      <c r="A26" t="s">
        <v>79</v>
      </c>
      <c r="B26" s="56">
        <f t="shared" si="8"/>
        <v>7307673.2288221745</v>
      </c>
      <c r="C26" s="56">
        <f t="shared" si="5"/>
        <v>9840.6295860698265</v>
      </c>
      <c r="D26" s="56">
        <f t="shared" si="9"/>
        <v>30448.638453425727</v>
      </c>
      <c r="E26" s="56">
        <f t="shared" si="6"/>
        <v>40289.268039495553</v>
      </c>
      <c r="F26" s="56">
        <f t="shared" si="7"/>
        <v>7297832.5992361046</v>
      </c>
    </row>
    <row r="27" spans="1:9">
      <c r="A27" t="s">
        <v>80</v>
      </c>
      <c r="B27" s="56">
        <f t="shared" si="8"/>
        <v>7297832.5992361046</v>
      </c>
      <c r="C27" s="56">
        <f t="shared" si="5"/>
        <v>9881.6322093451163</v>
      </c>
      <c r="D27" s="56">
        <f t="shared" si="9"/>
        <v>30407.635830150437</v>
      </c>
      <c r="E27" s="56">
        <f t="shared" si="6"/>
        <v>40289.268039495553</v>
      </c>
      <c r="F27" s="56">
        <f t="shared" si="7"/>
        <v>7287950.9670267599</v>
      </c>
    </row>
    <row r="28" spans="1:9">
      <c r="A28" t="s">
        <v>81</v>
      </c>
      <c r="B28" s="56">
        <f t="shared" si="8"/>
        <v>7287950.9670267599</v>
      </c>
      <c r="C28" s="56">
        <f t="shared" si="5"/>
        <v>9922.8056768840506</v>
      </c>
      <c r="D28" s="56">
        <f t="shared" si="9"/>
        <v>30366.462362611503</v>
      </c>
      <c r="E28" s="56">
        <f t="shared" si="6"/>
        <v>40289.268039495553</v>
      </c>
      <c r="F28" s="57">
        <f t="shared" si="7"/>
        <v>7278028.1613498759</v>
      </c>
      <c r="G28" t="s">
        <v>67</v>
      </c>
    </row>
    <row r="29" spans="1:9">
      <c r="A29" s="58" t="s">
        <v>68</v>
      </c>
      <c r="B29" s="58"/>
      <c r="C29" s="57">
        <f>SUM(C17:C28)</f>
        <v>116393.4564172648</v>
      </c>
      <c r="D29" s="57">
        <f>SUM(D17:D28)</f>
        <v>367077.76005668187</v>
      </c>
      <c r="E29" s="56" t="s">
        <v>69</v>
      </c>
      <c r="F29" s="56"/>
    </row>
    <row r="30" spans="1:9">
      <c r="A30" s="58"/>
      <c r="B30" s="58"/>
      <c r="C30" s="57"/>
      <c r="D30" s="57"/>
      <c r="E30" s="56"/>
      <c r="F30" s="56"/>
    </row>
    <row r="31" spans="1:9">
      <c r="A31" s="65">
        <v>2014</v>
      </c>
      <c r="B31" s="54"/>
      <c r="C31" s="56"/>
      <c r="D31" s="56"/>
      <c r="E31" s="56"/>
      <c r="F31" s="56"/>
    </row>
    <row r="32" spans="1:9">
      <c r="A32" t="s">
        <v>70</v>
      </c>
      <c r="B32" s="56">
        <f>+F28</f>
        <v>7278028.1613498759</v>
      </c>
      <c r="C32" s="56">
        <f t="shared" ref="C32:C43" si="10">+E32-D32</f>
        <v>9964.1507005377352</v>
      </c>
      <c r="D32" s="56">
        <f>+B32*$I$2/12</f>
        <v>30325.117338957818</v>
      </c>
      <c r="E32" s="56">
        <f t="shared" ref="E32:E43" si="11">$I$4</f>
        <v>40289.268039495553</v>
      </c>
      <c r="F32" s="56">
        <f t="shared" ref="F32:F43" si="12">+B32-C32</f>
        <v>7268064.0106493384</v>
      </c>
    </row>
    <row r="33" spans="1:7">
      <c r="A33" t="s">
        <v>71</v>
      </c>
      <c r="B33" s="56">
        <f t="shared" ref="B33:B43" si="13">+F32</f>
        <v>7268064.0106493384</v>
      </c>
      <c r="C33" s="56">
        <f t="shared" si="10"/>
        <v>10005.667995123309</v>
      </c>
      <c r="D33" s="56">
        <f t="shared" ref="D33:D43" si="14">+B33*$I$2/12</f>
        <v>30283.600044372244</v>
      </c>
      <c r="E33" s="56">
        <f t="shared" si="11"/>
        <v>40289.268039495553</v>
      </c>
      <c r="F33" s="56">
        <f t="shared" si="12"/>
        <v>7258058.3426542152</v>
      </c>
    </row>
    <row r="34" spans="1:7">
      <c r="A34" t="s">
        <v>72</v>
      </c>
      <c r="B34" s="56">
        <f t="shared" si="13"/>
        <v>7258058.3426542152</v>
      </c>
      <c r="C34" s="56">
        <f t="shared" si="10"/>
        <v>10047.358278436321</v>
      </c>
      <c r="D34" s="56">
        <f t="shared" si="14"/>
        <v>30241.909761059233</v>
      </c>
      <c r="E34" s="56">
        <f t="shared" si="11"/>
        <v>40289.268039495553</v>
      </c>
      <c r="F34" s="56">
        <f t="shared" si="12"/>
        <v>7248010.9843757786</v>
      </c>
    </row>
    <row r="35" spans="1:7">
      <c r="A35" t="s">
        <v>73</v>
      </c>
      <c r="B35" s="56">
        <f t="shared" si="13"/>
        <v>7248010.9843757786</v>
      </c>
      <c r="C35" s="56">
        <f t="shared" si="10"/>
        <v>10089.222271263137</v>
      </c>
      <c r="D35" s="56">
        <f t="shared" si="14"/>
        <v>30200.045768232416</v>
      </c>
      <c r="E35" s="56">
        <f t="shared" si="11"/>
        <v>40289.268039495553</v>
      </c>
      <c r="F35" s="56">
        <f t="shared" si="12"/>
        <v>7237921.762104515</v>
      </c>
    </row>
    <row r="36" spans="1:7">
      <c r="A36" t="s">
        <v>74</v>
      </c>
      <c r="B36" s="56">
        <f t="shared" si="13"/>
        <v>7237921.762104515</v>
      </c>
      <c r="C36" s="56">
        <f t="shared" si="10"/>
        <v>10131.260697393405</v>
      </c>
      <c r="D36" s="56">
        <f t="shared" si="14"/>
        <v>30158.007342102148</v>
      </c>
      <c r="E36" s="56">
        <f t="shared" si="11"/>
        <v>40289.268039495553</v>
      </c>
      <c r="F36" s="56">
        <f t="shared" si="12"/>
        <v>7227790.5014071213</v>
      </c>
    </row>
    <row r="37" spans="1:7">
      <c r="A37" t="s">
        <v>75</v>
      </c>
      <c r="B37" s="56">
        <f t="shared" si="13"/>
        <v>7227790.5014071213</v>
      </c>
      <c r="C37" s="56">
        <f t="shared" si="10"/>
        <v>10173.474283632546</v>
      </c>
      <c r="D37" s="56">
        <f t="shared" si="14"/>
        <v>30115.793755863007</v>
      </c>
      <c r="E37" s="56">
        <f t="shared" si="11"/>
        <v>40289.268039495553</v>
      </c>
      <c r="F37" s="56">
        <f t="shared" si="12"/>
        <v>7217617.0271234885</v>
      </c>
    </row>
    <row r="38" spans="1:7">
      <c r="A38" t="s">
        <v>76</v>
      </c>
      <c r="B38" s="56">
        <f t="shared" si="13"/>
        <v>7217617.0271234885</v>
      </c>
      <c r="C38" s="56">
        <f t="shared" si="10"/>
        <v>10215.86375981435</v>
      </c>
      <c r="D38" s="56">
        <f t="shared" si="14"/>
        <v>30073.404279681203</v>
      </c>
      <c r="E38" s="56">
        <f t="shared" si="11"/>
        <v>40289.268039495553</v>
      </c>
      <c r="F38" s="56">
        <f t="shared" si="12"/>
        <v>7207401.1633636737</v>
      </c>
    </row>
    <row r="39" spans="1:7">
      <c r="A39" t="s">
        <v>77</v>
      </c>
      <c r="B39" s="56">
        <f t="shared" si="13"/>
        <v>7207401.1633636737</v>
      </c>
      <c r="C39" s="56">
        <f t="shared" si="10"/>
        <v>10258.429858813575</v>
      </c>
      <c r="D39" s="56">
        <f t="shared" si="14"/>
        <v>30030.838180681978</v>
      </c>
      <c r="E39" s="56">
        <f t="shared" si="11"/>
        <v>40289.268039495553</v>
      </c>
      <c r="F39" s="56">
        <f t="shared" si="12"/>
        <v>7197142.7335048597</v>
      </c>
    </row>
    <row r="40" spans="1:7">
      <c r="A40" t="s">
        <v>78</v>
      </c>
      <c r="B40" s="56">
        <f t="shared" si="13"/>
        <v>7197142.7335048597</v>
      </c>
      <c r="C40" s="56">
        <f t="shared" si="10"/>
        <v>10301.173316558634</v>
      </c>
      <c r="D40" s="56">
        <f t="shared" si="14"/>
        <v>29988.094722936919</v>
      </c>
      <c r="E40" s="56">
        <f t="shared" si="11"/>
        <v>40289.268039495553</v>
      </c>
      <c r="F40" s="56">
        <f t="shared" si="12"/>
        <v>7186841.5601883009</v>
      </c>
    </row>
    <row r="41" spans="1:7">
      <c r="A41" t="s">
        <v>79</v>
      </c>
      <c r="B41" s="56">
        <f t="shared" si="13"/>
        <v>7186841.5601883009</v>
      </c>
      <c r="C41" s="56">
        <f t="shared" si="10"/>
        <v>10344.094872044298</v>
      </c>
      <c r="D41" s="56">
        <f t="shared" si="14"/>
        <v>29945.173167451256</v>
      </c>
      <c r="E41" s="56">
        <f t="shared" si="11"/>
        <v>40289.268039495553</v>
      </c>
      <c r="F41" s="56">
        <f t="shared" si="12"/>
        <v>7176497.4653162565</v>
      </c>
    </row>
    <row r="42" spans="1:7">
      <c r="A42" t="s">
        <v>80</v>
      </c>
      <c r="B42" s="56">
        <f t="shared" si="13"/>
        <v>7176497.4653162565</v>
      </c>
      <c r="C42" s="56">
        <f t="shared" si="10"/>
        <v>10387.195267344479</v>
      </c>
      <c r="D42" s="56">
        <f t="shared" si="14"/>
        <v>29902.072772151074</v>
      </c>
      <c r="E42" s="56">
        <f t="shared" si="11"/>
        <v>40289.268039495553</v>
      </c>
      <c r="F42" s="56">
        <f t="shared" si="12"/>
        <v>7166110.2700489117</v>
      </c>
    </row>
    <row r="43" spans="1:7">
      <c r="A43" t="s">
        <v>81</v>
      </c>
      <c r="B43" s="56">
        <f t="shared" si="13"/>
        <v>7166110.2700489117</v>
      </c>
      <c r="C43" s="56">
        <f t="shared" si="10"/>
        <v>10430.475247625087</v>
      </c>
      <c r="D43" s="56">
        <f t="shared" si="14"/>
        <v>29858.792791870466</v>
      </c>
      <c r="E43" s="56">
        <f t="shared" si="11"/>
        <v>40289.268039495553</v>
      </c>
      <c r="F43" s="57">
        <f t="shared" si="12"/>
        <v>7155679.7948012864</v>
      </c>
      <c r="G43" t="s">
        <v>67</v>
      </c>
    </row>
    <row r="44" spans="1:7">
      <c r="A44" s="58" t="s">
        <v>68</v>
      </c>
      <c r="B44" s="58"/>
      <c r="C44" s="57">
        <f>SUM(C32:C43)</f>
        <v>122348.36654858687</v>
      </c>
      <c r="D44" s="57">
        <f>SUM(D32:D43)</f>
        <v>361122.84992535977</v>
      </c>
      <c r="E44" s="56" t="s">
        <v>69</v>
      </c>
      <c r="F44" s="56"/>
    </row>
    <row r="45" spans="1:7">
      <c r="A45" s="58"/>
      <c r="B45" s="58"/>
      <c r="C45" s="57"/>
      <c r="D45" s="57"/>
      <c r="E45" s="56"/>
      <c r="F45" s="56"/>
    </row>
    <row r="46" spans="1:7">
      <c r="A46" s="65">
        <v>2015</v>
      </c>
      <c r="B46" s="54"/>
      <c r="C46" s="56"/>
      <c r="D46" s="56"/>
      <c r="E46" s="56"/>
      <c r="F46" s="56"/>
    </row>
    <row r="47" spans="1:7">
      <c r="A47" t="s">
        <v>70</v>
      </c>
      <c r="B47" s="56">
        <f>+F43</f>
        <v>7155679.7948012864</v>
      </c>
      <c r="C47" s="56">
        <f t="shared" ref="C47:C58" si="15">+E47-D47</f>
        <v>10473.935561156857</v>
      </c>
      <c r="D47" s="56">
        <f>+B47*$I$2/12</f>
        <v>29815.332478338696</v>
      </c>
      <c r="E47" s="56">
        <f t="shared" ref="E47:E58" si="16">$I$4</f>
        <v>40289.268039495553</v>
      </c>
      <c r="F47" s="56">
        <f t="shared" ref="F47:F58" si="17">+B47-C47</f>
        <v>7145205.8592401296</v>
      </c>
    </row>
    <row r="48" spans="1:7">
      <c r="A48" t="s">
        <v>71</v>
      </c>
      <c r="B48" s="56">
        <f t="shared" ref="B48:B58" si="18">+F47</f>
        <v>7145205.8592401296</v>
      </c>
      <c r="C48" s="56">
        <f t="shared" si="15"/>
        <v>10517.576959328344</v>
      </c>
      <c r="D48" s="56">
        <f t="shared" ref="D48:D58" si="19">+B48*$I$2/12</f>
        <v>29771.691080167209</v>
      </c>
      <c r="E48" s="56">
        <f t="shared" si="16"/>
        <v>40289.268039495553</v>
      </c>
      <c r="F48" s="56">
        <f t="shared" si="17"/>
        <v>7134688.2822808009</v>
      </c>
    </row>
    <row r="49" spans="1:7">
      <c r="A49" t="s">
        <v>72</v>
      </c>
      <c r="B49" s="56">
        <f t="shared" si="18"/>
        <v>7134688.2822808009</v>
      </c>
      <c r="C49" s="56">
        <f t="shared" si="15"/>
        <v>10561.40019665888</v>
      </c>
      <c r="D49" s="56">
        <f t="shared" si="19"/>
        <v>29727.867842836673</v>
      </c>
      <c r="E49" s="56">
        <f t="shared" si="16"/>
        <v>40289.268039495553</v>
      </c>
      <c r="F49" s="56">
        <f t="shared" si="17"/>
        <v>7124126.8820841424</v>
      </c>
    </row>
    <row r="50" spans="1:7">
      <c r="A50" t="s">
        <v>73</v>
      </c>
      <c r="B50" s="56">
        <f t="shared" si="18"/>
        <v>7124126.8820841424</v>
      </c>
      <c r="C50" s="56">
        <f t="shared" si="15"/>
        <v>10605.406030811628</v>
      </c>
      <c r="D50" s="56">
        <f t="shared" si="19"/>
        <v>29683.862008683926</v>
      </c>
      <c r="E50" s="56">
        <f t="shared" si="16"/>
        <v>40289.268039495553</v>
      </c>
      <c r="F50" s="56">
        <f t="shared" si="17"/>
        <v>7113521.476053331</v>
      </c>
    </row>
    <row r="51" spans="1:7">
      <c r="A51" t="s">
        <v>74</v>
      </c>
      <c r="B51" s="56">
        <f t="shared" si="18"/>
        <v>7113521.476053331</v>
      </c>
      <c r="C51" s="56">
        <f t="shared" si="15"/>
        <v>10649.595222606673</v>
      </c>
      <c r="D51" s="56">
        <f t="shared" si="19"/>
        <v>29639.67281688888</v>
      </c>
      <c r="E51" s="56">
        <f t="shared" si="16"/>
        <v>40289.268039495553</v>
      </c>
      <c r="F51" s="56">
        <f t="shared" si="17"/>
        <v>7102871.8808307247</v>
      </c>
    </row>
    <row r="52" spans="1:7">
      <c r="A52" t="s">
        <v>75</v>
      </c>
      <c r="B52" s="56">
        <f t="shared" si="18"/>
        <v>7102871.8808307247</v>
      </c>
      <c r="C52" s="56">
        <f t="shared" si="15"/>
        <v>10693.968536034197</v>
      </c>
      <c r="D52" s="56">
        <f t="shared" si="19"/>
        <v>29595.299503461356</v>
      </c>
      <c r="E52" s="56">
        <f t="shared" si="16"/>
        <v>40289.268039495553</v>
      </c>
      <c r="F52" s="56">
        <f t="shared" si="17"/>
        <v>7092177.9122946905</v>
      </c>
    </row>
    <row r="53" spans="1:7">
      <c r="A53" t="s">
        <v>76</v>
      </c>
      <c r="B53" s="56">
        <f t="shared" si="18"/>
        <v>7092177.9122946905</v>
      </c>
      <c r="C53" s="56">
        <f t="shared" si="15"/>
        <v>10738.526738267672</v>
      </c>
      <c r="D53" s="56">
        <f t="shared" si="19"/>
        <v>29550.741301227881</v>
      </c>
      <c r="E53" s="56">
        <f t="shared" si="16"/>
        <v>40289.268039495553</v>
      </c>
      <c r="F53" s="56">
        <f t="shared" si="17"/>
        <v>7081439.3855564231</v>
      </c>
    </row>
    <row r="54" spans="1:7">
      <c r="A54" t="s">
        <v>77</v>
      </c>
      <c r="B54" s="56">
        <f t="shared" si="18"/>
        <v>7081439.3855564231</v>
      </c>
      <c r="C54" s="56">
        <f t="shared" si="15"/>
        <v>10783.270599677122</v>
      </c>
      <c r="D54" s="56">
        <f t="shared" si="19"/>
        <v>29505.997439818431</v>
      </c>
      <c r="E54" s="56">
        <f t="shared" si="16"/>
        <v>40289.268039495553</v>
      </c>
      <c r="F54" s="56">
        <f t="shared" si="17"/>
        <v>7070656.1149567459</v>
      </c>
    </row>
    <row r="55" spans="1:7">
      <c r="A55" t="s">
        <v>78</v>
      </c>
      <c r="B55" s="56">
        <f t="shared" si="18"/>
        <v>7070656.1149567459</v>
      </c>
      <c r="C55" s="56">
        <f t="shared" si="15"/>
        <v>10828.200893842444</v>
      </c>
      <c r="D55" s="56">
        <f t="shared" si="19"/>
        <v>29461.067145653109</v>
      </c>
      <c r="E55" s="56">
        <f t="shared" si="16"/>
        <v>40289.268039495553</v>
      </c>
      <c r="F55" s="56">
        <f t="shared" si="17"/>
        <v>7059827.9140629033</v>
      </c>
    </row>
    <row r="56" spans="1:7">
      <c r="A56" t="s">
        <v>79</v>
      </c>
      <c r="B56" s="56">
        <f t="shared" si="18"/>
        <v>7059827.9140629033</v>
      </c>
      <c r="C56" s="56">
        <f t="shared" si="15"/>
        <v>10873.318397566789</v>
      </c>
      <c r="D56" s="56">
        <f t="shared" si="19"/>
        <v>29415.949641928764</v>
      </c>
      <c r="E56" s="56">
        <f t="shared" si="16"/>
        <v>40289.268039495553</v>
      </c>
      <c r="F56" s="56">
        <f t="shared" si="17"/>
        <v>7048954.5956653366</v>
      </c>
    </row>
    <row r="57" spans="1:7">
      <c r="A57" t="s">
        <v>80</v>
      </c>
      <c r="B57" s="56">
        <f t="shared" si="18"/>
        <v>7048954.5956653366</v>
      </c>
      <c r="C57" s="56">
        <f t="shared" si="15"/>
        <v>10918.623890889983</v>
      </c>
      <c r="D57" s="56">
        <f t="shared" si="19"/>
        <v>29370.64414860557</v>
      </c>
      <c r="E57" s="56">
        <f t="shared" si="16"/>
        <v>40289.268039495553</v>
      </c>
      <c r="F57" s="56">
        <f t="shared" si="17"/>
        <v>7038035.9717744468</v>
      </c>
    </row>
    <row r="58" spans="1:7">
      <c r="A58" t="s">
        <v>81</v>
      </c>
      <c r="B58" s="56">
        <f t="shared" si="18"/>
        <v>7038035.9717744468</v>
      </c>
      <c r="C58" s="56">
        <f t="shared" si="15"/>
        <v>10964.118157102024</v>
      </c>
      <c r="D58" s="56">
        <f t="shared" si="19"/>
        <v>29325.149882393529</v>
      </c>
      <c r="E58" s="56">
        <f t="shared" si="16"/>
        <v>40289.268039495553</v>
      </c>
      <c r="F58" s="57">
        <f t="shared" si="17"/>
        <v>7027071.853617345</v>
      </c>
      <c r="G58" t="s">
        <v>67</v>
      </c>
    </row>
    <row r="59" spans="1:7">
      <c r="A59" s="58" t="s">
        <v>68</v>
      </c>
      <c r="B59" s="60"/>
      <c r="C59" s="57">
        <f>SUM(C47:C58)</f>
        <v>128607.94118394262</v>
      </c>
      <c r="D59" s="57">
        <f>SUM(D47:D58)</f>
        <v>354863.27529000404</v>
      </c>
      <c r="E59" s="56" t="s">
        <v>69</v>
      </c>
    </row>
    <row r="61" spans="1:7">
      <c r="A61" s="64">
        <v>2016</v>
      </c>
    </row>
    <row r="62" spans="1:7">
      <c r="A62" t="s">
        <v>70</v>
      </c>
      <c r="B62" s="61">
        <f>+F58</f>
        <v>7027071.853617345</v>
      </c>
      <c r="C62" s="35">
        <f>+E62-D62</f>
        <v>11009.801982756613</v>
      </c>
      <c r="D62" s="59">
        <f>+B62*$I$2/12</f>
        <v>29279.46605673894</v>
      </c>
      <c r="E62" s="35">
        <f>$I$4</f>
        <v>40289.268039495553</v>
      </c>
      <c r="F62" s="35">
        <f>+B62-C62</f>
        <v>7016062.0516345883</v>
      </c>
    </row>
    <row r="63" spans="1:7">
      <c r="A63" t="s">
        <v>71</v>
      </c>
      <c r="B63" s="35">
        <f t="shared" ref="B63:B73" si="20">F62</f>
        <v>7016062.0516345883</v>
      </c>
      <c r="C63" s="35">
        <f t="shared" ref="C63:C73" si="21">+E63-D63</f>
        <v>11055.676157684768</v>
      </c>
      <c r="D63" s="59">
        <f>+B63*$I$2/12</f>
        <v>29233.591881810786</v>
      </c>
      <c r="E63" s="35">
        <f t="shared" ref="E63:E73" si="22">$I$4</f>
        <v>40289.268039495553</v>
      </c>
      <c r="F63" s="35">
        <f t="shared" ref="F63:F73" si="23">+B63-C63</f>
        <v>7005006.3754769033</v>
      </c>
    </row>
    <row r="64" spans="1:7">
      <c r="A64" t="s">
        <v>72</v>
      </c>
      <c r="B64" s="35">
        <f t="shared" si="20"/>
        <v>7005006.3754769033</v>
      </c>
      <c r="C64" s="35">
        <f t="shared" si="21"/>
        <v>11101.741475008454</v>
      </c>
      <c r="D64" s="59">
        <f t="shared" ref="D64:D73" si="24">+B64*$I$2/12</f>
        <v>29187.5265644871</v>
      </c>
      <c r="E64" s="35">
        <f t="shared" si="22"/>
        <v>40289.268039495553</v>
      </c>
      <c r="F64" s="35">
        <f t="shared" si="23"/>
        <v>6993904.6340018949</v>
      </c>
    </row>
    <row r="65" spans="1:7">
      <c r="A65" t="s">
        <v>73</v>
      </c>
      <c r="B65" s="35">
        <f t="shared" si="20"/>
        <v>6993904.6340018949</v>
      </c>
      <c r="C65" s="35">
        <f t="shared" si="21"/>
        <v>11147.998731154323</v>
      </c>
      <c r="D65" s="59">
        <f t="shared" si="24"/>
        <v>29141.26930834123</v>
      </c>
      <c r="E65" s="35">
        <f t="shared" si="22"/>
        <v>40289.268039495553</v>
      </c>
      <c r="F65" s="35">
        <f t="shared" si="23"/>
        <v>6982756.6352707408</v>
      </c>
    </row>
    <row r="66" spans="1:7">
      <c r="A66" t="s">
        <v>74</v>
      </c>
      <c r="B66" s="35">
        <f t="shared" si="20"/>
        <v>6982756.6352707408</v>
      </c>
      <c r="C66" s="35">
        <f t="shared" si="21"/>
        <v>11194.448725867464</v>
      </c>
      <c r="D66" s="59">
        <f t="shared" si="24"/>
        <v>29094.81931362809</v>
      </c>
      <c r="E66" s="35">
        <f t="shared" si="22"/>
        <v>40289.268039495553</v>
      </c>
      <c r="F66" s="35">
        <f t="shared" si="23"/>
        <v>6971562.1865448738</v>
      </c>
    </row>
    <row r="67" spans="1:7">
      <c r="A67" t="s">
        <v>75</v>
      </c>
      <c r="B67" s="35">
        <f t="shared" si="20"/>
        <v>6971562.1865448738</v>
      </c>
      <c r="C67" s="35">
        <f t="shared" si="21"/>
        <v>11241.092262225244</v>
      </c>
      <c r="D67" s="59">
        <f t="shared" si="24"/>
        <v>29048.175777270309</v>
      </c>
      <c r="E67" s="35">
        <f t="shared" si="22"/>
        <v>40289.268039495553</v>
      </c>
      <c r="F67" s="35">
        <f t="shared" si="23"/>
        <v>6960321.0942826485</v>
      </c>
    </row>
    <row r="68" spans="1:7">
      <c r="A68" t="s">
        <v>76</v>
      </c>
      <c r="B68" s="35">
        <f t="shared" si="20"/>
        <v>6960321.0942826485</v>
      </c>
      <c r="C68" s="35">
        <f t="shared" si="21"/>
        <v>11287.930146651182</v>
      </c>
      <c r="D68" s="59">
        <f t="shared" si="24"/>
        <v>29001.337892844371</v>
      </c>
      <c r="E68" s="35">
        <f t="shared" si="22"/>
        <v>40289.268039495553</v>
      </c>
      <c r="F68" s="35">
        <f t="shared" si="23"/>
        <v>6949033.1641359972</v>
      </c>
    </row>
    <row r="69" spans="1:7">
      <c r="A69" t="s">
        <v>77</v>
      </c>
      <c r="B69" s="35">
        <f t="shared" si="20"/>
        <v>6949033.1641359972</v>
      </c>
      <c r="C69" s="35">
        <f t="shared" si="21"/>
        <v>11334.963188928898</v>
      </c>
      <c r="D69" s="59">
        <f t="shared" si="24"/>
        <v>28954.304850566656</v>
      </c>
      <c r="E69" s="35">
        <f t="shared" si="22"/>
        <v>40289.268039495553</v>
      </c>
      <c r="F69" s="35">
        <f t="shared" si="23"/>
        <v>6937698.2009470686</v>
      </c>
    </row>
    <row r="70" spans="1:7">
      <c r="A70" t="s">
        <v>78</v>
      </c>
      <c r="B70" s="35">
        <f t="shared" si="20"/>
        <v>6937698.2009470686</v>
      </c>
      <c r="C70" s="35">
        <f t="shared" si="21"/>
        <v>11382.192202216098</v>
      </c>
      <c r="D70" s="59">
        <f t="shared" si="24"/>
        <v>28907.075837279455</v>
      </c>
      <c r="E70" s="35">
        <f t="shared" si="22"/>
        <v>40289.268039495553</v>
      </c>
      <c r="F70" s="35">
        <f t="shared" si="23"/>
        <v>6926316.0087448526</v>
      </c>
    </row>
    <row r="71" spans="1:7">
      <c r="A71" t="s">
        <v>79</v>
      </c>
      <c r="B71" s="35">
        <f t="shared" si="20"/>
        <v>6926316.0087448526</v>
      </c>
      <c r="C71" s="35">
        <f t="shared" si="21"/>
        <v>11429.618003058666</v>
      </c>
      <c r="D71" s="59">
        <f t="shared" si="24"/>
        <v>28859.650036436888</v>
      </c>
      <c r="E71" s="35">
        <f t="shared" si="22"/>
        <v>40289.268039495553</v>
      </c>
      <c r="F71" s="35">
        <f t="shared" si="23"/>
        <v>6914886.3907417944</v>
      </c>
    </row>
    <row r="72" spans="1:7">
      <c r="A72" t="s">
        <v>80</v>
      </c>
      <c r="B72" s="35">
        <f t="shared" si="20"/>
        <v>6914886.3907417944</v>
      </c>
      <c r="C72" s="35">
        <f t="shared" si="21"/>
        <v>11477.241411404742</v>
      </c>
      <c r="D72" s="59">
        <f t="shared" si="24"/>
        <v>28812.026628090811</v>
      </c>
      <c r="E72" s="35">
        <f t="shared" si="22"/>
        <v>40289.268039495553</v>
      </c>
      <c r="F72" s="35">
        <f t="shared" si="23"/>
        <v>6903409.1493303897</v>
      </c>
    </row>
    <row r="73" spans="1:7">
      <c r="A73" t="s">
        <v>81</v>
      </c>
      <c r="B73" s="35">
        <f t="shared" si="20"/>
        <v>6903409.1493303897</v>
      </c>
      <c r="C73" s="35">
        <f t="shared" si="21"/>
        <v>11525.063250618929</v>
      </c>
      <c r="D73" s="59">
        <f t="shared" si="24"/>
        <v>28764.204788876625</v>
      </c>
      <c r="E73" s="35">
        <f t="shared" si="22"/>
        <v>40289.268039495553</v>
      </c>
      <c r="F73" s="62">
        <f t="shared" si="23"/>
        <v>6891884.0860797707</v>
      </c>
      <c r="G73" t="s">
        <v>67</v>
      </c>
    </row>
    <row r="74" spans="1:7">
      <c r="A74" s="58" t="s">
        <v>68</v>
      </c>
      <c r="C74" s="62">
        <f>SUM(C62:C73)</f>
        <v>135187.76753757539</v>
      </c>
      <c r="D74" s="63">
        <f>SUM(D62:D73)</f>
        <v>348283.44893637131</v>
      </c>
      <c r="E74" s="56" t="s">
        <v>69</v>
      </c>
    </row>
    <row r="75" spans="1:7">
      <c r="C75" s="62"/>
      <c r="D75" s="63"/>
      <c r="E75" s="56"/>
    </row>
    <row r="76" spans="1:7">
      <c r="A76" s="64">
        <v>2017</v>
      </c>
    </row>
    <row r="77" spans="1:7">
      <c r="A77" t="s">
        <v>70</v>
      </c>
      <c r="B77" s="61">
        <f>+F73</f>
        <v>6891884.0860797707</v>
      </c>
      <c r="C77" s="35">
        <f>+E77-D77</f>
        <v>11573.084347496508</v>
      </c>
      <c r="D77" s="59">
        <f>+B77*$I$2/12</f>
        <v>28716.183691999046</v>
      </c>
      <c r="E77" s="35">
        <f>$I$4</f>
        <v>40289.268039495553</v>
      </c>
      <c r="F77" s="35">
        <f>+B77-C77</f>
        <v>6880311.001732274</v>
      </c>
    </row>
    <row r="78" spans="1:7">
      <c r="A78" t="s">
        <v>71</v>
      </c>
      <c r="B78" s="35">
        <f t="shared" ref="B78:B88" si="25">F77</f>
        <v>6880311.001732274</v>
      </c>
      <c r="C78" s="35">
        <f t="shared" ref="C78:C88" si="26">+E78-D78</f>
        <v>11621.30553227774</v>
      </c>
      <c r="D78" s="59">
        <f>+B78*$I$2/12</f>
        <v>28667.962507217813</v>
      </c>
      <c r="E78" s="35">
        <f t="shared" ref="E78:E88" si="27">$I$4</f>
        <v>40289.268039495553</v>
      </c>
      <c r="F78" s="35">
        <f t="shared" ref="F78:F88" si="28">+B78-C78</f>
        <v>6868689.6961999964</v>
      </c>
    </row>
    <row r="79" spans="1:7">
      <c r="A79" t="s">
        <v>72</v>
      </c>
      <c r="B79" s="35">
        <f t="shared" si="25"/>
        <v>6868689.6961999964</v>
      </c>
      <c r="C79" s="35">
        <f t="shared" si="26"/>
        <v>11669.727638662236</v>
      </c>
      <c r="D79" s="59">
        <f t="shared" ref="D79:D88" si="29">+B79*$I$2/12</f>
        <v>28619.540400833317</v>
      </c>
      <c r="E79" s="35">
        <f t="shared" si="27"/>
        <v>40289.268039495553</v>
      </c>
      <c r="F79" s="35">
        <f t="shared" si="28"/>
        <v>6857019.9685613345</v>
      </c>
    </row>
    <row r="80" spans="1:7">
      <c r="A80" t="s">
        <v>73</v>
      </c>
      <c r="B80" s="35">
        <f t="shared" si="25"/>
        <v>6857019.9685613345</v>
      </c>
      <c r="C80" s="35">
        <f t="shared" si="26"/>
        <v>11718.351503823327</v>
      </c>
      <c r="D80" s="59">
        <f t="shared" si="29"/>
        <v>28570.916535672226</v>
      </c>
      <c r="E80" s="35">
        <f t="shared" si="27"/>
        <v>40289.268039495553</v>
      </c>
      <c r="F80" s="35">
        <f t="shared" si="28"/>
        <v>6845301.6170575116</v>
      </c>
    </row>
    <row r="81" spans="1:7">
      <c r="A81" t="s">
        <v>74</v>
      </c>
      <c r="B81" s="35">
        <f t="shared" si="25"/>
        <v>6845301.6170575116</v>
      </c>
      <c r="C81" s="35">
        <f t="shared" si="26"/>
        <v>11767.177968422588</v>
      </c>
      <c r="D81" s="59">
        <f t="shared" si="29"/>
        <v>28522.090071072966</v>
      </c>
      <c r="E81" s="35">
        <f t="shared" si="27"/>
        <v>40289.268039495553</v>
      </c>
      <c r="F81" s="35">
        <f t="shared" si="28"/>
        <v>6833534.4390890887</v>
      </c>
    </row>
    <row r="82" spans="1:7">
      <c r="A82" t="s">
        <v>75</v>
      </c>
      <c r="B82" s="35">
        <f t="shared" si="25"/>
        <v>6833534.4390890887</v>
      </c>
      <c r="C82" s="35">
        <f t="shared" si="26"/>
        <v>11816.20787662435</v>
      </c>
      <c r="D82" s="59">
        <f t="shared" si="29"/>
        <v>28473.060162871203</v>
      </c>
      <c r="E82" s="35">
        <f t="shared" si="27"/>
        <v>40289.268039495553</v>
      </c>
      <c r="F82" s="35">
        <f t="shared" si="28"/>
        <v>6821718.2312124642</v>
      </c>
    </row>
    <row r="83" spans="1:7">
      <c r="A83" t="s">
        <v>76</v>
      </c>
      <c r="B83" s="35">
        <f t="shared" si="25"/>
        <v>6821718.2312124642</v>
      </c>
      <c r="C83" s="35">
        <f t="shared" si="26"/>
        <v>11865.442076110285</v>
      </c>
      <c r="D83" s="59">
        <f t="shared" si="29"/>
        <v>28423.825963385269</v>
      </c>
      <c r="E83" s="35">
        <f t="shared" si="27"/>
        <v>40289.268039495553</v>
      </c>
      <c r="F83" s="35">
        <f t="shared" si="28"/>
        <v>6809852.7891363539</v>
      </c>
    </row>
    <row r="84" spans="1:7">
      <c r="A84" t="s">
        <v>77</v>
      </c>
      <c r="B84" s="35">
        <f t="shared" si="25"/>
        <v>6809852.7891363539</v>
      </c>
      <c r="C84" s="35">
        <f t="shared" si="26"/>
        <v>11914.881418094079</v>
      </c>
      <c r="D84" s="59">
        <f t="shared" si="29"/>
        <v>28374.386621401474</v>
      </c>
      <c r="E84" s="35">
        <f t="shared" si="27"/>
        <v>40289.268039495553</v>
      </c>
      <c r="F84" s="35">
        <f t="shared" si="28"/>
        <v>6797937.9077182598</v>
      </c>
    </row>
    <row r="85" spans="1:7">
      <c r="A85" t="s">
        <v>78</v>
      </c>
      <c r="B85" s="35">
        <f t="shared" si="25"/>
        <v>6797937.9077182598</v>
      </c>
      <c r="C85" s="35">
        <f t="shared" si="26"/>
        <v>11964.526757336134</v>
      </c>
      <c r="D85" s="59">
        <f t="shared" si="29"/>
        <v>28324.741282159419</v>
      </c>
      <c r="E85" s="35">
        <f t="shared" si="27"/>
        <v>40289.268039495553</v>
      </c>
      <c r="F85" s="35">
        <f t="shared" si="28"/>
        <v>6785973.3809609236</v>
      </c>
    </row>
    <row r="86" spans="1:7">
      <c r="A86" t="s">
        <v>79</v>
      </c>
      <c r="B86" s="35">
        <f t="shared" si="25"/>
        <v>6785973.3809609236</v>
      </c>
      <c r="C86" s="35">
        <f t="shared" si="26"/>
        <v>12014.378952158368</v>
      </c>
      <c r="D86" s="59">
        <f t="shared" si="29"/>
        <v>28274.889087337186</v>
      </c>
      <c r="E86" s="35">
        <f t="shared" si="27"/>
        <v>40289.268039495553</v>
      </c>
      <c r="F86" s="35">
        <f t="shared" si="28"/>
        <v>6773959.002008765</v>
      </c>
    </row>
    <row r="87" spans="1:7">
      <c r="A87" t="s">
        <v>80</v>
      </c>
      <c r="B87" s="35">
        <f t="shared" si="25"/>
        <v>6773959.002008765</v>
      </c>
      <c r="C87" s="35">
        <f t="shared" si="26"/>
        <v>12064.438864459033</v>
      </c>
      <c r="D87" s="59">
        <f t="shared" si="29"/>
        <v>28224.829175036521</v>
      </c>
      <c r="E87" s="35">
        <f t="shared" si="27"/>
        <v>40289.268039495553</v>
      </c>
      <c r="F87" s="35">
        <f t="shared" si="28"/>
        <v>6761894.5631443057</v>
      </c>
    </row>
    <row r="88" spans="1:7">
      <c r="A88" t="s">
        <v>81</v>
      </c>
      <c r="B88" s="35">
        <f t="shared" si="25"/>
        <v>6761894.5631443057</v>
      </c>
      <c r="C88" s="35">
        <f t="shared" si="26"/>
        <v>12114.707359727614</v>
      </c>
      <c r="D88" s="59">
        <f t="shared" si="29"/>
        <v>28174.560679767939</v>
      </c>
      <c r="E88" s="35">
        <f t="shared" si="27"/>
        <v>40289.268039495553</v>
      </c>
      <c r="F88" s="62">
        <f t="shared" si="28"/>
        <v>6749779.8557845782</v>
      </c>
      <c r="G88" t="s">
        <v>67</v>
      </c>
    </row>
    <row r="89" spans="1:7">
      <c r="A89" s="58" t="s">
        <v>68</v>
      </c>
      <c r="C89" s="62">
        <f>SUM(C77:C88)</f>
        <v>142104.23029519228</v>
      </c>
      <c r="D89" s="63">
        <f>SUM(D77:D88)</f>
        <v>341366.98617875436</v>
      </c>
      <c r="E89" s="56" t="s">
        <v>69</v>
      </c>
    </row>
    <row r="91" spans="1:7">
      <c r="A91" s="64">
        <v>2018</v>
      </c>
    </row>
    <row r="92" spans="1:7">
      <c r="A92" t="s">
        <v>70</v>
      </c>
      <c r="B92" s="61">
        <f>+F88</f>
        <v>6749779.8557845782</v>
      </c>
      <c r="C92" s="35">
        <f>+E92-D92</f>
        <v>12165.185307059812</v>
      </c>
      <c r="D92" s="59">
        <f>+B92*$I$2/12</f>
        <v>28124.082732435741</v>
      </c>
      <c r="E92" s="35">
        <f>$I$4</f>
        <v>40289.268039495553</v>
      </c>
      <c r="F92" s="35">
        <f>+B92-C92</f>
        <v>6737614.6704775188</v>
      </c>
    </row>
    <row r="93" spans="1:7">
      <c r="A93" t="s">
        <v>71</v>
      </c>
      <c r="B93" s="35">
        <f t="shared" ref="B93:B103" si="30">F92</f>
        <v>6737614.6704775188</v>
      </c>
      <c r="C93" s="35">
        <f t="shared" ref="C93:C103" si="31">+E93-D93</f>
        <v>12215.873579172559</v>
      </c>
      <c r="D93" s="59">
        <f>+B93*$I$2/12</f>
        <v>28073.394460322994</v>
      </c>
      <c r="E93" s="35">
        <f t="shared" ref="E93:E103" si="32">$I$4</f>
        <v>40289.268039495553</v>
      </c>
      <c r="F93" s="35">
        <f t="shared" ref="F93:F103" si="33">+B93-C93</f>
        <v>6725398.7968983464</v>
      </c>
    </row>
    <row r="94" spans="1:7">
      <c r="A94" t="s">
        <v>72</v>
      </c>
      <c r="B94" s="35">
        <f t="shared" si="30"/>
        <v>6725398.7968983464</v>
      </c>
      <c r="C94" s="35">
        <f t="shared" si="31"/>
        <v>12266.77305241911</v>
      </c>
      <c r="D94" s="59">
        <f t="shared" ref="D94:D103" si="34">+B94*$I$2/12</f>
        <v>28022.494987076443</v>
      </c>
      <c r="E94" s="35">
        <f t="shared" si="32"/>
        <v>40289.268039495553</v>
      </c>
      <c r="F94" s="35">
        <f t="shared" si="33"/>
        <v>6713132.0238459269</v>
      </c>
    </row>
    <row r="95" spans="1:7">
      <c r="A95" t="s">
        <v>73</v>
      </c>
      <c r="B95" s="35">
        <f t="shared" si="30"/>
        <v>6713132.0238459269</v>
      </c>
      <c r="C95" s="35">
        <f t="shared" si="31"/>
        <v>12317.884606804189</v>
      </c>
      <c r="D95" s="59">
        <f t="shared" si="34"/>
        <v>27971.383432691364</v>
      </c>
      <c r="E95" s="35">
        <f t="shared" si="32"/>
        <v>40289.268039495553</v>
      </c>
      <c r="F95" s="35">
        <f t="shared" si="33"/>
        <v>6700814.1392391231</v>
      </c>
    </row>
    <row r="96" spans="1:7">
      <c r="A96" t="s">
        <v>74</v>
      </c>
      <c r="B96" s="35">
        <f t="shared" si="30"/>
        <v>6700814.1392391231</v>
      </c>
      <c r="C96" s="35">
        <f t="shared" si="31"/>
        <v>12369.209125999205</v>
      </c>
      <c r="D96" s="59">
        <f t="shared" si="34"/>
        <v>27920.058913496348</v>
      </c>
      <c r="E96" s="35">
        <f t="shared" si="32"/>
        <v>40289.268039495553</v>
      </c>
      <c r="F96" s="35">
        <f t="shared" si="33"/>
        <v>6688444.9301131237</v>
      </c>
    </row>
    <row r="97" spans="1:7">
      <c r="A97" t="s">
        <v>75</v>
      </c>
      <c r="B97" s="35">
        <f t="shared" si="30"/>
        <v>6688444.9301131237</v>
      </c>
      <c r="C97" s="35">
        <f t="shared" si="31"/>
        <v>12420.747497357534</v>
      </c>
      <c r="D97" s="59">
        <f t="shared" si="34"/>
        <v>27868.52054213802</v>
      </c>
      <c r="E97" s="35">
        <f t="shared" si="32"/>
        <v>40289.268039495553</v>
      </c>
      <c r="F97" s="35">
        <f t="shared" si="33"/>
        <v>6676024.1826157663</v>
      </c>
    </row>
    <row r="98" spans="1:7">
      <c r="A98" t="s">
        <v>76</v>
      </c>
      <c r="B98" s="35">
        <f t="shared" si="30"/>
        <v>6676024.1826157663</v>
      </c>
      <c r="C98" s="35">
        <f t="shared" si="31"/>
        <v>12472.50061192986</v>
      </c>
      <c r="D98" s="59">
        <f t="shared" si="34"/>
        <v>27816.767427565694</v>
      </c>
      <c r="E98" s="35">
        <f t="shared" si="32"/>
        <v>40289.268039495553</v>
      </c>
      <c r="F98" s="35">
        <f t="shared" si="33"/>
        <v>6663551.6820038361</v>
      </c>
    </row>
    <row r="99" spans="1:7">
      <c r="A99" t="s">
        <v>77</v>
      </c>
      <c r="B99" s="35">
        <f t="shared" si="30"/>
        <v>6663551.6820038361</v>
      </c>
      <c r="C99" s="35">
        <f t="shared" si="31"/>
        <v>12524.469364479566</v>
      </c>
      <c r="D99" s="59">
        <f t="shared" si="34"/>
        <v>27764.798675015987</v>
      </c>
      <c r="E99" s="35">
        <f t="shared" si="32"/>
        <v>40289.268039495553</v>
      </c>
      <c r="F99" s="35">
        <f t="shared" si="33"/>
        <v>6651027.212639357</v>
      </c>
    </row>
    <row r="100" spans="1:7">
      <c r="A100" t="s">
        <v>78</v>
      </c>
      <c r="B100" s="35">
        <f t="shared" si="30"/>
        <v>6651027.212639357</v>
      </c>
      <c r="C100" s="35">
        <f t="shared" si="31"/>
        <v>12576.65465349823</v>
      </c>
      <c r="D100" s="59">
        <f t="shared" si="34"/>
        <v>27712.613385997323</v>
      </c>
      <c r="E100" s="35">
        <f t="shared" si="32"/>
        <v>40289.268039495553</v>
      </c>
      <c r="F100" s="35">
        <f t="shared" si="33"/>
        <v>6638450.557985859</v>
      </c>
    </row>
    <row r="101" spans="1:7">
      <c r="A101" t="s">
        <v>79</v>
      </c>
      <c r="B101" s="35">
        <f t="shared" si="30"/>
        <v>6638450.557985859</v>
      </c>
      <c r="C101" s="35">
        <f t="shared" si="31"/>
        <v>12629.057381221137</v>
      </c>
      <c r="D101" s="59">
        <f t="shared" si="34"/>
        <v>27660.210658274416</v>
      </c>
      <c r="E101" s="35">
        <f t="shared" si="32"/>
        <v>40289.268039495553</v>
      </c>
      <c r="F101" s="35">
        <f t="shared" si="33"/>
        <v>6625821.5006046379</v>
      </c>
    </row>
    <row r="102" spans="1:7">
      <c r="A102" t="s">
        <v>80</v>
      </c>
      <c r="B102" s="35">
        <f t="shared" si="30"/>
        <v>6625821.5006046379</v>
      </c>
      <c r="C102" s="35">
        <f t="shared" si="31"/>
        <v>12681.678453642893</v>
      </c>
      <c r="D102" s="59">
        <f t="shared" si="34"/>
        <v>27607.58958585266</v>
      </c>
      <c r="E102" s="35">
        <f t="shared" si="32"/>
        <v>40289.268039495553</v>
      </c>
      <c r="F102" s="35">
        <f t="shared" si="33"/>
        <v>6613139.822150995</v>
      </c>
    </row>
    <row r="103" spans="1:7">
      <c r="A103" t="s">
        <v>81</v>
      </c>
      <c r="B103" s="35">
        <f t="shared" si="30"/>
        <v>6613139.822150995</v>
      </c>
      <c r="C103" s="35">
        <f t="shared" si="31"/>
        <v>12734.518780533075</v>
      </c>
      <c r="D103" s="59">
        <f t="shared" si="34"/>
        <v>27554.749258962478</v>
      </c>
      <c r="E103" s="35">
        <f t="shared" si="32"/>
        <v>40289.268039495553</v>
      </c>
      <c r="F103" s="62">
        <f t="shared" si="33"/>
        <v>6600405.3033704618</v>
      </c>
      <c r="G103" t="s">
        <v>67</v>
      </c>
    </row>
    <row r="104" spans="1:7">
      <c r="A104" s="58" t="s">
        <v>68</v>
      </c>
      <c r="C104" s="62">
        <f>SUM(C92:C103)</f>
        <v>149374.55241411718</v>
      </c>
      <c r="D104" s="63">
        <f>SUM(D92:D103)</f>
        <v>334096.66405982943</v>
      </c>
      <c r="E104" s="56" t="s">
        <v>69</v>
      </c>
    </row>
    <row r="106" spans="1:7">
      <c r="A106" s="64">
        <v>2019</v>
      </c>
    </row>
    <row r="107" spans="1:7">
      <c r="A107" t="s">
        <v>70</v>
      </c>
      <c r="B107" s="61">
        <f>+F103</f>
        <v>6600405.3033704618</v>
      </c>
      <c r="C107" s="35">
        <f>+E107-D107</f>
        <v>12787.579275451961</v>
      </c>
      <c r="D107" s="59">
        <f>+B107*$I$2/12</f>
        <v>27501.688764043593</v>
      </c>
      <c r="E107" s="35">
        <f>$I$4</f>
        <v>40289.268039495553</v>
      </c>
      <c r="F107" s="35">
        <f>+B107-C107</f>
        <v>6587617.7240950102</v>
      </c>
    </row>
    <row r="108" spans="1:7">
      <c r="A108" t="s">
        <v>71</v>
      </c>
      <c r="B108" s="35">
        <f t="shared" ref="B108:B118" si="35">F107</f>
        <v>6587617.7240950102</v>
      </c>
      <c r="C108" s="35">
        <f t="shared" ref="C108:C118" si="36">+E108-D108</f>
        <v>12840.860855766343</v>
      </c>
      <c r="D108" s="59">
        <f>+B108*$I$2/12</f>
        <v>27448.40718372921</v>
      </c>
      <c r="E108" s="35">
        <f t="shared" ref="E108:E118" si="37">$I$4</f>
        <v>40289.268039495553</v>
      </c>
      <c r="F108" s="35">
        <f t="shared" ref="F108:F118" si="38">+B108-C108</f>
        <v>6574776.8632392436</v>
      </c>
    </row>
    <row r="109" spans="1:7">
      <c r="A109" t="s">
        <v>72</v>
      </c>
      <c r="B109" s="35">
        <f t="shared" si="35"/>
        <v>6574776.8632392436</v>
      </c>
      <c r="C109" s="35">
        <f t="shared" si="36"/>
        <v>12894.364442665366</v>
      </c>
      <c r="D109" s="59">
        <f t="shared" ref="D109:D118" si="39">+B109*$I$2/12</f>
        <v>27394.903596830187</v>
      </c>
      <c r="E109" s="35">
        <f t="shared" si="37"/>
        <v>40289.268039495553</v>
      </c>
      <c r="F109" s="35">
        <f t="shared" si="38"/>
        <v>6561882.4987965785</v>
      </c>
    </row>
    <row r="110" spans="1:7">
      <c r="A110" t="s">
        <v>73</v>
      </c>
      <c r="B110" s="35">
        <f t="shared" si="35"/>
        <v>6561882.4987965785</v>
      </c>
      <c r="C110" s="35">
        <f t="shared" si="36"/>
        <v>12948.090961176476</v>
      </c>
      <c r="D110" s="59">
        <f t="shared" si="39"/>
        <v>27341.177078319077</v>
      </c>
      <c r="E110" s="35">
        <f t="shared" si="37"/>
        <v>40289.268039495553</v>
      </c>
      <c r="F110" s="35">
        <f t="shared" si="38"/>
        <v>6548934.4078354016</v>
      </c>
    </row>
    <row r="111" spans="1:7">
      <c r="A111" t="s">
        <v>74</v>
      </c>
      <c r="B111" s="35">
        <f t="shared" si="35"/>
        <v>6548934.4078354016</v>
      </c>
      <c r="C111" s="35">
        <f t="shared" si="36"/>
        <v>13002.041340181375</v>
      </c>
      <c r="D111" s="59">
        <f t="shared" si="39"/>
        <v>27287.226699314178</v>
      </c>
      <c r="E111" s="35">
        <f t="shared" si="37"/>
        <v>40289.268039495553</v>
      </c>
      <c r="F111" s="35">
        <f t="shared" si="38"/>
        <v>6535932.36649522</v>
      </c>
    </row>
    <row r="112" spans="1:7">
      <c r="A112" t="s">
        <v>75</v>
      </c>
      <c r="B112" s="35">
        <f t="shared" si="35"/>
        <v>6535932.36649522</v>
      </c>
      <c r="C112" s="35">
        <f t="shared" si="36"/>
        <v>13056.216512432133</v>
      </c>
      <c r="D112" s="59">
        <f t="shared" si="39"/>
        <v>27233.051527063421</v>
      </c>
      <c r="E112" s="35">
        <f t="shared" si="37"/>
        <v>40289.268039495553</v>
      </c>
      <c r="F112" s="35">
        <f t="shared" si="38"/>
        <v>6522876.1499827877</v>
      </c>
    </row>
    <row r="113" spans="1:7">
      <c r="A113" t="s">
        <v>76</v>
      </c>
      <c r="B113" s="35">
        <f t="shared" si="35"/>
        <v>6522876.1499827877</v>
      </c>
      <c r="C113" s="35">
        <f t="shared" si="36"/>
        <v>13110.61741456727</v>
      </c>
      <c r="D113" s="59">
        <f t="shared" si="39"/>
        <v>27178.650624928283</v>
      </c>
      <c r="E113" s="35">
        <f t="shared" si="37"/>
        <v>40289.268039495553</v>
      </c>
      <c r="F113" s="35">
        <f t="shared" si="38"/>
        <v>6509765.53256822</v>
      </c>
    </row>
    <row r="114" spans="1:7">
      <c r="A114" t="s">
        <v>77</v>
      </c>
      <c r="B114" s="35">
        <f t="shared" si="35"/>
        <v>6509765.53256822</v>
      </c>
      <c r="C114" s="35">
        <f t="shared" si="36"/>
        <v>13165.244987127968</v>
      </c>
      <c r="D114" s="59">
        <f t="shared" si="39"/>
        <v>27124.023052367585</v>
      </c>
      <c r="E114" s="35">
        <f t="shared" si="37"/>
        <v>40289.268039495553</v>
      </c>
      <c r="F114" s="35">
        <f t="shared" si="38"/>
        <v>6496600.2875810917</v>
      </c>
    </row>
    <row r="115" spans="1:7">
      <c r="A115" t="s">
        <v>78</v>
      </c>
      <c r="B115" s="35">
        <f t="shared" si="35"/>
        <v>6496600.2875810917</v>
      </c>
      <c r="C115" s="35">
        <f t="shared" si="36"/>
        <v>13220.100174574338</v>
      </c>
      <c r="D115" s="59">
        <f t="shared" si="39"/>
        <v>27069.167864921215</v>
      </c>
      <c r="E115" s="35">
        <f t="shared" si="37"/>
        <v>40289.268039495553</v>
      </c>
      <c r="F115" s="35">
        <f t="shared" si="38"/>
        <v>6483380.1874065176</v>
      </c>
    </row>
    <row r="116" spans="1:7">
      <c r="A116" t="s">
        <v>79</v>
      </c>
      <c r="B116" s="35">
        <f t="shared" si="35"/>
        <v>6483380.1874065176</v>
      </c>
      <c r="C116" s="35">
        <f t="shared" si="36"/>
        <v>13275.183925301728</v>
      </c>
      <c r="D116" s="59">
        <f t="shared" si="39"/>
        <v>27014.084114193825</v>
      </c>
      <c r="E116" s="35">
        <f t="shared" si="37"/>
        <v>40289.268039495553</v>
      </c>
      <c r="F116" s="35">
        <f t="shared" si="38"/>
        <v>6470105.0034812158</v>
      </c>
    </row>
    <row r="117" spans="1:7">
      <c r="A117" t="s">
        <v>80</v>
      </c>
      <c r="B117" s="35">
        <f t="shared" si="35"/>
        <v>6470105.0034812158</v>
      </c>
      <c r="C117" s="35">
        <f t="shared" si="36"/>
        <v>13330.497191657152</v>
      </c>
      <c r="D117" s="59">
        <f t="shared" si="39"/>
        <v>26958.770847838401</v>
      </c>
      <c r="E117" s="35">
        <f t="shared" si="37"/>
        <v>40289.268039495553</v>
      </c>
      <c r="F117" s="35">
        <f t="shared" si="38"/>
        <v>6456774.5062895585</v>
      </c>
    </row>
    <row r="118" spans="1:7">
      <c r="A118" t="s">
        <v>81</v>
      </c>
      <c r="B118" s="35">
        <f t="shared" si="35"/>
        <v>6456774.5062895585</v>
      </c>
      <c r="C118" s="35">
        <f t="shared" si="36"/>
        <v>13386.040929955725</v>
      </c>
      <c r="D118" s="59">
        <f t="shared" si="39"/>
        <v>26903.227109539828</v>
      </c>
      <c r="E118" s="35">
        <f t="shared" si="37"/>
        <v>40289.268039495553</v>
      </c>
      <c r="F118" s="62">
        <f t="shared" si="38"/>
        <v>6443388.4653596031</v>
      </c>
      <c r="G118" t="s">
        <v>67</v>
      </c>
    </row>
    <row r="119" spans="1:7">
      <c r="A119" s="58" t="s">
        <v>68</v>
      </c>
      <c r="C119" s="62">
        <f>SUM(C107:C118)</f>
        <v>157016.83801085781</v>
      </c>
      <c r="D119" s="63">
        <f>SUM(D107:D118)</f>
        <v>326454.37846308883</v>
      </c>
      <c r="E119" s="56" t="s">
        <v>69</v>
      </c>
    </row>
    <row r="121" spans="1:7">
      <c r="A121" s="64">
        <v>2020</v>
      </c>
    </row>
    <row r="122" spans="1:7">
      <c r="A122" t="s">
        <v>70</v>
      </c>
      <c r="B122" s="61">
        <f>+F118</f>
        <v>6443388.4653596031</v>
      </c>
      <c r="C122" s="35">
        <f>+E122-D122</f>
        <v>13441.816100497206</v>
      </c>
      <c r="D122" s="59">
        <f>+B122*$I$2/12</f>
        <v>26847.451938998347</v>
      </c>
      <c r="E122" s="35">
        <f>$I$4</f>
        <v>40289.268039495553</v>
      </c>
      <c r="F122" s="35">
        <f>+B122-C122</f>
        <v>6429946.6492591063</v>
      </c>
    </row>
    <row r="123" spans="1:7">
      <c r="A123" t="s">
        <v>71</v>
      </c>
      <c r="B123" s="35">
        <f t="shared" ref="B123:B133" si="40">F122</f>
        <v>6429946.6492591063</v>
      </c>
      <c r="C123" s="35">
        <f t="shared" ref="C123:C133" si="41">+E123-D123</f>
        <v>13497.823667582608</v>
      </c>
      <c r="D123" s="59">
        <f>+B123*$I$2/12</f>
        <v>26791.444371912945</v>
      </c>
      <c r="E123" s="35">
        <f t="shared" ref="E123:E133" si="42">$I$4</f>
        <v>40289.268039495553</v>
      </c>
      <c r="F123" s="35">
        <f t="shared" ref="F123:F133" si="43">+B123-C123</f>
        <v>6416448.8255915232</v>
      </c>
    </row>
    <row r="124" spans="1:7">
      <c r="A124" t="s">
        <v>72</v>
      </c>
      <c r="B124" s="35">
        <f t="shared" si="40"/>
        <v>6416448.8255915232</v>
      </c>
      <c r="C124" s="35">
        <f t="shared" si="41"/>
        <v>13554.064599530873</v>
      </c>
      <c r="D124" s="59">
        <f t="shared" ref="D124:D133" si="44">+B124*$I$2/12</f>
        <v>26735.20343996468</v>
      </c>
      <c r="E124" s="35">
        <f t="shared" si="42"/>
        <v>40289.268039495553</v>
      </c>
      <c r="F124" s="35">
        <f t="shared" si="43"/>
        <v>6402894.7609919924</v>
      </c>
    </row>
    <row r="125" spans="1:7">
      <c r="A125" t="s">
        <v>73</v>
      </c>
      <c r="B125" s="35">
        <f t="shared" si="40"/>
        <v>6402894.7609919924</v>
      </c>
      <c r="C125" s="35">
        <f t="shared" si="41"/>
        <v>13610.539868695585</v>
      </c>
      <c r="D125" s="59">
        <f t="shared" si="44"/>
        <v>26678.728170799968</v>
      </c>
      <c r="E125" s="35">
        <f t="shared" si="42"/>
        <v>40289.268039495553</v>
      </c>
      <c r="F125" s="35">
        <f t="shared" si="43"/>
        <v>6389284.2211232968</v>
      </c>
    </row>
    <row r="126" spans="1:7">
      <c r="A126" t="s">
        <v>74</v>
      </c>
      <c r="B126" s="35">
        <f t="shared" si="40"/>
        <v>6389284.2211232968</v>
      </c>
      <c r="C126" s="35">
        <f t="shared" si="41"/>
        <v>13667.250451481814</v>
      </c>
      <c r="D126" s="59">
        <f t="shared" si="44"/>
        <v>26622.017588013739</v>
      </c>
      <c r="E126" s="35">
        <f t="shared" si="42"/>
        <v>40289.268039495553</v>
      </c>
      <c r="F126" s="35">
        <f t="shared" si="43"/>
        <v>6375616.9706718149</v>
      </c>
    </row>
    <row r="127" spans="1:7">
      <c r="A127" t="s">
        <v>75</v>
      </c>
      <c r="B127" s="35">
        <f t="shared" si="40"/>
        <v>6375616.9706718149</v>
      </c>
      <c r="C127" s="35">
        <f t="shared" si="41"/>
        <v>13724.197328362989</v>
      </c>
      <c r="D127" s="59">
        <f t="shared" si="44"/>
        <v>26565.070711132565</v>
      </c>
      <c r="E127" s="35">
        <f t="shared" si="42"/>
        <v>40289.268039495553</v>
      </c>
      <c r="F127" s="35">
        <f t="shared" si="43"/>
        <v>6361892.7733434523</v>
      </c>
    </row>
    <row r="128" spans="1:7">
      <c r="A128" t="s">
        <v>76</v>
      </c>
      <c r="B128" s="35">
        <f t="shared" si="40"/>
        <v>6361892.7733434523</v>
      </c>
      <c r="C128" s="35">
        <f t="shared" si="41"/>
        <v>13781.381483897832</v>
      </c>
      <c r="D128" s="59">
        <f t="shared" si="44"/>
        <v>26507.886555597721</v>
      </c>
      <c r="E128" s="35">
        <f t="shared" si="42"/>
        <v>40289.268039495553</v>
      </c>
      <c r="F128" s="35">
        <f t="shared" si="43"/>
        <v>6348111.3918595547</v>
      </c>
    </row>
    <row r="129" spans="1:7">
      <c r="A129" t="s">
        <v>77</v>
      </c>
      <c r="B129" s="35">
        <f t="shared" si="40"/>
        <v>6348111.3918595547</v>
      </c>
      <c r="C129" s="35">
        <f t="shared" si="41"/>
        <v>13838.803906747406</v>
      </c>
      <c r="D129" s="59">
        <f t="shared" si="44"/>
        <v>26450.464132748148</v>
      </c>
      <c r="E129" s="35">
        <f t="shared" si="42"/>
        <v>40289.268039495553</v>
      </c>
      <c r="F129" s="35">
        <f t="shared" si="43"/>
        <v>6334272.5879528075</v>
      </c>
    </row>
    <row r="130" spans="1:7">
      <c r="A130" t="s">
        <v>78</v>
      </c>
      <c r="B130" s="35">
        <f t="shared" si="40"/>
        <v>6334272.5879528075</v>
      </c>
      <c r="C130" s="35">
        <f t="shared" si="41"/>
        <v>13896.465589692187</v>
      </c>
      <c r="D130" s="59">
        <f t="shared" si="44"/>
        <v>26392.802449803366</v>
      </c>
      <c r="E130" s="35">
        <f t="shared" si="42"/>
        <v>40289.268039495553</v>
      </c>
      <c r="F130" s="35">
        <f t="shared" si="43"/>
        <v>6320376.1223631157</v>
      </c>
    </row>
    <row r="131" spans="1:7">
      <c r="A131" t="s">
        <v>79</v>
      </c>
      <c r="B131" s="35">
        <f t="shared" si="40"/>
        <v>6320376.1223631157</v>
      </c>
      <c r="C131" s="35">
        <f t="shared" si="41"/>
        <v>13954.367529649233</v>
      </c>
      <c r="D131" s="59">
        <f t="shared" si="44"/>
        <v>26334.90050984632</v>
      </c>
      <c r="E131" s="35">
        <f t="shared" si="42"/>
        <v>40289.268039495553</v>
      </c>
      <c r="F131" s="35">
        <f t="shared" si="43"/>
        <v>6306421.7548334664</v>
      </c>
    </row>
    <row r="132" spans="1:7">
      <c r="A132" t="s">
        <v>80</v>
      </c>
      <c r="B132" s="35">
        <f t="shared" si="40"/>
        <v>6306421.7548334664</v>
      </c>
      <c r="C132" s="35">
        <f t="shared" si="41"/>
        <v>14012.510727689441</v>
      </c>
      <c r="D132" s="59">
        <f t="shared" si="44"/>
        <v>26276.757311806112</v>
      </c>
      <c r="E132" s="35">
        <f t="shared" si="42"/>
        <v>40289.268039495553</v>
      </c>
      <c r="F132" s="35">
        <f t="shared" si="43"/>
        <v>6292409.2441057768</v>
      </c>
    </row>
    <row r="133" spans="1:7">
      <c r="A133" t="s">
        <v>81</v>
      </c>
      <c r="B133" s="35">
        <f t="shared" si="40"/>
        <v>6292409.2441057768</v>
      </c>
      <c r="C133" s="35">
        <f t="shared" si="41"/>
        <v>14070.896189054813</v>
      </c>
      <c r="D133" s="59">
        <f t="shared" si="44"/>
        <v>26218.371850440741</v>
      </c>
      <c r="E133" s="35">
        <f t="shared" si="42"/>
        <v>40289.268039495553</v>
      </c>
      <c r="F133" s="62">
        <f t="shared" si="43"/>
        <v>6278338.3479167223</v>
      </c>
      <c r="G133" t="s">
        <v>67</v>
      </c>
    </row>
    <row r="134" spans="1:7">
      <c r="A134" s="58" t="s">
        <v>68</v>
      </c>
      <c r="C134" s="62">
        <f>SUM(C122:C133)</f>
        <v>165050.11744288198</v>
      </c>
      <c r="D134" s="63">
        <f>SUM(D122:D133)</f>
        <v>318421.09903106466</v>
      </c>
      <c r="E134" s="56" t="s">
        <v>69</v>
      </c>
    </row>
    <row r="136" spans="1:7">
      <c r="A136" s="64">
        <v>2021</v>
      </c>
    </row>
    <row r="137" spans="1:7">
      <c r="A137" t="s">
        <v>70</v>
      </c>
      <c r="B137" s="61">
        <f>+F133</f>
        <v>6278338.3479167223</v>
      </c>
      <c r="C137" s="35">
        <f>+E137-D137</f>
        <v>14129.524923175875</v>
      </c>
      <c r="D137" s="59">
        <f>+B137*$I$2/12</f>
        <v>26159.743116319678</v>
      </c>
      <c r="E137" s="35">
        <f>$I$4</f>
        <v>40289.268039495553</v>
      </c>
      <c r="F137" s="35">
        <f>+B137-C137</f>
        <v>6264208.8229935467</v>
      </c>
    </row>
    <row r="138" spans="1:7">
      <c r="A138" t="s">
        <v>71</v>
      </c>
      <c r="B138" s="35">
        <f t="shared" ref="B138:B148" si="45">F137</f>
        <v>6264208.8229935467</v>
      </c>
      <c r="C138" s="35">
        <f t="shared" ref="C138:C148" si="46">+E138-D138</f>
        <v>14188.39794368911</v>
      </c>
      <c r="D138" s="59">
        <f>+B138*$I$2/12</f>
        <v>26100.870095806444</v>
      </c>
      <c r="E138" s="35">
        <f t="shared" ref="E138:E148" si="47">$I$4</f>
        <v>40289.268039495553</v>
      </c>
      <c r="F138" s="35">
        <f t="shared" ref="F138:F148" si="48">+B138-C138</f>
        <v>6250020.4250498572</v>
      </c>
    </row>
    <row r="139" spans="1:7">
      <c r="A139" t="s">
        <v>72</v>
      </c>
      <c r="B139" s="35">
        <f t="shared" si="45"/>
        <v>6250020.4250498572</v>
      </c>
      <c r="C139" s="35">
        <f t="shared" si="46"/>
        <v>14247.516268454481</v>
      </c>
      <c r="D139" s="59">
        <f t="shared" ref="D139:D148" si="49">+B139*$I$2/12</f>
        <v>26041.751771041072</v>
      </c>
      <c r="E139" s="35">
        <f t="shared" si="47"/>
        <v>40289.268039495553</v>
      </c>
      <c r="F139" s="35">
        <f t="shared" si="48"/>
        <v>6235772.9087814027</v>
      </c>
    </row>
    <row r="140" spans="1:7">
      <c r="A140" t="s">
        <v>73</v>
      </c>
      <c r="B140" s="35">
        <f t="shared" si="45"/>
        <v>6235772.9087814027</v>
      </c>
      <c r="C140" s="35">
        <f t="shared" si="46"/>
        <v>14306.880919573043</v>
      </c>
      <c r="D140" s="59">
        <f t="shared" si="49"/>
        <v>25982.38711992251</v>
      </c>
      <c r="E140" s="35">
        <f t="shared" si="47"/>
        <v>40289.268039495553</v>
      </c>
      <c r="F140" s="35">
        <f t="shared" si="48"/>
        <v>6221466.0278618298</v>
      </c>
    </row>
    <row r="141" spans="1:7">
      <c r="A141" t="s">
        <v>74</v>
      </c>
      <c r="B141" s="35">
        <f t="shared" si="45"/>
        <v>6221466.0278618298</v>
      </c>
      <c r="C141" s="35">
        <f t="shared" si="46"/>
        <v>14366.492923404596</v>
      </c>
      <c r="D141" s="59">
        <f t="shared" si="49"/>
        <v>25922.775116090957</v>
      </c>
      <c r="E141" s="35">
        <f t="shared" si="47"/>
        <v>40289.268039495553</v>
      </c>
      <c r="F141" s="35">
        <f t="shared" si="48"/>
        <v>6207099.5349384248</v>
      </c>
    </row>
    <row r="142" spans="1:7">
      <c r="A142" t="s">
        <v>75</v>
      </c>
      <c r="B142" s="35">
        <f t="shared" si="45"/>
        <v>6207099.5349384248</v>
      </c>
      <c r="C142" s="35">
        <f t="shared" si="46"/>
        <v>14426.353310585448</v>
      </c>
      <c r="D142" s="59">
        <f t="shared" si="49"/>
        <v>25862.914728910106</v>
      </c>
      <c r="E142" s="35">
        <f t="shared" si="47"/>
        <v>40289.268039495553</v>
      </c>
      <c r="F142" s="35">
        <f t="shared" si="48"/>
        <v>6192673.1816278398</v>
      </c>
    </row>
    <row r="143" spans="1:7">
      <c r="A143" t="s">
        <v>76</v>
      </c>
      <c r="B143" s="35">
        <f t="shared" si="45"/>
        <v>6192673.1816278398</v>
      </c>
      <c r="C143" s="35">
        <f t="shared" si="46"/>
        <v>14486.46311604622</v>
      </c>
      <c r="D143" s="59">
        <f t="shared" si="49"/>
        <v>25802.804923449334</v>
      </c>
      <c r="E143" s="35">
        <f t="shared" si="47"/>
        <v>40289.268039495553</v>
      </c>
      <c r="F143" s="35">
        <f t="shared" si="48"/>
        <v>6178186.7185117938</v>
      </c>
    </row>
    <row r="144" spans="1:7">
      <c r="A144" t="s">
        <v>77</v>
      </c>
      <c r="B144" s="35">
        <f t="shared" si="45"/>
        <v>6178186.7185117938</v>
      </c>
      <c r="C144" s="35">
        <f t="shared" si="46"/>
        <v>14546.823379029742</v>
      </c>
      <c r="D144" s="59">
        <f t="shared" si="49"/>
        <v>25742.444660465811</v>
      </c>
      <c r="E144" s="35">
        <f t="shared" si="47"/>
        <v>40289.268039495553</v>
      </c>
      <c r="F144" s="35">
        <f t="shared" si="48"/>
        <v>6163639.8951327642</v>
      </c>
    </row>
    <row r="145" spans="1:7">
      <c r="A145" t="s">
        <v>78</v>
      </c>
      <c r="B145" s="35">
        <f t="shared" si="45"/>
        <v>6163639.8951327642</v>
      </c>
      <c r="C145" s="35">
        <f t="shared" si="46"/>
        <v>14607.435143109033</v>
      </c>
      <c r="D145" s="59">
        <f t="shared" si="49"/>
        <v>25681.832896386521</v>
      </c>
      <c r="E145" s="35">
        <f t="shared" si="47"/>
        <v>40289.268039495553</v>
      </c>
      <c r="F145" s="35">
        <f t="shared" si="48"/>
        <v>6149032.4599896548</v>
      </c>
    </row>
    <row r="146" spans="1:7">
      <c r="A146" t="s">
        <v>79</v>
      </c>
      <c r="B146" s="35">
        <f t="shared" si="45"/>
        <v>6149032.4599896548</v>
      </c>
      <c r="C146" s="35">
        <f t="shared" si="46"/>
        <v>14668.299456205325</v>
      </c>
      <c r="D146" s="59">
        <f t="shared" si="49"/>
        <v>25620.968583290229</v>
      </c>
      <c r="E146" s="35">
        <f t="shared" si="47"/>
        <v>40289.268039495553</v>
      </c>
      <c r="F146" s="35">
        <f t="shared" si="48"/>
        <v>6134364.1605334496</v>
      </c>
    </row>
    <row r="147" spans="1:7">
      <c r="A147" t="s">
        <v>80</v>
      </c>
      <c r="B147" s="35">
        <f t="shared" si="45"/>
        <v>6134364.1605334496</v>
      </c>
      <c r="C147" s="35">
        <f t="shared" si="46"/>
        <v>14729.417370606181</v>
      </c>
      <c r="D147" s="59">
        <f t="shared" si="49"/>
        <v>25559.850668889372</v>
      </c>
      <c r="E147" s="35">
        <f t="shared" si="47"/>
        <v>40289.268039495553</v>
      </c>
      <c r="F147" s="35">
        <f t="shared" si="48"/>
        <v>6119634.7431628434</v>
      </c>
    </row>
    <row r="148" spans="1:7">
      <c r="A148" t="s">
        <v>81</v>
      </c>
      <c r="B148" s="35">
        <f t="shared" si="45"/>
        <v>6119634.7431628434</v>
      </c>
      <c r="C148" s="35">
        <f t="shared" si="46"/>
        <v>14790.789942983702</v>
      </c>
      <c r="D148" s="59">
        <f t="shared" si="49"/>
        <v>25498.478096511852</v>
      </c>
      <c r="E148" s="35">
        <f t="shared" si="47"/>
        <v>40289.268039495553</v>
      </c>
      <c r="F148" s="62">
        <f t="shared" si="48"/>
        <v>6104843.9532198599</v>
      </c>
      <c r="G148" t="s">
        <v>67</v>
      </c>
    </row>
    <row r="149" spans="1:7">
      <c r="A149" s="58" t="s">
        <v>68</v>
      </c>
      <c r="C149" s="62">
        <f>SUM(C137:C148)</f>
        <v>173494.39469686276</v>
      </c>
      <c r="D149" s="63">
        <f>SUM(D137:D148)</f>
        <v>309976.82177708385</v>
      </c>
      <c r="E149" s="56" t="s">
        <v>69</v>
      </c>
    </row>
  </sheetData>
  <phoneticPr fontId="22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5"/>
  <sheetViews>
    <sheetView zoomScale="80" zoomScaleNormal="80" zoomScalePageLayoutView="80" workbookViewId="0">
      <selection activeCell="G19" sqref="G19"/>
    </sheetView>
  </sheetViews>
  <sheetFormatPr defaultColWidth="8.875" defaultRowHeight="18"/>
  <cols>
    <col min="2" max="2" width="14" bestFit="1" customWidth="1"/>
    <col min="3" max="3" width="13.125" bestFit="1" customWidth="1"/>
    <col min="4" max="4" width="15.125" bestFit="1" customWidth="1"/>
    <col min="5" max="5" width="9.125" bestFit="1" customWidth="1"/>
    <col min="6" max="6" width="14.875" bestFit="1" customWidth="1"/>
    <col min="7" max="7" width="13.125" bestFit="1" customWidth="1"/>
    <col min="10" max="10" width="12" bestFit="1" customWidth="1"/>
  </cols>
  <sheetData>
    <row r="1" spans="1:10">
      <c r="B1" t="s">
        <v>35</v>
      </c>
      <c r="C1" s="53">
        <v>1000000</v>
      </c>
      <c r="D1" t="s">
        <v>36</v>
      </c>
      <c r="F1">
        <f>SUM(E6:E365)</f>
        <v>0</v>
      </c>
    </row>
    <row r="2" spans="1:10">
      <c r="B2" t="s">
        <v>37</v>
      </c>
      <c r="C2" s="34">
        <v>7.0000000000000007E-2</v>
      </c>
    </row>
    <row r="3" spans="1:10">
      <c r="B3" t="s">
        <v>38</v>
      </c>
      <c r="C3">
        <v>360</v>
      </c>
    </row>
    <row r="4" spans="1:10">
      <c r="B4" t="s">
        <v>39</v>
      </c>
      <c r="C4" t="s">
        <v>40</v>
      </c>
      <c r="D4" t="s">
        <v>41</v>
      </c>
      <c r="E4" t="s">
        <v>42</v>
      </c>
      <c r="F4" t="s">
        <v>43</v>
      </c>
    </row>
    <row r="5" spans="1:10">
      <c r="F5">
        <f>C1</f>
        <v>1000000</v>
      </c>
    </row>
    <row r="6" spans="1:10">
      <c r="A6">
        <v>1</v>
      </c>
      <c r="B6" s="35">
        <f>PMT(($C$2/12),$C$3,-$C$1,0)</f>
        <v>6653.0249517918319</v>
      </c>
      <c r="C6" s="15">
        <f>F5*($C$2/12)</f>
        <v>5833.3333333333339</v>
      </c>
      <c r="D6" s="15">
        <f>B6-C6</f>
        <v>819.69161845849794</v>
      </c>
      <c r="E6" s="15">
        <v>0</v>
      </c>
      <c r="F6" s="15">
        <f>F5-D6-E6</f>
        <v>999180.30838154152</v>
      </c>
      <c r="G6" s="15">
        <f>SUM(B6:B17)</f>
        <v>79836.299421501986</v>
      </c>
      <c r="J6" t="s">
        <v>44</v>
      </c>
    </row>
    <row r="7" spans="1:10">
      <c r="A7">
        <v>2</v>
      </c>
      <c r="B7" s="35">
        <f t="shared" ref="B7:B70" si="0">PMT(($C$2/12),$C$3,-$C$1,0)</f>
        <v>6653.0249517918319</v>
      </c>
      <c r="C7" s="15">
        <f t="shared" ref="C7:C70" si="1">F6*($C$2/12)</f>
        <v>5828.5517988923257</v>
      </c>
      <c r="D7" s="15">
        <f t="shared" ref="D7:D70" si="2">B7-C7</f>
        <v>824.4731528995062</v>
      </c>
      <c r="E7" s="15">
        <v>0</v>
      </c>
      <c r="F7" s="15">
        <f t="shared" ref="F7:F70" si="3">F6-D7-E7</f>
        <v>998355.83522864198</v>
      </c>
      <c r="G7" s="15"/>
      <c r="J7" s="33">
        <f>SUM(C6:C17)</f>
        <v>69678.201128551664</v>
      </c>
    </row>
    <row r="8" spans="1:10">
      <c r="A8">
        <v>3</v>
      </c>
      <c r="B8" s="35">
        <f t="shared" si="0"/>
        <v>6653.0249517918319</v>
      </c>
      <c r="C8" s="15">
        <f t="shared" si="1"/>
        <v>5823.7423721670784</v>
      </c>
      <c r="D8" s="15">
        <f t="shared" si="2"/>
        <v>829.28257962475345</v>
      </c>
      <c r="E8" s="15">
        <v>0</v>
      </c>
      <c r="F8" s="15">
        <f t="shared" si="3"/>
        <v>997526.55264901719</v>
      </c>
      <c r="G8" s="15"/>
      <c r="J8" s="33">
        <f>SUM(C18:C29)</f>
        <v>68943.871381608697</v>
      </c>
    </row>
    <row r="9" spans="1:10">
      <c r="A9">
        <v>4</v>
      </c>
      <c r="B9" s="35">
        <f t="shared" si="0"/>
        <v>6653.0249517918319</v>
      </c>
      <c r="C9" s="15">
        <f t="shared" si="1"/>
        <v>5818.9048904526007</v>
      </c>
      <c r="D9" s="15">
        <f t="shared" si="2"/>
        <v>834.12006133923114</v>
      </c>
      <c r="E9" s="15">
        <v>0</v>
      </c>
      <c r="F9" s="15">
        <f t="shared" si="3"/>
        <v>996692.43258767796</v>
      </c>
      <c r="G9" s="15"/>
      <c r="J9" s="33">
        <f>SUM(C30:C41)</f>
        <v>68156.456877884077</v>
      </c>
    </row>
    <row r="10" spans="1:10">
      <c r="A10">
        <v>5</v>
      </c>
      <c r="B10" s="35">
        <f t="shared" si="0"/>
        <v>6653.0249517918319</v>
      </c>
      <c r="C10" s="15">
        <f t="shared" si="1"/>
        <v>5814.039190094788</v>
      </c>
      <c r="D10" s="15">
        <f t="shared" si="2"/>
        <v>838.98576169704393</v>
      </c>
      <c r="E10" s="15">
        <v>0</v>
      </c>
      <c r="F10" s="15">
        <f t="shared" si="3"/>
        <v>995853.44682598091</v>
      </c>
      <c r="G10" s="15"/>
      <c r="J10" s="33">
        <f>SUM(C42:C53)</f>
        <v>67312.120116017817</v>
      </c>
    </row>
    <row r="11" spans="1:10">
      <c r="A11">
        <v>6</v>
      </c>
      <c r="B11" s="35">
        <f t="shared" si="0"/>
        <v>6653.0249517918319</v>
      </c>
      <c r="C11" s="15">
        <f t="shared" si="1"/>
        <v>5809.1451064848889</v>
      </c>
      <c r="D11" s="15">
        <f t="shared" si="2"/>
        <v>843.87984530694303</v>
      </c>
      <c r="E11" s="15">
        <v>0</v>
      </c>
      <c r="F11" s="15">
        <f t="shared" si="3"/>
        <v>995009.56698067393</v>
      </c>
      <c r="G11" s="15"/>
    </row>
    <row r="12" spans="1:10">
      <c r="A12">
        <v>7</v>
      </c>
      <c r="B12" s="35">
        <f t="shared" si="0"/>
        <v>6653.0249517918319</v>
      </c>
      <c r="C12" s="15">
        <f t="shared" si="1"/>
        <v>5804.2224740539314</v>
      </c>
      <c r="D12" s="15">
        <f t="shared" si="2"/>
        <v>848.80247773790052</v>
      </c>
      <c r="E12" s="15">
        <v>0</v>
      </c>
      <c r="F12" s="15">
        <f t="shared" si="3"/>
        <v>994160.76450293604</v>
      </c>
      <c r="G12" s="15"/>
    </row>
    <row r="13" spans="1:10">
      <c r="A13">
        <v>8</v>
      </c>
      <c r="B13" s="35">
        <f t="shared" si="0"/>
        <v>6653.0249517918319</v>
      </c>
      <c r="C13" s="15">
        <f t="shared" si="1"/>
        <v>5799.2711262671273</v>
      </c>
      <c r="D13" s="15">
        <f t="shared" si="2"/>
        <v>853.75382552470455</v>
      </c>
      <c r="E13" s="15">
        <v>0</v>
      </c>
      <c r="F13" s="15">
        <f t="shared" si="3"/>
        <v>993307.01067741134</v>
      </c>
      <c r="G13" s="15"/>
    </row>
    <row r="14" spans="1:10">
      <c r="A14">
        <v>9</v>
      </c>
      <c r="B14" s="35">
        <f t="shared" si="0"/>
        <v>6653.0249517918319</v>
      </c>
      <c r="C14" s="15">
        <f t="shared" si="1"/>
        <v>5794.2908956182328</v>
      </c>
      <c r="D14" s="15">
        <f t="shared" si="2"/>
        <v>858.73405617359913</v>
      </c>
      <c r="E14" s="15">
        <v>0</v>
      </c>
      <c r="F14" s="15">
        <f t="shared" si="3"/>
        <v>992448.27662123775</v>
      </c>
      <c r="G14" s="15"/>
    </row>
    <row r="15" spans="1:10">
      <c r="A15">
        <v>10</v>
      </c>
      <c r="B15" s="35">
        <f t="shared" si="0"/>
        <v>6653.0249517918319</v>
      </c>
      <c r="C15" s="15">
        <f t="shared" si="1"/>
        <v>5789.2816136238871</v>
      </c>
      <c r="D15" s="15">
        <f t="shared" si="2"/>
        <v>863.74333816794478</v>
      </c>
      <c r="E15" s="15">
        <v>0</v>
      </c>
      <c r="F15" s="15">
        <f t="shared" si="3"/>
        <v>991584.53328306985</v>
      </c>
      <c r="G15" s="15"/>
    </row>
    <row r="16" spans="1:10">
      <c r="A16">
        <v>11</v>
      </c>
      <c r="B16" s="35">
        <f t="shared" si="0"/>
        <v>6653.0249517918319</v>
      </c>
      <c r="C16" s="15">
        <f t="shared" si="1"/>
        <v>5784.243110817908</v>
      </c>
      <c r="D16" s="15">
        <f t="shared" si="2"/>
        <v>868.78184097392386</v>
      </c>
      <c r="E16" s="15">
        <v>0</v>
      </c>
      <c r="F16" s="15">
        <f t="shared" si="3"/>
        <v>990715.75144209596</v>
      </c>
      <c r="G16" s="15"/>
    </row>
    <row r="17" spans="1:7">
      <c r="A17">
        <v>12</v>
      </c>
      <c r="B17" s="35">
        <f t="shared" si="0"/>
        <v>6653.0249517918319</v>
      </c>
      <c r="C17" s="15">
        <f t="shared" si="1"/>
        <v>5779.1752167455597</v>
      </c>
      <c r="D17" s="15">
        <f t="shared" si="2"/>
        <v>873.84973504627214</v>
      </c>
      <c r="E17" s="15">
        <v>0</v>
      </c>
      <c r="F17" s="15">
        <f t="shared" si="3"/>
        <v>989841.90170704969</v>
      </c>
      <c r="G17" s="15"/>
    </row>
    <row r="18" spans="1:7">
      <c r="A18">
        <v>13</v>
      </c>
      <c r="B18" s="35">
        <f t="shared" si="0"/>
        <v>6653.0249517918319</v>
      </c>
      <c r="C18" s="15">
        <f t="shared" si="1"/>
        <v>5774.0777599577905</v>
      </c>
      <c r="D18" s="15">
        <f t="shared" si="2"/>
        <v>878.9471918340414</v>
      </c>
      <c r="E18" s="15">
        <v>0</v>
      </c>
      <c r="F18" s="15">
        <f t="shared" si="3"/>
        <v>988962.95451521571</v>
      </c>
      <c r="G18" s="15"/>
    </row>
    <row r="19" spans="1:7">
      <c r="A19">
        <v>14</v>
      </c>
      <c r="B19" s="35">
        <f t="shared" si="0"/>
        <v>6653.0249517918319</v>
      </c>
      <c r="C19" s="15">
        <f t="shared" si="1"/>
        <v>5768.9505680054253</v>
      </c>
      <c r="D19" s="15">
        <f t="shared" si="2"/>
        <v>884.07438378640654</v>
      </c>
      <c r="E19" s="15">
        <v>0</v>
      </c>
      <c r="F19" s="15">
        <f t="shared" si="3"/>
        <v>988078.88013142929</v>
      </c>
      <c r="G19" s="15"/>
    </row>
    <row r="20" spans="1:7">
      <c r="A20">
        <v>15</v>
      </c>
      <c r="B20" s="35">
        <f t="shared" si="0"/>
        <v>6653.0249517918319</v>
      </c>
      <c r="C20" s="15">
        <f t="shared" si="1"/>
        <v>5763.7934674333383</v>
      </c>
      <c r="D20" s="15">
        <f t="shared" si="2"/>
        <v>889.23148435849362</v>
      </c>
      <c r="E20" s="15">
        <v>0</v>
      </c>
      <c r="F20" s="15">
        <f t="shared" si="3"/>
        <v>987189.64864707075</v>
      </c>
      <c r="G20" s="15"/>
    </row>
    <row r="21" spans="1:7">
      <c r="A21">
        <v>16</v>
      </c>
      <c r="B21" s="35">
        <f t="shared" si="0"/>
        <v>6653.0249517918319</v>
      </c>
      <c r="C21" s="15">
        <f t="shared" si="1"/>
        <v>5758.6062837745794</v>
      </c>
      <c r="D21" s="15">
        <f t="shared" si="2"/>
        <v>894.41866801725246</v>
      </c>
      <c r="E21" s="15">
        <v>0</v>
      </c>
      <c r="F21" s="15">
        <f t="shared" si="3"/>
        <v>986295.22997905349</v>
      </c>
      <c r="G21" s="15"/>
    </row>
    <row r="22" spans="1:7">
      <c r="A22">
        <v>17</v>
      </c>
      <c r="B22" s="35">
        <f t="shared" si="0"/>
        <v>6653.0249517918319</v>
      </c>
      <c r="C22" s="15">
        <f t="shared" si="1"/>
        <v>5753.388841544479</v>
      </c>
      <c r="D22" s="15">
        <f t="shared" si="2"/>
        <v>899.63611024735292</v>
      </c>
      <c r="E22" s="15">
        <v>0</v>
      </c>
      <c r="F22" s="15">
        <f t="shared" si="3"/>
        <v>985395.59386880614</v>
      </c>
      <c r="G22" s="15"/>
    </row>
    <row r="23" spans="1:7">
      <c r="A23">
        <v>18</v>
      </c>
      <c r="B23" s="35">
        <f t="shared" si="0"/>
        <v>6653.0249517918319</v>
      </c>
      <c r="C23" s="15">
        <f t="shared" si="1"/>
        <v>5748.1409642347026</v>
      </c>
      <c r="D23" s="15">
        <f t="shared" si="2"/>
        <v>904.88398755712933</v>
      </c>
      <c r="E23" s="15">
        <v>0</v>
      </c>
      <c r="F23" s="15">
        <f t="shared" si="3"/>
        <v>984490.709881249</v>
      </c>
      <c r="G23" s="15"/>
    </row>
    <row r="24" spans="1:7">
      <c r="A24">
        <v>19</v>
      </c>
      <c r="B24" s="35">
        <f t="shared" si="0"/>
        <v>6653.0249517918319</v>
      </c>
      <c r="C24" s="15">
        <f t="shared" si="1"/>
        <v>5742.862474307286</v>
      </c>
      <c r="D24" s="15">
        <f t="shared" si="2"/>
        <v>910.16247748454589</v>
      </c>
      <c r="E24" s="15">
        <v>0</v>
      </c>
      <c r="F24" s="15">
        <f t="shared" si="3"/>
        <v>983580.54740376445</v>
      </c>
      <c r="G24" s="15"/>
    </row>
    <row r="25" spans="1:7">
      <c r="A25">
        <v>20</v>
      </c>
      <c r="B25" s="35">
        <f t="shared" si="0"/>
        <v>6653.0249517918319</v>
      </c>
      <c r="C25" s="15">
        <f t="shared" si="1"/>
        <v>5737.5531931886262</v>
      </c>
      <c r="D25" s="15">
        <f t="shared" si="2"/>
        <v>915.47175860320567</v>
      </c>
      <c r="E25" s="15">
        <v>0</v>
      </c>
      <c r="F25" s="15">
        <f t="shared" si="3"/>
        <v>982665.07564516121</v>
      </c>
      <c r="G25" s="15"/>
    </row>
    <row r="26" spans="1:7">
      <c r="A26">
        <v>21</v>
      </c>
      <c r="B26" s="35">
        <f t="shared" si="0"/>
        <v>6653.0249517918319</v>
      </c>
      <c r="C26" s="15">
        <f t="shared" si="1"/>
        <v>5732.2129412634404</v>
      </c>
      <c r="D26" s="15">
        <f t="shared" si="2"/>
        <v>920.81201052839151</v>
      </c>
      <c r="E26" s="15">
        <v>0</v>
      </c>
      <c r="F26" s="15">
        <f t="shared" si="3"/>
        <v>981744.26363463281</v>
      </c>
      <c r="G26" s="15"/>
    </row>
    <row r="27" spans="1:7">
      <c r="A27">
        <v>22</v>
      </c>
      <c r="B27" s="35">
        <f t="shared" si="0"/>
        <v>6653.0249517918319</v>
      </c>
      <c r="C27" s="15">
        <f t="shared" si="1"/>
        <v>5726.8415378686914</v>
      </c>
      <c r="D27" s="15">
        <f t="shared" si="2"/>
        <v>926.18341392314051</v>
      </c>
      <c r="E27" s="15">
        <v>0</v>
      </c>
      <c r="F27" s="15">
        <f t="shared" si="3"/>
        <v>980818.08022070967</v>
      </c>
      <c r="G27" s="15"/>
    </row>
    <row r="28" spans="1:7">
      <c r="A28">
        <v>23</v>
      </c>
      <c r="B28" s="35">
        <f t="shared" si="0"/>
        <v>6653.0249517918319</v>
      </c>
      <c r="C28" s="15">
        <f t="shared" si="1"/>
        <v>5721.4388012874733</v>
      </c>
      <c r="D28" s="15">
        <f t="shared" si="2"/>
        <v>931.58615050435856</v>
      </c>
      <c r="E28" s="15">
        <v>0</v>
      </c>
      <c r="F28" s="15">
        <f t="shared" si="3"/>
        <v>979886.49407020526</v>
      </c>
      <c r="G28" s="15"/>
    </row>
    <row r="29" spans="1:7">
      <c r="A29">
        <v>24</v>
      </c>
      <c r="B29" s="35">
        <f t="shared" si="0"/>
        <v>6653.0249517918319</v>
      </c>
      <c r="C29" s="15">
        <f t="shared" si="1"/>
        <v>5716.0045487428642</v>
      </c>
      <c r="D29" s="15">
        <f t="shared" si="2"/>
        <v>937.02040304896764</v>
      </c>
      <c r="E29" s="15">
        <v>0</v>
      </c>
      <c r="F29" s="15">
        <f t="shared" si="3"/>
        <v>978949.4736671563</v>
      </c>
      <c r="G29" s="15"/>
    </row>
    <row r="30" spans="1:7">
      <c r="A30">
        <v>25</v>
      </c>
      <c r="B30" s="35">
        <f t="shared" si="0"/>
        <v>6653.0249517918319</v>
      </c>
      <c r="C30" s="15">
        <f t="shared" si="1"/>
        <v>5710.5385963917452</v>
      </c>
      <c r="D30" s="15">
        <f t="shared" si="2"/>
        <v>942.48635540008672</v>
      </c>
      <c r="E30" s="15">
        <v>0</v>
      </c>
      <c r="F30" s="15">
        <f t="shared" si="3"/>
        <v>978006.98731175624</v>
      </c>
      <c r="G30" s="15"/>
    </row>
    <row r="31" spans="1:7">
      <c r="A31">
        <v>26</v>
      </c>
      <c r="B31" s="35">
        <f t="shared" si="0"/>
        <v>6653.0249517918319</v>
      </c>
      <c r="C31" s="15">
        <f t="shared" si="1"/>
        <v>5705.0407593185782</v>
      </c>
      <c r="D31" s="15">
        <f t="shared" si="2"/>
        <v>947.98419247325364</v>
      </c>
      <c r="E31" s="15">
        <v>0</v>
      </c>
      <c r="F31" s="15">
        <f t="shared" si="3"/>
        <v>977059.00311928301</v>
      </c>
      <c r="G31" s="15"/>
    </row>
    <row r="32" spans="1:7">
      <c r="A32">
        <v>27</v>
      </c>
      <c r="B32" s="35">
        <f t="shared" si="0"/>
        <v>6653.0249517918319</v>
      </c>
      <c r="C32" s="15">
        <f t="shared" si="1"/>
        <v>5699.5108515291513</v>
      </c>
      <c r="D32" s="15">
        <f t="shared" si="2"/>
        <v>953.51410026268059</v>
      </c>
      <c r="E32" s="15">
        <v>0</v>
      </c>
      <c r="F32" s="15">
        <f t="shared" si="3"/>
        <v>976105.48901902034</v>
      </c>
      <c r="G32" s="15"/>
    </row>
    <row r="33" spans="1:7">
      <c r="A33">
        <v>28</v>
      </c>
      <c r="B33" s="35">
        <f t="shared" si="0"/>
        <v>6653.0249517918319</v>
      </c>
      <c r="C33" s="15">
        <f t="shared" si="1"/>
        <v>5693.9486859442859</v>
      </c>
      <c r="D33" s="15">
        <f t="shared" si="2"/>
        <v>959.07626584754598</v>
      </c>
      <c r="E33" s="15">
        <v>0</v>
      </c>
      <c r="F33" s="15">
        <f t="shared" si="3"/>
        <v>975146.4127531728</v>
      </c>
      <c r="G33" s="15"/>
    </row>
    <row r="34" spans="1:7">
      <c r="A34">
        <v>29</v>
      </c>
      <c r="B34" s="35">
        <f t="shared" si="0"/>
        <v>6653.0249517918319</v>
      </c>
      <c r="C34" s="15">
        <f t="shared" si="1"/>
        <v>5688.3540743935082</v>
      </c>
      <c r="D34" s="15">
        <f t="shared" si="2"/>
        <v>964.67087739832368</v>
      </c>
      <c r="E34" s="15">
        <v>0</v>
      </c>
      <c r="F34" s="15">
        <f t="shared" si="3"/>
        <v>974181.74187577446</v>
      </c>
      <c r="G34" s="15"/>
    </row>
    <row r="35" spans="1:7">
      <c r="A35">
        <v>30</v>
      </c>
      <c r="B35" s="35">
        <f t="shared" si="0"/>
        <v>6653.0249517918319</v>
      </c>
      <c r="C35" s="15">
        <f t="shared" si="1"/>
        <v>5682.7268276086843</v>
      </c>
      <c r="D35" s="15">
        <f t="shared" si="2"/>
        <v>970.29812418314759</v>
      </c>
      <c r="E35" s="15">
        <v>0</v>
      </c>
      <c r="F35" s="15">
        <f t="shared" si="3"/>
        <v>973211.44375159126</v>
      </c>
      <c r="G35" s="15"/>
    </row>
    <row r="36" spans="1:7">
      <c r="A36">
        <v>31</v>
      </c>
      <c r="B36" s="35">
        <f t="shared" si="0"/>
        <v>6653.0249517918319</v>
      </c>
      <c r="C36" s="15">
        <f t="shared" si="1"/>
        <v>5677.0667552176155</v>
      </c>
      <c r="D36" s="15">
        <f t="shared" si="2"/>
        <v>975.95819657421634</v>
      </c>
      <c r="E36" s="15">
        <v>0</v>
      </c>
      <c r="F36" s="15">
        <f t="shared" si="3"/>
        <v>972235.48555501702</v>
      </c>
      <c r="G36" s="15"/>
    </row>
    <row r="37" spans="1:7">
      <c r="A37">
        <v>32</v>
      </c>
      <c r="B37" s="35">
        <f t="shared" si="0"/>
        <v>6653.0249517918319</v>
      </c>
      <c r="C37" s="15">
        <f t="shared" si="1"/>
        <v>5671.3736657375994</v>
      </c>
      <c r="D37" s="15">
        <f t="shared" si="2"/>
        <v>981.65128605423251</v>
      </c>
      <c r="E37" s="15">
        <v>0</v>
      </c>
      <c r="F37" s="15">
        <f t="shared" si="3"/>
        <v>971253.83426896273</v>
      </c>
      <c r="G37" s="15"/>
    </row>
    <row r="38" spans="1:7">
      <c r="A38">
        <v>33</v>
      </c>
      <c r="B38" s="35">
        <f t="shared" si="0"/>
        <v>6653.0249517918319</v>
      </c>
      <c r="C38" s="15">
        <f t="shared" si="1"/>
        <v>5665.6473665689491</v>
      </c>
      <c r="D38" s="15">
        <f t="shared" si="2"/>
        <v>987.37758522288277</v>
      </c>
      <c r="E38" s="15">
        <v>0</v>
      </c>
      <c r="F38" s="15">
        <f t="shared" si="3"/>
        <v>970266.4566837399</v>
      </c>
      <c r="G38" s="15"/>
    </row>
    <row r="39" spans="1:7">
      <c r="A39">
        <v>34</v>
      </c>
      <c r="B39" s="35">
        <f t="shared" si="0"/>
        <v>6653.0249517918319</v>
      </c>
      <c r="C39" s="15">
        <f t="shared" si="1"/>
        <v>5659.8876639884829</v>
      </c>
      <c r="D39" s="15">
        <f t="shared" si="2"/>
        <v>993.13728780334895</v>
      </c>
      <c r="E39" s="15">
        <v>0</v>
      </c>
      <c r="F39" s="15">
        <f t="shared" si="3"/>
        <v>969273.31939593656</v>
      </c>
      <c r="G39" s="15"/>
    </row>
    <row r="40" spans="1:7">
      <c r="A40">
        <v>35</v>
      </c>
      <c r="B40" s="35">
        <f t="shared" si="0"/>
        <v>6653.0249517918319</v>
      </c>
      <c r="C40" s="15">
        <f t="shared" si="1"/>
        <v>5654.0943631429636</v>
      </c>
      <c r="D40" s="15">
        <f t="shared" si="2"/>
        <v>998.93058864886825</v>
      </c>
      <c r="E40" s="15">
        <v>0</v>
      </c>
      <c r="F40" s="15">
        <f t="shared" si="3"/>
        <v>968274.38880728767</v>
      </c>
      <c r="G40" s="15"/>
    </row>
    <row r="41" spans="1:7">
      <c r="A41">
        <v>36</v>
      </c>
      <c r="B41" s="35">
        <f t="shared" si="0"/>
        <v>6653.0249517918319</v>
      </c>
      <c r="C41" s="15">
        <f t="shared" si="1"/>
        <v>5648.2672680425121</v>
      </c>
      <c r="D41" s="15">
        <f t="shared" si="2"/>
        <v>1004.7576837493198</v>
      </c>
      <c r="E41" s="15">
        <v>0</v>
      </c>
      <c r="F41" s="15">
        <f t="shared" si="3"/>
        <v>967269.63112353836</v>
      </c>
      <c r="G41" s="15"/>
    </row>
    <row r="42" spans="1:7">
      <c r="A42">
        <v>37</v>
      </c>
      <c r="B42" s="35">
        <f t="shared" si="0"/>
        <v>6653.0249517918319</v>
      </c>
      <c r="C42" s="15">
        <f t="shared" si="1"/>
        <v>5642.4061815539744</v>
      </c>
      <c r="D42" s="15">
        <f t="shared" si="2"/>
        <v>1010.6187702378575</v>
      </c>
      <c r="E42" s="15">
        <v>0</v>
      </c>
      <c r="F42" s="15">
        <f t="shared" si="3"/>
        <v>966259.01235330047</v>
      </c>
      <c r="G42" s="15"/>
    </row>
    <row r="43" spans="1:7">
      <c r="A43">
        <v>38</v>
      </c>
      <c r="B43" s="35">
        <f t="shared" si="0"/>
        <v>6653.0249517918319</v>
      </c>
      <c r="C43" s="15">
        <f t="shared" si="1"/>
        <v>5636.5109053942533</v>
      </c>
      <c r="D43" s="15">
        <f t="shared" si="2"/>
        <v>1016.5140463975786</v>
      </c>
      <c r="E43" s="15">
        <v>0</v>
      </c>
      <c r="F43" s="15">
        <f t="shared" si="3"/>
        <v>965242.49830690294</v>
      </c>
      <c r="G43" s="15"/>
    </row>
    <row r="44" spans="1:7">
      <c r="A44">
        <v>39</v>
      </c>
      <c r="B44" s="35">
        <f t="shared" si="0"/>
        <v>6653.0249517918319</v>
      </c>
      <c r="C44" s="15">
        <f t="shared" si="1"/>
        <v>5630.5812401236008</v>
      </c>
      <c r="D44" s="15">
        <f t="shared" si="2"/>
        <v>1022.4437116682311</v>
      </c>
      <c r="E44" s="15">
        <v>0</v>
      </c>
      <c r="F44" s="15">
        <f t="shared" si="3"/>
        <v>964220.05459523469</v>
      </c>
      <c r="G44" s="15"/>
    </row>
    <row r="45" spans="1:7">
      <c r="A45">
        <v>40</v>
      </c>
      <c r="B45" s="35">
        <f t="shared" si="0"/>
        <v>6653.0249517918319</v>
      </c>
      <c r="C45" s="15">
        <f t="shared" si="1"/>
        <v>5624.6169851388695</v>
      </c>
      <c r="D45" s="15">
        <f t="shared" si="2"/>
        <v>1028.4079666529624</v>
      </c>
      <c r="E45" s="15">
        <v>0</v>
      </c>
      <c r="F45" s="15">
        <f t="shared" si="3"/>
        <v>963191.64662858169</v>
      </c>
      <c r="G45" s="15"/>
    </row>
    <row r="46" spans="1:7">
      <c r="A46">
        <v>41</v>
      </c>
      <c r="B46" s="35">
        <f t="shared" si="0"/>
        <v>6653.0249517918319</v>
      </c>
      <c r="C46" s="15">
        <f t="shared" si="1"/>
        <v>5618.6179386667263</v>
      </c>
      <c r="D46" s="15">
        <f t="shared" si="2"/>
        <v>1034.4070131251055</v>
      </c>
      <c r="E46" s="15">
        <v>0</v>
      </c>
      <c r="F46" s="15">
        <f t="shared" si="3"/>
        <v>962157.23961545655</v>
      </c>
      <c r="G46" s="15"/>
    </row>
    <row r="47" spans="1:7">
      <c r="A47">
        <v>42</v>
      </c>
      <c r="B47" s="35">
        <f t="shared" si="0"/>
        <v>6653.0249517918319</v>
      </c>
      <c r="C47" s="15">
        <f t="shared" si="1"/>
        <v>5612.5838977568301</v>
      </c>
      <c r="D47" s="15">
        <f t="shared" si="2"/>
        <v>1040.4410540350018</v>
      </c>
      <c r="E47" s="15">
        <v>0</v>
      </c>
      <c r="F47" s="15">
        <f t="shared" si="3"/>
        <v>961116.79856142157</v>
      </c>
      <c r="G47" s="15"/>
    </row>
    <row r="48" spans="1:7">
      <c r="A48">
        <v>43</v>
      </c>
      <c r="B48" s="35">
        <f t="shared" si="0"/>
        <v>6653.0249517918319</v>
      </c>
      <c r="C48" s="15">
        <f t="shared" si="1"/>
        <v>5606.5146582749594</v>
      </c>
      <c r="D48" s="15">
        <f t="shared" si="2"/>
        <v>1046.5102935168725</v>
      </c>
      <c r="E48" s="15">
        <v>0</v>
      </c>
      <c r="F48" s="15">
        <f t="shared" si="3"/>
        <v>960070.28826790466</v>
      </c>
      <c r="G48" s="15"/>
    </row>
    <row r="49" spans="1:7">
      <c r="A49">
        <v>44</v>
      </c>
      <c r="B49" s="35">
        <f t="shared" si="0"/>
        <v>6653.0249517918319</v>
      </c>
      <c r="C49" s="15">
        <f t="shared" si="1"/>
        <v>5600.4100148961106</v>
      </c>
      <c r="D49" s="15">
        <f t="shared" si="2"/>
        <v>1052.6149368957213</v>
      </c>
      <c r="E49" s="15">
        <v>0</v>
      </c>
      <c r="F49" s="15">
        <f t="shared" si="3"/>
        <v>959017.67333100899</v>
      </c>
      <c r="G49" s="15"/>
    </row>
    <row r="50" spans="1:7">
      <c r="A50">
        <v>45</v>
      </c>
      <c r="B50" s="35">
        <f t="shared" si="0"/>
        <v>6653.0249517918319</v>
      </c>
      <c r="C50" s="15">
        <f t="shared" si="1"/>
        <v>5594.2697610975529</v>
      </c>
      <c r="D50" s="15">
        <f t="shared" si="2"/>
        <v>1058.755190694279</v>
      </c>
      <c r="E50" s="15">
        <v>0</v>
      </c>
      <c r="F50" s="15">
        <f t="shared" si="3"/>
        <v>957958.91814031475</v>
      </c>
      <c r="G50" s="15"/>
    </row>
    <row r="51" spans="1:7">
      <c r="A51">
        <v>46</v>
      </c>
      <c r="B51" s="35">
        <f t="shared" si="0"/>
        <v>6653.0249517918319</v>
      </c>
      <c r="C51" s="15">
        <f t="shared" si="1"/>
        <v>5588.0936891518359</v>
      </c>
      <c r="D51" s="15">
        <f t="shared" si="2"/>
        <v>1064.931262639996</v>
      </c>
      <c r="E51" s="15">
        <v>0</v>
      </c>
      <c r="F51" s="15">
        <f t="shared" si="3"/>
        <v>956893.9868776747</v>
      </c>
      <c r="G51" s="15"/>
    </row>
    <row r="52" spans="1:7">
      <c r="A52">
        <v>47</v>
      </c>
      <c r="B52" s="35">
        <f t="shared" si="0"/>
        <v>6653.0249517918319</v>
      </c>
      <c r="C52" s="15">
        <f t="shared" si="1"/>
        <v>5581.8815901197695</v>
      </c>
      <c r="D52" s="15">
        <f t="shared" si="2"/>
        <v>1071.1433616720624</v>
      </c>
      <c r="E52" s="15">
        <v>0</v>
      </c>
      <c r="F52" s="15">
        <f t="shared" si="3"/>
        <v>955822.84351600264</v>
      </c>
      <c r="G52" s="15"/>
    </row>
    <row r="53" spans="1:7">
      <c r="A53">
        <v>48</v>
      </c>
      <c r="B53" s="35">
        <f t="shared" si="0"/>
        <v>6653.0249517918319</v>
      </c>
      <c r="C53" s="15">
        <f t="shared" si="1"/>
        <v>5575.6332538433489</v>
      </c>
      <c r="D53" s="15">
        <f t="shared" si="2"/>
        <v>1077.3916979484829</v>
      </c>
      <c r="E53" s="15">
        <v>0</v>
      </c>
      <c r="F53" s="15">
        <f t="shared" si="3"/>
        <v>954745.45181805419</v>
      </c>
      <c r="G53" s="15"/>
    </row>
    <row r="54" spans="1:7">
      <c r="A54">
        <v>49</v>
      </c>
      <c r="B54" s="35">
        <f t="shared" si="0"/>
        <v>6653.0249517918319</v>
      </c>
      <c r="C54" s="15">
        <f t="shared" si="1"/>
        <v>5569.3484689386496</v>
      </c>
      <c r="D54" s="15">
        <f t="shared" si="2"/>
        <v>1083.6764828531823</v>
      </c>
      <c r="E54" s="15">
        <v>0</v>
      </c>
      <c r="F54" s="15">
        <f t="shared" si="3"/>
        <v>953661.77533520106</v>
      </c>
      <c r="G54" s="15"/>
    </row>
    <row r="55" spans="1:7">
      <c r="A55">
        <v>50</v>
      </c>
      <c r="B55" s="35">
        <f t="shared" si="0"/>
        <v>6653.0249517918319</v>
      </c>
      <c r="C55" s="15">
        <f t="shared" si="1"/>
        <v>5563.0270227886731</v>
      </c>
      <c r="D55" s="15">
        <f t="shared" si="2"/>
        <v>1089.9979290031588</v>
      </c>
      <c r="E55" s="15">
        <v>0</v>
      </c>
      <c r="F55" s="15">
        <f t="shared" si="3"/>
        <v>952571.77740619786</v>
      </c>
      <c r="G55" s="15"/>
    </row>
    <row r="56" spans="1:7">
      <c r="A56">
        <v>51</v>
      </c>
      <c r="B56" s="35">
        <f t="shared" si="0"/>
        <v>6653.0249517918319</v>
      </c>
      <c r="C56" s="15">
        <f t="shared" si="1"/>
        <v>5556.668701536154</v>
      </c>
      <c r="D56" s="15">
        <f t="shared" si="2"/>
        <v>1096.3562502556779</v>
      </c>
      <c r="E56" s="15">
        <v>0</v>
      </c>
      <c r="F56" s="15">
        <f t="shared" si="3"/>
        <v>951475.42115594214</v>
      </c>
      <c r="G56" s="15"/>
    </row>
    <row r="57" spans="1:7">
      <c r="A57">
        <v>52</v>
      </c>
      <c r="B57" s="35">
        <f t="shared" si="0"/>
        <v>6653.0249517918319</v>
      </c>
      <c r="C57" s="15">
        <f t="shared" si="1"/>
        <v>5550.2732900763294</v>
      </c>
      <c r="D57" s="15">
        <f t="shared" si="2"/>
        <v>1102.7516617155025</v>
      </c>
      <c r="E57" s="15">
        <v>0</v>
      </c>
      <c r="F57" s="15">
        <f t="shared" si="3"/>
        <v>950372.66949422669</v>
      </c>
      <c r="G57" s="15"/>
    </row>
    <row r="58" spans="1:7">
      <c r="A58">
        <v>53</v>
      </c>
      <c r="B58" s="35">
        <f t="shared" si="0"/>
        <v>6653.0249517918319</v>
      </c>
      <c r="C58" s="15">
        <f t="shared" si="1"/>
        <v>5543.8405720496557</v>
      </c>
      <c r="D58" s="15">
        <f t="shared" si="2"/>
        <v>1109.1843797421761</v>
      </c>
      <c r="E58" s="15">
        <v>0</v>
      </c>
      <c r="F58" s="15">
        <f t="shared" si="3"/>
        <v>949263.48511448456</v>
      </c>
      <c r="G58" s="15"/>
    </row>
    <row r="59" spans="1:7">
      <c r="A59">
        <v>54</v>
      </c>
      <c r="B59" s="35">
        <f t="shared" si="0"/>
        <v>6653.0249517918319</v>
      </c>
      <c r="C59" s="15">
        <f t="shared" si="1"/>
        <v>5537.3703298344935</v>
      </c>
      <c r="D59" s="15">
        <f t="shared" si="2"/>
        <v>1115.6546219573383</v>
      </c>
      <c r="E59" s="15">
        <v>0</v>
      </c>
      <c r="F59" s="15">
        <f t="shared" si="3"/>
        <v>948147.83049252722</v>
      </c>
      <c r="G59" s="15"/>
    </row>
    <row r="60" spans="1:7">
      <c r="A60">
        <v>55</v>
      </c>
      <c r="B60" s="35">
        <f t="shared" si="0"/>
        <v>6653.0249517918319</v>
      </c>
      <c r="C60" s="15">
        <f t="shared" si="1"/>
        <v>5530.8623445397425</v>
      </c>
      <c r="D60" s="15">
        <f t="shared" si="2"/>
        <v>1122.1626072520894</v>
      </c>
      <c r="E60" s="15">
        <v>0</v>
      </c>
      <c r="F60" s="15">
        <f t="shared" si="3"/>
        <v>947025.66788527509</v>
      </c>
      <c r="G60" s="15"/>
    </row>
    <row r="61" spans="1:7">
      <c r="A61">
        <v>56</v>
      </c>
      <c r="B61" s="35">
        <f t="shared" si="0"/>
        <v>6653.0249517918319</v>
      </c>
      <c r="C61" s="15">
        <f t="shared" si="1"/>
        <v>5524.3163959974381</v>
      </c>
      <c r="D61" s="15">
        <f t="shared" si="2"/>
        <v>1128.7085557943938</v>
      </c>
      <c r="E61" s="15">
        <v>0</v>
      </c>
      <c r="F61" s="15">
        <f t="shared" si="3"/>
        <v>945896.95932948065</v>
      </c>
      <c r="G61" s="15"/>
    </row>
    <row r="62" spans="1:7">
      <c r="A62">
        <v>57</v>
      </c>
      <c r="B62" s="35">
        <f t="shared" si="0"/>
        <v>6653.0249517918319</v>
      </c>
      <c r="C62" s="15">
        <f t="shared" si="1"/>
        <v>5517.732262755304</v>
      </c>
      <c r="D62" s="15">
        <f t="shared" si="2"/>
        <v>1135.2926890365279</v>
      </c>
      <c r="E62" s="15">
        <v>0</v>
      </c>
      <c r="F62" s="15">
        <f t="shared" si="3"/>
        <v>944761.66664044408</v>
      </c>
      <c r="G62" s="15"/>
    </row>
    <row r="63" spans="1:7">
      <c r="A63">
        <v>58</v>
      </c>
      <c r="B63" s="35">
        <f t="shared" si="0"/>
        <v>6653.0249517918319</v>
      </c>
      <c r="C63" s="15">
        <f t="shared" si="1"/>
        <v>5511.1097220692573</v>
      </c>
      <c r="D63" s="15">
        <f t="shared" si="2"/>
        <v>1141.9152297225746</v>
      </c>
      <c r="E63" s="15">
        <v>0</v>
      </c>
      <c r="F63" s="15">
        <f t="shared" si="3"/>
        <v>943619.75141072145</v>
      </c>
      <c r="G63" s="15"/>
    </row>
    <row r="64" spans="1:7">
      <c r="A64">
        <v>59</v>
      </c>
      <c r="B64" s="35">
        <f t="shared" si="0"/>
        <v>6653.0249517918319</v>
      </c>
      <c r="C64" s="15">
        <f t="shared" si="1"/>
        <v>5504.4485498958757</v>
      </c>
      <c r="D64" s="15">
        <f t="shared" si="2"/>
        <v>1148.5764018959562</v>
      </c>
      <c r="E64" s="15">
        <v>0</v>
      </c>
      <c r="F64" s="15">
        <f t="shared" si="3"/>
        <v>942471.17500882549</v>
      </c>
      <c r="G64" s="15"/>
    </row>
    <row r="65" spans="1:7">
      <c r="A65">
        <v>60</v>
      </c>
      <c r="B65" s="35">
        <f t="shared" si="0"/>
        <v>6653.0249517918319</v>
      </c>
      <c r="C65" s="15">
        <f t="shared" si="1"/>
        <v>5497.7485208848157</v>
      </c>
      <c r="D65" s="15">
        <f t="shared" si="2"/>
        <v>1155.2764309070162</v>
      </c>
      <c r="E65" s="15">
        <v>0</v>
      </c>
      <c r="F65" s="15">
        <f t="shared" si="3"/>
        <v>941315.89857791853</v>
      </c>
      <c r="G65" s="15"/>
    </row>
    <row r="66" spans="1:7">
      <c r="A66">
        <v>61</v>
      </c>
      <c r="B66" s="35">
        <f t="shared" si="0"/>
        <v>6653.0249517918319</v>
      </c>
      <c r="C66" s="15">
        <f t="shared" si="1"/>
        <v>5491.009408371192</v>
      </c>
      <c r="D66" s="15">
        <f t="shared" si="2"/>
        <v>1162.0155434206399</v>
      </c>
      <c r="E66" s="15">
        <v>0</v>
      </c>
      <c r="F66" s="15">
        <f t="shared" si="3"/>
        <v>940153.88303449785</v>
      </c>
      <c r="G66" s="15"/>
    </row>
    <row r="67" spans="1:7">
      <c r="A67">
        <v>62</v>
      </c>
      <c r="B67" s="35">
        <f t="shared" si="0"/>
        <v>6653.0249517918319</v>
      </c>
      <c r="C67" s="15">
        <f t="shared" si="1"/>
        <v>5484.2309843679041</v>
      </c>
      <c r="D67" s="15">
        <f t="shared" si="2"/>
        <v>1168.7939674239278</v>
      </c>
      <c r="E67" s="15">
        <v>0</v>
      </c>
      <c r="F67" s="15">
        <f t="shared" si="3"/>
        <v>938985.08906707389</v>
      </c>
      <c r="G67" s="15"/>
    </row>
    <row r="68" spans="1:7">
      <c r="A68">
        <v>63</v>
      </c>
      <c r="B68" s="35">
        <f t="shared" si="0"/>
        <v>6653.0249517918319</v>
      </c>
      <c r="C68" s="15">
        <f t="shared" si="1"/>
        <v>5477.413019557931</v>
      </c>
      <c r="D68" s="15">
        <f t="shared" si="2"/>
        <v>1175.6119322339009</v>
      </c>
      <c r="E68" s="15">
        <v>0</v>
      </c>
      <c r="F68" s="15">
        <f t="shared" si="3"/>
        <v>937809.47713483998</v>
      </c>
      <c r="G68" s="15"/>
    </row>
    <row r="69" spans="1:7">
      <c r="A69">
        <v>64</v>
      </c>
      <c r="B69" s="35">
        <f t="shared" si="0"/>
        <v>6653.0249517918319</v>
      </c>
      <c r="C69" s="15">
        <f t="shared" si="1"/>
        <v>5470.5552832865669</v>
      </c>
      <c r="D69" s="15">
        <f t="shared" si="2"/>
        <v>1182.469668505265</v>
      </c>
      <c r="E69" s="15">
        <v>0</v>
      </c>
      <c r="F69" s="15">
        <f t="shared" si="3"/>
        <v>936627.00746633473</v>
      </c>
      <c r="G69" s="15"/>
    </row>
    <row r="70" spans="1:7">
      <c r="A70">
        <v>65</v>
      </c>
      <c r="B70" s="35">
        <f t="shared" si="0"/>
        <v>6653.0249517918319</v>
      </c>
      <c r="C70" s="15">
        <f t="shared" si="1"/>
        <v>5463.6575435536197</v>
      </c>
      <c r="D70" s="15">
        <f t="shared" si="2"/>
        <v>1189.3674082382122</v>
      </c>
      <c r="E70" s="15">
        <v>0</v>
      </c>
      <c r="F70" s="15">
        <f t="shared" si="3"/>
        <v>935437.6400580965</v>
      </c>
      <c r="G70" s="15"/>
    </row>
    <row r="71" spans="1:7">
      <c r="A71">
        <v>66</v>
      </c>
      <c r="B71" s="35">
        <f t="shared" ref="B71:B134" si="4">PMT(($C$2/12),$C$3,-$C$1,0)</f>
        <v>6653.0249517918319</v>
      </c>
      <c r="C71" s="15">
        <f t="shared" ref="C71:C134" si="5">F70*($C$2/12)</f>
        <v>5456.7195670055635</v>
      </c>
      <c r="D71" s="15">
        <f t="shared" ref="D71:D134" si="6">B71-C71</f>
        <v>1196.3053847862684</v>
      </c>
      <c r="E71" s="15">
        <v>0</v>
      </c>
      <c r="F71" s="15">
        <f t="shared" ref="F71:F134" si="7">F70-D71-E71</f>
        <v>934241.33467331028</v>
      </c>
      <c r="G71" s="15"/>
    </row>
    <row r="72" spans="1:7">
      <c r="A72">
        <v>67</v>
      </c>
      <c r="B72" s="35">
        <f t="shared" si="4"/>
        <v>6653.0249517918319</v>
      </c>
      <c r="C72" s="15">
        <f t="shared" si="5"/>
        <v>5449.7411189276436</v>
      </c>
      <c r="D72" s="15">
        <f t="shared" si="6"/>
        <v>1203.2838328641883</v>
      </c>
      <c r="E72" s="15">
        <v>0</v>
      </c>
      <c r="F72" s="15">
        <f t="shared" si="7"/>
        <v>933038.05084044614</v>
      </c>
      <c r="G72" s="15"/>
    </row>
    <row r="73" spans="1:7">
      <c r="A73">
        <v>68</v>
      </c>
      <c r="B73" s="35">
        <f t="shared" si="4"/>
        <v>6653.0249517918319</v>
      </c>
      <c r="C73" s="15">
        <f t="shared" si="5"/>
        <v>5442.7219632359365</v>
      </c>
      <c r="D73" s="15">
        <f t="shared" si="6"/>
        <v>1210.3029885558954</v>
      </c>
      <c r="E73" s="15">
        <v>0</v>
      </c>
      <c r="F73" s="15">
        <f t="shared" si="7"/>
        <v>931827.74785189028</v>
      </c>
      <c r="G73" s="15"/>
    </row>
    <row r="74" spans="1:7">
      <c r="A74">
        <v>69</v>
      </c>
      <c r="B74" s="35">
        <f t="shared" si="4"/>
        <v>6653.0249517918319</v>
      </c>
      <c r="C74" s="15">
        <f t="shared" si="5"/>
        <v>5435.6618624693601</v>
      </c>
      <c r="D74" s="15">
        <f t="shared" si="6"/>
        <v>1217.3630893224718</v>
      </c>
      <c r="E74" s="15">
        <v>0</v>
      </c>
      <c r="F74" s="15">
        <f t="shared" si="7"/>
        <v>930610.38476256782</v>
      </c>
      <c r="G74" s="15"/>
    </row>
    <row r="75" spans="1:7">
      <c r="A75">
        <v>70</v>
      </c>
      <c r="B75" s="35">
        <f t="shared" si="4"/>
        <v>6653.0249517918319</v>
      </c>
      <c r="C75" s="15">
        <f t="shared" si="5"/>
        <v>5428.5605777816454</v>
      </c>
      <c r="D75" s="15">
        <f t="shared" si="6"/>
        <v>1224.4643740101865</v>
      </c>
      <c r="E75" s="15">
        <v>0</v>
      </c>
      <c r="F75" s="15">
        <f t="shared" si="7"/>
        <v>929385.9203885576</v>
      </c>
      <c r="G75" s="15"/>
    </row>
    <row r="76" spans="1:7">
      <c r="A76">
        <v>71</v>
      </c>
      <c r="B76" s="35">
        <f t="shared" si="4"/>
        <v>6653.0249517918319</v>
      </c>
      <c r="C76" s="15">
        <f t="shared" si="5"/>
        <v>5421.417868933253</v>
      </c>
      <c r="D76" s="15">
        <f t="shared" si="6"/>
        <v>1231.6070828585789</v>
      </c>
      <c r="E76" s="15">
        <v>0</v>
      </c>
      <c r="F76" s="15">
        <f t="shared" si="7"/>
        <v>928154.31330569903</v>
      </c>
      <c r="G76" s="15"/>
    </row>
    <row r="77" spans="1:7">
      <c r="A77">
        <v>72</v>
      </c>
      <c r="B77" s="35">
        <f t="shared" si="4"/>
        <v>6653.0249517918319</v>
      </c>
      <c r="C77" s="15">
        <f t="shared" si="5"/>
        <v>5414.2334942832449</v>
      </c>
      <c r="D77" s="15">
        <f t="shared" si="6"/>
        <v>1238.791457508587</v>
      </c>
      <c r="E77" s="15">
        <v>0</v>
      </c>
      <c r="F77" s="15">
        <f t="shared" si="7"/>
        <v>926915.52184819046</v>
      </c>
      <c r="G77" s="15"/>
    </row>
    <row r="78" spans="1:7">
      <c r="A78">
        <v>73</v>
      </c>
      <c r="B78" s="35">
        <f t="shared" si="4"/>
        <v>6653.0249517918319</v>
      </c>
      <c r="C78" s="15">
        <f t="shared" si="5"/>
        <v>5407.0072107811111</v>
      </c>
      <c r="D78" s="15">
        <f t="shared" si="6"/>
        <v>1246.0177410107208</v>
      </c>
      <c r="E78" s="15">
        <v>0</v>
      </c>
      <c r="F78" s="15">
        <f t="shared" si="7"/>
        <v>925669.5041071797</v>
      </c>
      <c r="G78" s="15"/>
    </row>
    <row r="79" spans="1:7">
      <c r="A79">
        <v>74</v>
      </c>
      <c r="B79" s="35">
        <f t="shared" si="4"/>
        <v>6653.0249517918319</v>
      </c>
      <c r="C79" s="15">
        <f t="shared" si="5"/>
        <v>5399.7387739585483</v>
      </c>
      <c r="D79" s="15">
        <f t="shared" si="6"/>
        <v>1253.2861778332835</v>
      </c>
      <c r="E79" s="15">
        <v>0</v>
      </c>
      <c r="F79" s="15">
        <f t="shared" si="7"/>
        <v>924416.21792934637</v>
      </c>
      <c r="G79" s="15"/>
    </row>
    <row r="80" spans="1:7">
      <c r="A80">
        <v>75</v>
      </c>
      <c r="B80" s="35">
        <f t="shared" si="4"/>
        <v>6653.0249517918319</v>
      </c>
      <c r="C80" s="15">
        <f t="shared" si="5"/>
        <v>5392.4279379211875</v>
      </c>
      <c r="D80" s="15">
        <f t="shared" si="6"/>
        <v>1260.5970138706443</v>
      </c>
      <c r="E80" s="15">
        <v>0</v>
      </c>
      <c r="F80" s="15">
        <f t="shared" si="7"/>
        <v>923155.62091547577</v>
      </c>
      <c r="G80" s="15"/>
    </row>
    <row r="81" spans="1:7">
      <c r="A81">
        <v>76</v>
      </c>
      <c r="B81" s="35">
        <f t="shared" si="4"/>
        <v>6653.0249517918319</v>
      </c>
      <c r="C81" s="15">
        <f t="shared" si="5"/>
        <v>5385.0744553402756</v>
      </c>
      <c r="D81" s="15">
        <f t="shared" si="6"/>
        <v>1267.9504964515563</v>
      </c>
      <c r="E81" s="15">
        <v>0</v>
      </c>
      <c r="F81" s="15">
        <f t="shared" si="7"/>
        <v>921887.67041902419</v>
      </c>
      <c r="G81" s="15"/>
    </row>
    <row r="82" spans="1:7">
      <c r="A82">
        <v>77</v>
      </c>
      <c r="B82" s="35">
        <f t="shared" si="4"/>
        <v>6653.0249517918319</v>
      </c>
      <c r="C82" s="15">
        <f t="shared" si="5"/>
        <v>5377.6780774443077</v>
      </c>
      <c r="D82" s="15">
        <f t="shared" si="6"/>
        <v>1275.3468743475241</v>
      </c>
      <c r="E82" s="15">
        <v>0</v>
      </c>
      <c r="F82" s="15">
        <f t="shared" si="7"/>
        <v>920612.32354467665</v>
      </c>
      <c r="G82" s="15"/>
    </row>
    <row r="83" spans="1:7">
      <c r="A83">
        <v>78</v>
      </c>
      <c r="B83" s="35">
        <f t="shared" si="4"/>
        <v>6653.0249517918319</v>
      </c>
      <c r="C83" s="15">
        <f t="shared" si="5"/>
        <v>5370.2385540106143</v>
      </c>
      <c r="D83" s="15">
        <f t="shared" si="6"/>
        <v>1282.7863977812176</v>
      </c>
      <c r="E83" s="15">
        <v>0</v>
      </c>
      <c r="F83" s="15">
        <f t="shared" si="7"/>
        <v>919329.53714689543</v>
      </c>
      <c r="G83" s="15"/>
    </row>
    <row r="84" spans="1:7">
      <c r="A84">
        <v>79</v>
      </c>
      <c r="B84" s="35">
        <f t="shared" si="4"/>
        <v>6653.0249517918319</v>
      </c>
      <c r="C84" s="15">
        <f t="shared" si="5"/>
        <v>5362.75563335689</v>
      </c>
      <c r="D84" s="15">
        <f t="shared" si="6"/>
        <v>1290.2693184349419</v>
      </c>
      <c r="E84" s="15">
        <v>0</v>
      </c>
      <c r="F84" s="15">
        <f t="shared" si="7"/>
        <v>918039.26782846043</v>
      </c>
      <c r="G84" s="15"/>
    </row>
    <row r="85" spans="1:7">
      <c r="A85">
        <v>80</v>
      </c>
      <c r="B85" s="35">
        <f t="shared" si="4"/>
        <v>6653.0249517918319</v>
      </c>
      <c r="C85" s="15">
        <f t="shared" si="5"/>
        <v>5355.2290623326862</v>
      </c>
      <c r="D85" s="15">
        <f t="shared" si="6"/>
        <v>1297.7958894591457</v>
      </c>
      <c r="E85" s="15">
        <v>0</v>
      </c>
      <c r="F85" s="15">
        <f t="shared" si="7"/>
        <v>916741.47193900123</v>
      </c>
      <c r="G85" s="15"/>
    </row>
    <row r="86" spans="1:7">
      <c r="A86">
        <v>81</v>
      </c>
      <c r="B86" s="35">
        <f t="shared" si="4"/>
        <v>6653.0249517918319</v>
      </c>
      <c r="C86" s="15">
        <f t="shared" si="5"/>
        <v>5347.6585863108412</v>
      </c>
      <c r="D86" s="15">
        <f t="shared" si="6"/>
        <v>1305.3663654809907</v>
      </c>
      <c r="E86" s="15">
        <v>0</v>
      </c>
      <c r="F86" s="15">
        <f t="shared" si="7"/>
        <v>915436.1055735203</v>
      </c>
      <c r="G86" s="15"/>
    </row>
    <row r="87" spans="1:7">
      <c r="A87">
        <v>82</v>
      </c>
      <c r="B87" s="35">
        <f t="shared" si="4"/>
        <v>6653.0249517918319</v>
      </c>
      <c r="C87" s="15">
        <f t="shared" si="5"/>
        <v>5340.0439491788684</v>
      </c>
      <c r="D87" s="15">
        <f t="shared" si="6"/>
        <v>1312.9810026129635</v>
      </c>
      <c r="E87" s="15">
        <v>0</v>
      </c>
      <c r="F87" s="15">
        <f t="shared" si="7"/>
        <v>914123.12457090733</v>
      </c>
      <c r="G87" s="15"/>
    </row>
    <row r="88" spans="1:7">
      <c r="A88">
        <v>83</v>
      </c>
      <c r="B88" s="35">
        <f t="shared" si="4"/>
        <v>6653.0249517918319</v>
      </c>
      <c r="C88" s="15">
        <f t="shared" si="5"/>
        <v>5332.3848933302934</v>
      </c>
      <c r="D88" s="15">
        <f t="shared" si="6"/>
        <v>1320.6400584615385</v>
      </c>
      <c r="E88" s="15">
        <v>0</v>
      </c>
      <c r="F88" s="15">
        <f t="shared" si="7"/>
        <v>912802.48451244575</v>
      </c>
      <c r="G88" s="15"/>
    </row>
    <row r="89" spans="1:7">
      <c r="A89">
        <v>84</v>
      </c>
      <c r="B89" s="35">
        <f t="shared" si="4"/>
        <v>6653.0249517918319</v>
      </c>
      <c r="C89" s="15">
        <f t="shared" si="5"/>
        <v>5324.6811596559337</v>
      </c>
      <c r="D89" s="15">
        <f t="shared" si="6"/>
        <v>1328.3437921358982</v>
      </c>
      <c r="E89" s="15">
        <v>0</v>
      </c>
      <c r="F89" s="15">
        <f t="shared" si="7"/>
        <v>911474.14072030981</v>
      </c>
      <c r="G89" s="15"/>
    </row>
    <row r="90" spans="1:7">
      <c r="A90">
        <v>85</v>
      </c>
      <c r="B90" s="35">
        <f t="shared" si="4"/>
        <v>6653.0249517918319</v>
      </c>
      <c r="C90" s="15">
        <f t="shared" si="5"/>
        <v>5316.9324875351404</v>
      </c>
      <c r="D90" s="15">
        <f t="shared" si="6"/>
        <v>1336.0924642566915</v>
      </c>
      <c r="E90" s="15">
        <v>0</v>
      </c>
      <c r="F90" s="15">
        <f t="shared" si="7"/>
        <v>910138.04825605312</v>
      </c>
      <c r="G90" s="15"/>
    </row>
    <row r="91" spans="1:7">
      <c r="A91">
        <v>86</v>
      </c>
      <c r="B91" s="35">
        <f t="shared" si="4"/>
        <v>6653.0249517918319</v>
      </c>
      <c r="C91" s="15">
        <f t="shared" si="5"/>
        <v>5309.1386148269767</v>
      </c>
      <c r="D91" s="15">
        <f t="shared" si="6"/>
        <v>1343.8863369648552</v>
      </c>
      <c r="E91" s="15">
        <v>0</v>
      </c>
      <c r="F91" s="15">
        <f t="shared" si="7"/>
        <v>908794.16191908822</v>
      </c>
      <c r="G91" s="15"/>
    </row>
    <row r="92" spans="1:7">
      <c r="A92">
        <v>87</v>
      </c>
      <c r="B92" s="35">
        <f t="shared" si="4"/>
        <v>6653.0249517918319</v>
      </c>
      <c r="C92" s="15">
        <f t="shared" si="5"/>
        <v>5301.2992778613479</v>
      </c>
      <c r="D92" s="15">
        <f t="shared" si="6"/>
        <v>1351.7256739304839</v>
      </c>
      <c r="E92" s="15">
        <v>0</v>
      </c>
      <c r="F92" s="15">
        <f t="shared" si="7"/>
        <v>907442.43624515773</v>
      </c>
      <c r="G92" s="15"/>
    </row>
    <row r="93" spans="1:7">
      <c r="A93">
        <v>88</v>
      </c>
      <c r="B93" s="35">
        <f t="shared" si="4"/>
        <v>6653.0249517918319</v>
      </c>
      <c r="C93" s="15">
        <f t="shared" si="5"/>
        <v>5293.4142114300867</v>
      </c>
      <c r="D93" s="15">
        <f t="shared" si="6"/>
        <v>1359.6107403617452</v>
      </c>
      <c r="E93" s="15">
        <v>0</v>
      </c>
      <c r="F93" s="15">
        <f t="shared" si="7"/>
        <v>906082.825504796</v>
      </c>
      <c r="G93" s="15"/>
    </row>
    <row r="94" spans="1:7">
      <c r="A94">
        <v>89</v>
      </c>
      <c r="B94" s="35">
        <f t="shared" si="4"/>
        <v>6653.0249517918319</v>
      </c>
      <c r="C94" s="15">
        <f t="shared" si="5"/>
        <v>5285.4831487779766</v>
      </c>
      <c r="D94" s="15">
        <f t="shared" si="6"/>
        <v>1367.5418030138553</v>
      </c>
      <c r="E94" s="15">
        <v>0</v>
      </c>
      <c r="F94" s="15">
        <f t="shared" si="7"/>
        <v>904715.28370178211</v>
      </c>
      <c r="G94" s="15"/>
    </row>
    <row r="95" spans="1:7">
      <c r="A95">
        <v>90</v>
      </c>
      <c r="B95" s="35">
        <f t="shared" si="4"/>
        <v>6653.0249517918319</v>
      </c>
      <c r="C95" s="15">
        <f t="shared" si="5"/>
        <v>5277.5058215937288</v>
      </c>
      <c r="D95" s="15">
        <f t="shared" si="6"/>
        <v>1375.5191301981031</v>
      </c>
      <c r="E95" s="15">
        <v>0</v>
      </c>
      <c r="F95" s="15">
        <f t="shared" si="7"/>
        <v>903339.76457158406</v>
      </c>
      <c r="G95" s="15"/>
    </row>
    <row r="96" spans="1:7">
      <c r="A96">
        <v>91</v>
      </c>
      <c r="B96" s="35">
        <f t="shared" si="4"/>
        <v>6653.0249517918319</v>
      </c>
      <c r="C96" s="15">
        <f t="shared" si="5"/>
        <v>5269.4819600009068</v>
      </c>
      <c r="D96" s="15">
        <f t="shared" si="6"/>
        <v>1383.542991790925</v>
      </c>
      <c r="E96" s="15">
        <v>0</v>
      </c>
      <c r="F96" s="15">
        <f t="shared" si="7"/>
        <v>901956.22157979314</v>
      </c>
      <c r="G96" s="15"/>
    </row>
    <row r="97" spans="1:7">
      <c r="A97">
        <v>92</v>
      </c>
      <c r="B97" s="35">
        <f t="shared" si="4"/>
        <v>6653.0249517918319</v>
      </c>
      <c r="C97" s="15">
        <f t="shared" si="5"/>
        <v>5261.4112925487934</v>
      </c>
      <c r="D97" s="15">
        <f t="shared" si="6"/>
        <v>1391.6136592430385</v>
      </c>
      <c r="E97" s="15">
        <v>0</v>
      </c>
      <c r="F97" s="15">
        <f t="shared" si="7"/>
        <v>900564.60792055016</v>
      </c>
      <c r="G97" s="15"/>
    </row>
    <row r="98" spans="1:7">
      <c r="A98">
        <v>93</v>
      </c>
      <c r="B98" s="35">
        <f t="shared" si="4"/>
        <v>6653.0249517918319</v>
      </c>
      <c r="C98" s="15">
        <f t="shared" si="5"/>
        <v>5253.2935462032092</v>
      </c>
      <c r="D98" s="15">
        <f t="shared" si="6"/>
        <v>1399.7314055886227</v>
      </c>
      <c r="E98" s="15">
        <v>0</v>
      </c>
      <c r="F98" s="15">
        <f t="shared" si="7"/>
        <v>899164.87651496159</v>
      </c>
      <c r="G98" s="15"/>
    </row>
    <row r="99" spans="1:7">
      <c r="A99">
        <v>94</v>
      </c>
      <c r="B99" s="35">
        <f t="shared" si="4"/>
        <v>6653.0249517918319</v>
      </c>
      <c r="C99" s="15">
        <f t="shared" si="5"/>
        <v>5245.1284463372758</v>
      </c>
      <c r="D99" s="15">
        <f t="shared" si="6"/>
        <v>1407.8965054545561</v>
      </c>
      <c r="E99" s="15">
        <v>0</v>
      </c>
      <c r="F99" s="15">
        <f t="shared" si="7"/>
        <v>897756.98000950704</v>
      </c>
      <c r="G99" s="15"/>
    </row>
    <row r="100" spans="1:7">
      <c r="A100">
        <v>95</v>
      </c>
      <c r="B100" s="35">
        <f t="shared" si="4"/>
        <v>6653.0249517918319</v>
      </c>
      <c r="C100" s="15">
        <f t="shared" si="5"/>
        <v>5236.9157167221247</v>
      </c>
      <c r="D100" s="15">
        <f t="shared" si="6"/>
        <v>1416.1092350697072</v>
      </c>
      <c r="E100" s="15">
        <v>0</v>
      </c>
      <c r="F100" s="15">
        <f t="shared" si="7"/>
        <v>896340.87077443732</v>
      </c>
      <c r="G100" s="15"/>
    </row>
    <row r="101" spans="1:7">
      <c r="A101">
        <v>96</v>
      </c>
      <c r="B101" s="35">
        <f t="shared" si="4"/>
        <v>6653.0249517918319</v>
      </c>
      <c r="C101" s="15">
        <f t="shared" si="5"/>
        <v>5228.6550795175517</v>
      </c>
      <c r="D101" s="15">
        <f t="shared" si="6"/>
        <v>1424.3698722742802</v>
      </c>
      <c r="E101" s="15">
        <v>0</v>
      </c>
      <c r="F101" s="15">
        <f t="shared" si="7"/>
        <v>894916.5009021631</v>
      </c>
      <c r="G101" s="15"/>
    </row>
    <row r="102" spans="1:7">
      <c r="A102">
        <v>97</v>
      </c>
      <c r="B102" s="35">
        <f t="shared" si="4"/>
        <v>6653.0249517918319</v>
      </c>
      <c r="C102" s="15">
        <f t="shared" si="5"/>
        <v>5220.3462552626179</v>
      </c>
      <c r="D102" s="15">
        <f t="shared" si="6"/>
        <v>1432.678696529214</v>
      </c>
      <c r="E102" s="15">
        <v>0</v>
      </c>
      <c r="F102" s="15">
        <f t="shared" si="7"/>
        <v>893483.82220563386</v>
      </c>
      <c r="G102" s="15"/>
    </row>
    <row r="103" spans="1:7">
      <c r="A103">
        <v>98</v>
      </c>
      <c r="B103" s="35">
        <f t="shared" si="4"/>
        <v>6653.0249517918319</v>
      </c>
      <c r="C103" s="15">
        <f t="shared" si="5"/>
        <v>5211.9889628661977</v>
      </c>
      <c r="D103" s="15">
        <f t="shared" si="6"/>
        <v>1441.0359889256342</v>
      </c>
      <c r="E103" s="15">
        <v>0</v>
      </c>
      <c r="F103" s="15">
        <f t="shared" si="7"/>
        <v>892042.78621670825</v>
      </c>
      <c r="G103" s="15"/>
    </row>
    <row r="104" spans="1:7">
      <c r="A104">
        <v>99</v>
      </c>
      <c r="B104" s="35">
        <f t="shared" si="4"/>
        <v>6653.0249517918319</v>
      </c>
      <c r="C104" s="15">
        <f t="shared" si="5"/>
        <v>5203.5829195974648</v>
      </c>
      <c r="D104" s="15">
        <f t="shared" si="6"/>
        <v>1449.4420321943671</v>
      </c>
      <c r="E104" s="15">
        <v>0</v>
      </c>
      <c r="F104" s="15">
        <f t="shared" si="7"/>
        <v>890593.3441845139</v>
      </c>
      <c r="G104" s="15"/>
    </row>
    <row r="105" spans="1:7">
      <c r="A105">
        <v>100</v>
      </c>
      <c r="B105" s="35">
        <f t="shared" si="4"/>
        <v>6653.0249517918319</v>
      </c>
      <c r="C105" s="15">
        <f t="shared" si="5"/>
        <v>5195.1278410763316</v>
      </c>
      <c r="D105" s="15">
        <f t="shared" si="6"/>
        <v>1457.8971107155003</v>
      </c>
      <c r="E105" s="15">
        <v>0</v>
      </c>
      <c r="F105" s="15">
        <f t="shared" si="7"/>
        <v>889135.44707379839</v>
      </c>
      <c r="G105" s="15"/>
    </row>
    <row r="106" spans="1:7">
      <c r="A106">
        <v>101</v>
      </c>
      <c r="B106" s="35">
        <f t="shared" si="4"/>
        <v>6653.0249517918319</v>
      </c>
      <c r="C106" s="15">
        <f t="shared" si="5"/>
        <v>5186.6234412638241</v>
      </c>
      <c r="D106" s="15">
        <f t="shared" si="6"/>
        <v>1466.4015105280077</v>
      </c>
      <c r="E106" s="15">
        <v>0</v>
      </c>
      <c r="F106" s="15">
        <f t="shared" si="7"/>
        <v>887669.04556327034</v>
      </c>
      <c r="G106" s="15"/>
    </row>
    <row r="107" spans="1:7">
      <c r="A107">
        <v>102</v>
      </c>
      <c r="B107" s="35">
        <f t="shared" si="4"/>
        <v>6653.0249517918319</v>
      </c>
      <c r="C107" s="15">
        <f t="shared" si="5"/>
        <v>5178.0694324524102</v>
      </c>
      <c r="D107" s="15">
        <f t="shared" si="6"/>
        <v>1474.9555193394217</v>
      </c>
      <c r="E107" s="15">
        <v>0</v>
      </c>
      <c r="F107" s="15">
        <f t="shared" si="7"/>
        <v>886194.09004393092</v>
      </c>
      <c r="G107" s="15"/>
    </row>
    <row r="108" spans="1:7">
      <c r="A108">
        <v>103</v>
      </c>
      <c r="B108" s="35">
        <f t="shared" si="4"/>
        <v>6653.0249517918319</v>
      </c>
      <c r="C108" s="15">
        <f t="shared" si="5"/>
        <v>5169.4655252562643</v>
      </c>
      <c r="D108" s="15">
        <f t="shared" si="6"/>
        <v>1483.5594265355676</v>
      </c>
      <c r="E108" s="15">
        <v>0</v>
      </c>
      <c r="F108" s="15">
        <f t="shared" si="7"/>
        <v>884710.5306173953</v>
      </c>
      <c r="G108" s="15"/>
    </row>
    <row r="109" spans="1:7">
      <c r="A109">
        <v>104</v>
      </c>
      <c r="B109" s="35">
        <f t="shared" si="4"/>
        <v>6653.0249517918319</v>
      </c>
      <c r="C109" s="15">
        <f t="shared" si="5"/>
        <v>5160.8114286014725</v>
      </c>
      <c r="D109" s="15">
        <f t="shared" si="6"/>
        <v>1492.2135231903594</v>
      </c>
      <c r="E109" s="15">
        <v>0</v>
      </c>
      <c r="F109" s="15">
        <f t="shared" si="7"/>
        <v>883218.31709420495</v>
      </c>
      <c r="G109" s="15"/>
    </row>
    <row r="110" spans="1:7">
      <c r="A110">
        <v>105</v>
      </c>
      <c r="B110" s="35">
        <f t="shared" si="4"/>
        <v>6653.0249517918319</v>
      </c>
      <c r="C110" s="15">
        <f t="shared" si="5"/>
        <v>5152.1068497161959</v>
      </c>
      <c r="D110" s="15">
        <f t="shared" si="6"/>
        <v>1500.9181020756359</v>
      </c>
      <c r="E110" s="15">
        <v>0</v>
      </c>
      <c r="F110" s="15">
        <f t="shared" si="7"/>
        <v>881717.39899212937</v>
      </c>
      <c r="G110" s="15"/>
    </row>
    <row r="111" spans="1:7">
      <c r="A111">
        <v>106</v>
      </c>
      <c r="B111" s="35">
        <f t="shared" si="4"/>
        <v>6653.0249517918319</v>
      </c>
      <c r="C111" s="15">
        <f t="shared" si="5"/>
        <v>5143.351494120755</v>
      </c>
      <c r="D111" s="15">
        <f t="shared" si="6"/>
        <v>1509.6734576710769</v>
      </c>
      <c r="E111" s="15">
        <v>0</v>
      </c>
      <c r="F111" s="15">
        <f t="shared" si="7"/>
        <v>880207.7255344583</v>
      </c>
      <c r="G111" s="15"/>
    </row>
    <row r="112" spans="1:7">
      <c r="A112">
        <v>107</v>
      </c>
      <c r="B112" s="35">
        <f t="shared" si="4"/>
        <v>6653.0249517918319</v>
      </c>
      <c r="C112" s="15">
        <f t="shared" si="5"/>
        <v>5134.5450656176736</v>
      </c>
      <c r="D112" s="15">
        <f t="shared" si="6"/>
        <v>1518.4798861741583</v>
      </c>
      <c r="E112" s="15">
        <v>0</v>
      </c>
      <c r="F112" s="15">
        <f t="shared" si="7"/>
        <v>878689.24564828409</v>
      </c>
      <c r="G112" s="15"/>
    </row>
    <row r="113" spans="1:7">
      <c r="A113">
        <v>108</v>
      </c>
      <c r="B113" s="35">
        <f t="shared" si="4"/>
        <v>6653.0249517918319</v>
      </c>
      <c r="C113" s="15">
        <f t="shared" si="5"/>
        <v>5125.6872662816577</v>
      </c>
      <c r="D113" s="15">
        <f t="shared" si="6"/>
        <v>1527.3376855101742</v>
      </c>
      <c r="E113" s="15">
        <v>0</v>
      </c>
      <c r="F113" s="15">
        <f t="shared" si="7"/>
        <v>877161.90796277393</v>
      </c>
      <c r="G113" s="15"/>
    </row>
    <row r="114" spans="1:7">
      <c r="A114">
        <v>109</v>
      </c>
      <c r="B114" s="35">
        <f t="shared" si="4"/>
        <v>6653.0249517918319</v>
      </c>
      <c r="C114" s="15">
        <f t="shared" si="5"/>
        <v>5116.7777964495144</v>
      </c>
      <c r="D114" s="15">
        <f t="shared" si="6"/>
        <v>1536.2471553423175</v>
      </c>
      <c r="E114" s="15">
        <v>0</v>
      </c>
      <c r="F114" s="15">
        <f t="shared" si="7"/>
        <v>875625.66080743156</v>
      </c>
      <c r="G114" s="15"/>
    </row>
    <row r="115" spans="1:7">
      <c r="A115">
        <v>110</v>
      </c>
      <c r="B115" s="35">
        <f t="shared" si="4"/>
        <v>6653.0249517918319</v>
      </c>
      <c r="C115" s="15">
        <f t="shared" si="5"/>
        <v>5107.8163547100175</v>
      </c>
      <c r="D115" s="15">
        <f t="shared" si="6"/>
        <v>1545.2085970818143</v>
      </c>
      <c r="E115" s="15">
        <v>0</v>
      </c>
      <c r="F115" s="15">
        <f t="shared" si="7"/>
        <v>874080.45221034973</v>
      </c>
      <c r="G115" s="15"/>
    </row>
    <row r="116" spans="1:7">
      <c r="A116">
        <v>111</v>
      </c>
      <c r="B116" s="35">
        <f t="shared" si="4"/>
        <v>6653.0249517918319</v>
      </c>
      <c r="C116" s="15">
        <f t="shared" si="5"/>
        <v>5098.8026378937066</v>
      </c>
      <c r="D116" s="15">
        <f t="shared" si="6"/>
        <v>1554.2223138981253</v>
      </c>
      <c r="E116" s="15">
        <v>0</v>
      </c>
      <c r="F116" s="15">
        <f t="shared" si="7"/>
        <v>872526.22989645158</v>
      </c>
      <c r="G116" s="15"/>
    </row>
    <row r="117" spans="1:7">
      <c r="A117">
        <v>112</v>
      </c>
      <c r="B117" s="35">
        <f t="shared" si="4"/>
        <v>6653.0249517918319</v>
      </c>
      <c r="C117" s="15">
        <f t="shared" si="5"/>
        <v>5089.7363410626349</v>
      </c>
      <c r="D117" s="15">
        <f t="shared" si="6"/>
        <v>1563.288610729197</v>
      </c>
      <c r="E117" s="15">
        <v>0</v>
      </c>
      <c r="F117" s="15">
        <f t="shared" si="7"/>
        <v>870962.94128572242</v>
      </c>
      <c r="G117" s="15"/>
    </row>
    <row r="118" spans="1:7">
      <c r="A118">
        <v>113</v>
      </c>
      <c r="B118" s="35">
        <f t="shared" si="4"/>
        <v>6653.0249517918319</v>
      </c>
      <c r="C118" s="15">
        <f t="shared" si="5"/>
        <v>5080.6171575000481</v>
      </c>
      <c r="D118" s="15">
        <f t="shared" si="6"/>
        <v>1572.4077942917838</v>
      </c>
      <c r="E118" s="15">
        <v>0</v>
      </c>
      <c r="F118" s="15">
        <f t="shared" si="7"/>
        <v>869390.53349143069</v>
      </c>
      <c r="G118" s="15"/>
    </row>
    <row r="119" spans="1:7">
      <c r="A119">
        <v>114</v>
      </c>
      <c r="B119" s="35">
        <f t="shared" si="4"/>
        <v>6653.0249517918319</v>
      </c>
      <c r="C119" s="15">
        <f t="shared" si="5"/>
        <v>5071.4447787000126</v>
      </c>
      <c r="D119" s="15">
        <f t="shared" si="6"/>
        <v>1581.5801730918192</v>
      </c>
      <c r="E119" s="15">
        <v>0</v>
      </c>
      <c r="F119" s="15">
        <f t="shared" si="7"/>
        <v>867808.95331833884</v>
      </c>
      <c r="G119" s="15"/>
    </row>
    <row r="120" spans="1:7">
      <c r="A120">
        <v>115</v>
      </c>
      <c r="B120" s="35">
        <f t="shared" si="4"/>
        <v>6653.0249517918319</v>
      </c>
      <c r="C120" s="15">
        <f t="shared" si="5"/>
        <v>5062.2188943569772</v>
      </c>
      <c r="D120" s="15">
        <f t="shared" si="6"/>
        <v>1590.8060574348547</v>
      </c>
      <c r="E120" s="15">
        <v>0</v>
      </c>
      <c r="F120" s="15">
        <f t="shared" si="7"/>
        <v>866218.14726090396</v>
      </c>
      <c r="G120" s="15"/>
    </row>
    <row r="121" spans="1:7">
      <c r="A121">
        <v>116</v>
      </c>
      <c r="B121" s="35">
        <f t="shared" si="4"/>
        <v>6653.0249517918319</v>
      </c>
      <c r="C121" s="15">
        <f t="shared" si="5"/>
        <v>5052.939192355273</v>
      </c>
      <c r="D121" s="15">
        <f t="shared" si="6"/>
        <v>1600.0857594365589</v>
      </c>
      <c r="E121" s="15">
        <v>0</v>
      </c>
      <c r="F121" s="15">
        <f t="shared" si="7"/>
        <v>864618.06150146737</v>
      </c>
      <c r="G121" s="15"/>
    </row>
    <row r="122" spans="1:7">
      <c r="A122">
        <v>117</v>
      </c>
      <c r="B122" s="35">
        <f t="shared" si="4"/>
        <v>6653.0249517918319</v>
      </c>
      <c r="C122" s="15">
        <f t="shared" si="5"/>
        <v>5043.6053587585602</v>
      </c>
      <c r="D122" s="15">
        <f t="shared" si="6"/>
        <v>1609.4195930332717</v>
      </c>
      <c r="E122" s="15">
        <v>0</v>
      </c>
      <c r="F122" s="15">
        <f t="shared" si="7"/>
        <v>863008.6419084341</v>
      </c>
      <c r="G122" s="15"/>
    </row>
    <row r="123" spans="1:7">
      <c r="A123">
        <v>118</v>
      </c>
      <c r="B123" s="35">
        <f t="shared" si="4"/>
        <v>6653.0249517918319</v>
      </c>
      <c r="C123" s="15">
        <f t="shared" si="5"/>
        <v>5034.2170777991996</v>
      </c>
      <c r="D123" s="15">
        <f t="shared" si="6"/>
        <v>1618.8078739926323</v>
      </c>
      <c r="E123" s="15">
        <v>0</v>
      </c>
      <c r="F123" s="15">
        <f t="shared" si="7"/>
        <v>861389.8340344415</v>
      </c>
      <c r="G123" s="15"/>
    </row>
    <row r="124" spans="1:7">
      <c r="A124">
        <v>119</v>
      </c>
      <c r="B124" s="35">
        <f t="shared" si="4"/>
        <v>6653.0249517918319</v>
      </c>
      <c r="C124" s="15">
        <f t="shared" si="5"/>
        <v>5024.774031867576</v>
      </c>
      <c r="D124" s="15">
        <f t="shared" si="6"/>
        <v>1628.2509199242559</v>
      </c>
      <c r="E124" s="15">
        <v>0</v>
      </c>
      <c r="F124" s="15">
        <f t="shared" si="7"/>
        <v>859761.58311451727</v>
      </c>
      <c r="G124" s="15"/>
    </row>
    <row r="125" spans="1:7">
      <c r="A125">
        <v>120</v>
      </c>
      <c r="B125" s="35">
        <f t="shared" si="4"/>
        <v>6653.0249517918319</v>
      </c>
      <c r="C125" s="15">
        <f t="shared" si="5"/>
        <v>5015.2759015013507</v>
      </c>
      <c r="D125" s="15">
        <f t="shared" si="6"/>
        <v>1637.7490502904811</v>
      </c>
      <c r="E125" s="15">
        <v>0</v>
      </c>
      <c r="F125" s="15">
        <f t="shared" si="7"/>
        <v>858123.83406422683</v>
      </c>
      <c r="G125" s="15"/>
    </row>
    <row r="126" spans="1:7">
      <c r="A126">
        <v>121</v>
      </c>
      <c r="B126" s="35">
        <f t="shared" si="4"/>
        <v>6653.0249517918319</v>
      </c>
      <c r="C126" s="15">
        <f t="shared" si="5"/>
        <v>5005.7223653746569</v>
      </c>
      <c r="D126" s="15">
        <f t="shared" si="6"/>
        <v>1647.302586417175</v>
      </c>
      <c r="E126" s="15">
        <v>0</v>
      </c>
      <c r="F126" s="15">
        <f t="shared" si="7"/>
        <v>856476.53147780965</v>
      </c>
      <c r="G126" s="15"/>
    </row>
    <row r="127" spans="1:7">
      <c r="A127">
        <v>122</v>
      </c>
      <c r="B127" s="35">
        <f t="shared" si="4"/>
        <v>6653.0249517918319</v>
      </c>
      <c r="C127" s="15">
        <f t="shared" si="5"/>
        <v>4996.1131002872235</v>
      </c>
      <c r="D127" s="15">
        <f t="shared" si="6"/>
        <v>1656.9118515046084</v>
      </c>
      <c r="E127" s="15">
        <v>0</v>
      </c>
      <c r="F127" s="15">
        <f t="shared" si="7"/>
        <v>854819.61962630507</v>
      </c>
      <c r="G127" s="15"/>
    </row>
    <row r="128" spans="1:7">
      <c r="A128">
        <v>123</v>
      </c>
      <c r="B128" s="35">
        <f t="shared" si="4"/>
        <v>6653.0249517918319</v>
      </c>
      <c r="C128" s="15">
        <f t="shared" si="5"/>
        <v>4986.4477811534462</v>
      </c>
      <c r="D128" s="15">
        <f t="shared" si="6"/>
        <v>1666.5771706383857</v>
      </c>
      <c r="E128" s="15">
        <v>0</v>
      </c>
      <c r="F128" s="15">
        <f t="shared" si="7"/>
        <v>853153.0424556667</v>
      </c>
      <c r="G128" s="15"/>
    </row>
    <row r="129" spans="1:7">
      <c r="A129">
        <v>124</v>
      </c>
      <c r="B129" s="35">
        <f t="shared" si="4"/>
        <v>6653.0249517918319</v>
      </c>
      <c r="C129" s="15">
        <f t="shared" si="5"/>
        <v>4976.7260809913896</v>
      </c>
      <c r="D129" s="15">
        <f t="shared" si="6"/>
        <v>1676.2988708004423</v>
      </c>
      <c r="E129" s="15">
        <v>0</v>
      </c>
      <c r="F129" s="15">
        <f t="shared" si="7"/>
        <v>851476.74358486629</v>
      </c>
      <c r="G129" s="15"/>
    </row>
    <row r="130" spans="1:7">
      <c r="A130">
        <v>125</v>
      </c>
      <c r="B130" s="35">
        <f t="shared" si="4"/>
        <v>6653.0249517918319</v>
      </c>
      <c r="C130" s="15">
        <f t="shared" si="5"/>
        <v>4966.9476709117198</v>
      </c>
      <c r="D130" s="15">
        <f t="shared" si="6"/>
        <v>1686.0772808801121</v>
      </c>
      <c r="E130" s="15">
        <v>0</v>
      </c>
      <c r="F130" s="15">
        <f t="shared" si="7"/>
        <v>849790.66630398622</v>
      </c>
      <c r="G130" s="15"/>
    </row>
    <row r="131" spans="1:7">
      <c r="A131">
        <v>126</v>
      </c>
      <c r="B131" s="35">
        <f t="shared" si="4"/>
        <v>6653.0249517918319</v>
      </c>
      <c r="C131" s="15">
        <f t="shared" si="5"/>
        <v>4957.1122201065864</v>
      </c>
      <c r="D131" s="15">
        <f t="shared" si="6"/>
        <v>1695.9127316852455</v>
      </c>
      <c r="E131" s="15">
        <v>0</v>
      </c>
      <c r="F131" s="15">
        <f t="shared" si="7"/>
        <v>848094.75357230101</v>
      </c>
      <c r="G131" s="15"/>
    </row>
    <row r="132" spans="1:7">
      <c r="A132">
        <v>127</v>
      </c>
      <c r="B132" s="35">
        <f t="shared" si="4"/>
        <v>6653.0249517918319</v>
      </c>
      <c r="C132" s="15">
        <f t="shared" si="5"/>
        <v>4947.2193958384232</v>
      </c>
      <c r="D132" s="15">
        <f t="shared" si="6"/>
        <v>1705.8055559534087</v>
      </c>
      <c r="E132" s="15">
        <v>0</v>
      </c>
      <c r="F132" s="15">
        <f t="shared" si="7"/>
        <v>846388.9480163476</v>
      </c>
      <c r="G132" s="15"/>
    </row>
    <row r="133" spans="1:7">
      <c r="A133">
        <v>128</v>
      </c>
      <c r="B133" s="35">
        <f t="shared" si="4"/>
        <v>6653.0249517918319</v>
      </c>
      <c r="C133" s="15">
        <f t="shared" si="5"/>
        <v>4937.2688634286942</v>
      </c>
      <c r="D133" s="15">
        <f t="shared" si="6"/>
        <v>1715.7560883631377</v>
      </c>
      <c r="E133" s="15">
        <v>0</v>
      </c>
      <c r="F133" s="15">
        <f t="shared" si="7"/>
        <v>844673.19192798447</v>
      </c>
      <c r="G133" s="15"/>
    </row>
    <row r="134" spans="1:7">
      <c r="A134">
        <v>129</v>
      </c>
      <c r="B134" s="35">
        <f t="shared" si="4"/>
        <v>6653.0249517918319</v>
      </c>
      <c r="C134" s="15">
        <f t="shared" si="5"/>
        <v>4927.2602862465765</v>
      </c>
      <c r="D134" s="15">
        <f t="shared" si="6"/>
        <v>1725.7646655452554</v>
      </c>
      <c r="E134" s="15">
        <v>0</v>
      </c>
      <c r="F134" s="15">
        <f t="shared" si="7"/>
        <v>842947.42726243916</v>
      </c>
      <c r="G134" s="15"/>
    </row>
    <row r="135" spans="1:7">
      <c r="A135">
        <v>130</v>
      </c>
      <c r="B135" s="35">
        <f t="shared" ref="B135:B198" si="8">PMT(($C$2/12),$C$3,-$C$1,0)</f>
        <v>6653.0249517918319</v>
      </c>
      <c r="C135" s="15">
        <f t="shared" ref="C135:C198" si="9">F134*($C$2/12)</f>
        <v>4917.1933256975617</v>
      </c>
      <c r="D135" s="15">
        <f t="shared" ref="D135:D198" si="10">B135-C135</f>
        <v>1735.8316260942702</v>
      </c>
      <c r="E135" s="15">
        <v>0</v>
      </c>
      <c r="F135" s="15">
        <f t="shared" ref="F135:F198" si="11">F134-D135-E135</f>
        <v>841211.59563634486</v>
      </c>
      <c r="G135" s="15"/>
    </row>
    <row r="136" spans="1:7">
      <c r="A136">
        <v>131</v>
      </c>
      <c r="B136" s="35">
        <f t="shared" si="8"/>
        <v>6653.0249517918319</v>
      </c>
      <c r="C136" s="15">
        <f t="shared" si="9"/>
        <v>4907.0676412120119</v>
      </c>
      <c r="D136" s="15">
        <f t="shared" si="10"/>
        <v>1745.9573105798199</v>
      </c>
      <c r="E136" s="15">
        <v>0</v>
      </c>
      <c r="F136" s="15">
        <f t="shared" si="11"/>
        <v>839465.63832576503</v>
      </c>
      <c r="G136" s="15"/>
    </row>
    <row r="137" spans="1:7">
      <c r="A137">
        <v>132</v>
      </c>
      <c r="B137" s="35">
        <f t="shared" si="8"/>
        <v>6653.0249517918319</v>
      </c>
      <c r="C137" s="15">
        <f t="shared" si="9"/>
        <v>4896.88289023363</v>
      </c>
      <c r="D137" s="15">
        <f t="shared" si="10"/>
        <v>1756.1420615582019</v>
      </c>
      <c r="E137" s="15">
        <v>0</v>
      </c>
      <c r="F137" s="15">
        <f t="shared" si="11"/>
        <v>837709.49626420683</v>
      </c>
      <c r="G137" s="15"/>
    </row>
    <row r="138" spans="1:7">
      <c r="A138">
        <v>133</v>
      </c>
      <c r="B138" s="35">
        <f t="shared" si="8"/>
        <v>6653.0249517918319</v>
      </c>
      <c r="C138" s="15">
        <f t="shared" si="9"/>
        <v>4886.6387282078731</v>
      </c>
      <c r="D138" s="15">
        <f t="shared" si="10"/>
        <v>1766.3862235839588</v>
      </c>
      <c r="E138" s="15">
        <v>0</v>
      </c>
      <c r="F138" s="15">
        <f t="shared" si="11"/>
        <v>835943.11004062288</v>
      </c>
      <c r="G138" s="15"/>
    </row>
    <row r="139" spans="1:7">
      <c r="A139">
        <v>134</v>
      </c>
      <c r="B139" s="35">
        <f t="shared" si="8"/>
        <v>6653.0249517918319</v>
      </c>
      <c r="C139" s="15">
        <f t="shared" si="9"/>
        <v>4876.3348085703001</v>
      </c>
      <c r="D139" s="15">
        <f t="shared" si="10"/>
        <v>1776.6901432215318</v>
      </c>
      <c r="E139" s="15">
        <v>0</v>
      </c>
      <c r="F139" s="15">
        <f t="shared" si="11"/>
        <v>834166.41989740136</v>
      </c>
      <c r="G139" s="15"/>
    </row>
    <row r="140" spans="1:7">
      <c r="A140">
        <v>135</v>
      </c>
      <c r="B140" s="35">
        <f t="shared" si="8"/>
        <v>6653.0249517918319</v>
      </c>
      <c r="C140" s="15">
        <f t="shared" si="9"/>
        <v>4865.9707827348411</v>
      </c>
      <c r="D140" s="15">
        <f t="shared" si="10"/>
        <v>1787.0541690569908</v>
      </c>
      <c r="E140" s="15">
        <v>0</v>
      </c>
      <c r="F140" s="15">
        <f t="shared" si="11"/>
        <v>832379.36572834442</v>
      </c>
      <c r="G140" s="15"/>
    </row>
    <row r="141" spans="1:7">
      <c r="A141">
        <v>136</v>
      </c>
      <c r="B141" s="35">
        <f t="shared" si="8"/>
        <v>6653.0249517918319</v>
      </c>
      <c r="C141" s="15">
        <f t="shared" si="9"/>
        <v>4855.5463000820091</v>
      </c>
      <c r="D141" s="15">
        <f t="shared" si="10"/>
        <v>1797.4786517098228</v>
      </c>
      <c r="E141" s="15">
        <v>0</v>
      </c>
      <c r="F141" s="15">
        <f t="shared" si="11"/>
        <v>830581.88707663456</v>
      </c>
      <c r="G141" s="15"/>
    </row>
    <row r="142" spans="1:7">
      <c r="A142">
        <v>137</v>
      </c>
      <c r="B142" s="35">
        <f t="shared" si="8"/>
        <v>6653.0249517918319</v>
      </c>
      <c r="C142" s="15">
        <f t="shared" si="9"/>
        <v>4845.0610079470353</v>
      </c>
      <c r="D142" s="15">
        <f t="shared" si="10"/>
        <v>1807.9639438447966</v>
      </c>
      <c r="E142" s="15">
        <v>0</v>
      </c>
      <c r="F142" s="15">
        <f t="shared" si="11"/>
        <v>828773.92313278979</v>
      </c>
      <c r="G142" s="15"/>
    </row>
    <row r="143" spans="1:7">
      <c r="A143">
        <v>138</v>
      </c>
      <c r="B143" s="35">
        <f t="shared" si="8"/>
        <v>6653.0249517918319</v>
      </c>
      <c r="C143" s="15">
        <f t="shared" si="9"/>
        <v>4834.514551607941</v>
      </c>
      <c r="D143" s="15">
        <f t="shared" si="10"/>
        <v>1818.5104001838909</v>
      </c>
      <c r="E143" s="15">
        <v>0</v>
      </c>
      <c r="F143" s="15">
        <f t="shared" si="11"/>
        <v>826955.41273260594</v>
      </c>
      <c r="G143" s="15"/>
    </row>
    <row r="144" spans="1:7">
      <c r="A144">
        <v>139</v>
      </c>
      <c r="B144" s="35">
        <f t="shared" si="8"/>
        <v>6653.0249517918319</v>
      </c>
      <c r="C144" s="15">
        <f t="shared" si="9"/>
        <v>4823.9065742735347</v>
      </c>
      <c r="D144" s="15">
        <f t="shared" si="10"/>
        <v>1829.1183775182972</v>
      </c>
      <c r="E144" s="15">
        <v>0</v>
      </c>
      <c r="F144" s="15">
        <f t="shared" si="11"/>
        <v>825126.29435508768</v>
      </c>
      <c r="G144" s="15"/>
    </row>
    <row r="145" spans="1:7">
      <c r="A145">
        <v>140</v>
      </c>
      <c r="B145" s="35">
        <f t="shared" si="8"/>
        <v>6653.0249517918319</v>
      </c>
      <c r="C145" s="15">
        <f t="shared" si="9"/>
        <v>4813.2367170713451</v>
      </c>
      <c r="D145" s="15">
        <f t="shared" si="10"/>
        <v>1839.7882347204868</v>
      </c>
      <c r="E145" s="15">
        <v>0</v>
      </c>
      <c r="F145" s="15">
        <f t="shared" si="11"/>
        <v>823286.50612036721</v>
      </c>
      <c r="G145" s="15"/>
    </row>
    <row r="146" spans="1:7">
      <c r="A146">
        <v>141</v>
      </c>
      <c r="B146" s="35">
        <f t="shared" si="8"/>
        <v>6653.0249517918319</v>
      </c>
      <c r="C146" s="15">
        <f t="shared" si="9"/>
        <v>4802.504619035476</v>
      </c>
      <c r="D146" s="15">
        <f t="shared" si="10"/>
        <v>1850.5203327563559</v>
      </c>
      <c r="E146" s="15">
        <v>0</v>
      </c>
      <c r="F146" s="15">
        <f t="shared" si="11"/>
        <v>821435.98578761087</v>
      </c>
      <c r="G146" s="15"/>
    </row>
    <row r="147" spans="1:7">
      <c r="A147">
        <v>142</v>
      </c>
      <c r="B147" s="35">
        <f t="shared" si="8"/>
        <v>6653.0249517918319</v>
      </c>
      <c r="C147" s="15">
        <f t="shared" si="9"/>
        <v>4791.7099170943966</v>
      </c>
      <c r="D147" s="15">
        <f t="shared" si="10"/>
        <v>1861.3150346974353</v>
      </c>
      <c r="E147" s="15">
        <v>0</v>
      </c>
      <c r="F147" s="15">
        <f t="shared" si="11"/>
        <v>819574.67075291346</v>
      </c>
      <c r="G147" s="15"/>
    </row>
    <row r="148" spans="1:7">
      <c r="A148">
        <v>143</v>
      </c>
      <c r="B148" s="35">
        <f t="shared" si="8"/>
        <v>6653.0249517918319</v>
      </c>
      <c r="C148" s="15">
        <f t="shared" si="9"/>
        <v>4780.8522460586619</v>
      </c>
      <c r="D148" s="15">
        <f t="shared" si="10"/>
        <v>1872.17270573317</v>
      </c>
      <c r="E148" s="15">
        <v>0</v>
      </c>
      <c r="F148" s="15">
        <f t="shared" si="11"/>
        <v>817702.49804718024</v>
      </c>
      <c r="G148" s="15"/>
    </row>
    <row r="149" spans="1:7">
      <c r="A149">
        <v>144</v>
      </c>
      <c r="B149" s="35">
        <f t="shared" si="8"/>
        <v>6653.0249517918319</v>
      </c>
      <c r="C149" s="15">
        <f t="shared" si="9"/>
        <v>4769.9312386085512</v>
      </c>
      <c r="D149" s="15">
        <f t="shared" si="10"/>
        <v>1883.0937131832807</v>
      </c>
      <c r="E149" s="15">
        <v>0</v>
      </c>
      <c r="F149" s="15">
        <f t="shared" si="11"/>
        <v>815819.40433399694</v>
      </c>
      <c r="G149" s="15"/>
    </row>
    <row r="150" spans="1:7">
      <c r="A150">
        <v>145</v>
      </c>
      <c r="B150" s="35">
        <f t="shared" si="8"/>
        <v>6653.0249517918319</v>
      </c>
      <c r="C150" s="15">
        <f t="shared" si="9"/>
        <v>4758.946525281649</v>
      </c>
      <c r="D150" s="15">
        <f t="shared" si="10"/>
        <v>1894.0784265101829</v>
      </c>
      <c r="E150" s="15">
        <v>0</v>
      </c>
      <c r="F150" s="15">
        <f t="shared" si="11"/>
        <v>813925.32590748672</v>
      </c>
      <c r="G150" s="15"/>
    </row>
    <row r="151" spans="1:7">
      <c r="A151">
        <v>146</v>
      </c>
      <c r="B151" s="35">
        <f t="shared" si="8"/>
        <v>6653.0249517918319</v>
      </c>
      <c r="C151" s="15">
        <f t="shared" si="9"/>
        <v>4747.8977344603391</v>
      </c>
      <c r="D151" s="15">
        <f t="shared" si="10"/>
        <v>1905.1272173314928</v>
      </c>
      <c r="E151" s="15">
        <v>0</v>
      </c>
      <c r="F151" s="15">
        <f t="shared" si="11"/>
        <v>812020.19869015529</v>
      </c>
      <c r="G151" s="15"/>
    </row>
    <row r="152" spans="1:7">
      <c r="A152">
        <v>147</v>
      </c>
      <c r="B152" s="35">
        <f t="shared" si="8"/>
        <v>6653.0249517918319</v>
      </c>
      <c r="C152" s="15">
        <f t="shared" si="9"/>
        <v>4736.7844923592393</v>
      </c>
      <c r="D152" s="15">
        <f t="shared" si="10"/>
        <v>1916.2404594325926</v>
      </c>
      <c r="E152" s="15">
        <v>0</v>
      </c>
      <c r="F152" s="15">
        <f t="shared" si="11"/>
        <v>810103.9582307227</v>
      </c>
      <c r="G152" s="15"/>
    </row>
    <row r="153" spans="1:7">
      <c r="A153">
        <v>148</v>
      </c>
      <c r="B153" s="35">
        <f t="shared" si="8"/>
        <v>6653.0249517918319</v>
      </c>
      <c r="C153" s="15">
        <f t="shared" si="9"/>
        <v>4725.6064230125494</v>
      </c>
      <c r="D153" s="15">
        <f t="shared" si="10"/>
        <v>1927.4185287792825</v>
      </c>
      <c r="E153" s="15">
        <v>0</v>
      </c>
      <c r="F153" s="15">
        <f t="shared" si="11"/>
        <v>808176.5397019434</v>
      </c>
      <c r="G153" s="15"/>
    </row>
    <row r="154" spans="1:7">
      <c r="A154">
        <v>149</v>
      </c>
      <c r="B154" s="35">
        <f t="shared" si="8"/>
        <v>6653.0249517918319</v>
      </c>
      <c r="C154" s="15">
        <f t="shared" si="9"/>
        <v>4714.3631482613364</v>
      </c>
      <c r="D154" s="15">
        <f t="shared" si="10"/>
        <v>1938.6618035304955</v>
      </c>
      <c r="E154" s="15">
        <v>0</v>
      </c>
      <c r="F154" s="15">
        <f t="shared" si="11"/>
        <v>806237.87789841287</v>
      </c>
      <c r="G154" s="15"/>
    </row>
    <row r="155" spans="1:7">
      <c r="A155">
        <v>150</v>
      </c>
      <c r="B155" s="35">
        <f t="shared" si="8"/>
        <v>6653.0249517918319</v>
      </c>
      <c r="C155" s="15">
        <f t="shared" si="9"/>
        <v>4703.0542877407415</v>
      </c>
      <c r="D155" s="15">
        <f t="shared" si="10"/>
        <v>1949.9706640510904</v>
      </c>
      <c r="E155" s="15">
        <v>0</v>
      </c>
      <c r="F155" s="15">
        <f t="shared" si="11"/>
        <v>804287.90723436174</v>
      </c>
      <c r="G155" s="15"/>
    </row>
    <row r="156" spans="1:7">
      <c r="A156">
        <v>151</v>
      </c>
      <c r="B156" s="35">
        <f t="shared" si="8"/>
        <v>6653.0249517918319</v>
      </c>
      <c r="C156" s="15">
        <f t="shared" si="9"/>
        <v>4691.67945886711</v>
      </c>
      <c r="D156" s="15">
        <f t="shared" si="10"/>
        <v>1961.3454929247218</v>
      </c>
      <c r="E156" s="15">
        <v>0</v>
      </c>
      <c r="F156" s="15">
        <f t="shared" si="11"/>
        <v>802326.56174143706</v>
      </c>
      <c r="G156" s="15"/>
    </row>
    <row r="157" spans="1:7">
      <c r="A157">
        <v>152</v>
      </c>
      <c r="B157" s="35">
        <f t="shared" si="8"/>
        <v>6653.0249517918319</v>
      </c>
      <c r="C157" s="15">
        <f t="shared" si="9"/>
        <v>4680.23827682505</v>
      </c>
      <c r="D157" s="15">
        <f t="shared" si="10"/>
        <v>1972.7866749667819</v>
      </c>
      <c r="E157" s="15">
        <v>0</v>
      </c>
      <c r="F157" s="15">
        <f t="shared" si="11"/>
        <v>800353.77506647026</v>
      </c>
      <c r="G157" s="15"/>
    </row>
    <row r="158" spans="1:7">
      <c r="A158">
        <v>153</v>
      </c>
      <c r="B158" s="35">
        <f t="shared" si="8"/>
        <v>6653.0249517918319</v>
      </c>
      <c r="C158" s="15">
        <f t="shared" si="9"/>
        <v>4668.73035455441</v>
      </c>
      <c r="D158" s="15">
        <f t="shared" si="10"/>
        <v>1984.2945972374218</v>
      </c>
      <c r="E158" s="15">
        <v>0</v>
      </c>
      <c r="F158" s="15">
        <f t="shared" si="11"/>
        <v>798369.48046923289</v>
      </c>
      <c r="G158" s="15"/>
    </row>
    <row r="159" spans="1:7">
      <c r="A159">
        <v>154</v>
      </c>
      <c r="B159" s="35">
        <f t="shared" si="8"/>
        <v>6653.0249517918319</v>
      </c>
      <c r="C159" s="15">
        <f t="shared" si="9"/>
        <v>4657.155302737192</v>
      </c>
      <c r="D159" s="15">
        <f t="shared" si="10"/>
        <v>1995.8696490546399</v>
      </c>
      <c r="E159" s="15">
        <v>0</v>
      </c>
      <c r="F159" s="15">
        <f t="shared" si="11"/>
        <v>796373.61082017829</v>
      </c>
      <c r="G159" s="15"/>
    </row>
    <row r="160" spans="1:7">
      <c r="A160">
        <v>155</v>
      </c>
      <c r="B160" s="35">
        <f t="shared" si="8"/>
        <v>6653.0249517918319</v>
      </c>
      <c r="C160" s="15">
        <f t="shared" si="9"/>
        <v>4645.5127297843737</v>
      </c>
      <c r="D160" s="15">
        <f t="shared" si="10"/>
        <v>2007.5122220074581</v>
      </c>
      <c r="E160" s="15">
        <v>0</v>
      </c>
      <c r="F160" s="15">
        <f t="shared" si="11"/>
        <v>794366.09859817079</v>
      </c>
      <c r="G160" s="15"/>
    </row>
    <row r="161" spans="1:7">
      <c r="A161">
        <v>156</v>
      </c>
      <c r="B161" s="35">
        <f t="shared" si="8"/>
        <v>6653.0249517918319</v>
      </c>
      <c r="C161" s="15">
        <f t="shared" si="9"/>
        <v>4633.8022418226628</v>
      </c>
      <c r="D161" s="15">
        <f t="shared" si="10"/>
        <v>2019.222709969169</v>
      </c>
      <c r="E161" s="15">
        <v>0</v>
      </c>
      <c r="F161" s="15">
        <f t="shared" si="11"/>
        <v>792346.87588820164</v>
      </c>
      <c r="G161" s="15"/>
    </row>
    <row r="162" spans="1:7">
      <c r="A162">
        <v>157</v>
      </c>
      <c r="B162" s="35">
        <f t="shared" si="8"/>
        <v>6653.0249517918319</v>
      </c>
      <c r="C162" s="15">
        <f t="shared" si="9"/>
        <v>4622.0234426811767</v>
      </c>
      <c r="D162" s="15">
        <f t="shared" si="10"/>
        <v>2031.0015091106552</v>
      </c>
      <c r="E162" s="15">
        <v>0</v>
      </c>
      <c r="F162" s="15">
        <f t="shared" si="11"/>
        <v>790315.87437909096</v>
      </c>
      <c r="G162" s="15"/>
    </row>
    <row r="163" spans="1:7">
      <c r="A163">
        <v>158</v>
      </c>
      <c r="B163" s="35">
        <f t="shared" si="8"/>
        <v>6653.0249517918319</v>
      </c>
      <c r="C163" s="15">
        <f t="shared" si="9"/>
        <v>4610.1759338780312</v>
      </c>
      <c r="D163" s="15">
        <f t="shared" si="10"/>
        <v>2042.8490179138007</v>
      </c>
      <c r="E163" s="15">
        <v>0</v>
      </c>
      <c r="F163" s="15">
        <f t="shared" si="11"/>
        <v>788273.02536117716</v>
      </c>
      <c r="G163" s="15"/>
    </row>
    <row r="164" spans="1:7">
      <c r="A164">
        <v>159</v>
      </c>
      <c r="B164" s="35">
        <f t="shared" si="8"/>
        <v>6653.0249517918319</v>
      </c>
      <c r="C164" s="15">
        <f t="shared" si="9"/>
        <v>4598.2593146068666</v>
      </c>
      <c r="D164" s="15">
        <f t="shared" si="10"/>
        <v>2054.7656371849653</v>
      </c>
      <c r="E164" s="15">
        <v>0</v>
      </c>
      <c r="F164" s="15">
        <f t="shared" si="11"/>
        <v>786218.2597239922</v>
      </c>
      <c r="G164" s="15"/>
    </row>
    <row r="165" spans="1:7">
      <c r="A165">
        <v>160</v>
      </c>
      <c r="B165" s="35">
        <f t="shared" si="8"/>
        <v>6653.0249517918319</v>
      </c>
      <c r="C165" s="15">
        <f t="shared" si="9"/>
        <v>4586.273181723288</v>
      </c>
      <c r="D165" s="15">
        <f t="shared" si="10"/>
        <v>2066.7517700685439</v>
      </c>
      <c r="E165" s="15">
        <v>0</v>
      </c>
      <c r="F165" s="15">
        <f t="shared" si="11"/>
        <v>784151.50795392366</v>
      </c>
      <c r="G165" s="15"/>
    </row>
    <row r="166" spans="1:7">
      <c r="A166">
        <v>161</v>
      </c>
      <c r="B166" s="35">
        <f t="shared" si="8"/>
        <v>6653.0249517918319</v>
      </c>
      <c r="C166" s="15">
        <f t="shared" si="9"/>
        <v>4574.2171297312216</v>
      </c>
      <c r="D166" s="15">
        <f t="shared" si="10"/>
        <v>2078.8078220606103</v>
      </c>
      <c r="E166" s="15">
        <v>0</v>
      </c>
      <c r="F166" s="15">
        <f t="shared" si="11"/>
        <v>782072.70013186301</v>
      </c>
      <c r="G166" s="15"/>
    </row>
    <row r="167" spans="1:7">
      <c r="A167">
        <v>162</v>
      </c>
      <c r="B167" s="35">
        <f t="shared" si="8"/>
        <v>6653.0249517918319</v>
      </c>
      <c r="C167" s="15">
        <f t="shared" si="9"/>
        <v>4562.0907507692009</v>
      </c>
      <c r="D167" s="15">
        <f t="shared" si="10"/>
        <v>2090.934201022631</v>
      </c>
      <c r="E167" s="15">
        <v>0</v>
      </c>
      <c r="F167" s="15">
        <f t="shared" si="11"/>
        <v>779981.7659308404</v>
      </c>
      <c r="G167" s="15"/>
    </row>
    <row r="168" spans="1:7">
      <c r="A168">
        <v>163</v>
      </c>
      <c r="B168" s="35">
        <f t="shared" si="8"/>
        <v>6653.0249517918319</v>
      </c>
      <c r="C168" s="15">
        <f t="shared" si="9"/>
        <v>4549.8936345965694</v>
      </c>
      <c r="D168" s="15">
        <f t="shared" si="10"/>
        <v>2103.1313171952625</v>
      </c>
      <c r="E168" s="15">
        <v>0</v>
      </c>
      <c r="F168" s="15">
        <f t="shared" si="11"/>
        <v>777878.63461364515</v>
      </c>
      <c r="G168" s="15"/>
    </row>
    <row r="169" spans="1:7">
      <c r="A169">
        <v>164</v>
      </c>
      <c r="B169" s="35">
        <f t="shared" si="8"/>
        <v>6653.0249517918319</v>
      </c>
      <c r="C169" s="15">
        <f t="shared" si="9"/>
        <v>4537.6253685795973</v>
      </c>
      <c r="D169" s="15">
        <f t="shared" si="10"/>
        <v>2115.3995832122346</v>
      </c>
      <c r="E169" s="15">
        <v>0</v>
      </c>
      <c r="F169" s="15">
        <f t="shared" si="11"/>
        <v>775763.23503043293</v>
      </c>
      <c r="G169" s="15"/>
    </row>
    <row r="170" spans="1:7">
      <c r="A170">
        <v>165</v>
      </c>
      <c r="B170" s="35">
        <f t="shared" si="8"/>
        <v>6653.0249517918319</v>
      </c>
      <c r="C170" s="15">
        <f t="shared" si="9"/>
        <v>4525.285537677526</v>
      </c>
      <c r="D170" s="15">
        <f t="shared" si="10"/>
        <v>2127.7394141143059</v>
      </c>
      <c r="E170" s="15">
        <v>0</v>
      </c>
      <c r="F170" s="15">
        <f t="shared" si="11"/>
        <v>773635.49561631866</v>
      </c>
      <c r="G170" s="15"/>
    </row>
    <row r="171" spans="1:7">
      <c r="A171">
        <v>166</v>
      </c>
      <c r="B171" s="35">
        <f t="shared" si="8"/>
        <v>6653.0249517918319</v>
      </c>
      <c r="C171" s="15">
        <f t="shared" si="9"/>
        <v>4512.8737244285257</v>
      </c>
      <c r="D171" s="15">
        <f t="shared" si="10"/>
        <v>2140.1512273633061</v>
      </c>
      <c r="E171" s="15">
        <v>0</v>
      </c>
      <c r="F171" s="15">
        <f t="shared" si="11"/>
        <v>771495.34438895539</v>
      </c>
      <c r="G171" s="15"/>
    </row>
    <row r="172" spans="1:7">
      <c r="A172">
        <v>167</v>
      </c>
      <c r="B172" s="35">
        <f t="shared" si="8"/>
        <v>6653.0249517918319</v>
      </c>
      <c r="C172" s="15">
        <f t="shared" si="9"/>
        <v>4500.3895089355738</v>
      </c>
      <c r="D172" s="15">
        <f t="shared" si="10"/>
        <v>2152.6354428562581</v>
      </c>
      <c r="E172" s="15">
        <v>0</v>
      </c>
      <c r="F172" s="15">
        <f t="shared" si="11"/>
        <v>769342.70894609916</v>
      </c>
      <c r="G172" s="15"/>
    </row>
    <row r="173" spans="1:7">
      <c r="A173">
        <v>168</v>
      </c>
      <c r="B173" s="35">
        <f t="shared" si="8"/>
        <v>6653.0249517918319</v>
      </c>
      <c r="C173" s="15">
        <f t="shared" si="9"/>
        <v>4487.8324688522453</v>
      </c>
      <c r="D173" s="15">
        <f t="shared" si="10"/>
        <v>2165.1924829395866</v>
      </c>
      <c r="E173" s="15">
        <v>0</v>
      </c>
      <c r="F173" s="15">
        <f t="shared" si="11"/>
        <v>767177.51646315958</v>
      </c>
      <c r="G173" s="15"/>
    </row>
    <row r="174" spans="1:7">
      <c r="A174">
        <v>169</v>
      </c>
      <c r="B174" s="35">
        <f t="shared" si="8"/>
        <v>6653.0249517918319</v>
      </c>
      <c r="C174" s="15">
        <f t="shared" si="9"/>
        <v>4475.2021793684307</v>
      </c>
      <c r="D174" s="15">
        <f t="shared" si="10"/>
        <v>2177.8227724234011</v>
      </c>
      <c r="E174" s="15">
        <v>0</v>
      </c>
      <c r="F174" s="15">
        <f t="shared" si="11"/>
        <v>764999.6936907362</v>
      </c>
      <c r="G174" s="15"/>
    </row>
    <row r="175" spans="1:7">
      <c r="A175">
        <v>170</v>
      </c>
      <c r="B175" s="35">
        <f t="shared" si="8"/>
        <v>6653.0249517918319</v>
      </c>
      <c r="C175" s="15">
        <f t="shared" si="9"/>
        <v>4462.4982131959614</v>
      </c>
      <c r="D175" s="15">
        <f t="shared" si="10"/>
        <v>2190.5267385958705</v>
      </c>
      <c r="E175" s="15">
        <v>0</v>
      </c>
      <c r="F175" s="15">
        <f t="shared" si="11"/>
        <v>762809.16695214028</v>
      </c>
      <c r="G175" s="15"/>
    </row>
    <row r="176" spans="1:7">
      <c r="A176">
        <v>171</v>
      </c>
      <c r="B176" s="35">
        <f t="shared" si="8"/>
        <v>6653.0249517918319</v>
      </c>
      <c r="C176" s="15">
        <f t="shared" si="9"/>
        <v>4449.7201405541518</v>
      </c>
      <c r="D176" s="15">
        <f t="shared" si="10"/>
        <v>2203.30481123768</v>
      </c>
      <c r="E176" s="15">
        <v>0</v>
      </c>
      <c r="F176" s="15">
        <f t="shared" si="11"/>
        <v>760605.86214090255</v>
      </c>
      <c r="G176" s="15"/>
    </row>
    <row r="177" spans="1:7">
      <c r="A177">
        <v>172</v>
      </c>
      <c r="B177" s="35">
        <f t="shared" si="8"/>
        <v>6653.0249517918319</v>
      </c>
      <c r="C177" s="15">
        <f t="shared" si="9"/>
        <v>4436.8675291552654</v>
      </c>
      <c r="D177" s="15">
        <f t="shared" si="10"/>
        <v>2216.1574226365665</v>
      </c>
      <c r="E177" s="15">
        <v>0</v>
      </c>
      <c r="F177" s="15">
        <f t="shared" si="11"/>
        <v>758389.70471826603</v>
      </c>
      <c r="G177" s="15"/>
    </row>
    <row r="178" spans="1:7">
      <c r="A178">
        <v>173</v>
      </c>
      <c r="B178" s="35">
        <f t="shared" si="8"/>
        <v>6653.0249517918319</v>
      </c>
      <c r="C178" s="15">
        <f t="shared" si="9"/>
        <v>4423.939944189885</v>
      </c>
      <c r="D178" s="15">
        <f t="shared" si="10"/>
        <v>2229.0850076019469</v>
      </c>
      <c r="E178" s="15">
        <v>0</v>
      </c>
      <c r="F178" s="15">
        <f t="shared" si="11"/>
        <v>756160.61971066403</v>
      </c>
      <c r="G178" s="15"/>
    </row>
    <row r="179" spans="1:7">
      <c r="A179">
        <v>174</v>
      </c>
      <c r="B179" s="35">
        <f t="shared" si="8"/>
        <v>6653.0249517918319</v>
      </c>
      <c r="C179" s="15">
        <f t="shared" si="9"/>
        <v>4410.9369483122073</v>
      </c>
      <c r="D179" s="15">
        <f t="shared" si="10"/>
        <v>2242.0880034796246</v>
      </c>
      <c r="E179" s="15">
        <v>0</v>
      </c>
      <c r="F179" s="15">
        <f t="shared" si="11"/>
        <v>753918.53170718439</v>
      </c>
      <c r="G179" s="15"/>
    </row>
    <row r="180" spans="1:7">
      <c r="A180">
        <v>175</v>
      </c>
      <c r="B180" s="35">
        <f t="shared" si="8"/>
        <v>6653.0249517918319</v>
      </c>
      <c r="C180" s="15">
        <f t="shared" si="9"/>
        <v>4397.8581016252429</v>
      </c>
      <c r="D180" s="15">
        <f t="shared" si="10"/>
        <v>2255.166850166589</v>
      </c>
      <c r="E180" s="15">
        <v>0</v>
      </c>
      <c r="F180" s="15">
        <f t="shared" si="11"/>
        <v>751663.36485701776</v>
      </c>
      <c r="G180" s="15"/>
    </row>
    <row r="181" spans="1:7">
      <c r="A181">
        <v>176</v>
      </c>
      <c r="B181" s="35">
        <f t="shared" si="8"/>
        <v>6653.0249517918319</v>
      </c>
      <c r="C181" s="15">
        <f t="shared" si="9"/>
        <v>4384.7029616659374</v>
      </c>
      <c r="D181" s="15">
        <f t="shared" si="10"/>
        <v>2268.3219901258944</v>
      </c>
      <c r="E181" s="15">
        <v>0</v>
      </c>
      <c r="F181" s="15">
        <f t="shared" si="11"/>
        <v>749395.04286689183</v>
      </c>
      <c r="G181" s="15"/>
    </row>
    <row r="182" spans="1:7">
      <c r="A182">
        <v>177</v>
      </c>
      <c r="B182" s="35">
        <f t="shared" si="8"/>
        <v>6653.0249517918319</v>
      </c>
      <c r="C182" s="15">
        <f t="shared" si="9"/>
        <v>4371.4710833902027</v>
      </c>
      <c r="D182" s="15">
        <f t="shared" si="10"/>
        <v>2281.5538684016292</v>
      </c>
      <c r="E182" s="15">
        <v>0</v>
      </c>
      <c r="F182" s="15">
        <f t="shared" si="11"/>
        <v>747113.48899849015</v>
      </c>
      <c r="G182" s="15"/>
    </row>
    <row r="183" spans="1:7">
      <c r="A183">
        <v>178</v>
      </c>
      <c r="B183" s="35">
        <f t="shared" si="8"/>
        <v>6653.0249517918319</v>
      </c>
      <c r="C183" s="15">
        <f t="shared" si="9"/>
        <v>4358.1620191578595</v>
      </c>
      <c r="D183" s="15">
        <f t="shared" si="10"/>
        <v>2294.8629326339724</v>
      </c>
      <c r="E183" s="15">
        <v>0</v>
      </c>
      <c r="F183" s="15">
        <f t="shared" si="11"/>
        <v>744818.6260658562</v>
      </c>
      <c r="G183" s="15"/>
    </row>
    <row r="184" spans="1:7">
      <c r="A184">
        <v>179</v>
      </c>
      <c r="B184" s="35">
        <f t="shared" si="8"/>
        <v>6653.0249517918319</v>
      </c>
      <c r="C184" s="15">
        <f t="shared" si="9"/>
        <v>4344.7753187174949</v>
      </c>
      <c r="D184" s="15">
        <f t="shared" si="10"/>
        <v>2308.249633074337</v>
      </c>
      <c r="E184" s="15">
        <v>0</v>
      </c>
      <c r="F184" s="15">
        <f t="shared" si="11"/>
        <v>742510.37643278181</v>
      </c>
      <c r="G184" s="15"/>
    </row>
    <row r="185" spans="1:7">
      <c r="A185">
        <v>180</v>
      </c>
      <c r="B185" s="35">
        <f t="shared" si="8"/>
        <v>6653.0249517918319</v>
      </c>
      <c r="C185" s="15">
        <f t="shared" si="9"/>
        <v>4331.310529191227</v>
      </c>
      <c r="D185" s="15">
        <f t="shared" si="10"/>
        <v>2321.7144226006048</v>
      </c>
      <c r="E185" s="15">
        <v>0</v>
      </c>
      <c r="F185" s="15">
        <f t="shared" si="11"/>
        <v>740188.66201018123</v>
      </c>
      <c r="G185" s="15"/>
    </row>
    <row r="186" spans="1:7">
      <c r="A186">
        <v>181</v>
      </c>
      <c r="B186" s="35">
        <f t="shared" si="8"/>
        <v>6653.0249517918319</v>
      </c>
      <c r="C186" s="15">
        <f t="shared" si="9"/>
        <v>4317.7671950593904</v>
      </c>
      <c r="D186" s="15">
        <f t="shared" si="10"/>
        <v>2335.2577567324415</v>
      </c>
      <c r="E186" s="15">
        <v>0</v>
      </c>
      <c r="F186" s="15">
        <f t="shared" si="11"/>
        <v>737853.40425344883</v>
      </c>
      <c r="G186" s="15"/>
    </row>
    <row r="187" spans="1:7">
      <c r="A187">
        <v>182</v>
      </c>
      <c r="B187" s="35">
        <f t="shared" si="8"/>
        <v>6653.0249517918319</v>
      </c>
      <c r="C187" s="15">
        <f t="shared" si="9"/>
        <v>4304.1448581451186</v>
      </c>
      <c r="D187" s="15">
        <f t="shared" si="10"/>
        <v>2348.8800936467132</v>
      </c>
      <c r="E187" s="15">
        <v>0</v>
      </c>
      <c r="F187" s="15">
        <f t="shared" si="11"/>
        <v>735504.52415980212</v>
      </c>
      <c r="G187" s="15"/>
    </row>
    <row r="188" spans="1:7">
      <c r="A188">
        <v>183</v>
      </c>
      <c r="B188" s="35">
        <f t="shared" si="8"/>
        <v>6653.0249517918319</v>
      </c>
      <c r="C188" s="15">
        <f t="shared" si="9"/>
        <v>4290.4430575988463</v>
      </c>
      <c r="D188" s="15">
        <f t="shared" si="10"/>
        <v>2362.5818941929856</v>
      </c>
      <c r="E188" s="15">
        <v>0</v>
      </c>
      <c r="F188" s="15">
        <f t="shared" si="11"/>
        <v>733141.94226560916</v>
      </c>
      <c r="G188" s="15"/>
    </row>
    <row r="189" spans="1:7">
      <c r="A189">
        <v>184</v>
      </c>
      <c r="B189" s="35">
        <f t="shared" si="8"/>
        <v>6653.0249517918319</v>
      </c>
      <c r="C189" s="15">
        <f t="shared" si="9"/>
        <v>4276.6613298827206</v>
      </c>
      <c r="D189" s="15">
        <f t="shared" si="10"/>
        <v>2376.3636219091113</v>
      </c>
      <c r="E189" s="15">
        <v>0</v>
      </c>
      <c r="F189" s="15">
        <f t="shared" si="11"/>
        <v>730765.57864370011</v>
      </c>
      <c r="G189" s="15"/>
    </row>
    <row r="190" spans="1:7">
      <c r="A190">
        <v>185</v>
      </c>
      <c r="B190" s="35">
        <f t="shared" si="8"/>
        <v>6653.0249517918319</v>
      </c>
      <c r="C190" s="15">
        <f t="shared" si="9"/>
        <v>4262.7992087549173</v>
      </c>
      <c r="D190" s="15">
        <f t="shared" si="10"/>
        <v>2390.2257430369145</v>
      </c>
      <c r="E190" s="15">
        <v>0</v>
      </c>
      <c r="F190" s="15">
        <f t="shared" si="11"/>
        <v>728375.35290066316</v>
      </c>
      <c r="G190" s="15"/>
    </row>
    <row r="191" spans="1:7">
      <c r="A191">
        <v>186</v>
      </c>
      <c r="B191" s="35">
        <f t="shared" si="8"/>
        <v>6653.0249517918319</v>
      </c>
      <c r="C191" s="15">
        <f t="shared" si="9"/>
        <v>4248.8562252538686</v>
      </c>
      <c r="D191" s="15">
        <f t="shared" si="10"/>
        <v>2404.1687265379633</v>
      </c>
      <c r="E191" s="15">
        <v>0</v>
      </c>
      <c r="F191" s="15">
        <f t="shared" si="11"/>
        <v>725971.1841741252</v>
      </c>
      <c r="G191" s="15"/>
    </row>
    <row r="192" spans="1:7">
      <c r="A192">
        <v>187</v>
      </c>
      <c r="B192" s="35">
        <f t="shared" si="8"/>
        <v>6653.0249517918319</v>
      </c>
      <c r="C192" s="15">
        <f t="shared" si="9"/>
        <v>4234.8319076823973</v>
      </c>
      <c r="D192" s="15">
        <f t="shared" si="10"/>
        <v>2418.1930441094346</v>
      </c>
      <c r="E192" s="15">
        <v>0</v>
      </c>
      <c r="F192" s="15">
        <f t="shared" si="11"/>
        <v>723552.99113001581</v>
      </c>
      <c r="G192" s="15"/>
    </row>
    <row r="193" spans="1:7">
      <c r="A193">
        <v>188</v>
      </c>
      <c r="B193" s="35">
        <f t="shared" si="8"/>
        <v>6653.0249517918319</v>
      </c>
      <c r="C193" s="15">
        <f t="shared" si="9"/>
        <v>4220.7257815917592</v>
      </c>
      <c r="D193" s="15">
        <f t="shared" si="10"/>
        <v>2432.2991702000727</v>
      </c>
      <c r="E193" s="15">
        <v>0</v>
      </c>
      <c r="F193" s="15">
        <f t="shared" si="11"/>
        <v>721120.6919598158</v>
      </c>
      <c r="G193" s="15"/>
    </row>
    <row r="194" spans="1:7">
      <c r="A194">
        <v>189</v>
      </c>
      <c r="B194" s="35">
        <f t="shared" si="8"/>
        <v>6653.0249517918319</v>
      </c>
      <c r="C194" s="15">
        <f t="shared" si="9"/>
        <v>4206.5373697655923</v>
      </c>
      <c r="D194" s="15">
        <f t="shared" si="10"/>
        <v>2446.4875820262396</v>
      </c>
      <c r="E194" s="15">
        <v>0</v>
      </c>
      <c r="F194" s="15">
        <f t="shared" si="11"/>
        <v>718674.20437778952</v>
      </c>
      <c r="G194" s="15"/>
    </row>
    <row r="195" spans="1:7">
      <c r="A195">
        <v>190</v>
      </c>
      <c r="B195" s="35">
        <f t="shared" si="8"/>
        <v>6653.0249517918319</v>
      </c>
      <c r="C195" s="15">
        <f t="shared" si="9"/>
        <v>4192.2661922037723</v>
      </c>
      <c r="D195" s="15">
        <f t="shared" si="10"/>
        <v>2460.7587595880595</v>
      </c>
      <c r="E195" s="15">
        <v>0</v>
      </c>
      <c r="F195" s="15">
        <f t="shared" si="11"/>
        <v>716213.44561820151</v>
      </c>
      <c r="G195" s="15"/>
    </row>
    <row r="196" spans="1:7">
      <c r="A196">
        <v>191</v>
      </c>
      <c r="B196" s="35">
        <f t="shared" si="8"/>
        <v>6653.0249517918319</v>
      </c>
      <c r="C196" s="15">
        <f t="shared" si="9"/>
        <v>4177.9117661061755</v>
      </c>
      <c r="D196" s="15">
        <f t="shared" si="10"/>
        <v>2475.1131856856564</v>
      </c>
      <c r="E196" s="15">
        <v>0</v>
      </c>
      <c r="F196" s="15">
        <f t="shared" si="11"/>
        <v>713738.3324325158</v>
      </c>
      <c r="G196" s="15"/>
    </row>
    <row r="197" spans="1:7">
      <c r="A197">
        <v>192</v>
      </c>
      <c r="B197" s="35">
        <f t="shared" si="8"/>
        <v>6653.0249517918319</v>
      </c>
      <c r="C197" s="15">
        <f t="shared" si="9"/>
        <v>4163.4736058563421</v>
      </c>
      <c r="D197" s="15">
        <f t="shared" si="10"/>
        <v>2489.5513459354897</v>
      </c>
      <c r="E197" s="15">
        <v>0</v>
      </c>
      <c r="F197" s="15">
        <f t="shared" si="11"/>
        <v>711248.78108658036</v>
      </c>
      <c r="G197" s="15"/>
    </row>
    <row r="198" spans="1:7">
      <c r="A198">
        <v>193</v>
      </c>
      <c r="B198" s="35">
        <f t="shared" si="8"/>
        <v>6653.0249517918319</v>
      </c>
      <c r="C198" s="15">
        <f t="shared" si="9"/>
        <v>4148.9512230050523</v>
      </c>
      <c r="D198" s="15">
        <f t="shared" si="10"/>
        <v>2504.0737287867796</v>
      </c>
      <c r="E198" s="15">
        <v>0</v>
      </c>
      <c r="F198" s="15">
        <f t="shared" si="11"/>
        <v>708744.70735779358</v>
      </c>
      <c r="G198" s="15"/>
    </row>
    <row r="199" spans="1:7">
      <c r="A199">
        <v>194</v>
      </c>
      <c r="B199" s="35">
        <f t="shared" ref="B199:B262" si="12">PMT(($C$2/12),$C$3,-$C$1,0)</f>
        <v>6653.0249517918319</v>
      </c>
      <c r="C199" s="15">
        <f t="shared" ref="C199:C262" si="13">F198*($C$2/12)</f>
        <v>4134.3441262537963</v>
      </c>
      <c r="D199" s="15">
        <f t="shared" ref="D199:D262" si="14">B199-C199</f>
        <v>2518.6808255380356</v>
      </c>
      <c r="E199" s="15">
        <v>0</v>
      </c>
      <c r="F199" s="15">
        <f t="shared" ref="F199:F262" si="15">F198-D199-E199</f>
        <v>706226.02653225558</v>
      </c>
      <c r="G199" s="15"/>
    </row>
    <row r="200" spans="1:7">
      <c r="A200">
        <v>195</v>
      </c>
      <c r="B200" s="35">
        <f t="shared" si="12"/>
        <v>6653.0249517918319</v>
      </c>
      <c r="C200" s="15">
        <f t="shared" si="13"/>
        <v>4119.6518214381576</v>
      </c>
      <c r="D200" s="15">
        <f t="shared" si="14"/>
        <v>2533.3731303536742</v>
      </c>
      <c r="E200" s="15">
        <v>0</v>
      </c>
      <c r="F200" s="15">
        <f t="shared" si="15"/>
        <v>703692.65340190195</v>
      </c>
      <c r="G200" s="15"/>
    </row>
    <row r="201" spans="1:7">
      <c r="A201">
        <v>196</v>
      </c>
      <c r="B201" s="35">
        <f t="shared" si="12"/>
        <v>6653.0249517918319</v>
      </c>
      <c r="C201" s="15">
        <f t="shared" si="13"/>
        <v>4104.8738115110946</v>
      </c>
      <c r="D201" s="15">
        <f t="shared" si="14"/>
        <v>2548.1511402807373</v>
      </c>
      <c r="E201" s="15">
        <v>0</v>
      </c>
      <c r="F201" s="15">
        <f t="shared" si="15"/>
        <v>701144.50226162118</v>
      </c>
      <c r="G201" s="15"/>
    </row>
    <row r="202" spans="1:7">
      <c r="A202">
        <v>197</v>
      </c>
      <c r="B202" s="35">
        <f t="shared" si="12"/>
        <v>6653.0249517918319</v>
      </c>
      <c r="C202" s="15">
        <f t="shared" si="13"/>
        <v>4090.0095965261239</v>
      </c>
      <c r="D202" s="15">
        <f t="shared" si="14"/>
        <v>2563.015355265708</v>
      </c>
      <c r="E202" s="15">
        <v>0</v>
      </c>
      <c r="F202" s="15">
        <f t="shared" si="15"/>
        <v>698581.48690635548</v>
      </c>
      <c r="G202" s="15"/>
    </row>
    <row r="203" spans="1:7">
      <c r="A203">
        <v>198</v>
      </c>
      <c r="B203" s="35">
        <f t="shared" si="12"/>
        <v>6653.0249517918319</v>
      </c>
      <c r="C203" s="15">
        <f t="shared" si="13"/>
        <v>4075.0586736204073</v>
      </c>
      <c r="D203" s="15">
        <f t="shared" si="14"/>
        <v>2577.9662781714246</v>
      </c>
      <c r="E203" s="15">
        <v>0</v>
      </c>
      <c r="F203" s="15">
        <f t="shared" si="15"/>
        <v>696003.52062818408</v>
      </c>
      <c r="G203" s="15"/>
    </row>
    <row r="204" spans="1:7">
      <c r="A204">
        <v>199</v>
      </c>
      <c r="B204" s="35">
        <f t="shared" si="12"/>
        <v>6653.0249517918319</v>
      </c>
      <c r="C204" s="15">
        <f t="shared" si="13"/>
        <v>4060.0205369977407</v>
      </c>
      <c r="D204" s="15">
        <f t="shared" si="14"/>
        <v>2593.0044147940912</v>
      </c>
      <c r="E204" s="15">
        <v>0</v>
      </c>
      <c r="F204" s="15">
        <f t="shared" si="15"/>
        <v>693410.51621339004</v>
      </c>
      <c r="G204" s="15"/>
    </row>
    <row r="205" spans="1:7">
      <c r="A205">
        <v>200</v>
      </c>
      <c r="B205" s="35">
        <f t="shared" si="12"/>
        <v>6653.0249517918319</v>
      </c>
      <c r="C205" s="15">
        <f t="shared" si="13"/>
        <v>4044.8946779114422</v>
      </c>
      <c r="D205" s="15">
        <f t="shared" si="14"/>
        <v>2608.1302738803897</v>
      </c>
      <c r="E205" s="15">
        <v>0</v>
      </c>
      <c r="F205" s="15">
        <f t="shared" si="15"/>
        <v>690802.38593950961</v>
      </c>
      <c r="G205" s="15"/>
    </row>
    <row r="206" spans="1:7">
      <c r="A206">
        <v>201</v>
      </c>
      <c r="B206" s="35">
        <f t="shared" si="12"/>
        <v>6653.0249517918319</v>
      </c>
      <c r="C206" s="15">
        <f t="shared" si="13"/>
        <v>4029.6805846471398</v>
      </c>
      <c r="D206" s="15">
        <f t="shared" si="14"/>
        <v>2623.3443671446921</v>
      </c>
      <c r="E206" s="15">
        <v>0</v>
      </c>
      <c r="F206" s="15">
        <f t="shared" si="15"/>
        <v>688179.04157236486</v>
      </c>
      <c r="G206" s="15"/>
    </row>
    <row r="207" spans="1:7">
      <c r="A207">
        <v>202</v>
      </c>
      <c r="B207" s="35">
        <f t="shared" si="12"/>
        <v>6653.0249517918319</v>
      </c>
      <c r="C207" s="15">
        <f t="shared" si="13"/>
        <v>4014.3777425054618</v>
      </c>
      <c r="D207" s="15">
        <f t="shared" si="14"/>
        <v>2638.6472092863701</v>
      </c>
      <c r="E207" s="15">
        <v>0</v>
      </c>
      <c r="F207" s="15">
        <f t="shared" si="15"/>
        <v>685540.39436307852</v>
      </c>
      <c r="G207" s="15"/>
    </row>
    <row r="208" spans="1:7">
      <c r="A208">
        <v>203</v>
      </c>
      <c r="B208" s="35">
        <f t="shared" si="12"/>
        <v>6653.0249517918319</v>
      </c>
      <c r="C208" s="15">
        <f t="shared" si="13"/>
        <v>3998.985633784625</v>
      </c>
      <c r="D208" s="15">
        <f t="shared" si="14"/>
        <v>2654.0393180072069</v>
      </c>
      <c r="E208" s="15">
        <v>0</v>
      </c>
      <c r="F208" s="15">
        <f t="shared" si="15"/>
        <v>682886.35504507134</v>
      </c>
      <c r="G208" s="15"/>
    </row>
    <row r="209" spans="1:7">
      <c r="A209">
        <v>204</v>
      </c>
      <c r="B209" s="35">
        <f t="shared" si="12"/>
        <v>6653.0249517918319</v>
      </c>
      <c r="C209" s="15">
        <f t="shared" si="13"/>
        <v>3983.5037377629164</v>
      </c>
      <c r="D209" s="15">
        <f t="shared" si="14"/>
        <v>2669.5212140289154</v>
      </c>
      <c r="E209" s="15">
        <v>0</v>
      </c>
      <c r="F209" s="15">
        <f t="shared" si="15"/>
        <v>680216.8338310424</v>
      </c>
      <c r="G209" s="15"/>
    </row>
    <row r="210" spans="1:7">
      <c r="A210">
        <v>205</v>
      </c>
      <c r="B210" s="35">
        <f t="shared" si="12"/>
        <v>6653.0249517918319</v>
      </c>
      <c r="C210" s="15">
        <f t="shared" si="13"/>
        <v>3967.9315306810809</v>
      </c>
      <c r="D210" s="15">
        <f t="shared" si="14"/>
        <v>2685.093421110751</v>
      </c>
      <c r="E210" s="15">
        <v>0</v>
      </c>
      <c r="F210" s="15">
        <f t="shared" si="15"/>
        <v>677531.74040993163</v>
      </c>
      <c r="G210" s="15"/>
    </row>
    <row r="211" spans="1:7">
      <c r="A211">
        <v>206</v>
      </c>
      <c r="B211" s="35">
        <f t="shared" si="12"/>
        <v>6653.0249517918319</v>
      </c>
      <c r="C211" s="15">
        <f t="shared" si="13"/>
        <v>3952.2684857246013</v>
      </c>
      <c r="D211" s="15">
        <f t="shared" si="14"/>
        <v>2700.7564660672306</v>
      </c>
      <c r="E211" s="15">
        <v>0</v>
      </c>
      <c r="F211" s="15">
        <f t="shared" si="15"/>
        <v>674830.98394386435</v>
      </c>
      <c r="G211" s="15"/>
    </row>
    <row r="212" spans="1:7">
      <c r="A212">
        <v>207</v>
      </c>
      <c r="B212" s="35">
        <f t="shared" si="12"/>
        <v>6653.0249517918319</v>
      </c>
      <c r="C212" s="15">
        <f t="shared" si="13"/>
        <v>3936.5140730058756</v>
      </c>
      <c r="D212" s="15">
        <f t="shared" si="14"/>
        <v>2716.5108787859563</v>
      </c>
      <c r="E212" s="15">
        <v>0</v>
      </c>
      <c r="F212" s="15">
        <f t="shared" si="15"/>
        <v>672114.47306507837</v>
      </c>
      <c r="G212" s="15"/>
    </row>
    <row r="213" spans="1:7">
      <c r="A213">
        <v>208</v>
      </c>
      <c r="B213" s="35">
        <f t="shared" si="12"/>
        <v>6653.0249517918319</v>
      </c>
      <c r="C213" s="15">
        <f t="shared" si="13"/>
        <v>3920.6677595462907</v>
      </c>
      <c r="D213" s="15">
        <f t="shared" si="14"/>
        <v>2732.3571922455412</v>
      </c>
      <c r="E213" s="15">
        <v>0</v>
      </c>
      <c r="F213" s="15">
        <f t="shared" si="15"/>
        <v>669382.11587283283</v>
      </c>
      <c r="G213" s="15"/>
    </row>
    <row r="214" spans="1:7">
      <c r="A214">
        <v>209</v>
      </c>
      <c r="B214" s="35">
        <f t="shared" si="12"/>
        <v>6653.0249517918319</v>
      </c>
      <c r="C214" s="15">
        <f t="shared" si="13"/>
        <v>3904.7290092581916</v>
      </c>
      <c r="D214" s="15">
        <f t="shared" si="14"/>
        <v>2748.2959425336403</v>
      </c>
      <c r="E214" s="15">
        <v>0</v>
      </c>
      <c r="F214" s="15">
        <f t="shared" si="15"/>
        <v>666633.81993029919</v>
      </c>
      <c r="G214" s="15"/>
    </row>
    <row r="215" spans="1:7">
      <c r="A215">
        <v>210</v>
      </c>
      <c r="B215" s="35">
        <f t="shared" si="12"/>
        <v>6653.0249517918319</v>
      </c>
      <c r="C215" s="15">
        <f t="shared" si="13"/>
        <v>3888.6972829267456</v>
      </c>
      <c r="D215" s="15">
        <f t="shared" si="14"/>
        <v>2764.3276688650863</v>
      </c>
      <c r="E215" s="15">
        <v>0</v>
      </c>
      <c r="F215" s="15">
        <f t="shared" si="15"/>
        <v>663869.49226143409</v>
      </c>
      <c r="G215" s="15"/>
    </row>
    <row r="216" spans="1:7">
      <c r="A216">
        <v>211</v>
      </c>
      <c r="B216" s="35">
        <f t="shared" si="12"/>
        <v>6653.0249517918319</v>
      </c>
      <c r="C216" s="15">
        <f t="shared" si="13"/>
        <v>3872.572038191699</v>
      </c>
      <c r="D216" s="15">
        <f t="shared" si="14"/>
        <v>2780.4529136001329</v>
      </c>
      <c r="E216" s="15">
        <v>0</v>
      </c>
      <c r="F216" s="15">
        <f t="shared" si="15"/>
        <v>661089.03934783395</v>
      </c>
      <c r="G216" s="15"/>
    </row>
    <row r="217" spans="1:7">
      <c r="A217">
        <v>212</v>
      </c>
      <c r="B217" s="35">
        <f t="shared" si="12"/>
        <v>6653.0249517918319</v>
      </c>
      <c r="C217" s="15">
        <f t="shared" si="13"/>
        <v>3856.3527295290314</v>
      </c>
      <c r="D217" s="15">
        <f t="shared" si="14"/>
        <v>2796.6722222628005</v>
      </c>
      <c r="E217" s="15">
        <v>0</v>
      </c>
      <c r="F217" s="15">
        <f t="shared" si="15"/>
        <v>658292.36712557112</v>
      </c>
      <c r="G217" s="15"/>
    </row>
    <row r="218" spans="1:7">
      <c r="A218">
        <v>213</v>
      </c>
      <c r="B218" s="35">
        <f t="shared" si="12"/>
        <v>6653.0249517918319</v>
      </c>
      <c r="C218" s="15">
        <f t="shared" si="13"/>
        <v>3840.0388082324985</v>
      </c>
      <c r="D218" s="15">
        <f t="shared" si="14"/>
        <v>2812.9861435593334</v>
      </c>
      <c r="E218" s="15">
        <v>0</v>
      </c>
      <c r="F218" s="15">
        <f t="shared" si="15"/>
        <v>655479.38098201179</v>
      </c>
      <c r="G218" s="15"/>
    </row>
    <row r="219" spans="1:7">
      <c r="A219">
        <v>214</v>
      </c>
      <c r="B219" s="35">
        <f t="shared" si="12"/>
        <v>6653.0249517918319</v>
      </c>
      <c r="C219" s="15">
        <f t="shared" si="13"/>
        <v>3823.6297223950692</v>
      </c>
      <c r="D219" s="15">
        <f t="shared" si="14"/>
        <v>2829.3952293967627</v>
      </c>
      <c r="E219" s="15">
        <v>0</v>
      </c>
      <c r="F219" s="15">
        <f t="shared" si="15"/>
        <v>652649.98575261503</v>
      </c>
      <c r="G219" s="15"/>
    </row>
    <row r="220" spans="1:7">
      <c r="A220">
        <v>215</v>
      </c>
      <c r="B220" s="35">
        <f t="shared" si="12"/>
        <v>6653.0249517918319</v>
      </c>
      <c r="C220" s="15">
        <f t="shared" si="13"/>
        <v>3807.1249168902546</v>
      </c>
      <c r="D220" s="15">
        <f t="shared" si="14"/>
        <v>2845.9000349015773</v>
      </c>
      <c r="E220" s="15">
        <v>0</v>
      </c>
      <c r="F220" s="15">
        <f t="shared" si="15"/>
        <v>649804.08571771346</v>
      </c>
      <c r="G220" s="15"/>
    </row>
    <row r="221" spans="1:7">
      <c r="A221">
        <v>216</v>
      </c>
      <c r="B221" s="35">
        <f t="shared" si="12"/>
        <v>6653.0249517918319</v>
      </c>
      <c r="C221" s="15">
        <f t="shared" si="13"/>
        <v>3790.5238333533289</v>
      </c>
      <c r="D221" s="15">
        <f t="shared" si="14"/>
        <v>2862.501118438503</v>
      </c>
      <c r="E221" s="15">
        <v>0</v>
      </c>
      <c r="F221" s="15">
        <f t="shared" si="15"/>
        <v>646941.58459927491</v>
      </c>
      <c r="G221" s="15"/>
    </row>
    <row r="222" spans="1:7">
      <c r="A222">
        <v>217</v>
      </c>
      <c r="B222" s="35">
        <f t="shared" si="12"/>
        <v>6653.0249517918319</v>
      </c>
      <c r="C222" s="15">
        <f t="shared" si="13"/>
        <v>3773.8259101624371</v>
      </c>
      <c r="D222" s="15">
        <f t="shared" si="14"/>
        <v>2879.1990416293947</v>
      </c>
      <c r="E222" s="15">
        <v>0</v>
      </c>
      <c r="F222" s="15">
        <f t="shared" si="15"/>
        <v>644062.38555764547</v>
      </c>
      <c r="G222" s="15"/>
    </row>
    <row r="223" spans="1:7">
      <c r="A223">
        <v>218</v>
      </c>
      <c r="B223" s="35">
        <f t="shared" si="12"/>
        <v>6653.0249517918319</v>
      </c>
      <c r="C223" s="15">
        <f t="shared" si="13"/>
        <v>3757.0305824195989</v>
      </c>
      <c r="D223" s="15">
        <f t="shared" si="14"/>
        <v>2895.994369372233</v>
      </c>
      <c r="E223" s="15">
        <v>0</v>
      </c>
      <c r="F223" s="15">
        <f t="shared" si="15"/>
        <v>641166.39118827321</v>
      </c>
      <c r="G223" s="15"/>
    </row>
    <row r="224" spans="1:7">
      <c r="A224">
        <v>219</v>
      </c>
      <c r="B224" s="35">
        <f t="shared" si="12"/>
        <v>6653.0249517918319</v>
      </c>
      <c r="C224" s="15">
        <f t="shared" si="13"/>
        <v>3740.1372819315939</v>
      </c>
      <c r="D224" s="15">
        <f t="shared" si="14"/>
        <v>2912.887669860238</v>
      </c>
      <c r="E224" s="15">
        <v>0</v>
      </c>
      <c r="F224" s="15">
        <f t="shared" si="15"/>
        <v>638253.50351841294</v>
      </c>
      <c r="G224" s="15"/>
    </row>
    <row r="225" spans="1:7">
      <c r="A225">
        <v>220</v>
      </c>
      <c r="B225" s="35">
        <f t="shared" si="12"/>
        <v>6653.0249517918319</v>
      </c>
      <c r="C225" s="15">
        <f t="shared" si="13"/>
        <v>3723.1454371907421</v>
      </c>
      <c r="D225" s="15">
        <f t="shared" si="14"/>
        <v>2929.8795146010898</v>
      </c>
      <c r="E225" s="15">
        <v>0</v>
      </c>
      <c r="F225" s="15">
        <f t="shared" si="15"/>
        <v>635323.62400381186</v>
      </c>
      <c r="G225" s="15"/>
    </row>
    <row r="226" spans="1:7">
      <c r="A226">
        <v>221</v>
      </c>
      <c r="B226" s="35">
        <f t="shared" si="12"/>
        <v>6653.0249517918319</v>
      </c>
      <c r="C226" s="15">
        <f t="shared" si="13"/>
        <v>3706.0544733555694</v>
      </c>
      <c r="D226" s="15">
        <f t="shared" si="14"/>
        <v>2946.9704784362625</v>
      </c>
      <c r="E226" s="15">
        <v>0</v>
      </c>
      <c r="F226" s="15">
        <f t="shared" si="15"/>
        <v>632376.65352537564</v>
      </c>
      <c r="G226" s="15"/>
    </row>
    <row r="227" spans="1:7">
      <c r="A227">
        <v>222</v>
      </c>
      <c r="B227" s="35">
        <f t="shared" si="12"/>
        <v>6653.0249517918319</v>
      </c>
      <c r="C227" s="15">
        <f t="shared" si="13"/>
        <v>3688.8638122313582</v>
      </c>
      <c r="D227" s="15">
        <f t="shared" si="14"/>
        <v>2964.1611395604737</v>
      </c>
      <c r="E227" s="15">
        <v>0</v>
      </c>
      <c r="F227" s="15">
        <f t="shared" si="15"/>
        <v>629412.49238581513</v>
      </c>
      <c r="G227" s="15"/>
    </row>
    <row r="228" spans="1:7">
      <c r="A228">
        <v>223</v>
      </c>
      <c r="B228" s="35">
        <f t="shared" si="12"/>
        <v>6653.0249517918319</v>
      </c>
      <c r="C228" s="15">
        <f t="shared" si="13"/>
        <v>3671.5728722505883</v>
      </c>
      <c r="D228" s="15">
        <f t="shared" si="14"/>
        <v>2981.4520795412436</v>
      </c>
      <c r="E228" s="15">
        <v>0</v>
      </c>
      <c r="F228" s="15">
        <f t="shared" si="15"/>
        <v>626431.04030627385</v>
      </c>
      <c r="G228" s="15"/>
    </row>
    <row r="229" spans="1:7">
      <c r="A229">
        <v>224</v>
      </c>
      <c r="B229" s="35">
        <f t="shared" si="12"/>
        <v>6653.0249517918319</v>
      </c>
      <c r="C229" s="15">
        <f t="shared" si="13"/>
        <v>3654.1810684532643</v>
      </c>
      <c r="D229" s="15">
        <f t="shared" si="14"/>
        <v>2998.8438833385676</v>
      </c>
      <c r="E229" s="15">
        <v>0</v>
      </c>
      <c r="F229" s="15">
        <f t="shared" si="15"/>
        <v>623432.19642293523</v>
      </c>
      <c r="G229" s="15"/>
    </row>
    <row r="230" spans="1:7">
      <c r="A230">
        <v>225</v>
      </c>
      <c r="B230" s="35">
        <f t="shared" si="12"/>
        <v>6653.0249517918319</v>
      </c>
      <c r="C230" s="15">
        <f t="shared" si="13"/>
        <v>3636.6878124671225</v>
      </c>
      <c r="D230" s="15">
        <f t="shared" si="14"/>
        <v>3016.3371393247094</v>
      </c>
      <c r="E230" s="15">
        <v>0</v>
      </c>
      <c r="F230" s="15">
        <f t="shared" si="15"/>
        <v>620415.85928361048</v>
      </c>
      <c r="G230" s="15"/>
    </row>
    <row r="231" spans="1:7">
      <c r="A231">
        <v>226</v>
      </c>
      <c r="B231" s="35">
        <f t="shared" si="12"/>
        <v>6653.0249517918319</v>
      </c>
      <c r="C231" s="15">
        <f t="shared" si="13"/>
        <v>3619.0925124877281</v>
      </c>
      <c r="D231" s="15">
        <f t="shared" si="14"/>
        <v>3033.9324393041038</v>
      </c>
      <c r="E231" s="15">
        <v>0</v>
      </c>
      <c r="F231" s="15">
        <f t="shared" si="15"/>
        <v>617381.92684430641</v>
      </c>
      <c r="G231" s="15"/>
    </row>
    <row r="232" spans="1:7">
      <c r="A232">
        <v>227</v>
      </c>
      <c r="B232" s="35">
        <f t="shared" si="12"/>
        <v>6653.0249517918319</v>
      </c>
      <c r="C232" s="15">
        <f t="shared" si="13"/>
        <v>3601.3945732584543</v>
      </c>
      <c r="D232" s="15">
        <f t="shared" si="14"/>
        <v>3051.6303785333776</v>
      </c>
      <c r="E232" s="15">
        <v>0</v>
      </c>
      <c r="F232" s="15">
        <f t="shared" si="15"/>
        <v>614330.29646577302</v>
      </c>
      <c r="G232" s="15"/>
    </row>
    <row r="233" spans="1:7">
      <c r="A233">
        <v>228</v>
      </c>
      <c r="B233" s="35">
        <f t="shared" si="12"/>
        <v>6653.0249517918319</v>
      </c>
      <c r="C233" s="15">
        <f t="shared" si="13"/>
        <v>3583.5933960503426</v>
      </c>
      <c r="D233" s="15">
        <f t="shared" si="14"/>
        <v>3069.4315557414893</v>
      </c>
      <c r="E233" s="15">
        <v>0</v>
      </c>
      <c r="F233" s="15">
        <f t="shared" si="15"/>
        <v>611260.86491003155</v>
      </c>
      <c r="G233" s="15"/>
    </row>
    <row r="234" spans="1:7">
      <c r="A234">
        <v>229</v>
      </c>
      <c r="B234" s="35">
        <f t="shared" si="12"/>
        <v>6653.0249517918319</v>
      </c>
      <c r="C234" s="15">
        <f t="shared" si="13"/>
        <v>3565.6883786418507</v>
      </c>
      <c r="D234" s="15">
        <f t="shared" si="14"/>
        <v>3087.3365731499812</v>
      </c>
      <c r="E234" s="15">
        <v>0</v>
      </c>
      <c r="F234" s="15">
        <f t="shared" si="15"/>
        <v>608173.52833688154</v>
      </c>
      <c r="G234" s="15"/>
    </row>
    <row r="235" spans="1:7">
      <c r="A235">
        <v>230</v>
      </c>
      <c r="B235" s="35">
        <f t="shared" si="12"/>
        <v>6653.0249517918319</v>
      </c>
      <c r="C235" s="15">
        <f t="shared" si="13"/>
        <v>3547.6789152984757</v>
      </c>
      <c r="D235" s="15">
        <f t="shared" si="14"/>
        <v>3105.3460364933562</v>
      </c>
      <c r="E235" s="15">
        <v>0</v>
      </c>
      <c r="F235" s="15">
        <f t="shared" si="15"/>
        <v>605068.18230038823</v>
      </c>
      <c r="G235" s="15"/>
    </row>
    <row r="236" spans="1:7">
      <c r="A236">
        <v>231</v>
      </c>
      <c r="B236" s="35">
        <f t="shared" si="12"/>
        <v>6653.0249517918319</v>
      </c>
      <c r="C236" s="15">
        <f t="shared" si="13"/>
        <v>3529.5643967522647</v>
      </c>
      <c r="D236" s="15">
        <f t="shared" si="14"/>
        <v>3123.4605550395672</v>
      </c>
      <c r="E236" s="15">
        <v>0</v>
      </c>
      <c r="F236" s="15">
        <f t="shared" si="15"/>
        <v>601944.72174534865</v>
      </c>
      <c r="G236" s="15"/>
    </row>
    <row r="237" spans="1:7">
      <c r="A237">
        <v>232</v>
      </c>
      <c r="B237" s="35">
        <f t="shared" si="12"/>
        <v>6653.0249517918319</v>
      </c>
      <c r="C237" s="15">
        <f t="shared" si="13"/>
        <v>3511.3442101812007</v>
      </c>
      <c r="D237" s="15">
        <f t="shared" si="14"/>
        <v>3141.6807416106312</v>
      </c>
      <c r="E237" s="15">
        <v>0</v>
      </c>
      <c r="F237" s="15">
        <f t="shared" si="15"/>
        <v>598803.04100373806</v>
      </c>
      <c r="G237" s="15"/>
    </row>
    <row r="238" spans="1:7">
      <c r="A238">
        <v>233</v>
      </c>
      <c r="B238" s="35">
        <f t="shared" si="12"/>
        <v>6653.0249517918319</v>
      </c>
      <c r="C238" s="15">
        <f t="shared" si="13"/>
        <v>3493.0177391884722</v>
      </c>
      <c r="D238" s="15">
        <f t="shared" si="14"/>
        <v>3160.0072126033597</v>
      </c>
      <c r="E238" s="15">
        <v>0</v>
      </c>
      <c r="F238" s="15">
        <f t="shared" si="15"/>
        <v>595643.03379113472</v>
      </c>
      <c r="G238" s="15"/>
    </row>
    <row r="239" spans="1:7">
      <c r="A239">
        <v>234</v>
      </c>
      <c r="B239" s="35">
        <f t="shared" si="12"/>
        <v>6653.0249517918319</v>
      </c>
      <c r="C239" s="15">
        <f t="shared" si="13"/>
        <v>3474.5843637816192</v>
      </c>
      <c r="D239" s="15">
        <f t="shared" si="14"/>
        <v>3178.4405880102127</v>
      </c>
      <c r="E239" s="15">
        <v>0</v>
      </c>
      <c r="F239" s="15">
        <f t="shared" si="15"/>
        <v>592464.59320312447</v>
      </c>
      <c r="G239" s="15"/>
    </row>
    <row r="240" spans="1:7">
      <c r="A240">
        <v>235</v>
      </c>
      <c r="B240" s="35">
        <f t="shared" si="12"/>
        <v>6653.0249517918319</v>
      </c>
      <c r="C240" s="15">
        <f t="shared" si="13"/>
        <v>3456.0434603515596</v>
      </c>
      <c r="D240" s="15">
        <f t="shared" si="14"/>
        <v>3196.9814914402723</v>
      </c>
      <c r="E240" s="15">
        <v>0</v>
      </c>
      <c r="F240" s="15">
        <f t="shared" si="15"/>
        <v>589267.61171168415</v>
      </c>
      <c r="G240" s="15"/>
    </row>
    <row r="241" spans="1:7">
      <c r="A241">
        <v>236</v>
      </c>
      <c r="B241" s="35">
        <f t="shared" si="12"/>
        <v>6653.0249517918319</v>
      </c>
      <c r="C241" s="15">
        <f t="shared" si="13"/>
        <v>3437.3944016514911</v>
      </c>
      <c r="D241" s="15">
        <f t="shared" si="14"/>
        <v>3215.6305501403408</v>
      </c>
      <c r="E241" s="15">
        <v>0</v>
      </c>
      <c r="F241" s="15">
        <f t="shared" si="15"/>
        <v>586051.98116154375</v>
      </c>
      <c r="G241" s="15"/>
    </row>
    <row r="242" spans="1:7">
      <c r="A242">
        <v>237</v>
      </c>
      <c r="B242" s="35">
        <f t="shared" si="12"/>
        <v>6653.0249517918319</v>
      </c>
      <c r="C242" s="15">
        <f t="shared" si="13"/>
        <v>3418.636556775672</v>
      </c>
      <c r="D242" s="15">
        <f t="shared" si="14"/>
        <v>3234.3883950161598</v>
      </c>
      <c r="E242" s="15">
        <v>0</v>
      </c>
      <c r="F242" s="15">
        <f t="shared" si="15"/>
        <v>582817.59276652755</v>
      </c>
      <c r="G242" s="15"/>
    </row>
    <row r="243" spans="1:7">
      <c r="A243">
        <v>238</v>
      </c>
      <c r="B243" s="35">
        <f t="shared" si="12"/>
        <v>6653.0249517918319</v>
      </c>
      <c r="C243" s="15">
        <f t="shared" si="13"/>
        <v>3399.7692911380777</v>
      </c>
      <c r="D243" s="15">
        <f t="shared" si="14"/>
        <v>3253.2556606537541</v>
      </c>
      <c r="E243" s="15">
        <v>0</v>
      </c>
      <c r="F243" s="15">
        <f t="shared" si="15"/>
        <v>579564.33710587386</v>
      </c>
      <c r="G243" s="15"/>
    </row>
    <row r="244" spans="1:7">
      <c r="A244">
        <v>239</v>
      </c>
      <c r="B244" s="35">
        <f t="shared" si="12"/>
        <v>6653.0249517918319</v>
      </c>
      <c r="C244" s="15">
        <f t="shared" si="13"/>
        <v>3380.7919664509309</v>
      </c>
      <c r="D244" s="15">
        <f t="shared" si="14"/>
        <v>3272.232985340901</v>
      </c>
      <c r="E244" s="15">
        <v>0</v>
      </c>
      <c r="F244" s="15">
        <f t="shared" si="15"/>
        <v>576292.10412053298</v>
      </c>
      <c r="G244" s="15"/>
    </row>
    <row r="245" spans="1:7">
      <c r="A245">
        <v>240</v>
      </c>
      <c r="B245" s="35">
        <f t="shared" si="12"/>
        <v>6653.0249517918319</v>
      </c>
      <c r="C245" s="15">
        <f t="shared" si="13"/>
        <v>3361.7039407031093</v>
      </c>
      <c r="D245" s="15">
        <f t="shared" si="14"/>
        <v>3291.3210110887226</v>
      </c>
      <c r="E245" s="15">
        <v>0</v>
      </c>
      <c r="F245" s="15">
        <f t="shared" si="15"/>
        <v>573000.78310944431</v>
      </c>
      <c r="G245" s="15"/>
    </row>
    <row r="246" spans="1:7">
      <c r="A246">
        <v>241</v>
      </c>
      <c r="B246" s="35">
        <f t="shared" si="12"/>
        <v>6653.0249517918319</v>
      </c>
      <c r="C246" s="15">
        <f t="shared" si="13"/>
        <v>3342.5045681384254</v>
      </c>
      <c r="D246" s="15">
        <f t="shared" si="14"/>
        <v>3310.5203836534065</v>
      </c>
      <c r="E246" s="15">
        <v>0</v>
      </c>
      <c r="F246" s="15">
        <f t="shared" si="15"/>
        <v>569690.26272579085</v>
      </c>
      <c r="G246" s="15"/>
    </row>
    <row r="247" spans="1:7">
      <c r="A247">
        <v>242</v>
      </c>
      <c r="B247" s="35">
        <f t="shared" si="12"/>
        <v>6653.0249517918319</v>
      </c>
      <c r="C247" s="15">
        <f t="shared" si="13"/>
        <v>3323.19319923378</v>
      </c>
      <c r="D247" s="15">
        <f t="shared" si="14"/>
        <v>3329.8317525580519</v>
      </c>
      <c r="E247" s="15">
        <v>0</v>
      </c>
      <c r="F247" s="15">
        <f t="shared" si="15"/>
        <v>566360.43097323284</v>
      </c>
      <c r="G247" s="15"/>
    </row>
    <row r="248" spans="1:7">
      <c r="A248">
        <v>243</v>
      </c>
      <c r="B248" s="35">
        <f t="shared" si="12"/>
        <v>6653.0249517918319</v>
      </c>
      <c r="C248" s="15">
        <f t="shared" si="13"/>
        <v>3303.7691806771918</v>
      </c>
      <c r="D248" s="15">
        <f t="shared" si="14"/>
        <v>3349.2557711146401</v>
      </c>
      <c r="E248" s="15">
        <v>0</v>
      </c>
      <c r="F248" s="15">
        <f t="shared" si="15"/>
        <v>563011.17520211823</v>
      </c>
      <c r="G248" s="15"/>
    </row>
    <row r="249" spans="1:7">
      <c r="A249">
        <v>244</v>
      </c>
      <c r="B249" s="35">
        <f t="shared" si="12"/>
        <v>6653.0249517918319</v>
      </c>
      <c r="C249" s="15">
        <f t="shared" si="13"/>
        <v>3284.2318553456898</v>
      </c>
      <c r="D249" s="15">
        <f t="shared" si="14"/>
        <v>3368.793096446142</v>
      </c>
      <c r="E249" s="15">
        <v>0</v>
      </c>
      <c r="F249" s="15">
        <f t="shared" si="15"/>
        <v>559642.38210567203</v>
      </c>
      <c r="G249" s="15"/>
    </row>
    <row r="250" spans="1:7">
      <c r="A250">
        <v>245</v>
      </c>
      <c r="B250" s="35">
        <f t="shared" si="12"/>
        <v>6653.0249517918319</v>
      </c>
      <c r="C250" s="15">
        <f t="shared" si="13"/>
        <v>3264.5805622830871</v>
      </c>
      <c r="D250" s="15">
        <f t="shared" si="14"/>
        <v>3388.4443895087447</v>
      </c>
      <c r="E250" s="15">
        <v>0</v>
      </c>
      <c r="F250" s="15">
        <f t="shared" si="15"/>
        <v>556253.93771616335</v>
      </c>
      <c r="G250" s="15"/>
    </row>
    <row r="251" spans="1:7">
      <c r="A251">
        <v>246</v>
      </c>
      <c r="B251" s="35">
        <f t="shared" si="12"/>
        <v>6653.0249517918319</v>
      </c>
      <c r="C251" s="15">
        <f t="shared" si="13"/>
        <v>3244.8146366776195</v>
      </c>
      <c r="D251" s="15">
        <f t="shared" si="14"/>
        <v>3408.2103151142123</v>
      </c>
      <c r="E251" s="15">
        <v>0</v>
      </c>
      <c r="F251" s="15">
        <f t="shared" si="15"/>
        <v>552845.72740104911</v>
      </c>
      <c r="G251" s="15"/>
    </row>
    <row r="252" spans="1:7">
      <c r="A252">
        <v>247</v>
      </c>
      <c r="B252" s="35">
        <f t="shared" si="12"/>
        <v>6653.0249517918319</v>
      </c>
      <c r="C252" s="15">
        <f t="shared" si="13"/>
        <v>3224.9334098394534</v>
      </c>
      <c r="D252" s="15">
        <f t="shared" si="14"/>
        <v>3428.0915419523785</v>
      </c>
      <c r="E252" s="15">
        <v>0</v>
      </c>
      <c r="F252" s="15">
        <f t="shared" si="15"/>
        <v>549417.63585909677</v>
      </c>
      <c r="G252" s="15"/>
    </row>
    <row r="253" spans="1:7">
      <c r="A253">
        <v>248</v>
      </c>
      <c r="B253" s="35">
        <f t="shared" si="12"/>
        <v>6653.0249517918319</v>
      </c>
      <c r="C253" s="15">
        <f t="shared" si="13"/>
        <v>3204.9362091780645</v>
      </c>
      <c r="D253" s="15">
        <f t="shared" si="14"/>
        <v>3448.0887426137674</v>
      </c>
      <c r="E253" s="15">
        <v>0</v>
      </c>
      <c r="F253" s="15">
        <f t="shared" si="15"/>
        <v>545969.54711648298</v>
      </c>
      <c r="G253" s="15"/>
    </row>
    <row r="254" spans="1:7">
      <c r="A254">
        <v>249</v>
      </c>
      <c r="B254" s="35">
        <f t="shared" si="12"/>
        <v>6653.0249517918319</v>
      </c>
      <c r="C254" s="15">
        <f t="shared" si="13"/>
        <v>3184.8223581794841</v>
      </c>
      <c r="D254" s="15">
        <f t="shared" si="14"/>
        <v>3468.2025936123478</v>
      </c>
      <c r="E254" s="15">
        <v>0</v>
      </c>
      <c r="F254" s="15">
        <f t="shared" si="15"/>
        <v>542501.34452287061</v>
      </c>
      <c r="G254" s="15"/>
    </row>
    <row r="255" spans="1:7">
      <c r="A255">
        <v>250</v>
      </c>
      <c r="B255" s="35">
        <f t="shared" si="12"/>
        <v>6653.0249517918319</v>
      </c>
      <c r="C255" s="15">
        <f t="shared" si="13"/>
        <v>3164.5911763834119</v>
      </c>
      <c r="D255" s="15">
        <f t="shared" si="14"/>
        <v>3488.4337754084199</v>
      </c>
      <c r="E255" s="15">
        <v>0</v>
      </c>
      <c r="F255" s="15">
        <f t="shared" si="15"/>
        <v>539012.91074746219</v>
      </c>
      <c r="G255" s="15"/>
    </row>
    <row r="256" spans="1:7">
      <c r="A256">
        <v>251</v>
      </c>
      <c r="B256" s="35">
        <f t="shared" si="12"/>
        <v>6653.0249517918319</v>
      </c>
      <c r="C256" s="15">
        <f t="shared" si="13"/>
        <v>3144.2419793601962</v>
      </c>
      <c r="D256" s="15">
        <f t="shared" si="14"/>
        <v>3508.7829724316357</v>
      </c>
      <c r="E256" s="15">
        <v>0</v>
      </c>
      <c r="F256" s="15">
        <f t="shared" si="15"/>
        <v>535504.12777503056</v>
      </c>
      <c r="G256" s="15"/>
    </row>
    <row r="257" spans="1:7">
      <c r="A257">
        <v>252</v>
      </c>
      <c r="B257" s="35">
        <f t="shared" si="12"/>
        <v>6653.0249517918319</v>
      </c>
      <c r="C257" s="15">
        <f t="shared" si="13"/>
        <v>3123.7740786876784</v>
      </c>
      <c r="D257" s="15">
        <f t="shared" si="14"/>
        <v>3529.2508731041535</v>
      </c>
      <c r="E257" s="15">
        <v>0</v>
      </c>
      <c r="F257" s="15">
        <f t="shared" si="15"/>
        <v>531974.87690192636</v>
      </c>
      <c r="G257" s="15"/>
    </row>
    <row r="258" spans="1:7">
      <c r="A258">
        <v>253</v>
      </c>
      <c r="B258" s="35">
        <f t="shared" si="12"/>
        <v>6653.0249517918319</v>
      </c>
      <c r="C258" s="15">
        <f t="shared" si="13"/>
        <v>3103.1867819279037</v>
      </c>
      <c r="D258" s="15">
        <f t="shared" si="14"/>
        <v>3549.8381698639282</v>
      </c>
      <c r="E258" s="15">
        <v>0</v>
      </c>
      <c r="F258" s="15">
        <f t="shared" si="15"/>
        <v>528425.03873206244</v>
      </c>
      <c r="G258" s="15"/>
    </row>
    <row r="259" spans="1:7">
      <c r="A259">
        <v>254</v>
      </c>
      <c r="B259" s="35">
        <f t="shared" si="12"/>
        <v>6653.0249517918319</v>
      </c>
      <c r="C259" s="15">
        <f t="shared" si="13"/>
        <v>3082.4793926036978</v>
      </c>
      <c r="D259" s="15">
        <f t="shared" si="14"/>
        <v>3570.5455591881341</v>
      </c>
      <c r="E259" s="15">
        <v>0</v>
      </c>
      <c r="F259" s="15">
        <f t="shared" si="15"/>
        <v>524854.49317287432</v>
      </c>
      <c r="G259" s="15"/>
    </row>
    <row r="260" spans="1:7">
      <c r="A260">
        <v>255</v>
      </c>
      <c r="B260" s="35">
        <f t="shared" si="12"/>
        <v>6653.0249517918319</v>
      </c>
      <c r="C260" s="15">
        <f t="shared" si="13"/>
        <v>3061.6512101751005</v>
      </c>
      <c r="D260" s="15">
        <f t="shared" si="14"/>
        <v>3591.3737416167314</v>
      </c>
      <c r="E260" s="15">
        <v>0</v>
      </c>
      <c r="F260" s="15">
        <f t="shared" si="15"/>
        <v>521263.1194312576</v>
      </c>
      <c r="G260" s="15"/>
    </row>
    <row r="261" spans="1:7">
      <c r="A261">
        <v>256</v>
      </c>
      <c r="B261" s="35">
        <f t="shared" si="12"/>
        <v>6653.0249517918319</v>
      </c>
      <c r="C261" s="15">
        <f t="shared" si="13"/>
        <v>3040.7015300156695</v>
      </c>
      <c r="D261" s="15">
        <f t="shared" si="14"/>
        <v>3612.3234217761624</v>
      </c>
      <c r="E261" s="15">
        <v>0</v>
      </c>
      <c r="F261" s="15">
        <f t="shared" si="15"/>
        <v>517650.79600948142</v>
      </c>
      <c r="G261" s="15"/>
    </row>
    <row r="262" spans="1:7">
      <c r="A262">
        <v>257</v>
      </c>
      <c r="B262" s="35">
        <f t="shared" si="12"/>
        <v>6653.0249517918319</v>
      </c>
      <c r="C262" s="15">
        <f t="shared" si="13"/>
        <v>3019.6296433886419</v>
      </c>
      <c r="D262" s="15">
        <f t="shared" si="14"/>
        <v>3633.39530840319</v>
      </c>
      <c r="E262" s="15">
        <v>0</v>
      </c>
      <c r="F262" s="15">
        <f t="shared" si="15"/>
        <v>514017.40070107824</v>
      </c>
      <c r="G262" s="15"/>
    </row>
    <row r="263" spans="1:7">
      <c r="A263">
        <v>258</v>
      </c>
      <c r="B263" s="35">
        <f t="shared" ref="B263:B326" si="16">PMT(($C$2/12),$C$3,-$C$1,0)</f>
        <v>6653.0249517918319</v>
      </c>
      <c r="C263" s="15">
        <f t="shared" ref="C263:C326" si="17">F262*($C$2/12)</f>
        <v>2998.4348374229567</v>
      </c>
      <c r="D263" s="15">
        <f t="shared" ref="D263:D326" si="18">B263-C263</f>
        <v>3654.5901143688752</v>
      </c>
      <c r="E263" s="15">
        <v>0</v>
      </c>
      <c r="F263" s="15">
        <f t="shared" ref="F263:F326" si="19">F262-D263-E263</f>
        <v>510362.81058670935</v>
      </c>
      <c r="G263" s="15"/>
    </row>
    <row r="264" spans="1:7">
      <c r="A264">
        <v>259</v>
      </c>
      <c r="B264" s="35">
        <f t="shared" si="16"/>
        <v>6653.0249517918319</v>
      </c>
      <c r="C264" s="15">
        <f t="shared" si="17"/>
        <v>2977.1163950891382</v>
      </c>
      <c r="D264" s="15">
        <f t="shared" si="18"/>
        <v>3675.9085567026937</v>
      </c>
      <c r="E264" s="15">
        <v>0</v>
      </c>
      <c r="F264" s="15">
        <f t="shared" si="19"/>
        <v>506686.90203000663</v>
      </c>
      <c r="G264" s="15"/>
    </row>
    <row r="265" spans="1:7">
      <c r="A265">
        <v>260</v>
      </c>
      <c r="B265" s="35">
        <f t="shared" si="16"/>
        <v>6653.0249517918319</v>
      </c>
      <c r="C265" s="15">
        <f t="shared" si="17"/>
        <v>2955.6735951750388</v>
      </c>
      <c r="D265" s="15">
        <f t="shared" si="18"/>
        <v>3697.3513566167931</v>
      </c>
      <c r="E265" s="15">
        <v>0</v>
      </c>
      <c r="F265" s="15">
        <f t="shared" si="19"/>
        <v>502989.55067338987</v>
      </c>
      <c r="G265" s="15"/>
    </row>
    <row r="266" spans="1:7">
      <c r="A266">
        <v>261</v>
      </c>
      <c r="B266" s="35">
        <f t="shared" si="16"/>
        <v>6653.0249517918319</v>
      </c>
      <c r="C266" s="15">
        <f t="shared" si="17"/>
        <v>2934.1057122614411</v>
      </c>
      <c r="D266" s="15">
        <f t="shared" si="18"/>
        <v>3718.9192395303908</v>
      </c>
      <c r="E266" s="15">
        <v>0</v>
      </c>
      <c r="F266" s="15">
        <f t="shared" si="19"/>
        <v>499270.63143385947</v>
      </c>
      <c r="G266" s="15"/>
    </row>
    <row r="267" spans="1:7">
      <c r="A267">
        <v>262</v>
      </c>
      <c r="B267" s="35">
        <f t="shared" si="16"/>
        <v>6653.0249517918319</v>
      </c>
      <c r="C267" s="15">
        <f t="shared" si="17"/>
        <v>2912.4120166975135</v>
      </c>
      <c r="D267" s="15">
        <f t="shared" si="18"/>
        <v>3740.6129350943183</v>
      </c>
      <c r="E267" s="15">
        <v>0</v>
      </c>
      <c r="F267" s="15">
        <f t="shared" si="19"/>
        <v>495530.01849876513</v>
      </c>
      <c r="G267" s="15"/>
    </row>
    <row r="268" spans="1:7">
      <c r="A268">
        <v>263</v>
      </c>
      <c r="B268" s="35">
        <f t="shared" si="16"/>
        <v>6653.0249517918319</v>
      </c>
      <c r="C268" s="15">
        <f t="shared" si="17"/>
        <v>2890.5917745761299</v>
      </c>
      <c r="D268" s="15">
        <f t="shared" si="18"/>
        <v>3762.433177215702</v>
      </c>
      <c r="E268" s="15">
        <v>0</v>
      </c>
      <c r="F268" s="15">
        <f t="shared" si="19"/>
        <v>491767.58532154944</v>
      </c>
      <c r="G268" s="15"/>
    </row>
    <row r="269" spans="1:7">
      <c r="A269">
        <v>264</v>
      </c>
      <c r="B269" s="35">
        <f t="shared" si="16"/>
        <v>6653.0249517918319</v>
      </c>
      <c r="C269" s="15">
        <f t="shared" si="17"/>
        <v>2868.6442477090386</v>
      </c>
      <c r="D269" s="15">
        <f t="shared" si="18"/>
        <v>3784.3807040827933</v>
      </c>
      <c r="E269" s="15">
        <v>0</v>
      </c>
      <c r="F269" s="15">
        <f t="shared" si="19"/>
        <v>487983.20461746666</v>
      </c>
      <c r="G269" s="15"/>
    </row>
    <row r="270" spans="1:7">
      <c r="A270">
        <v>265</v>
      </c>
      <c r="B270" s="35">
        <f t="shared" si="16"/>
        <v>6653.0249517918319</v>
      </c>
      <c r="C270" s="15">
        <f t="shared" si="17"/>
        <v>2846.5686936018892</v>
      </c>
      <c r="D270" s="15">
        <f t="shared" si="18"/>
        <v>3806.4562581899427</v>
      </c>
      <c r="E270" s="15">
        <v>0</v>
      </c>
      <c r="F270" s="15">
        <f t="shared" si="19"/>
        <v>484176.74835927674</v>
      </c>
      <c r="G270" s="15"/>
    </row>
    <row r="271" spans="1:7">
      <c r="A271">
        <v>266</v>
      </c>
      <c r="B271" s="35">
        <f t="shared" si="16"/>
        <v>6653.0249517918319</v>
      </c>
      <c r="C271" s="15">
        <f t="shared" si="17"/>
        <v>2824.3643654291145</v>
      </c>
      <c r="D271" s="15">
        <f t="shared" si="18"/>
        <v>3828.6605863627174</v>
      </c>
      <c r="E271" s="15">
        <v>0</v>
      </c>
      <c r="F271" s="15">
        <f t="shared" si="19"/>
        <v>480348.08777291403</v>
      </c>
      <c r="G271" s="15"/>
    </row>
    <row r="272" spans="1:7">
      <c r="A272">
        <v>267</v>
      </c>
      <c r="B272" s="35">
        <f t="shared" si="16"/>
        <v>6653.0249517918319</v>
      </c>
      <c r="C272" s="15">
        <f t="shared" si="17"/>
        <v>2802.0305120086655</v>
      </c>
      <c r="D272" s="15">
        <f t="shared" si="18"/>
        <v>3850.9944397831664</v>
      </c>
      <c r="E272" s="15">
        <v>0</v>
      </c>
      <c r="F272" s="15">
        <f t="shared" si="19"/>
        <v>476497.09333313088</v>
      </c>
      <c r="G272" s="15"/>
    </row>
    <row r="273" spans="1:7">
      <c r="A273">
        <v>268</v>
      </c>
      <c r="B273" s="35">
        <f t="shared" si="16"/>
        <v>6653.0249517918319</v>
      </c>
      <c r="C273" s="15">
        <f t="shared" si="17"/>
        <v>2779.5663777765967</v>
      </c>
      <c r="D273" s="15">
        <f t="shared" si="18"/>
        <v>3873.4585740152352</v>
      </c>
      <c r="E273" s="15">
        <v>0</v>
      </c>
      <c r="F273" s="15">
        <f t="shared" si="19"/>
        <v>472623.63475911564</v>
      </c>
      <c r="G273" s="15"/>
    </row>
    <row r="274" spans="1:7">
      <c r="A274">
        <v>269</v>
      </c>
      <c r="B274" s="35">
        <f t="shared" si="16"/>
        <v>6653.0249517918319</v>
      </c>
      <c r="C274" s="15">
        <f t="shared" si="17"/>
        <v>2756.9712027615078</v>
      </c>
      <c r="D274" s="15">
        <f t="shared" si="18"/>
        <v>3896.0537490303241</v>
      </c>
      <c r="E274" s="15">
        <v>0</v>
      </c>
      <c r="F274" s="15">
        <f t="shared" si="19"/>
        <v>468727.5810100853</v>
      </c>
      <c r="G274" s="15"/>
    </row>
    <row r="275" spans="1:7">
      <c r="A275">
        <v>270</v>
      </c>
      <c r="B275" s="35">
        <f t="shared" si="16"/>
        <v>6653.0249517918319</v>
      </c>
      <c r="C275" s="15">
        <f t="shared" si="17"/>
        <v>2734.2442225588311</v>
      </c>
      <c r="D275" s="15">
        <f t="shared" si="18"/>
        <v>3918.7807292330008</v>
      </c>
      <c r="E275" s="15">
        <v>0</v>
      </c>
      <c r="F275" s="15">
        <f t="shared" si="19"/>
        <v>464808.8002808523</v>
      </c>
      <c r="G275" s="15"/>
    </row>
    <row r="276" spans="1:7">
      <c r="A276">
        <v>271</v>
      </c>
      <c r="B276" s="35">
        <f t="shared" si="16"/>
        <v>6653.0249517918319</v>
      </c>
      <c r="C276" s="15">
        <f t="shared" si="17"/>
        <v>2711.3846683049719</v>
      </c>
      <c r="D276" s="15">
        <f t="shared" si="18"/>
        <v>3941.64028348686</v>
      </c>
      <c r="E276" s="15">
        <v>0</v>
      </c>
      <c r="F276" s="15">
        <f t="shared" si="19"/>
        <v>460867.15999736544</v>
      </c>
      <c r="G276" s="15"/>
    </row>
    <row r="277" spans="1:7">
      <c r="A277">
        <v>272</v>
      </c>
      <c r="B277" s="35">
        <f t="shared" si="16"/>
        <v>6653.0249517918319</v>
      </c>
      <c r="C277" s="15">
        <f t="shared" si="17"/>
        <v>2688.3917666512984</v>
      </c>
      <c r="D277" s="15">
        <f t="shared" si="18"/>
        <v>3964.6331851405334</v>
      </c>
      <c r="E277" s="15">
        <v>0</v>
      </c>
      <c r="F277" s="15">
        <f t="shared" si="19"/>
        <v>456902.52681222488</v>
      </c>
      <c r="G277" s="15"/>
    </row>
    <row r="278" spans="1:7">
      <c r="A278">
        <v>273</v>
      </c>
      <c r="B278" s="35">
        <f t="shared" si="16"/>
        <v>6653.0249517918319</v>
      </c>
      <c r="C278" s="15">
        <f t="shared" si="17"/>
        <v>2665.2647397379787</v>
      </c>
      <c r="D278" s="15">
        <f t="shared" si="18"/>
        <v>3987.7602120538531</v>
      </c>
      <c r="E278" s="15">
        <v>0</v>
      </c>
      <c r="F278" s="15">
        <f t="shared" si="19"/>
        <v>452914.76660017105</v>
      </c>
      <c r="G278" s="15"/>
    </row>
    <row r="279" spans="1:7">
      <c r="A279">
        <v>274</v>
      </c>
      <c r="B279" s="35">
        <f t="shared" si="16"/>
        <v>6653.0249517918319</v>
      </c>
      <c r="C279" s="15">
        <f t="shared" si="17"/>
        <v>2642.0028051676645</v>
      </c>
      <c r="D279" s="15">
        <f t="shared" si="18"/>
        <v>4011.0221466241674</v>
      </c>
      <c r="E279" s="15">
        <v>0</v>
      </c>
      <c r="F279" s="15">
        <f t="shared" si="19"/>
        <v>448903.74445354688</v>
      </c>
      <c r="G279" s="15"/>
    </row>
    <row r="280" spans="1:7">
      <c r="A280">
        <v>275</v>
      </c>
      <c r="B280" s="35">
        <f t="shared" si="16"/>
        <v>6653.0249517918319</v>
      </c>
      <c r="C280" s="15">
        <f t="shared" si="17"/>
        <v>2618.6051759790234</v>
      </c>
      <c r="D280" s="15">
        <f t="shared" si="18"/>
        <v>4034.4197758128084</v>
      </c>
      <c r="E280" s="15">
        <v>0</v>
      </c>
      <c r="F280" s="15">
        <f t="shared" si="19"/>
        <v>444869.32467773405</v>
      </c>
      <c r="G280" s="15"/>
    </row>
    <row r="281" spans="1:7">
      <c r="A281">
        <v>276</v>
      </c>
      <c r="B281" s="35">
        <f t="shared" si="16"/>
        <v>6653.0249517918319</v>
      </c>
      <c r="C281" s="15">
        <f t="shared" si="17"/>
        <v>2595.0710606201155</v>
      </c>
      <c r="D281" s="15">
        <f t="shared" si="18"/>
        <v>4057.9538911717164</v>
      </c>
      <c r="E281" s="15">
        <v>0</v>
      </c>
      <c r="F281" s="15">
        <f t="shared" si="19"/>
        <v>440811.37078656233</v>
      </c>
      <c r="G281" s="15"/>
    </row>
    <row r="282" spans="1:7">
      <c r="A282">
        <v>277</v>
      </c>
      <c r="B282" s="35">
        <f t="shared" si="16"/>
        <v>6653.0249517918319</v>
      </c>
      <c r="C282" s="15">
        <f t="shared" si="17"/>
        <v>2571.3996629216135</v>
      </c>
      <c r="D282" s="15">
        <f t="shared" si="18"/>
        <v>4081.6252888702184</v>
      </c>
      <c r="E282" s="15">
        <v>0</v>
      </c>
      <c r="F282" s="15">
        <f t="shared" si="19"/>
        <v>436729.74549769209</v>
      </c>
      <c r="G282" s="15"/>
    </row>
    <row r="283" spans="1:7">
      <c r="A283">
        <v>278</v>
      </c>
      <c r="B283" s="35">
        <f t="shared" si="16"/>
        <v>6653.0249517918319</v>
      </c>
      <c r="C283" s="15">
        <f t="shared" si="17"/>
        <v>2547.5901820698705</v>
      </c>
      <c r="D283" s="15">
        <f t="shared" si="18"/>
        <v>4105.4347697219619</v>
      </c>
      <c r="E283" s="15">
        <v>0</v>
      </c>
      <c r="F283" s="15">
        <f t="shared" si="19"/>
        <v>432624.31072797015</v>
      </c>
      <c r="G283" s="15"/>
    </row>
    <row r="284" spans="1:7">
      <c r="A284">
        <v>279</v>
      </c>
      <c r="B284" s="35">
        <f t="shared" si="16"/>
        <v>6653.0249517918319</v>
      </c>
      <c r="C284" s="15">
        <f t="shared" si="17"/>
        <v>2523.6418125798259</v>
      </c>
      <c r="D284" s="15">
        <f t="shared" si="18"/>
        <v>4129.3831392120064</v>
      </c>
      <c r="E284" s="15">
        <v>0</v>
      </c>
      <c r="F284" s="15">
        <f t="shared" si="19"/>
        <v>428494.92758875812</v>
      </c>
      <c r="G284" s="15"/>
    </row>
    <row r="285" spans="1:7">
      <c r="A285">
        <v>280</v>
      </c>
      <c r="B285" s="35">
        <f t="shared" si="16"/>
        <v>6653.0249517918319</v>
      </c>
      <c r="C285" s="15">
        <f t="shared" si="17"/>
        <v>2499.553744267756</v>
      </c>
      <c r="D285" s="15">
        <f t="shared" si="18"/>
        <v>4153.4712075240759</v>
      </c>
      <c r="E285" s="15">
        <v>0</v>
      </c>
      <c r="F285" s="15">
        <f t="shared" si="19"/>
        <v>424341.45638123405</v>
      </c>
      <c r="G285" s="15"/>
    </row>
    <row r="286" spans="1:7">
      <c r="A286">
        <v>281</v>
      </c>
      <c r="B286" s="35">
        <f t="shared" si="16"/>
        <v>6653.0249517918319</v>
      </c>
      <c r="C286" s="15">
        <f t="shared" si="17"/>
        <v>2475.3251622238654</v>
      </c>
      <c r="D286" s="15">
        <f t="shared" si="18"/>
        <v>4177.6997895679669</v>
      </c>
      <c r="E286" s="15">
        <v>0</v>
      </c>
      <c r="F286" s="15">
        <f t="shared" si="19"/>
        <v>420163.75659166608</v>
      </c>
      <c r="G286" s="15"/>
    </row>
    <row r="287" spans="1:7">
      <c r="A287">
        <v>282</v>
      </c>
      <c r="B287" s="35">
        <f t="shared" si="16"/>
        <v>6653.0249517918319</v>
      </c>
      <c r="C287" s="15">
        <f t="shared" si="17"/>
        <v>2450.9552467847188</v>
      </c>
      <c r="D287" s="15">
        <f t="shared" si="18"/>
        <v>4202.069705007113</v>
      </c>
      <c r="E287" s="15">
        <v>0</v>
      </c>
      <c r="F287" s="15">
        <f t="shared" si="19"/>
        <v>415961.68688665895</v>
      </c>
      <c r="G287" s="15"/>
    </row>
    <row r="288" spans="1:7">
      <c r="A288">
        <v>283</v>
      </c>
      <c r="B288" s="35">
        <f t="shared" si="16"/>
        <v>6653.0249517918319</v>
      </c>
      <c r="C288" s="15">
        <f t="shared" si="17"/>
        <v>2426.4431735055105</v>
      </c>
      <c r="D288" s="15">
        <f t="shared" si="18"/>
        <v>4226.5817782863214</v>
      </c>
      <c r="E288" s="15">
        <v>0</v>
      </c>
      <c r="F288" s="15">
        <f t="shared" si="19"/>
        <v>411735.10510837263</v>
      </c>
      <c r="G288" s="15"/>
    </row>
    <row r="289" spans="1:7">
      <c r="A289">
        <v>284</v>
      </c>
      <c r="B289" s="35">
        <f t="shared" si="16"/>
        <v>6653.0249517918319</v>
      </c>
      <c r="C289" s="15">
        <f t="shared" si="17"/>
        <v>2401.7881131321737</v>
      </c>
      <c r="D289" s="15">
        <f t="shared" si="18"/>
        <v>4251.2368386596581</v>
      </c>
      <c r="E289" s="15">
        <v>0</v>
      </c>
      <c r="F289" s="15">
        <f t="shared" si="19"/>
        <v>407483.86826971296</v>
      </c>
      <c r="G289" s="15"/>
    </row>
    <row r="290" spans="1:7">
      <c r="A290">
        <v>285</v>
      </c>
      <c r="B290" s="35">
        <f t="shared" si="16"/>
        <v>6653.0249517918319</v>
      </c>
      <c r="C290" s="15">
        <f t="shared" si="17"/>
        <v>2376.9892315733255</v>
      </c>
      <c r="D290" s="15">
        <f t="shared" si="18"/>
        <v>4276.035720218506</v>
      </c>
      <c r="E290" s="15">
        <v>0</v>
      </c>
      <c r="F290" s="15">
        <f t="shared" si="19"/>
        <v>403207.83254949446</v>
      </c>
      <c r="G290" s="15"/>
    </row>
    <row r="291" spans="1:7">
      <c r="A291">
        <v>286</v>
      </c>
      <c r="B291" s="35">
        <f t="shared" si="16"/>
        <v>6653.0249517918319</v>
      </c>
      <c r="C291" s="15">
        <f t="shared" si="17"/>
        <v>2352.0456898720513</v>
      </c>
      <c r="D291" s="15">
        <f t="shared" si="18"/>
        <v>4300.9792619197806</v>
      </c>
      <c r="E291" s="15">
        <v>0</v>
      </c>
      <c r="F291" s="15">
        <f t="shared" si="19"/>
        <v>398906.85328757466</v>
      </c>
      <c r="G291" s="15"/>
    </row>
    <row r="292" spans="1:7">
      <c r="A292">
        <v>287</v>
      </c>
      <c r="B292" s="35">
        <f t="shared" si="16"/>
        <v>6653.0249517918319</v>
      </c>
      <c r="C292" s="15">
        <f t="shared" si="17"/>
        <v>2326.9566441775191</v>
      </c>
      <c r="D292" s="15">
        <f t="shared" si="18"/>
        <v>4326.0683076143123</v>
      </c>
      <c r="E292" s="15">
        <v>0</v>
      </c>
      <c r="F292" s="15">
        <f t="shared" si="19"/>
        <v>394580.78497996036</v>
      </c>
      <c r="G292" s="15"/>
    </row>
    <row r="293" spans="1:7">
      <c r="A293">
        <v>288</v>
      </c>
      <c r="B293" s="35">
        <f t="shared" si="16"/>
        <v>6653.0249517918319</v>
      </c>
      <c r="C293" s="15">
        <f t="shared" si="17"/>
        <v>2301.7212457164355</v>
      </c>
      <c r="D293" s="15">
        <f t="shared" si="18"/>
        <v>4351.3037060753959</v>
      </c>
      <c r="E293" s="15">
        <v>0</v>
      </c>
      <c r="F293" s="15">
        <f t="shared" si="19"/>
        <v>390229.48127388494</v>
      </c>
      <c r="G293" s="15"/>
    </row>
    <row r="294" spans="1:7">
      <c r="A294">
        <v>289</v>
      </c>
      <c r="B294" s="35">
        <f t="shared" si="16"/>
        <v>6653.0249517918319</v>
      </c>
      <c r="C294" s="15">
        <f t="shared" si="17"/>
        <v>2276.3386407643288</v>
      </c>
      <c r="D294" s="15">
        <f t="shared" si="18"/>
        <v>4376.6863110275026</v>
      </c>
      <c r="E294" s="15">
        <v>0</v>
      </c>
      <c r="F294" s="15">
        <f t="shared" si="19"/>
        <v>385852.79496285744</v>
      </c>
      <c r="G294" s="15"/>
    </row>
    <row r="295" spans="1:7">
      <c r="A295">
        <v>290</v>
      </c>
      <c r="B295" s="35">
        <f t="shared" si="16"/>
        <v>6653.0249517918319</v>
      </c>
      <c r="C295" s="15">
        <f t="shared" si="17"/>
        <v>2250.8079706166686</v>
      </c>
      <c r="D295" s="15">
        <f t="shared" si="18"/>
        <v>4402.2169811751628</v>
      </c>
      <c r="E295" s="15">
        <v>0</v>
      </c>
      <c r="F295" s="15">
        <f t="shared" si="19"/>
        <v>381450.57798168226</v>
      </c>
      <c r="G295" s="15"/>
    </row>
    <row r="296" spans="1:7">
      <c r="A296">
        <v>291</v>
      </c>
      <c r="B296" s="35">
        <f t="shared" si="16"/>
        <v>6653.0249517918319</v>
      </c>
      <c r="C296" s="15">
        <f t="shared" si="17"/>
        <v>2225.1283715598133</v>
      </c>
      <c r="D296" s="15">
        <f t="shared" si="18"/>
        <v>4427.8965802320181</v>
      </c>
      <c r="E296" s="15">
        <v>0</v>
      </c>
      <c r="F296" s="15">
        <f t="shared" si="19"/>
        <v>377022.68140145025</v>
      </c>
      <c r="G296" s="15"/>
    </row>
    <row r="297" spans="1:7">
      <c r="A297">
        <v>292</v>
      </c>
      <c r="B297" s="35">
        <f t="shared" si="16"/>
        <v>6653.0249517918319</v>
      </c>
      <c r="C297" s="15">
        <f t="shared" si="17"/>
        <v>2199.2989748417931</v>
      </c>
      <c r="D297" s="15">
        <f t="shared" si="18"/>
        <v>4453.7259769500388</v>
      </c>
      <c r="E297" s="15">
        <v>0</v>
      </c>
      <c r="F297" s="15">
        <f t="shared" si="19"/>
        <v>372568.95542450022</v>
      </c>
      <c r="G297" s="15"/>
    </row>
    <row r="298" spans="1:7">
      <c r="A298">
        <v>293</v>
      </c>
      <c r="B298" s="35">
        <f t="shared" si="16"/>
        <v>6653.0249517918319</v>
      </c>
      <c r="C298" s="15">
        <f t="shared" si="17"/>
        <v>2173.3189066429181</v>
      </c>
      <c r="D298" s="15">
        <f t="shared" si="18"/>
        <v>4479.7060451489142</v>
      </c>
      <c r="E298" s="15">
        <v>0</v>
      </c>
      <c r="F298" s="15">
        <f t="shared" si="19"/>
        <v>368089.24937935133</v>
      </c>
      <c r="G298" s="15"/>
    </row>
    <row r="299" spans="1:7">
      <c r="A299">
        <v>294</v>
      </c>
      <c r="B299" s="35">
        <f t="shared" si="16"/>
        <v>6653.0249517918319</v>
      </c>
      <c r="C299" s="15">
        <f t="shared" si="17"/>
        <v>2147.1872880462161</v>
      </c>
      <c r="D299" s="15">
        <f t="shared" si="18"/>
        <v>4505.8376637456158</v>
      </c>
      <c r="E299" s="15">
        <v>0</v>
      </c>
      <c r="F299" s="15">
        <f t="shared" si="19"/>
        <v>363583.4117156057</v>
      </c>
      <c r="G299" s="15"/>
    </row>
    <row r="300" spans="1:7">
      <c r="A300">
        <v>295</v>
      </c>
      <c r="B300" s="35">
        <f t="shared" si="16"/>
        <v>6653.0249517918319</v>
      </c>
      <c r="C300" s="15">
        <f t="shared" si="17"/>
        <v>2120.9032350077</v>
      </c>
      <c r="D300" s="15">
        <f t="shared" si="18"/>
        <v>4532.1217167841314</v>
      </c>
      <c r="E300" s="15">
        <v>0</v>
      </c>
      <c r="F300" s="15">
        <f t="shared" si="19"/>
        <v>359051.28999882156</v>
      </c>
      <c r="G300" s="15"/>
    </row>
    <row r="301" spans="1:7">
      <c r="A301">
        <v>296</v>
      </c>
      <c r="B301" s="35">
        <f t="shared" si="16"/>
        <v>6653.0249517918319</v>
      </c>
      <c r="C301" s="15">
        <f t="shared" si="17"/>
        <v>2094.4658583264591</v>
      </c>
      <c r="D301" s="15">
        <f t="shared" si="18"/>
        <v>4558.5590934653728</v>
      </c>
      <c r="E301" s="15">
        <v>0</v>
      </c>
      <c r="F301" s="15">
        <f t="shared" si="19"/>
        <v>354492.73090535618</v>
      </c>
      <c r="G301" s="15"/>
    </row>
    <row r="302" spans="1:7">
      <c r="A302">
        <v>297</v>
      </c>
      <c r="B302" s="35">
        <f t="shared" si="16"/>
        <v>6653.0249517918319</v>
      </c>
      <c r="C302" s="15">
        <f t="shared" si="17"/>
        <v>2067.874263614578</v>
      </c>
      <c r="D302" s="15">
        <f t="shared" si="18"/>
        <v>4585.1506881772539</v>
      </c>
      <c r="E302" s="15">
        <v>0</v>
      </c>
      <c r="F302" s="15">
        <f t="shared" si="19"/>
        <v>349907.58021717891</v>
      </c>
      <c r="G302" s="15"/>
    </row>
    <row r="303" spans="1:7">
      <c r="A303">
        <v>298</v>
      </c>
      <c r="B303" s="35">
        <f t="shared" si="16"/>
        <v>6653.0249517918319</v>
      </c>
      <c r="C303" s="15">
        <f t="shared" si="17"/>
        <v>2041.1275512668772</v>
      </c>
      <c r="D303" s="15">
        <f t="shared" si="18"/>
        <v>4611.8974005249547</v>
      </c>
      <c r="E303" s="15">
        <v>0</v>
      </c>
      <c r="F303" s="15">
        <f t="shared" si="19"/>
        <v>345295.68281665398</v>
      </c>
      <c r="G303" s="15"/>
    </row>
    <row r="304" spans="1:7">
      <c r="A304">
        <v>299</v>
      </c>
      <c r="B304" s="35">
        <f t="shared" si="16"/>
        <v>6653.0249517918319</v>
      </c>
      <c r="C304" s="15">
        <f t="shared" si="17"/>
        <v>2014.2248164304817</v>
      </c>
      <c r="D304" s="15">
        <f t="shared" si="18"/>
        <v>4638.8001353613499</v>
      </c>
      <c r="E304" s="15">
        <v>0</v>
      </c>
      <c r="F304" s="15">
        <f t="shared" si="19"/>
        <v>340656.88268129266</v>
      </c>
      <c r="G304" s="15"/>
    </row>
    <row r="305" spans="1:7">
      <c r="A305">
        <v>300</v>
      </c>
      <c r="B305" s="35">
        <f t="shared" si="16"/>
        <v>6653.0249517918319</v>
      </c>
      <c r="C305" s="15">
        <f t="shared" si="17"/>
        <v>1987.1651489742073</v>
      </c>
      <c r="D305" s="15">
        <f t="shared" si="18"/>
        <v>4665.8598028176248</v>
      </c>
      <c r="E305" s="15">
        <v>0</v>
      </c>
      <c r="F305" s="15">
        <f t="shared" si="19"/>
        <v>335991.02287847502</v>
      </c>
      <c r="G305" s="15"/>
    </row>
    <row r="306" spans="1:7">
      <c r="A306">
        <v>301</v>
      </c>
      <c r="B306" s="35">
        <f t="shared" si="16"/>
        <v>6653.0249517918319</v>
      </c>
      <c r="C306" s="15">
        <f t="shared" si="17"/>
        <v>1959.947633457771</v>
      </c>
      <c r="D306" s="15">
        <f t="shared" si="18"/>
        <v>4693.0773183340607</v>
      </c>
      <c r="E306" s="15">
        <v>0</v>
      </c>
      <c r="F306" s="15">
        <f t="shared" si="19"/>
        <v>331297.94556014094</v>
      </c>
      <c r="G306" s="15"/>
    </row>
    <row r="307" spans="1:7">
      <c r="A307">
        <v>302</v>
      </c>
      <c r="B307" s="35">
        <f t="shared" si="16"/>
        <v>6653.0249517918319</v>
      </c>
      <c r="C307" s="15">
        <f t="shared" si="17"/>
        <v>1932.5713491008223</v>
      </c>
      <c r="D307" s="15">
        <f t="shared" si="18"/>
        <v>4720.45360269101</v>
      </c>
      <c r="E307" s="15">
        <v>0</v>
      </c>
      <c r="F307" s="15">
        <f t="shared" si="19"/>
        <v>326577.49195744994</v>
      </c>
      <c r="G307" s="15"/>
    </row>
    <row r="308" spans="1:7">
      <c r="A308">
        <v>303</v>
      </c>
      <c r="B308" s="35">
        <f t="shared" si="16"/>
        <v>6653.0249517918319</v>
      </c>
      <c r="C308" s="15">
        <f t="shared" si="17"/>
        <v>1905.0353697517914</v>
      </c>
      <c r="D308" s="15">
        <f t="shared" si="18"/>
        <v>4747.9895820400407</v>
      </c>
      <c r="E308" s="15">
        <v>0</v>
      </c>
      <c r="F308" s="15">
        <f t="shared" si="19"/>
        <v>321829.50237540988</v>
      </c>
      <c r="G308" s="15"/>
    </row>
    <row r="309" spans="1:7">
      <c r="A309">
        <v>304</v>
      </c>
      <c r="B309" s="35">
        <f t="shared" si="16"/>
        <v>6653.0249517918319</v>
      </c>
      <c r="C309" s="15">
        <f t="shared" si="17"/>
        <v>1877.3387638565578</v>
      </c>
      <c r="D309" s="15">
        <f t="shared" si="18"/>
        <v>4775.6861879352746</v>
      </c>
      <c r="E309" s="15">
        <v>0</v>
      </c>
      <c r="F309" s="15">
        <f t="shared" si="19"/>
        <v>317053.81618747459</v>
      </c>
      <c r="G309" s="15"/>
    </row>
    <row r="310" spans="1:7">
      <c r="A310">
        <v>305</v>
      </c>
      <c r="B310" s="35">
        <f t="shared" si="16"/>
        <v>6653.0249517918319</v>
      </c>
      <c r="C310" s="15">
        <f t="shared" si="17"/>
        <v>1849.4805944269351</v>
      </c>
      <c r="D310" s="15">
        <f t="shared" si="18"/>
        <v>4803.5443573648972</v>
      </c>
      <c r="E310" s="15">
        <v>0</v>
      </c>
      <c r="F310" s="15">
        <f t="shared" si="19"/>
        <v>312250.2718301097</v>
      </c>
      <c r="G310" s="15"/>
    </row>
    <row r="311" spans="1:7">
      <c r="A311">
        <v>306</v>
      </c>
      <c r="B311" s="35">
        <f t="shared" si="16"/>
        <v>6653.0249517918319</v>
      </c>
      <c r="C311" s="15">
        <f t="shared" si="17"/>
        <v>1821.4599190089734</v>
      </c>
      <c r="D311" s="15">
        <f t="shared" si="18"/>
        <v>4831.5650327828589</v>
      </c>
      <c r="E311" s="15">
        <v>0</v>
      </c>
      <c r="F311" s="15">
        <f t="shared" si="19"/>
        <v>307418.70679732686</v>
      </c>
      <c r="G311" s="15"/>
    </row>
    <row r="312" spans="1:7">
      <c r="A312">
        <v>307</v>
      </c>
      <c r="B312" s="35">
        <f t="shared" si="16"/>
        <v>6653.0249517918319</v>
      </c>
      <c r="C312" s="15">
        <f t="shared" si="17"/>
        <v>1793.2757896510734</v>
      </c>
      <c r="D312" s="15">
        <f t="shared" si="18"/>
        <v>4859.7491621407589</v>
      </c>
      <c r="E312" s="15">
        <v>0</v>
      </c>
      <c r="F312" s="15">
        <f t="shared" si="19"/>
        <v>302558.95763518609</v>
      </c>
      <c r="G312" s="15"/>
    </row>
    <row r="313" spans="1:7">
      <c r="A313">
        <v>308</v>
      </c>
      <c r="B313" s="35">
        <f t="shared" si="16"/>
        <v>6653.0249517918319</v>
      </c>
      <c r="C313" s="15">
        <f t="shared" si="17"/>
        <v>1764.9272528719189</v>
      </c>
      <c r="D313" s="15">
        <f t="shared" si="18"/>
        <v>4888.0976989199135</v>
      </c>
      <c r="E313" s="15">
        <v>0</v>
      </c>
      <c r="F313" s="15">
        <f t="shared" si="19"/>
        <v>297670.85993626615</v>
      </c>
      <c r="G313" s="15"/>
    </row>
    <row r="314" spans="1:7">
      <c r="A314">
        <v>309</v>
      </c>
      <c r="B314" s="35">
        <f t="shared" si="16"/>
        <v>6653.0249517918319</v>
      </c>
      <c r="C314" s="15">
        <f t="shared" si="17"/>
        <v>1736.4133496282193</v>
      </c>
      <c r="D314" s="15">
        <f t="shared" si="18"/>
        <v>4916.6116021636126</v>
      </c>
      <c r="E314" s="15">
        <v>0</v>
      </c>
      <c r="F314" s="15">
        <f t="shared" si="19"/>
        <v>292754.24833410251</v>
      </c>
      <c r="G314" s="15"/>
    </row>
    <row r="315" spans="1:7">
      <c r="A315">
        <v>310</v>
      </c>
      <c r="B315" s="35">
        <f t="shared" si="16"/>
        <v>6653.0249517918319</v>
      </c>
      <c r="C315" s="15">
        <f t="shared" si="17"/>
        <v>1707.7331152822646</v>
      </c>
      <c r="D315" s="15">
        <f t="shared" si="18"/>
        <v>4945.2918365095675</v>
      </c>
      <c r="E315" s="15">
        <v>0</v>
      </c>
      <c r="F315" s="15">
        <f t="shared" si="19"/>
        <v>287808.95649759297</v>
      </c>
      <c r="G315" s="15"/>
    </row>
    <row r="316" spans="1:7">
      <c r="A316">
        <v>311</v>
      </c>
      <c r="B316" s="35">
        <f t="shared" si="16"/>
        <v>6653.0249517918319</v>
      </c>
      <c r="C316" s="15">
        <f t="shared" si="17"/>
        <v>1678.8855795692923</v>
      </c>
      <c r="D316" s="15">
        <f t="shared" si="18"/>
        <v>4974.1393722225394</v>
      </c>
      <c r="E316" s="15">
        <v>0</v>
      </c>
      <c r="F316" s="15">
        <f t="shared" si="19"/>
        <v>282834.81712537043</v>
      </c>
      <c r="G316" s="15"/>
    </row>
    <row r="317" spans="1:7">
      <c r="A317">
        <v>312</v>
      </c>
      <c r="B317" s="35">
        <f t="shared" si="16"/>
        <v>6653.0249517918319</v>
      </c>
      <c r="C317" s="15">
        <f t="shared" si="17"/>
        <v>1649.8697665646609</v>
      </c>
      <c r="D317" s="15">
        <f t="shared" si="18"/>
        <v>5003.1551852271714</v>
      </c>
      <c r="E317" s="15">
        <v>0</v>
      </c>
      <c r="F317" s="15">
        <f t="shared" si="19"/>
        <v>277831.66194014327</v>
      </c>
      <c r="G317" s="15"/>
    </row>
    <row r="318" spans="1:7">
      <c r="A318">
        <v>313</v>
      </c>
      <c r="B318" s="35">
        <f t="shared" si="16"/>
        <v>6653.0249517918319</v>
      </c>
      <c r="C318" s="15">
        <f t="shared" si="17"/>
        <v>1620.6846946508358</v>
      </c>
      <c r="D318" s="15">
        <f t="shared" si="18"/>
        <v>5032.3402571409961</v>
      </c>
      <c r="E318" s="15">
        <v>0</v>
      </c>
      <c r="F318" s="15">
        <f t="shared" si="19"/>
        <v>272799.32168300229</v>
      </c>
      <c r="G318" s="15"/>
    </row>
    <row r="319" spans="1:7">
      <c r="A319">
        <v>314</v>
      </c>
      <c r="B319" s="35">
        <f t="shared" si="16"/>
        <v>6653.0249517918319</v>
      </c>
      <c r="C319" s="15">
        <f t="shared" si="17"/>
        <v>1591.3293764841801</v>
      </c>
      <c r="D319" s="15">
        <f t="shared" si="18"/>
        <v>5061.6955753076518</v>
      </c>
      <c r="E319" s="15">
        <v>0</v>
      </c>
      <c r="F319" s="15">
        <f t="shared" si="19"/>
        <v>267737.62610769464</v>
      </c>
      <c r="G319" s="15"/>
    </row>
    <row r="320" spans="1:7">
      <c r="A320">
        <v>315</v>
      </c>
      <c r="B320" s="35">
        <f t="shared" si="16"/>
        <v>6653.0249517918319</v>
      </c>
      <c r="C320" s="15">
        <f t="shared" si="17"/>
        <v>1561.802818961552</v>
      </c>
      <c r="D320" s="15">
        <f t="shared" si="18"/>
        <v>5091.2221328302803</v>
      </c>
      <c r="E320" s="15">
        <v>0</v>
      </c>
      <c r="F320" s="15">
        <f t="shared" si="19"/>
        <v>262646.40397486434</v>
      </c>
      <c r="G320" s="15"/>
    </row>
    <row r="321" spans="1:7">
      <c r="A321">
        <v>316</v>
      </c>
      <c r="B321" s="35">
        <f t="shared" si="16"/>
        <v>6653.0249517918319</v>
      </c>
      <c r="C321" s="15">
        <f t="shared" si="17"/>
        <v>1532.1040231867087</v>
      </c>
      <c r="D321" s="15">
        <f t="shared" si="18"/>
        <v>5120.9209286051228</v>
      </c>
      <c r="E321" s="15">
        <v>0</v>
      </c>
      <c r="F321" s="15">
        <f t="shared" si="19"/>
        <v>257525.48304625921</v>
      </c>
      <c r="G321" s="15"/>
    </row>
    <row r="322" spans="1:7">
      <c r="A322">
        <v>317</v>
      </c>
      <c r="B322" s="35">
        <f t="shared" si="16"/>
        <v>6653.0249517918319</v>
      </c>
      <c r="C322" s="15">
        <f t="shared" si="17"/>
        <v>1502.2319844365122</v>
      </c>
      <c r="D322" s="15">
        <f t="shared" si="18"/>
        <v>5150.7929673553199</v>
      </c>
      <c r="E322" s="15">
        <v>0</v>
      </c>
      <c r="F322" s="15">
        <f t="shared" si="19"/>
        <v>252374.69007890389</v>
      </c>
      <c r="G322" s="15"/>
    </row>
    <row r="323" spans="1:7">
      <c r="A323">
        <v>318</v>
      </c>
      <c r="B323" s="35">
        <f t="shared" si="16"/>
        <v>6653.0249517918319</v>
      </c>
      <c r="C323" s="15">
        <f t="shared" si="17"/>
        <v>1472.1856921269393</v>
      </c>
      <c r="D323" s="15">
        <f t="shared" si="18"/>
        <v>5180.8392596648928</v>
      </c>
      <c r="E323" s="15">
        <v>0</v>
      </c>
      <c r="F323" s="15">
        <f t="shared" si="19"/>
        <v>247193.85081923899</v>
      </c>
      <c r="G323" s="15"/>
    </row>
    <row r="324" spans="1:7">
      <c r="A324">
        <v>319</v>
      </c>
      <c r="B324" s="35">
        <f t="shared" si="16"/>
        <v>6653.0249517918319</v>
      </c>
      <c r="C324" s="15">
        <f t="shared" si="17"/>
        <v>1441.9641297788942</v>
      </c>
      <c r="D324" s="15">
        <f t="shared" si="18"/>
        <v>5211.0608220129379</v>
      </c>
      <c r="E324" s="15">
        <v>0</v>
      </c>
      <c r="F324" s="15">
        <f t="shared" si="19"/>
        <v>241982.78999722603</v>
      </c>
      <c r="G324" s="15"/>
    </row>
    <row r="325" spans="1:7">
      <c r="A325">
        <v>320</v>
      </c>
      <c r="B325" s="35">
        <f t="shared" si="16"/>
        <v>6653.0249517918319</v>
      </c>
      <c r="C325" s="15">
        <f t="shared" si="17"/>
        <v>1411.5662749838186</v>
      </c>
      <c r="D325" s="15">
        <f t="shared" si="18"/>
        <v>5241.4586768080135</v>
      </c>
      <c r="E325" s="15">
        <v>0</v>
      </c>
      <c r="F325" s="15">
        <f t="shared" si="19"/>
        <v>236741.33132041802</v>
      </c>
      <c r="G325" s="15"/>
    </row>
    <row r="326" spans="1:7">
      <c r="A326">
        <v>321</v>
      </c>
      <c r="B326" s="35">
        <f t="shared" si="16"/>
        <v>6653.0249517918319</v>
      </c>
      <c r="C326" s="15">
        <f t="shared" si="17"/>
        <v>1380.9910993691051</v>
      </c>
      <c r="D326" s="15">
        <f t="shared" si="18"/>
        <v>5272.0338524227263</v>
      </c>
      <c r="E326" s="15">
        <v>0</v>
      </c>
      <c r="F326" s="15">
        <f t="shared" si="19"/>
        <v>231469.29746799529</v>
      </c>
      <c r="G326" s="15"/>
    </row>
    <row r="327" spans="1:7">
      <c r="A327">
        <v>322</v>
      </c>
      <c r="B327" s="35">
        <f t="shared" ref="B327:B365" si="20">PMT(($C$2/12),$C$3,-$C$1,0)</f>
        <v>6653.0249517918319</v>
      </c>
      <c r="C327" s="15">
        <f t="shared" ref="C327:C365" si="21">F326*($C$2/12)</f>
        <v>1350.237568563306</v>
      </c>
      <c r="D327" s="15">
        <f t="shared" ref="D327:D365" si="22">B327-C327</f>
        <v>5302.7873832285259</v>
      </c>
      <c r="E327" s="15">
        <v>0</v>
      </c>
      <c r="F327" s="15">
        <f t="shared" ref="F327:F365" si="23">F326-D327-E327</f>
        <v>226166.51008476678</v>
      </c>
      <c r="G327" s="15"/>
    </row>
    <row r="328" spans="1:7">
      <c r="A328">
        <v>323</v>
      </c>
      <c r="B328" s="35">
        <f t="shared" si="20"/>
        <v>6653.0249517918319</v>
      </c>
      <c r="C328" s="15">
        <f t="shared" si="21"/>
        <v>1319.3046421611396</v>
      </c>
      <c r="D328" s="15">
        <f t="shared" si="22"/>
        <v>5333.7203096306921</v>
      </c>
      <c r="E328" s="15">
        <v>0</v>
      </c>
      <c r="F328" s="15">
        <f t="shared" si="23"/>
        <v>220832.78977513607</v>
      </c>
      <c r="G328" s="15"/>
    </row>
    <row r="329" spans="1:7">
      <c r="A329">
        <v>324</v>
      </c>
      <c r="B329" s="35">
        <f t="shared" si="20"/>
        <v>6653.0249517918319</v>
      </c>
      <c r="C329" s="15">
        <f t="shared" si="21"/>
        <v>1288.1912736882939</v>
      </c>
      <c r="D329" s="15">
        <f t="shared" si="22"/>
        <v>5364.8336781035377</v>
      </c>
      <c r="E329" s="15">
        <v>0</v>
      </c>
      <c r="F329" s="15">
        <f t="shared" si="23"/>
        <v>215467.95609703253</v>
      </c>
      <c r="G329" s="15"/>
    </row>
    <row r="330" spans="1:7">
      <c r="A330">
        <v>325</v>
      </c>
      <c r="B330" s="35">
        <f t="shared" si="20"/>
        <v>6653.0249517918319</v>
      </c>
      <c r="C330" s="15">
        <f t="shared" si="21"/>
        <v>1256.8964105660232</v>
      </c>
      <c r="D330" s="15">
        <f t="shared" si="22"/>
        <v>5396.1285412258085</v>
      </c>
      <c r="E330" s="15">
        <v>0</v>
      </c>
      <c r="F330" s="15">
        <f t="shared" si="23"/>
        <v>210071.82755580673</v>
      </c>
      <c r="G330" s="15"/>
    </row>
    <row r="331" spans="1:7">
      <c r="A331">
        <v>326</v>
      </c>
      <c r="B331" s="35">
        <f t="shared" si="20"/>
        <v>6653.0249517918319</v>
      </c>
      <c r="C331" s="15">
        <f t="shared" si="21"/>
        <v>1225.4189940755393</v>
      </c>
      <c r="D331" s="15">
        <f t="shared" si="22"/>
        <v>5427.6059577162923</v>
      </c>
      <c r="E331" s="15">
        <v>0</v>
      </c>
      <c r="F331" s="15">
        <f t="shared" si="23"/>
        <v>204644.22159809043</v>
      </c>
      <c r="G331" s="15"/>
    </row>
    <row r="332" spans="1:7">
      <c r="A332">
        <v>327</v>
      </c>
      <c r="B332" s="35">
        <f t="shared" si="20"/>
        <v>6653.0249517918319</v>
      </c>
      <c r="C332" s="15">
        <f t="shared" si="21"/>
        <v>1193.7579593221942</v>
      </c>
      <c r="D332" s="15">
        <f t="shared" si="22"/>
        <v>5459.2669924696374</v>
      </c>
      <c r="E332" s="15">
        <v>0</v>
      </c>
      <c r="F332" s="15">
        <f t="shared" si="23"/>
        <v>199184.95460562079</v>
      </c>
      <c r="G332" s="15"/>
    </row>
    <row r="333" spans="1:7">
      <c r="A333">
        <v>328</v>
      </c>
      <c r="B333" s="35">
        <f t="shared" si="20"/>
        <v>6653.0249517918319</v>
      </c>
      <c r="C333" s="15">
        <f t="shared" si="21"/>
        <v>1161.9122351994547</v>
      </c>
      <c r="D333" s="15">
        <f t="shared" si="22"/>
        <v>5491.1127165923772</v>
      </c>
      <c r="E333" s="15">
        <v>0</v>
      </c>
      <c r="F333" s="15">
        <f t="shared" si="23"/>
        <v>193693.84188902841</v>
      </c>
      <c r="G333" s="15"/>
    </row>
    <row r="334" spans="1:7">
      <c r="A334">
        <v>329</v>
      </c>
      <c r="B334" s="35">
        <f t="shared" si="20"/>
        <v>6653.0249517918319</v>
      </c>
      <c r="C334" s="15">
        <f t="shared" si="21"/>
        <v>1129.8807443526657</v>
      </c>
      <c r="D334" s="15">
        <f t="shared" si="22"/>
        <v>5523.1442074391662</v>
      </c>
      <c r="E334" s="15">
        <v>0</v>
      </c>
      <c r="F334" s="15">
        <f t="shared" si="23"/>
        <v>188170.69768158926</v>
      </c>
      <c r="G334" s="15"/>
    </row>
    <row r="335" spans="1:7">
      <c r="A335">
        <v>330</v>
      </c>
      <c r="B335" s="35">
        <f t="shared" si="20"/>
        <v>6653.0249517918319</v>
      </c>
      <c r="C335" s="15">
        <f t="shared" si="21"/>
        <v>1097.662403142604</v>
      </c>
      <c r="D335" s="15">
        <f t="shared" si="22"/>
        <v>5555.3625486492274</v>
      </c>
      <c r="E335" s="15">
        <v>0</v>
      </c>
      <c r="F335" s="15">
        <f t="shared" si="23"/>
        <v>182615.33513294003</v>
      </c>
      <c r="G335" s="15"/>
    </row>
    <row r="336" spans="1:7">
      <c r="A336">
        <v>331</v>
      </c>
      <c r="B336" s="35">
        <f t="shared" si="20"/>
        <v>6653.0249517918319</v>
      </c>
      <c r="C336" s="15">
        <f t="shared" si="21"/>
        <v>1065.256121608817</v>
      </c>
      <c r="D336" s="15">
        <f t="shared" si="22"/>
        <v>5587.7688301830149</v>
      </c>
      <c r="E336" s="15">
        <v>0</v>
      </c>
      <c r="F336" s="15">
        <f t="shared" si="23"/>
        <v>177027.56630275701</v>
      </c>
      <c r="G336" s="15"/>
    </row>
    <row r="337" spans="1:7">
      <c r="A337">
        <v>332</v>
      </c>
      <c r="B337" s="35">
        <f t="shared" si="20"/>
        <v>6653.0249517918319</v>
      </c>
      <c r="C337" s="15">
        <f t="shared" si="21"/>
        <v>1032.6608034327494</v>
      </c>
      <c r="D337" s="15">
        <f t="shared" si="22"/>
        <v>5620.3641483590827</v>
      </c>
      <c r="E337" s="15">
        <v>0</v>
      </c>
      <c r="F337" s="15">
        <f t="shared" si="23"/>
        <v>171407.20215439794</v>
      </c>
      <c r="G337" s="15"/>
    </row>
    <row r="338" spans="1:7">
      <c r="A338">
        <v>333</v>
      </c>
      <c r="B338" s="35">
        <f t="shared" si="20"/>
        <v>6653.0249517918319</v>
      </c>
      <c r="C338" s="15">
        <f t="shared" si="21"/>
        <v>999.87534590065468</v>
      </c>
      <c r="D338" s="15">
        <f t="shared" si="22"/>
        <v>5653.1496058911771</v>
      </c>
      <c r="E338" s="15">
        <v>0</v>
      </c>
      <c r="F338" s="15">
        <f t="shared" si="23"/>
        <v>165754.05254850676</v>
      </c>
      <c r="G338" s="15"/>
    </row>
    <row r="339" spans="1:7">
      <c r="A339">
        <v>334</v>
      </c>
      <c r="B339" s="35">
        <f t="shared" si="20"/>
        <v>6653.0249517918319</v>
      </c>
      <c r="C339" s="15">
        <f t="shared" si="21"/>
        <v>966.8986398662895</v>
      </c>
      <c r="D339" s="15">
        <f t="shared" si="22"/>
        <v>5686.1263119255427</v>
      </c>
      <c r="E339" s="15">
        <v>0</v>
      </c>
      <c r="F339" s="15">
        <f t="shared" si="23"/>
        <v>160067.92623658123</v>
      </c>
      <c r="G339" s="15"/>
    </row>
    <row r="340" spans="1:7">
      <c r="A340">
        <v>335</v>
      </c>
      <c r="B340" s="35">
        <f t="shared" si="20"/>
        <v>6653.0249517918319</v>
      </c>
      <c r="C340" s="15">
        <f t="shared" si="21"/>
        <v>933.72956971339056</v>
      </c>
      <c r="D340" s="15">
        <f t="shared" si="22"/>
        <v>5719.2953820784414</v>
      </c>
      <c r="E340" s="15">
        <v>0</v>
      </c>
      <c r="F340" s="15">
        <f t="shared" si="23"/>
        <v>154348.63085450279</v>
      </c>
      <c r="G340" s="15"/>
    </row>
    <row r="341" spans="1:7">
      <c r="A341">
        <v>336</v>
      </c>
      <c r="B341" s="35">
        <f t="shared" si="20"/>
        <v>6653.0249517918319</v>
      </c>
      <c r="C341" s="15">
        <f t="shared" si="21"/>
        <v>900.36701331793302</v>
      </c>
      <c r="D341" s="15">
        <f t="shared" si="22"/>
        <v>5752.6579384738989</v>
      </c>
      <c r="E341" s="15">
        <v>0</v>
      </c>
      <c r="F341" s="15">
        <f t="shared" si="23"/>
        <v>148595.9729160289</v>
      </c>
      <c r="G341" s="15"/>
    </row>
    <row r="342" spans="1:7">
      <c r="A342">
        <v>337</v>
      </c>
      <c r="B342" s="35">
        <f t="shared" si="20"/>
        <v>6653.0249517918319</v>
      </c>
      <c r="C342" s="15">
        <f t="shared" si="21"/>
        <v>866.80984201016861</v>
      </c>
      <c r="D342" s="15">
        <f t="shared" si="22"/>
        <v>5786.2151097816632</v>
      </c>
      <c r="E342" s="15">
        <v>0</v>
      </c>
      <c r="F342" s="15">
        <f t="shared" si="23"/>
        <v>142809.75780624725</v>
      </c>
      <c r="G342" s="15"/>
    </row>
    <row r="343" spans="1:7">
      <c r="A343">
        <v>338</v>
      </c>
      <c r="B343" s="35">
        <f t="shared" si="20"/>
        <v>6653.0249517918319</v>
      </c>
      <c r="C343" s="15">
        <f t="shared" si="21"/>
        <v>833.05692053644225</v>
      </c>
      <c r="D343" s="15">
        <f t="shared" si="22"/>
        <v>5819.9680312553901</v>
      </c>
      <c r="E343" s="15">
        <v>0</v>
      </c>
      <c r="F343" s="15">
        <f t="shared" si="23"/>
        <v>136989.78977499186</v>
      </c>
      <c r="G343" s="15"/>
    </row>
    <row r="344" spans="1:7">
      <c r="A344">
        <v>339</v>
      </c>
      <c r="B344" s="35">
        <f t="shared" si="20"/>
        <v>6653.0249517918319</v>
      </c>
      <c r="C344" s="15">
        <f t="shared" si="21"/>
        <v>799.10710702078586</v>
      </c>
      <c r="D344" s="15">
        <f t="shared" si="22"/>
        <v>5853.9178447710456</v>
      </c>
      <c r="E344" s="15">
        <v>0</v>
      </c>
      <c r="F344" s="15">
        <f t="shared" si="23"/>
        <v>131135.8719302208</v>
      </c>
      <c r="G344" s="15"/>
    </row>
    <row r="345" spans="1:7">
      <c r="A345">
        <v>340</v>
      </c>
      <c r="B345" s="35">
        <f t="shared" si="20"/>
        <v>6653.0249517918319</v>
      </c>
      <c r="C345" s="15">
        <f t="shared" si="21"/>
        <v>764.95925292628806</v>
      </c>
      <c r="D345" s="15">
        <f t="shared" si="22"/>
        <v>5888.0656988655437</v>
      </c>
      <c r="E345" s="15">
        <v>0</v>
      </c>
      <c r="F345" s="15">
        <f t="shared" si="23"/>
        <v>125247.80623135527</v>
      </c>
      <c r="G345" s="15"/>
    </row>
    <row r="346" spans="1:7">
      <c r="A346">
        <v>341</v>
      </c>
      <c r="B346" s="35">
        <f t="shared" si="20"/>
        <v>6653.0249517918319</v>
      </c>
      <c r="C346" s="15">
        <f t="shared" si="21"/>
        <v>730.61220301623905</v>
      </c>
      <c r="D346" s="15">
        <f t="shared" si="22"/>
        <v>5922.4127487755932</v>
      </c>
      <c r="E346" s="15">
        <v>0</v>
      </c>
      <c r="F346" s="15">
        <f t="shared" si="23"/>
        <v>119325.39348257968</v>
      </c>
      <c r="G346" s="15"/>
    </row>
    <row r="347" spans="1:7">
      <c r="A347">
        <v>342</v>
      </c>
      <c r="B347" s="35">
        <f t="shared" si="20"/>
        <v>6653.0249517918319</v>
      </c>
      <c r="C347" s="15">
        <f t="shared" si="21"/>
        <v>696.06479531504817</v>
      </c>
      <c r="D347" s="15">
        <f t="shared" si="22"/>
        <v>5956.9601564767836</v>
      </c>
      <c r="E347" s="15">
        <v>0</v>
      </c>
      <c r="F347" s="15">
        <f t="shared" si="23"/>
        <v>113368.4333261029</v>
      </c>
      <c r="G347" s="15"/>
    </row>
    <row r="348" spans="1:7">
      <c r="A348">
        <v>343</v>
      </c>
      <c r="B348" s="35">
        <f t="shared" si="20"/>
        <v>6653.0249517918319</v>
      </c>
      <c r="C348" s="15">
        <f t="shared" si="21"/>
        <v>661.3158610689336</v>
      </c>
      <c r="D348" s="15">
        <f t="shared" si="22"/>
        <v>5991.7090907228985</v>
      </c>
      <c r="E348" s="15">
        <v>0</v>
      </c>
      <c r="F348" s="15">
        <f t="shared" si="23"/>
        <v>107376.72423538</v>
      </c>
      <c r="G348" s="15"/>
    </row>
    <row r="349" spans="1:7">
      <c r="A349">
        <v>344</v>
      </c>
      <c r="B349" s="35">
        <f t="shared" si="20"/>
        <v>6653.0249517918319</v>
      </c>
      <c r="C349" s="15">
        <f t="shared" si="21"/>
        <v>626.36422470638331</v>
      </c>
      <c r="D349" s="15">
        <f t="shared" si="22"/>
        <v>6026.6607270854483</v>
      </c>
      <c r="E349" s="15">
        <v>0</v>
      </c>
      <c r="F349" s="15">
        <f t="shared" si="23"/>
        <v>101350.06350829455</v>
      </c>
      <c r="G349" s="15"/>
    </row>
    <row r="350" spans="1:7">
      <c r="A350">
        <v>345</v>
      </c>
      <c r="B350" s="35">
        <f t="shared" si="20"/>
        <v>6653.0249517918319</v>
      </c>
      <c r="C350" s="15">
        <f t="shared" si="21"/>
        <v>591.20870379838493</v>
      </c>
      <c r="D350" s="15">
        <f t="shared" si="22"/>
        <v>6061.8162479934472</v>
      </c>
      <c r="E350" s="15">
        <v>0</v>
      </c>
      <c r="F350" s="15">
        <f t="shared" si="23"/>
        <v>95288.247260301112</v>
      </c>
      <c r="G350" s="15"/>
    </row>
    <row r="351" spans="1:7">
      <c r="A351">
        <v>346</v>
      </c>
      <c r="B351" s="35">
        <f t="shared" si="20"/>
        <v>6653.0249517918319</v>
      </c>
      <c r="C351" s="15">
        <f t="shared" si="21"/>
        <v>555.8481090184232</v>
      </c>
      <c r="D351" s="15">
        <f t="shared" si="22"/>
        <v>6097.1768427734087</v>
      </c>
      <c r="E351" s="15">
        <v>0</v>
      </c>
      <c r="F351" s="15">
        <f t="shared" si="23"/>
        <v>89191.070417527706</v>
      </c>
      <c r="G351" s="15"/>
    </row>
    <row r="352" spans="1:7">
      <c r="A352">
        <v>347</v>
      </c>
      <c r="B352" s="35">
        <f t="shared" si="20"/>
        <v>6653.0249517918319</v>
      </c>
      <c r="C352" s="15">
        <f t="shared" si="21"/>
        <v>520.28124410224495</v>
      </c>
      <c r="D352" s="15">
        <f t="shared" si="22"/>
        <v>6132.7437076895867</v>
      </c>
      <c r="E352" s="15">
        <v>0</v>
      </c>
      <c r="F352" s="15">
        <f t="shared" si="23"/>
        <v>83058.326709838118</v>
      </c>
      <c r="G352" s="15"/>
    </row>
    <row r="353" spans="1:7">
      <c r="A353">
        <v>348</v>
      </c>
      <c r="B353" s="35">
        <f t="shared" si="20"/>
        <v>6653.0249517918319</v>
      </c>
      <c r="C353" s="15">
        <f t="shared" si="21"/>
        <v>484.50690580738905</v>
      </c>
      <c r="D353" s="15">
        <f t="shared" si="22"/>
        <v>6168.5180459844432</v>
      </c>
      <c r="E353" s="15">
        <v>0</v>
      </c>
      <c r="F353" s="15">
        <f t="shared" si="23"/>
        <v>76889.808663853677</v>
      </c>
      <c r="G353" s="15"/>
    </row>
    <row r="354" spans="1:7">
      <c r="A354">
        <v>349</v>
      </c>
      <c r="B354" s="35">
        <f t="shared" si="20"/>
        <v>6653.0249517918319</v>
      </c>
      <c r="C354" s="15">
        <f t="shared" si="21"/>
        <v>448.52388387247981</v>
      </c>
      <c r="D354" s="15">
        <f t="shared" si="22"/>
        <v>6204.501067919352</v>
      </c>
      <c r="E354" s="15">
        <v>0</v>
      </c>
      <c r="F354" s="15">
        <f t="shared" si="23"/>
        <v>70685.307595934326</v>
      </c>
      <c r="G354" s="15"/>
    </row>
    <row r="355" spans="1:7">
      <c r="A355">
        <v>350</v>
      </c>
      <c r="B355" s="35">
        <f t="shared" si="20"/>
        <v>6653.0249517918319</v>
      </c>
      <c r="C355" s="15">
        <f t="shared" si="21"/>
        <v>412.33096097628356</v>
      </c>
      <c r="D355" s="15">
        <f t="shared" si="22"/>
        <v>6240.6939908155482</v>
      </c>
      <c r="E355" s="15">
        <v>0</v>
      </c>
      <c r="F355" s="15">
        <f t="shared" si="23"/>
        <v>64444.613605118779</v>
      </c>
      <c r="G355" s="15"/>
    </row>
    <row r="356" spans="1:7">
      <c r="A356">
        <v>351</v>
      </c>
      <c r="B356" s="35">
        <f t="shared" si="20"/>
        <v>6653.0249517918319</v>
      </c>
      <c r="C356" s="15">
        <f t="shared" si="21"/>
        <v>375.92691269652624</v>
      </c>
      <c r="D356" s="15">
        <f t="shared" si="22"/>
        <v>6277.0980390953055</v>
      </c>
      <c r="E356" s="15">
        <v>0</v>
      </c>
      <c r="F356" s="15">
        <f t="shared" si="23"/>
        <v>58167.515566023474</v>
      </c>
      <c r="G356" s="15"/>
    </row>
    <row r="357" spans="1:7">
      <c r="A357">
        <v>352</v>
      </c>
      <c r="B357" s="35">
        <f t="shared" si="20"/>
        <v>6653.0249517918319</v>
      </c>
      <c r="C357" s="15">
        <f t="shared" si="21"/>
        <v>339.31050746847029</v>
      </c>
      <c r="D357" s="15">
        <f t="shared" si="22"/>
        <v>6313.7144443233619</v>
      </c>
      <c r="E357" s="15">
        <v>0</v>
      </c>
      <c r="F357" s="15">
        <f t="shared" si="23"/>
        <v>51853.801121700111</v>
      </c>
      <c r="G357" s="15"/>
    </row>
    <row r="358" spans="1:7">
      <c r="A358">
        <v>353</v>
      </c>
      <c r="B358" s="35">
        <f t="shared" si="20"/>
        <v>6653.0249517918319</v>
      </c>
      <c r="C358" s="15">
        <f t="shared" si="21"/>
        <v>302.48050654325067</v>
      </c>
      <c r="D358" s="15">
        <f t="shared" si="22"/>
        <v>6350.5444452485808</v>
      </c>
      <c r="E358" s="15">
        <v>0</v>
      </c>
      <c r="F358" s="15">
        <f t="shared" si="23"/>
        <v>45503.256676451529</v>
      </c>
      <c r="G358" s="15"/>
    </row>
    <row r="359" spans="1:7">
      <c r="A359">
        <v>354</v>
      </c>
      <c r="B359" s="35">
        <f t="shared" si="20"/>
        <v>6653.0249517918319</v>
      </c>
      <c r="C359" s="15">
        <f t="shared" si="21"/>
        <v>265.43566394596724</v>
      </c>
      <c r="D359" s="15">
        <f t="shared" si="22"/>
        <v>6387.5892878458644</v>
      </c>
      <c r="E359" s="15">
        <v>0</v>
      </c>
      <c r="F359" s="15">
        <f t="shared" si="23"/>
        <v>39115.667388605667</v>
      </c>
      <c r="G359" s="15"/>
    </row>
    <row r="360" spans="1:7">
      <c r="A360">
        <v>355</v>
      </c>
      <c r="B360" s="35">
        <f t="shared" si="20"/>
        <v>6653.0249517918319</v>
      </c>
      <c r="C360" s="15">
        <f t="shared" si="21"/>
        <v>228.17472643353307</v>
      </c>
      <c r="D360" s="15">
        <f t="shared" si="22"/>
        <v>6424.8502253582992</v>
      </c>
      <c r="E360" s="15">
        <v>0</v>
      </c>
      <c r="F360" s="15">
        <f t="shared" si="23"/>
        <v>32690.817163247368</v>
      </c>
      <c r="G360" s="15"/>
    </row>
    <row r="361" spans="1:7">
      <c r="A361">
        <v>356</v>
      </c>
      <c r="B361" s="35">
        <f t="shared" si="20"/>
        <v>6653.0249517918319</v>
      </c>
      <c r="C361" s="15">
        <f t="shared" si="21"/>
        <v>190.69643345227632</v>
      </c>
      <c r="D361" s="15">
        <f t="shared" si="22"/>
        <v>6462.3285183395556</v>
      </c>
      <c r="E361" s="15">
        <v>0</v>
      </c>
      <c r="F361" s="15">
        <f t="shared" si="23"/>
        <v>26228.488644907811</v>
      </c>
      <c r="G361" s="15"/>
    </row>
    <row r="362" spans="1:7">
      <c r="A362">
        <v>357</v>
      </c>
      <c r="B362" s="35">
        <f t="shared" si="20"/>
        <v>6653.0249517918319</v>
      </c>
      <c r="C362" s="15">
        <f t="shared" si="21"/>
        <v>152.99951709529557</v>
      </c>
      <c r="D362" s="15">
        <f t="shared" si="22"/>
        <v>6500.0254346965366</v>
      </c>
      <c r="E362" s="15">
        <v>0</v>
      </c>
      <c r="F362" s="15">
        <f t="shared" si="23"/>
        <v>19728.463210211274</v>
      </c>
      <c r="G362" s="15"/>
    </row>
    <row r="363" spans="1:7">
      <c r="A363">
        <v>358</v>
      </c>
      <c r="B363" s="35">
        <f t="shared" si="20"/>
        <v>6653.0249517918319</v>
      </c>
      <c r="C363" s="15">
        <f t="shared" si="21"/>
        <v>115.08270205956576</v>
      </c>
      <c r="D363" s="15">
        <f t="shared" si="22"/>
        <v>6537.9422497322657</v>
      </c>
      <c r="E363" s="15">
        <v>0</v>
      </c>
      <c r="F363" s="15">
        <f t="shared" si="23"/>
        <v>13190.520960479007</v>
      </c>
      <c r="G363" s="15"/>
    </row>
    <row r="364" spans="1:7">
      <c r="A364">
        <v>359</v>
      </c>
      <c r="B364" s="35">
        <f t="shared" si="20"/>
        <v>6653.0249517918319</v>
      </c>
      <c r="C364" s="15">
        <f t="shared" si="21"/>
        <v>76.944705602794215</v>
      </c>
      <c r="D364" s="15">
        <f t="shared" si="22"/>
        <v>6576.080246189038</v>
      </c>
      <c r="E364" s="15">
        <v>0</v>
      </c>
      <c r="F364" s="15">
        <f t="shared" si="23"/>
        <v>6614.440714289969</v>
      </c>
      <c r="G364" s="15"/>
    </row>
    <row r="365" spans="1:7">
      <c r="A365">
        <v>360</v>
      </c>
      <c r="B365" s="35">
        <f t="shared" si="20"/>
        <v>6653.0249517918319</v>
      </c>
      <c r="C365" s="15">
        <f t="shared" si="21"/>
        <v>38.58423750002482</v>
      </c>
      <c r="D365" s="15">
        <f t="shared" si="22"/>
        <v>6614.4407142918071</v>
      </c>
      <c r="E365" s="15">
        <v>0</v>
      </c>
      <c r="F365" s="15">
        <f t="shared" si="23"/>
        <v>-1.838088792283088E-9</v>
      </c>
      <c r="G365" s="15"/>
    </row>
  </sheetData>
  <phoneticPr fontId="22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8"/>
  <sheetViews>
    <sheetView tabSelected="1" topLeftCell="A113" zoomScale="70" zoomScaleNormal="70" workbookViewId="0">
      <selection activeCell="A123" sqref="A123"/>
    </sheetView>
  </sheetViews>
  <sheetFormatPr defaultColWidth="8.875" defaultRowHeight="18"/>
  <cols>
    <col min="1" max="1" width="51.125" bestFit="1" customWidth="1"/>
    <col min="2" max="2" width="24" customWidth="1"/>
    <col min="3" max="3" width="24.125" customWidth="1"/>
    <col min="4" max="4" width="22.375" customWidth="1"/>
    <col min="5" max="5" width="20" customWidth="1"/>
    <col min="6" max="6" width="20.625" customWidth="1"/>
    <col min="7" max="7" width="20.875" customWidth="1"/>
    <col min="8" max="13" width="19" bestFit="1" customWidth="1"/>
    <col min="14" max="14" width="12.875" bestFit="1" customWidth="1"/>
    <col min="15" max="15" width="29.5" bestFit="1" customWidth="1"/>
    <col min="16" max="16" width="13.375" bestFit="1" customWidth="1"/>
    <col min="17" max="17" width="16.875" customWidth="1"/>
    <col min="18" max="18" width="15.125" customWidth="1"/>
    <col min="20" max="20" width="9.625" bestFit="1" customWidth="1"/>
  </cols>
  <sheetData>
    <row r="1" spans="1:20" ht="25.5">
      <c r="C1" s="100" t="s">
        <v>60</v>
      </c>
      <c r="D1" s="100"/>
      <c r="E1" s="100"/>
      <c r="F1" s="100"/>
      <c r="G1" s="100"/>
      <c r="H1" s="100"/>
      <c r="I1" s="100"/>
      <c r="J1" s="100"/>
      <c r="K1" s="100"/>
      <c r="L1" s="100"/>
      <c r="O1" s="47"/>
      <c r="P1" s="47"/>
      <c r="Q1" s="47"/>
      <c r="R1" s="47"/>
      <c r="S1" s="47"/>
    </row>
    <row r="2" spans="1:20" ht="21">
      <c r="C2" s="16">
        <v>2012</v>
      </c>
      <c r="D2" s="16">
        <v>2013</v>
      </c>
      <c r="E2" s="16">
        <v>2014</v>
      </c>
      <c r="F2" s="16">
        <v>2015</v>
      </c>
      <c r="G2" s="16">
        <v>2016</v>
      </c>
      <c r="H2" s="16">
        <v>2017</v>
      </c>
      <c r="I2" s="16">
        <v>2018</v>
      </c>
      <c r="J2" s="16">
        <v>2019</v>
      </c>
      <c r="K2" s="16">
        <v>2020</v>
      </c>
      <c r="L2" s="16">
        <v>2021</v>
      </c>
      <c r="O2" s="47"/>
      <c r="P2" s="47"/>
      <c r="Q2" s="47"/>
      <c r="R2" s="47"/>
      <c r="S2" s="47"/>
    </row>
    <row r="3" spans="1:20" ht="21">
      <c r="A3" s="17" t="s">
        <v>6</v>
      </c>
      <c r="O3" s="47"/>
      <c r="P3" s="47"/>
      <c r="Q3" s="47"/>
      <c r="R3" s="47"/>
      <c r="S3" s="47"/>
    </row>
    <row r="4" spans="1:20">
      <c r="A4" t="s">
        <v>52</v>
      </c>
      <c r="B4" s="53">
        <v>175</v>
      </c>
      <c r="C4" s="53">
        <f>($B$4*18*365*3)*$M$4</f>
        <v>1724625</v>
      </c>
      <c r="D4" s="53">
        <f t="shared" ref="D4:L4" si="0">($B$4*18*365*3)*$M$4</f>
        <v>1724625</v>
      </c>
      <c r="E4" s="53">
        <f t="shared" si="0"/>
        <v>1724625</v>
      </c>
      <c r="F4" s="53">
        <f t="shared" si="0"/>
        <v>1724625</v>
      </c>
      <c r="G4" s="53">
        <f t="shared" si="0"/>
        <v>1724625</v>
      </c>
      <c r="H4" s="53">
        <f t="shared" si="0"/>
        <v>1724625</v>
      </c>
      <c r="I4" s="53">
        <f t="shared" si="0"/>
        <v>1724625</v>
      </c>
      <c r="J4" s="53">
        <f t="shared" si="0"/>
        <v>1724625</v>
      </c>
      <c r="K4" s="53">
        <f t="shared" si="0"/>
        <v>1724625</v>
      </c>
      <c r="L4" s="53">
        <f t="shared" si="0"/>
        <v>1724625</v>
      </c>
      <c r="M4" s="13">
        <v>0.5</v>
      </c>
      <c r="O4" s="26"/>
      <c r="P4" s="26"/>
      <c r="Q4" s="26"/>
      <c r="R4" s="26"/>
      <c r="S4" s="26"/>
      <c r="T4" s="26"/>
    </row>
    <row r="5" spans="1:20">
      <c r="A5" t="s">
        <v>51</v>
      </c>
      <c r="B5" s="15">
        <v>9</v>
      </c>
      <c r="C5" s="15">
        <f>B5</f>
        <v>9</v>
      </c>
      <c r="D5" s="15">
        <f>C5*(1+$M$5)</f>
        <v>9.3149999999999995</v>
      </c>
      <c r="E5" s="15">
        <f>D5*(1+$M$5)</f>
        <v>9.6410249999999991</v>
      </c>
      <c r="F5" s="15">
        <f>E5*(1+$M$5)</f>
        <v>9.9784608749999979</v>
      </c>
      <c r="G5" s="15">
        <f>F5*(1+$M$5)</f>
        <v>10.327707005624998</v>
      </c>
      <c r="H5" s="15">
        <f t="shared" ref="H5:L5" si="1">G5*(1+$M$5)</f>
        <v>10.689176750821872</v>
      </c>
      <c r="I5" s="15">
        <f t="shared" si="1"/>
        <v>11.063297937100637</v>
      </c>
      <c r="J5" s="15">
        <f t="shared" si="1"/>
        <v>11.450513364899159</v>
      </c>
      <c r="K5" s="15">
        <f t="shared" si="1"/>
        <v>11.851281332670629</v>
      </c>
      <c r="L5" s="15">
        <f t="shared" si="1"/>
        <v>12.2660761793141</v>
      </c>
      <c r="M5" s="13">
        <v>3.5000000000000003E-2</v>
      </c>
      <c r="O5" s="26"/>
      <c r="P5" s="26"/>
      <c r="Q5" s="26"/>
      <c r="R5" s="26"/>
      <c r="S5" s="26"/>
      <c r="T5" s="26"/>
    </row>
    <row r="6" spans="1:20">
      <c r="A6" t="s">
        <v>47</v>
      </c>
      <c r="B6" s="15">
        <v>4</v>
      </c>
      <c r="C6" s="15">
        <f>B6</f>
        <v>4</v>
      </c>
      <c r="D6" s="15">
        <f>C6*(1+$M$6)</f>
        <v>4.2</v>
      </c>
      <c r="E6" s="15">
        <f>D6*(1+$M$6)</f>
        <v>4.41</v>
      </c>
      <c r="F6" s="15">
        <f>E6*(1+$M$6)</f>
        <v>4.6305000000000005</v>
      </c>
      <c r="G6" s="15">
        <f>F6*(1+$M$6)</f>
        <v>4.8620250000000009</v>
      </c>
      <c r="H6" s="15">
        <f t="shared" ref="H6:L6" si="2">G6*(1+$M$6)</f>
        <v>5.1051262500000014</v>
      </c>
      <c r="I6" s="15">
        <f t="shared" si="2"/>
        <v>5.3603825625000017</v>
      </c>
      <c r="J6" s="15">
        <f t="shared" si="2"/>
        <v>5.6284016906250018</v>
      </c>
      <c r="K6" s="15">
        <f t="shared" si="2"/>
        <v>5.9098217751562521</v>
      </c>
      <c r="L6" s="15">
        <f t="shared" si="2"/>
        <v>6.2053128639140649</v>
      </c>
      <c r="M6" s="14">
        <v>0.05</v>
      </c>
      <c r="O6" s="26"/>
      <c r="P6" s="26"/>
      <c r="Q6" s="26"/>
      <c r="R6" s="26"/>
      <c r="S6" s="26"/>
      <c r="T6" s="26"/>
    </row>
    <row r="7" spans="1:20">
      <c r="A7" t="s">
        <v>29</v>
      </c>
      <c r="B7" s="15"/>
      <c r="C7" s="25">
        <v>25</v>
      </c>
      <c r="D7">
        <f>C7*(1+$M$7)</f>
        <v>25</v>
      </c>
      <c r="E7">
        <f>D7*(1+$M$7)</f>
        <v>25</v>
      </c>
      <c r="F7">
        <f>E7*(1+$M$7)</f>
        <v>25</v>
      </c>
      <c r="G7">
        <f t="shared" ref="G7:L7" si="3">F7*(1+$M$7)</f>
        <v>25</v>
      </c>
      <c r="H7">
        <f t="shared" si="3"/>
        <v>25</v>
      </c>
      <c r="I7">
        <f t="shared" si="3"/>
        <v>25</v>
      </c>
      <c r="J7">
        <f t="shared" si="3"/>
        <v>25</v>
      </c>
      <c r="K7">
        <f t="shared" si="3"/>
        <v>25</v>
      </c>
      <c r="L7">
        <f t="shared" si="3"/>
        <v>25</v>
      </c>
      <c r="M7" s="14">
        <v>0</v>
      </c>
      <c r="O7" s="26"/>
      <c r="P7" s="26"/>
      <c r="Q7" s="26"/>
      <c r="R7" s="26"/>
      <c r="S7" s="26"/>
      <c r="T7" s="26"/>
    </row>
    <row r="8" spans="1:20">
      <c r="A8" s="26" t="s">
        <v>30</v>
      </c>
      <c r="B8" s="26"/>
      <c r="C8" s="28">
        <v>30</v>
      </c>
      <c r="D8" s="26">
        <f>C8*(1+$M$8)</f>
        <v>48</v>
      </c>
      <c r="E8" s="26">
        <f>D8*(1+$M$8)</f>
        <v>76.800000000000011</v>
      </c>
      <c r="F8" s="26">
        <f>E8*(1+$M$8)</f>
        <v>122.88000000000002</v>
      </c>
      <c r="G8" s="26"/>
      <c r="H8" s="26"/>
      <c r="I8" s="26"/>
      <c r="J8" s="26"/>
      <c r="K8" s="26"/>
      <c r="L8" s="26"/>
      <c r="M8" s="29">
        <v>0.6</v>
      </c>
      <c r="O8" s="26" t="s">
        <v>32</v>
      </c>
      <c r="P8" s="26"/>
      <c r="Q8" s="26"/>
      <c r="R8" s="26"/>
      <c r="S8" s="26"/>
      <c r="T8" s="27"/>
    </row>
    <row r="9" spans="1:20">
      <c r="A9" t="s">
        <v>31</v>
      </c>
      <c r="C9" s="92">
        <v>20</v>
      </c>
      <c r="D9" s="92">
        <f>C9</f>
        <v>20</v>
      </c>
      <c r="E9" s="92">
        <f t="shared" ref="E9:L9" si="4">D9</f>
        <v>20</v>
      </c>
      <c r="F9" s="92">
        <f t="shared" si="4"/>
        <v>20</v>
      </c>
      <c r="G9" s="92">
        <f t="shared" si="4"/>
        <v>20</v>
      </c>
      <c r="H9" s="92">
        <f t="shared" si="4"/>
        <v>20</v>
      </c>
      <c r="I9" s="92">
        <f t="shared" si="4"/>
        <v>20</v>
      </c>
      <c r="J9" s="92">
        <f t="shared" si="4"/>
        <v>20</v>
      </c>
      <c r="K9" s="92">
        <f t="shared" si="4"/>
        <v>20</v>
      </c>
      <c r="L9" s="92">
        <f t="shared" si="4"/>
        <v>20</v>
      </c>
      <c r="M9" s="14"/>
    </row>
    <row r="10" spans="1:20">
      <c r="A10" t="s">
        <v>55</v>
      </c>
      <c r="C10" s="25">
        <v>60</v>
      </c>
      <c r="D10" s="25">
        <v>60</v>
      </c>
      <c r="E10" s="25">
        <v>60</v>
      </c>
      <c r="F10" s="25">
        <v>60</v>
      </c>
      <c r="G10" s="25">
        <v>60</v>
      </c>
      <c r="H10" s="25">
        <v>60</v>
      </c>
      <c r="I10" s="25">
        <v>60</v>
      </c>
      <c r="J10" s="25">
        <v>60</v>
      </c>
      <c r="K10" s="25">
        <v>60</v>
      </c>
      <c r="L10" s="25">
        <v>60</v>
      </c>
      <c r="M10" s="14"/>
      <c r="O10" s="49"/>
    </row>
    <row r="11" spans="1:20">
      <c r="A11" t="s">
        <v>56</v>
      </c>
      <c r="C11" s="15">
        <v>14000</v>
      </c>
      <c r="D11" s="15">
        <f>C11*(1+$M$11)</f>
        <v>14420</v>
      </c>
      <c r="E11" s="15">
        <f>D11*(1+$M$11)</f>
        <v>14852.6</v>
      </c>
      <c r="F11" s="15">
        <f>E11*(1+$M$11)</f>
        <v>15298.178</v>
      </c>
      <c r="G11" s="15">
        <f t="shared" ref="G11:L11" si="5">F11*(1+$M$11)</f>
        <v>15757.12334</v>
      </c>
      <c r="H11" s="15">
        <f t="shared" si="5"/>
        <v>16229.8370402</v>
      </c>
      <c r="I11" s="15">
        <f t="shared" si="5"/>
        <v>16716.732151406002</v>
      </c>
      <c r="J11" s="15">
        <f t="shared" si="5"/>
        <v>17218.234115948184</v>
      </c>
      <c r="K11" s="15">
        <f t="shared" si="5"/>
        <v>17734.781139426628</v>
      </c>
      <c r="L11" s="15">
        <f t="shared" si="5"/>
        <v>18266.824573609429</v>
      </c>
      <c r="M11" s="14">
        <v>0.03</v>
      </c>
      <c r="O11" s="49"/>
    </row>
    <row r="12" spans="1:20">
      <c r="A12" t="s">
        <v>57</v>
      </c>
      <c r="C12" s="25">
        <v>6</v>
      </c>
      <c r="D12" s="25">
        <v>6</v>
      </c>
      <c r="E12" s="25">
        <v>6</v>
      </c>
      <c r="F12" s="25">
        <v>6</v>
      </c>
      <c r="G12" s="25">
        <v>6</v>
      </c>
      <c r="H12" s="25">
        <v>6</v>
      </c>
      <c r="I12" s="25">
        <v>6</v>
      </c>
      <c r="J12" s="25">
        <v>6</v>
      </c>
      <c r="K12" s="25">
        <v>6</v>
      </c>
      <c r="L12" s="25">
        <v>6</v>
      </c>
      <c r="M12" s="14"/>
      <c r="O12" s="49"/>
    </row>
    <row r="13" spans="1:20">
      <c r="A13" t="s">
        <v>58</v>
      </c>
      <c r="C13" s="15">
        <v>45000</v>
      </c>
      <c r="D13" s="15">
        <f>C13*(1+$M$13)</f>
        <v>46350</v>
      </c>
      <c r="E13" s="15">
        <f>D13*(1+$M$13)</f>
        <v>47740.5</v>
      </c>
      <c r="F13" s="15">
        <f>E13*(1+$M$13)</f>
        <v>49172.715000000004</v>
      </c>
      <c r="G13" s="15">
        <f t="shared" ref="G13:L13" si="6">F13*(1+$M$13)</f>
        <v>50647.896450000007</v>
      </c>
      <c r="H13" s="15">
        <f t="shared" si="6"/>
        <v>52167.33334350001</v>
      </c>
      <c r="I13" s="15">
        <f t="shared" si="6"/>
        <v>53732.353343805014</v>
      </c>
      <c r="J13" s="15">
        <f t="shared" si="6"/>
        <v>55344.323944119169</v>
      </c>
      <c r="K13" s="15">
        <f t="shared" si="6"/>
        <v>57004.653662442746</v>
      </c>
      <c r="L13" s="15">
        <f t="shared" si="6"/>
        <v>58714.793272316027</v>
      </c>
      <c r="M13" s="14">
        <v>0.03</v>
      </c>
      <c r="O13" s="49"/>
    </row>
    <row r="14" spans="1:20">
      <c r="A14" t="s">
        <v>131</v>
      </c>
      <c r="B14" s="53">
        <v>76701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14"/>
      <c r="O14" s="49"/>
    </row>
    <row r="15" spans="1:20">
      <c r="A15" t="s">
        <v>132</v>
      </c>
      <c r="B15" s="53">
        <v>150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4"/>
      <c r="O15" s="49"/>
    </row>
    <row r="16" spans="1:20" ht="18.75" thickBot="1">
      <c r="B16" s="15">
        <f>B14*B15</f>
        <v>11505150</v>
      </c>
      <c r="O16" s="50"/>
    </row>
    <row r="17" spans="1:24" ht="21">
      <c r="A17" s="18" t="s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O17" s="50"/>
      <c r="P17" s="45"/>
      <c r="Q17" s="45"/>
      <c r="R17" s="45"/>
      <c r="S17" s="45"/>
      <c r="T17" s="45"/>
      <c r="U17" s="45"/>
      <c r="V17" s="45"/>
      <c r="W17" s="45"/>
      <c r="X17" s="45"/>
    </row>
    <row r="18" spans="1:24">
      <c r="A18" s="3" t="s">
        <v>50</v>
      </c>
      <c r="B18" s="4"/>
      <c r="C18" s="12">
        <f t="shared" ref="C18:L18" si="7">C4*C5</f>
        <v>15521625</v>
      </c>
      <c r="D18" s="12">
        <f t="shared" si="7"/>
        <v>16064881.875</v>
      </c>
      <c r="E18" s="12">
        <f t="shared" si="7"/>
        <v>16627152.740624998</v>
      </c>
      <c r="F18" s="12">
        <f t="shared" si="7"/>
        <v>17209103.086546872</v>
      </c>
      <c r="G18" s="12">
        <f t="shared" si="7"/>
        <v>17811421.69457601</v>
      </c>
      <c r="H18" s="12">
        <f t="shared" si="7"/>
        <v>18434821.45388617</v>
      </c>
      <c r="I18" s="12">
        <f t="shared" si="7"/>
        <v>19080040.204772186</v>
      </c>
      <c r="J18" s="12">
        <f t="shared" si="7"/>
        <v>19747841.61193921</v>
      </c>
      <c r="K18" s="12">
        <f t="shared" si="7"/>
        <v>20439016.068357084</v>
      </c>
      <c r="L18" s="12">
        <f t="shared" si="7"/>
        <v>21154381.63074958</v>
      </c>
      <c r="M18" s="5"/>
      <c r="O18" s="51"/>
      <c r="P18" s="46"/>
      <c r="Q18" s="46"/>
      <c r="R18" s="46"/>
      <c r="S18" s="46"/>
      <c r="T18" s="46"/>
      <c r="U18" s="46"/>
      <c r="V18" s="46"/>
      <c r="W18" s="46"/>
      <c r="X18" s="45"/>
    </row>
    <row r="19" spans="1:24">
      <c r="A19" s="3" t="s">
        <v>49</v>
      </c>
      <c r="B19" s="4"/>
      <c r="C19" s="31">
        <f>C6*(C4*$M$19)</f>
        <v>2759400</v>
      </c>
      <c r="D19" s="31">
        <f t="shared" ref="D19:L19" si="8">D6*(D4*$M$19)</f>
        <v>2897370</v>
      </c>
      <c r="E19" s="31">
        <f t="shared" si="8"/>
        <v>3042238.5</v>
      </c>
      <c r="F19" s="31">
        <f t="shared" si="8"/>
        <v>3194350.4250000003</v>
      </c>
      <c r="G19" s="31">
        <f t="shared" si="8"/>
        <v>3354067.9462500005</v>
      </c>
      <c r="H19" s="31">
        <f t="shared" si="8"/>
        <v>3521771.343562501</v>
      </c>
      <c r="I19" s="31">
        <f t="shared" si="8"/>
        <v>3697859.910740626</v>
      </c>
      <c r="J19" s="31">
        <f t="shared" si="8"/>
        <v>3882752.9062776575</v>
      </c>
      <c r="K19" s="31">
        <f t="shared" si="8"/>
        <v>4076890.5515915407</v>
      </c>
      <c r="L19" s="31">
        <f t="shared" si="8"/>
        <v>4280735.0791711174</v>
      </c>
      <c r="M19" s="30">
        <v>0.4</v>
      </c>
      <c r="O19" s="51"/>
      <c r="P19" s="46"/>
      <c r="Q19" s="46"/>
      <c r="R19" s="46"/>
      <c r="S19" s="46"/>
      <c r="T19" s="46"/>
      <c r="U19" s="46"/>
      <c r="V19" s="46"/>
      <c r="W19" s="46"/>
      <c r="X19" s="45"/>
    </row>
    <row r="20" spans="1:24">
      <c r="A20" s="3" t="s">
        <v>33</v>
      </c>
      <c r="B20" s="4"/>
      <c r="C20" s="44">
        <f>SUM(C18:C19)</f>
        <v>18281025</v>
      </c>
      <c r="D20" s="44">
        <f t="shared" ref="D20:L20" si="9">SUM(D18:D19)</f>
        <v>18962251.875</v>
      </c>
      <c r="E20" s="44">
        <f t="shared" si="9"/>
        <v>19669391.240624998</v>
      </c>
      <c r="F20" s="44">
        <f t="shared" si="9"/>
        <v>20403453.511546873</v>
      </c>
      <c r="G20" s="44">
        <f t="shared" si="9"/>
        <v>21165489.640826009</v>
      </c>
      <c r="H20" s="44">
        <f t="shared" si="9"/>
        <v>21956592.797448672</v>
      </c>
      <c r="I20" s="44">
        <f t="shared" si="9"/>
        <v>22777900.115512811</v>
      </c>
      <c r="J20" s="44">
        <f t="shared" si="9"/>
        <v>23630594.518216867</v>
      </c>
      <c r="K20" s="44">
        <f t="shared" si="9"/>
        <v>24515906.619948626</v>
      </c>
      <c r="L20" s="44">
        <f t="shared" si="9"/>
        <v>25435116.709920697</v>
      </c>
      <c r="M20" s="5"/>
      <c r="O20" s="51"/>
      <c r="P20" s="46"/>
      <c r="Q20" s="46"/>
      <c r="R20" s="46"/>
      <c r="S20" s="46"/>
      <c r="T20" s="46"/>
      <c r="U20" s="46"/>
      <c r="V20" s="46"/>
      <c r="W20" s="46"/>
      <c r="X20" s="45"/>
    </row>
    <row r="21" spans="1:24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O21" s="51"/>
      <c r="P21" s="46"/>
      <c r="Q21" s="46"/>
      <c r="R21" s="46"/>
      <c r="S21" s="46"/>
      <c r="T21" s="46"/>
      <c r="U21" s="46"/>
      <c r="V21" s="46"/>
      <c r="W21" s="46"/>
      <c r="X21" s="45"/>
    </row>
    <row r="22" spans="1:24">
      <c r="A22" s="3" t="s">
        <v>48</v>
      </c>
      <c r="B22" s="4"/>
      <c r="C22" s="10">
        <f>$M$22*C19</f>
        <v>551880</v>
      </c>
      <c r="D22" s="10">
        <f>$M$22*D19</f>
        <v>579474</v>
      </c>
      <c r="E22" s="10">
        <f>$M$22*E19</f>
        <v>608447.70000000007</v>
      </c>
      <c r="F22" s="10">
        <f>$M$22*F19</f>
        <v>638870.08500000008</v>
      </c>
      <c r="G22" s="10">
        <f t="shared" ref="G22:L22" si="10">$M$22*G19</f>
        <v>670813.58925000019</v>
      </c>
      <c r="H22" s="10">
        <f t="shared" si="10"/>
        <v>704354.26871250023</v>
      </c>
      <c r="I22" s="10">
        <f t="shared" si="10"/>
        <v>739571.9821481253</v>
      </c>
      <c r="J22" s="10">
        <f t="shared" si="10"/>
        <v>776550.58125553152</v>
      </c>
      <c r="K22" s="10">
        <f t="shared" si="10"/>
        <v>815378.11031830823</v>
      </c>
      <c r="L22" s="10">
        <f t="shared" si="10"/>
        <v>856147.01583422348</v>
      </c>
      <c r="M22" s="19">
        <v>0.2</v>
      </c>
      <c r="O22" s="52"/>
      <c r="P22" s="46"/>
      <c r="Q22" s="46"/>
      <c r="R22" s="46"/>
      <c r="S22" s="46"/>
      <c r="T22" s="46"/>
      <c r="U22" s="46"/>
      <c r="V22" s="46"/>
      <c r="W22" s="46"/>
      <c r="X22" s="45"/>
    </row>
    <row r="23" spans="1:24">
      <c r="A23" s="3" t="s">
        <v>53</v>
      </c>
      <c r="B23" s="4"/>
      <c r="C23" s="10">
        <f>C18*$M$23</f>
        <v>13969462.5</v>
      </c>
      <c r="D23" s="10">
        <f>D18*$M$23</f>
        <v>14458393.6875</v>
      </c>
      <c r="E23" s="10">
        <f>E18*$M$23</f>
        <v>14964437.466562498</v>
      </c>
      <c r="F23" s="10">
        <f>F18*$M$23</f>
        <v>15488192.777892185</v>
      </c>
      <c r="G23" s="10">
        <f t="shared" ref="G23:L23" si="11">G18*$M$23</f>
        <v>16030279.525118409</v>
      </c>
      <c r="H23" s="10">
        <f t="shared" si="11"/>
        <v>16591339.308497554</v>
      </c>
      <c r="I23" s="10">
        <f t="shared" si="11"/>
        <v>17172036.184294969</v>
      </c>
      <c r="J23" s="10">
        <f t="shared" si="11"/>
        <v>17773057.450745288</v>
      </c>
      <c r="K23" s="10">
        <f t="shared" si="11"/>
        <v>18395114.461521376</v>
      </c>
      <c r="L23" s="10">
        <f t="shared" si="11"/>
        <v>19038943.46767462</v>
      </c>
      <c r="M23" s="19">
        <v>0.9</v>
      </c>
      <c r="O23" s="52"/>
      <c r="P23" s="46"/>
      <c r="Q23" s="46"/>
      <c r="R23" s="46"/>
      <c r="S23" s="46"/>
      <c r="T23" s="46"/>
      <c r="U23" s="46"/>
      <c r="V23" s="46"/>
      <c r="W23" s="46"/>
      <c r="X23" s="45"/>
    </row>
    <row r="24" spans="1:24" ht="18.75" thickBot="1">
      <c r="A24" s="3" t="s">
        <v>46</v>
      </c>
      <c r="B24" s="4"/>
      <c r="C24" s="32">
        <f>(C20)-(SUM(C22:C23))</f>
        <v>3759682.5</v>
      </c>
      <c r="D24" s="32">
        <f t="shared" ref="D24:F24" si="12">(D20)-(SUM(D22:D23))</f>
        <v>3924384.1875</v>
      </c>
      <c r="E24" s="32">
        <f t="shared" si="12"/>
        <v>4096506.0740625001</v>
      </c>
      <c r="F24" s="32">
        <f t="shared" si="12"/>
        <v>4276390.6486546863</v>
      </c>
      <c r="G24" s="32">
        <f t="shared" ref="G24:L24" si="13">(G20)-(SUM(G22:G23))</f>
        <v>4464396.5264576003</v>
      </c>
      <c r="H24" s="32">
        <f t="shared" si="13"/>
        <v>4660899.2202386186</v>
      </c>
      <c r="I24" s="32">
        <f t="shared" si="13"/>
        <v>4866291.949069716</v>
      </c>
      <c r="J24" s="32">
        <f t="shared" si="13"/>
        <v>5080986.4862160459</v>
      </c>
      <c r="K24" s="32">
        <f t="shared" si="13"/>
        <v>5305414.0481089428</v>
      </c>
      <c r="L24" s="32">
        <f t="shared" si="13"/>
        <v>5540026.226411853</v>
      </c>
      <c r="M24" s="5"/>
      <c r="O24" s="51"/>
      <c r="P24" s="46"/>
      <c r="Q24" s="46"/>
      <c r="R24" s="46"/>
      <c r="S24" s="46"/>
      <c r="T24" s="46"/>
      <c r="U24" s="46"/>
      <c r="V24" s="46"/>
      <c r="W24" s="46"/>
      <c r="X24" s="45"/>
    </row>
    <row r="25" spans="1:24" ht="18.75" thickTop="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  <c r="O25" s="51"/>
      <c r="P25" s="46"/>
      <c r="Q25" s="46"/>
      <c r="R25" s="46"/>
      <c r="S25" s="46"/>
      <c r="T25" s="46"/>
      <c r="U25" s="46"/>
      <c r="V25" s="46"/>
      <c r="W25" s="46"/>
      <c r="X25" s="45"/>
    </row>
    <row r="26" spans="1:24">
      <c r="A26" s="3" t="s">
        <v>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  <c r="O26" s="51"/>
      <c r="P26" s="46"/>
      <c r="Q26" s="46"/>
      <c r="R26" s="46"/>
      <c r="S26" s="46"/>
      <c r="T26" s="46"/>
      <c r="U26" s="46"/>
      <c r="V26" s="46"/>
      <c r="W26" s="46"/>
      <c r="X26" s="45"/>
    </row>
    <row r="27" spans="1:24">
      <c r="A27" s="3" t="s">
        <v>12</v>
      </c>
      <c r="B27" s="4"/>
      <c r="C27" s="10">
        <f>C24*$M$27</f>
        <v>263177.77500000002</v>
      </c>
      <c r="D27" s="10">
        <f t="shared" ref="D27:L27" si="14">D24*$M$27</f>
        <v>274706.893125</v>
      </c>
      <c r="E27" s="10">
        <f t="shared" si="14"/>
        <v>286755.42518437502</v>
      </c>
      <c r="F27" s="10">
        <f t="shared" si="14"/>
        <v>299347.34540582809</v>
      </c>
      <c r="G27" s="10">
        <f t="shared" si="14"/>
        <v>312507.75685203203</v>
      </c>
      <c r="H27" s="10">
        <f t="shared" si="14"/>
        <v>326262.94541670335</v>
      </c>
      <c r="I27" s="10">
        <f t="shared" si="14"/>
        <v>340640.43643488013</v>
      </c>
      <c r="J27" s="10">
        <f t="shared" si="14"/>
        <v>355669.05403512326</v>
      </c>
      <c r="K27" s="10">
        <f t="shared" si="14"/>
        <v>371378.98336762603</v>
      </c>
      <c r="L27" s="10">
        <f t="shared" si="14"/>
        <v>387801.83584882977</v>
      </c>
      <c r="M27" s="19">
        <v>7.0000000000000007E-2</v>
      </c>
      <c r="O27" s="51"/>
      <c r="P27" s="46"/>
      <c r="Q27" s="46"/>
      <c r="R27" s="46"/>
      <c r="S27" s="46"/>
      <c r="T27" s="46"/>
      <c r="U27" s="46"/>
      <c r="V27" s="46"/>
      <c r="W27" s="46"/>
      <c r="X27" s="45"/>
    </row>
    <row r="28" spans="1:24">
      <c r="A28" s="3" t="s">
        <v>54</v>
      </c>
      <c r="B28" s="4"/>
      <c r="C28" s="10">
        <f t="shared" ref="C28:L28" si="15">C10*C11</f>
        <v>840000</v>
      </c>
      <c r="D28" s="10">
        <f t="shared" si="15"/>
        <v>865200</v>
      </c>
      <c r="E28" s="10">
        <f t="shared" si="15"/>
        <v>891156</v>
      </c>
      <c r="F28" s="10">
        <f t="shared" si="15"/>
        <v>917890.67999999993</v>
      </c>
      <c r="G28" s="10">
        <f t="shared" si="15"/>
        <v>945427.40040000004</v>
      </c>
      <c r="H28" s="10">
        <f t="shared" si="15"/>
        <v>973790.22241199994</v>
      </c>
      <c r="I28" s="10">
        <f t="shared" si="15"/>
        <v>1003003.9290843601</v>
      </c>
      <c r="J28" s="10">
        <f t="shared" si="15"/>
        <v>1033094.0469568911</v>
      </c>
      <c r="K28" s="10">
        <f t="shared" si="15"/>
        <v>1064086.8683655977</v>
      </c>
      <c r="L28" s="10">
        <f t="shared" si="15"/>
        <v>1096009.4744165656</v>
      </c>
      <c r="M28" s="19">
        <v>3.5000000000000003E-2</v>
      </c>
      <c r="O28" s="51"/>
      <c r="P28" s="46"/>
      <c r="Q28" s="46"/>
      <c r="R28" s="46"/>
      <c r="S28" s="46"/>
      <c r="T28" s="46"/>
      <c r="U28" s="46"/>
      <c r="V28" s="46"/>
      <c r="W28" s="46"/>
      <c r="X28" s="45"/>
    </row>
    <row r="29" spans="1:24">
      <c r="A29" s="3" t="s">
        <v>59</v>
      </c>
      <c r="B29" s="4"/>
      <c r="C29" s="10">
        <f t="shared" ref="C29:L29" si="16">C12*C13</f>
        <v>270000</v>
      </c>
      <c r="D29" s="10">
        <f t="shared" si="16"/>
        <v>278100</v>
      </c>
      <c r="E29" s="10">
        <f t="shared" si="16"/>
        <v>286443</v>
      </c>
      <c r="F29" s="10">
        <f t="shared" si="16"/>
        <v>295036.29000000004</v>
      </c>
      <c r="G29" s="10">
        <f t="shared" si="16"/>
        <v>303887.37870000006</v>
      </c>
      <c r="H29" s="10">
        <f t="shared" si="16"/>
        <v>313004.00006100006</v>
      </c>
      <c r="I29" s="10">
        <f t="shared" si="16"/>
        <v>322394.1200628301</v>
      </c>
      <c r="J29" s="10">
        <f t="shared" si="16"/>
        <v>332065.94366471504</v>
      </c>
      <c r="K29" s="10">
        <f t="shared" si="16"/>
        <v>342027.92197465646</v>
      </c>
      <c r="L29" s="10">
        <f t="shared" si="16"/>
        <v>352288.75963389617</v>
      </c>
      <c r="M29" s="19">
        <v>3.5000000000000003E-2</v>
      </c>
      <c r="O29" s="51"/>
      <c r="P29" s="46"/>
      <c r="Q29" s="46"/>
      <c r="R29" s="46"/>
      <c r="S29" s="46"/>
      <c r="T29" s="46"/>
      <c r="U29" s="46"/>
      <c r="V29" s="46"/>
      <c r="W29" s="46"/>
      <c r="X29" s="45"/>
    </row>
    <row r="30" spans="1:24">
      <c r="A30" s="3" t="s">
        <v>13</v>
      </c>
      <c r="B30" s="4"/>
      <c r="C30" s="10">
        <f>50000*12</f>
        <v>600000</v>
      </c>
      <c r="D30" s="10">
        <f>C30*(1+$M$30)</f>
        <v>618000</v>
      </c>
      <c r="E30" s="10">
        <f>D30*(1+$M$30)</f>
        <v>636540</v>
      </c>
      <c r="F30" s="10">
        <f>E30*(1+$M$30)</f>
        <v>655636.20000000007</v>
      </c>
      <c r="G30" s="10">
        <f t="shared" ref="G30:L30" si="17">F30*(1+$M$30)</f>
        <v>675305.28600000008</v>
      </c>
      <c r="H30" s="10">
        <f t="shared" si="17"/>
        <v>695564.44458000013</v>
      </c>
      <c r="I30" s="10">
        <f t="shared" si="17"/>
        <v>716431.3779174001</v>
      </c>
      <c r="J30" s="10">
        <f t="shared" si="17"/>
        <v>737924.3192549221</v>
      </c>
      <c r="K30" s="10">
        <f t="shared" si="17"/>
        <v>760062.04883256974</v>
      </c>
      <c r="L30" s="10">
        <f t="shared" si="17"/>
        <v>782863.91029754688</v>
      </c>
      <c r="M30" s="30">
        <v>0.03</v>
      </c>
      <c r="O30" s="51"/>
      <c r="P30" s="46"/>
      <c r="Q30" s="46"/>
      <c r="R30" s="46"/>
      <c r="S30" s="46"/>
      <c r="T30" s="46"/>
      <c r="U30" s="46"/>
      <c r="V30" s="46"/>
      <c r="W30" s="46"/>
      <c r="X30" s="45"/>
    </row>
    <row r="31" spans="1:24">
      <c r="A31" s="3"/>
      <c r="B31" s="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30"/>
      <c r="O31" s="51"/>
      <c r="P31" s="46"/>
      <c r="Q31" s="46"/>
      <c r="R31" s="46"/>
      <c r="S31" s="46"/>
      <c r="T31" s="46"/>
      <c r="U31" s="46"/>
      <c r="V31" s="46"/>
      <c r="W31" s="46"/>
      <c r="X31" s="45"/>
    </row>
    <row r="32" spans="1:24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  <c r="O32" s="46"/>
      <c r="P32" s="46"/>
      <c r="Q32" s="46"/>
      <c r="R32" s="46"/>
      <c r="S32" s="46"/>
      <c r="T32" s="46"/>
      <c r="U32" s="46"/>
      <c r="V32" s="46"/>
      <c r="W32" s="46"/>
      <c r="X32" s="45"/>
    </row>
    <row r="33" spans="1:24">
      <c r="A33" s="3" t="s">
        <v>0</v>
      </c>
      <c r="B33" s="4"/>
      <c r="C33" s="10">
        <f>C51/30</f>
        <v>383505</v>
      </c>
      <c r="D33" s="10">
        <f t="shared" ref="D33:F33" si="18">D51/30</f>
        <v>383505</v>
      </c>
      <c r="E33" s="10">
        <f t="shared" si="18"/>
        <v>383505</v>
      </c>
      <c r="F33" s="10">
        <f t="shared" si="18"/>
        <v>383505</v>
      </c>
      <c r="G33" s="10">
        <f>(G51+G52)/30</f>
        <v>383505</v>
      </c>
      <c r="H33" s="10">
        <f t="shared" ref="H33:L33" si="19">(H51+H52)/30</f>
        <v>460206</v>
      </c>
      <c r="I33" s="10">
        <f t="shared" si="19"/>
        <v>460206</v>
      </c>
      <c r="J33" s="10">
        <f t="shared" si="19"/>
        <v>460206</v>
      </c>
      <c r="K33" s="10">
        <f t="shared" si="19"/>
        <v>460206</v>
      </c>
      <c r="L33" s="10">
        <f t="shared" si="19"/>
        <v>460206</v>
      </c>
      <c r="M33" s="5"/>
      <c r="O33" s="46"/>
      <c r="P33" s="46"/>
      <c r="Q33" s="46"/>
      <c r="R33" s="46"/>
      <c r="S33" s="46"/>
      <c r="T33" s="46"/>
      <c r="U33" s="46"/>
      <c r="V33" s="46"/>
      <c r="W33" s="46"/>
      <c r="X33" s="45"/>
    </row>
    <row r="34" spans="1:24">
      <c r="A34" s="3" t="s">
        <v>10</v>
      </c>
      <c r="B34" s="4"/>
      <c r="C34" s="12">
        <f>'Amortization Table'!D14</f>
        <v>372742.83424108889</v>
      </c>
      <c r="D34" s="12">
        <f>'Amortization Table'!D29</f>
        <v>367077.76005668187</v>
      </c>
      <c r="E34" s="12">
        <f>'Amortization Table'!D44</f>
        <v>361122.84992535977</v>
      </c>
      <c r="F34" s="12">
        <f>'Amortization Table'!D59</f>
        <v>354863.27529000404</v>
      </c>
      <c r="G34" s="12">
        <f>'Amortization Table'!D74</f>
        <v>348283.44893637131</v>
      </c>
      <c r="H34" s="12">
        <f>'Amortization Table'!D89</f>
        <v>341366.98617875436</v>
      </c>
      <c r="I34" s="12">
        <f>'Amortization Table'!D104</f>
        <v>334096.66405982943</v>
      </c>
      <c r="J34" s="12">
        <f>'Amortization Table'!D119</f>
        <v>326454.37846308883</v>
      </c>
      <c r="K34" s="12">
        <f>'Amortization Table'!D134</f>
        <v>318421.09903106466</v>
      </c>
      <c r="L34" s="12">
        <f>'Amortization Table'!D149</f>
        <v>309976.82177708385</v>
      </c>
      <c r="M34" s="5"/>
      <c r="O34" s="48"/>
      <c r="P34" s="46"/>
      <c r="Q34" s="46"/>
      <c r="R34" s="46"/>
      <c r="S34" s="46"/>
      <c r="T34" s="46"/>
      <c r="U34" s="46"/>
      <c r="V34" s="46"/>
      <c r="W34" s="46"/>
      <c r="X34" s="45"/>
    </row>
    <row r="35" spans="1:24">
      <c r="A35" s="3" t="s">
        <v>11</v>
      </c>
      <c r="B35" s="4"/>
      <c r="C35" s="11">
        <f>$M$35*C60</f>
        <v>24368.49261070693</v>
      </c>
      <c r="D35" s="11">
        <f t="shared" ref="D35:L35" si="20">$M$35*D60</f>
        <v>0</v>
      </c>
      <c r="E35" s="11">
        <f t="shared" si="20"/>
        <v>0</v>
      </c>
      <c r="F35" s="11">
        <f t="shared" si="20"/>
        <v>0</v>
      </c>
      <c r="G35" s="11">
        <f t="shared" si="20"/>
        <v>0</v>
      </c>
      <c r="H35" s="11">
        <f t="shared" si="20"/>
        <v>0</v>
      </c>
      <c r="I35" s="11">
        <f t="shared" si="20"/>
        <v>0</v>
      </c>
      <c r="J35" s="11">
        <f t="shared" si="20"/>
        <v>0</v>
      </c>
      <c r="K35" s="11">
        <f t="shared" si="20"/>
        <v>0</v>
      </c>
      <c r="L35" s="11">
        <f t="shared" si="20"/>
        <v>0</v>
      </c>
      <c r="M35" s="68">
        <v>0.12</v>
      </c>
      <c r="O35" s="46"/>
      <c r="P35" s="46"/>
      <c r="Q35" s="46"/>
      <c r="R35" s="46"/>
      <c r="S35" s="46"/>
      <c r="T35" s="46"/>
      <c r="U35" s="46"/>
      <c r="V35" s="46"/>
      <c r="W35" s="46"/>
      <c r="X35" s="45"/>
    </row>
    <row r="36" spans="1:24" ht="18.75" thickBot="1">
      <c r="A36" s="3" t="s">
        <v>34</v>
      </c>
      <c r="B36" s="4"/>
      <c r="C36" s="32">
        <f>SUM(C33:C35,C27:C30)</f>
        <v>2753794.1018517958</v>
      </c>
      <c r="D36" s="32">
        <f>SUM(D33:D35,D27:D30)</f>
        <v>2786589.6531816819</v>
      </c>
      <c r="E36" s="32">
        <f>SUM(E33:E35,E27:E30)</f>
        <v>2845522.2751097349</v>
      </c>
      <c r="F36" s="32">
        <f>SUM(F33:F35,F27:F30)</f>
        <v>2906278.7906958321</v>
      </c>
      <c r="G36" s="32">
        <f t="shared" ref="G36:L36" si="21">SUM(G33:G35,G27:G30)</f>
        <v>2968916.270888404</v>
      </c>
      <c r="H36" s="32">
        <f t="shared" si="21"/>
        <v>3110194.5986484578</v>
      </c>
      <c r="I36" s="32">
        <f t="shared" si="21"/>
        <v>3176772.5275592995</v>
      </c>
      <c r="J36" s="32">
        <f t="shared" si="21"/>
        <v>3245413.7423747405</v>
      </c>
      <c r="K36" s="32">
        <f t="shared" si="21"/>
        <v>3316182.9215715146</v>
      </c>
      <c r="L36" s="32">
        <f t="shared" si="21"/>
        <v>3389146.8019739226</v>
      </c>
      <c r="M36" s="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ht="18.75" thickTop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</row>
    <row r="38" spans="1:24">
      <c r="A38" s="3" t="s">
        <v>14</v>
      </c>
      <c r="B38" s="4"/>
      <c r="C38" s="12">
        <f>C24-C36</f>
        <v>1005888.3981482042</v>
      </c>
      <c r="D38" s="12">
        <f t="shared" ref="D38:L38" si="22">D24-D36</f>
        <v>1137794.5343183181</v>
      </c>
      <c r="E38" s="12">
        <f t="shared" si="22"/>
        <v>1250983.7989527653</v>
      </c>
      <c r="F38" s="12">
        <f t="shared" si="22"/>
        <v>1370111.8579588542</v>
      </c>
      <c r="G38" s="12">
        <f t="shared" si="22"/>
        <v>1495480.2555691963</v>
      </c>
      <c r="H38" s="12">
        <f t="shared" si="22"/>
        <v>1550704.6215901608</v>
      </c>
      <c r="I38" s="12">
        <f t="shared" si="22"/>
        <v>1689519.4215104165</v>
      </c>
      <c r="J38" s="12">
        <f t="shared" si="22"/>
        <v>1835572.7438413054</v>
      </c>
      <c r="K38" s="12">
        <f t="shared" si="22"/>
        <v>1989231.1265374282</v>
      </c>
      <c r="L38" s="12">
        <f t="shared" si="22"/>
        <v>2150879.4244379303</v>
      </c>
      <c r="M38" s="5"/>
    </row>
    <row r="39" spans="1:24">
      <c r="A39" s="3" t="s">
        <v>15</v>
      </c>
      <c r="B39" s="4"/>
      <c r="C39" s="31">
        <f>C38*$M$39</f>
        <v>251472.09953705105</v>
      </c>
      <c r="D39" s="31">
        <f>D38*$M$39</f>
        <v>284448.63357957953</v>
      </c>
      <c r="E39" s="31">
        <f>E38*$M$39</f>
        <v>312745.94973819132</v>
      </c>
      <c r="F39" s="31">
        <f>F38*$M$39</f>
        <v>342527.96448971354</v>
      </c>
      <c r="G39" s="31">
        <f t="shared" ref="G39:L39" si="23">G38*$M$39</f>
        <v>373870.06389229908</v>
      </c>
      <c r="H39" s="31">
        <f t="shared" si="23"/>
        <v>387676.15539754019</v>
      </c>
      <c r="I39" s="31">
        <f t="shared" si="23"/>
        <v>422379.85537760414</v>
      </c>
      <c r="J39" s="31">
        <f t="shared" si="23"/>
        <v>458893.18596032634</v>
      </c>
      <c r="K39" s="31">
        <f t="shared" si="23"/>
        <v>497307.78163435706</v>
      </c>
      <c r="L39" s="31">
        <f t="shared" si="23"/>
        <v>537719.85610948259</v>
      </c>
      <c r="M39" s="40">
        <v>0.25</v>
      </c>
      <c r="N39" s="41"/>
    </row>
    <row r="40" spans="1:24" ht="18.75" thickBot="1">
      <c r="A40" s="4" t="s">
        <v>45</v>
      </c>
      <c r="B40" s="4"/>
      <c r="C40" s="32">
        <f>C38-C39</f>
        <v>754416.29861115315</v>
      </c>
      <c r="D40" s="32">
        <f t="shared" ref="D40:L40" si="24">D38-D39</f>
        <v>853345.90073873859</v>
      </c>
      <c r="E40" s="32">
        <f t="shared" si="24"/>
        <v>938237.84921457397</v>
      </c>
      <c r="F40" s="32">
        <f t="shared" si="24"/>
        <v>1027583.8934691406</v>
      </c>
      <c r="G40" s="32">
        <f t="shared" si="24"/>
        <v>1121610.1916768972</v>
      </c>
      <c r="H40" s="32">
        <f t="shared" si="24"/>
        <v>1163028.4661926206</v>
      </c>
      <c r="I40" s="32">
        <f t="shared" si="24"/>
        <v>1267139.5661328123</v>
      </c>
      <c r="J40" s="32">
        <f t="shared" si="24"/>
        <v>1376679.557880979</v>
      </c>
      <c r="K40" s="32">
        <f t="shared" si="24"/>
        <v>1491923.3449030712</v>
      </c>
      <c r="L40" s="32">
        <f t="shared" si="24"/>
        <v>1613159.5683284476</v>
      </c>
      <c r="M40" s="4"/>
      <c r="N40" s="41"/>
      <c r="O40" s="4"/>
    </row>
    <row r="41" spans="1:24" ht="19.5" thickTop="1" thickBot="1">
      <c r="A41" s="8"/>
      <c r="B41" s="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8"/>
      <c r="N41" s="41"/>
      <c r="O41" s="4"/>
    </row>
    <row r="42" spans="1:24" ht="18.75" thickBot="1"/>
    <row r="43" spans="1:24" ht="21">
      <c r="A43" s="18" t="s">
        <v>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</row>
    <row r="44" spans="1:24">
      <c r="A44" s="6" t="s">
        <v>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</row>
    <row r="45" spans="1:24">
      <c r="A45" s="3" t="s">
        <v>16</v>
      </c>
      <c r="B45" s="4"/>
      <c r="C45" s="10">
        <v>20000</v>
      </c>
      <c r="D45" s="10">
        <f>C45*(1+$M$45)</f>
        <v>20600</v>
      </c>
      <c r="E45" s="10">
        <f t="shared" ref="E45:L45" si="25">D45*(1+$M$45)</f>
        <v>21218</v>
      </c>
      <c r="F45" s="10">
        <f t="shared" si="25"/>
        <v>21854.54</v>
      </c>
      <c r="G45" s="10">
        <f t="shared" si="25"/>
        <v>22510.176200000002</v>
      </c>
      <c r="H45" s="10">
        <f t="shared" si="25"/>
        <v>23185.481486000001</v>
      </c>
      <c r="I45" s="10">
        <f t="shared" si="25"/>
        <v>23881.04593058</v>
      </c>
      <c r="J45" s="10">
        <f t="shared" si="25"/>
        <v>24597.4773084974</v>
      </c>
      <c r="K45" s="10">
        <f t="shared" si="25"/>
        <v>25335.401627752322</v>
      </c>
      <c r="L45" s="10">
        <f t="shared" si="25"/>
        <v>26095.463676584892</v>
      </c>
      <c r="M45" s="68">
        <v>0.03</v>
      </c>
    </row>
    <row r="46" spans="1:24">
      <c r="A46" s="3" t="s">
        <v>17</v>
      </c>
      <c r="B46" s="4"/>
      <c r="C46" s="10">
        <v>0</v>
      </c>
      <c r="D46" s="10">
        <v>915371.07</v>
      </c>
      <c r="E46" s="10">
        <v>2106815.73</v>
      </c>
      <c r="F46" s="10">
        <v>3381531.14</v>
      </c>
      <c r="G46" s="10">
        <v>4743905.6500000004</v>
      </c>
      <c r="H46" s="10">
        <v>3897520.7</v>
      </c>
      <c r="I46" s="10">
        <v>5468457.3200000003</v>
      </c>
      <c r="J46" s="10">
        <v>7141602.0099999998</v>
      </c>
      <c r="K46" s="10">
        <v>8922304.8699999992</v>
      </c>
      <c r="L46" s="10">
        <v>10816187.210000001</v>
      </c>
      <c r="M46" s="5"/>
    </row>
    <row r="47" spans="1:24">
      <c r="A47" s="3" t="s">
        <v>2</v>
      </c>
      <c r="B47" s="4"/>
      <c r="C47" s="12">
        <v>0</v>
      </c>
      <c r="D47" s="12">
        <v>0</v>
      </c>
      <c r="E47" s="12"/>
      <c r="F47" s="12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5"/>
    </row>
    <row r="48" spans="1:24">
      <c r="A48" s="3" t="s">
        <v>3</v>
      </c>
      <c r="B48" s="4"/>
      <c r="C48" s="12">
        <f>SUM(C22:C23)/365*C7</f>
        <v>994612.5</v>
      </c>
      <c r="D48" s="12">
        <f t="shared" ref="D48:L48" si="26">SUM(D22:D23)/365*D7</f>
        <v>1029990.9374999999</v>
      </c>
      <c r="E48" s="12">
        <f t="shared" si="26"/>
        <v>1066635.9703124999</v>
      </c>
      <c r="F48" s="12">
        <f t="shared" si="26"/>
        <v>1104593.3467734375</v>
      </c>
      <c r="G48" s="12">
        <f t="shared" si="26"/>
        <v>1143910.4872855074</v>
      </c>
      <c r="H48" s="12">
        <f t="shared" si="26"/>
        <v>1184636.5463842503</v>
      </c>
      <c r="I48" s="12">
        <f t="shared" si="26"/>
        <v>1226822.4771536367</v>
      </c>
      <c r="J48" s="12">
        <f t="shared" si="26"/>
        <v>1270521.0980822479</v>
      </c>
      <c r="K48" s="12">
        <f t="shared" si="26"/>
        <v>1315787.1624547727</v>
      </c>
      <c r="L48" s="12">
        <f t="shared" si="26"/>
        <v>1362677.4303773181</v>
      </c>
      <c r="M48" s="5"/>
      <c r="O48" s="23" t="s">
        <v>27</v>
      </c>
      <c r="P48" s="23">
        <v>3</v>
      </c>
      <c r="Q48" s="23"/>
      <c r="R48" s="23" t="s">
        <v>28</v>
      </c>
      <c r="S48" s="24">
        <v>1</v>
      </c>
    </row>
    <row r="49" spans="1:18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/>
    </row>
    <row r="50" spans="1:18">
      <c r="A50" s="3" t="s">
        <v>133</v>
      </c>
      <c r="B50" s="4"/>
      <c r="C50" s="95">
        <v>500000</v>
      </c>
      <c r="D50" s="95">
        <v>500000</v>
      </c>
      <c r="E50" s="95">
        <v>500000</v>
      </c>
      <c r="F50" s="95">
        <v>500000</v>
      </c>
      <c r="G50" s="95">
        <v>500000</v>
      </c>
      <c r="H50" s="95">
        <v>500000</v>
      </c>
      <c r="I50" s="95">
        <v>500000</v>
      </c>
      <c r="J50" s="95">
        <v>500000</v>
      </c>
      <c r="K50" s="95">
        <v>500000</v>
      </c>
      <c r="L50" s="95">
        <v>500000</v>
      </c>
      <c r="M50" s="5"/>
    </row>
    <row r="51" spans="1:18">
      <c r="A51" s="3" t="s">
        <v>18</v>
      </c>
      <c r="B51" s="12"/>
      <c r="C51" s="10">
        <f>$B$16</f>
        <v>11505150</v>
      </c>
      <c r="D51" s="10">
        <f t="shared" ref="D51:L51" si="27">$B$16</f>
        <v>11505150</v>
      </c>
      <c r="E51" s="10">
        <f t="shared" si="27"/>
        <v>11505150</v>
      </c>
      <c r="F51" s="10">
        <f t="shared" si="27"/>
        <v>11505150</v>
      </c>
      <c r="G51" s="10">
        <f t="shared" si="27"/>
        <v>11505150</v>
      </c>
      <c r="H51" s="10">
        <f t="shared" si="27"/>
        <v>11505150</v>
      </c>
      <c r="I51" s="10">
        <f t="shared" si="27"/>
        <v>11505150</v>
      </c>
      <c r="J51" s="10">
        <f t="shared" si="27"/>
        <v>11505150</v>
      </c>
      <c r="K51" s="10">
        <f t="shared" si="27"/>
        <v>11505150</v>
      </c>
      <c r="L51" s="10">
        <f t="shared" si="27"/>
        <v>11505150</v>
      </c>
      <c r="M51" s="5"/>
    </row>
    <row r="52" spans="1:18">
      <c r="A52" s="3" t="s">
        <v>134</v>
      </c>
      <c r="B52" s="12"/>
      <c r="C52" s="10">
        <v>0</v>
      </c>
      <c r="D52" s="10"/>
      <c r="E52" s="10">
        <v>0</v>
      </c>
      <c r="F52" s="10">
        <v>0</v>
      </c>
      <c r="G52" s="10">
        <v>0</v>
      </c>
      <c r="H52" s="10">
        <f t="shared" ref="H52:L52" si="28">$B$16*0.2</f>
        <v>2301030</v>
      </c>
      <c r="I52" s="10">
        <f t="shared" si="28"/>
        <v>2301030</v>
      </c>
      <c r="J52" s="10">
        <f t="shared" si="28"/>
        <v>2301030</v>
      </c>
      <c r="K52" s="10">
        <f t="shared" si="28"/>
        <v>2301030</v>
      </c>
      <c r="L52" s="10">
        <f t="shared" si="28"/>
        <v>2301030</v>
      </c>
      <c r="M52" s="5"/>
    </row>
    <row r="53" spans="1:18">
      <c r="A53" s="43" t="s">
        <v>19</v>
      </c>
      <c r="B53" s="4"/>
      <c r="C53" s="31">
        <f>C33</f>
        <v>383505</v>
      </c>
      <c r="D53" s="31">
        <f>D33+C53</f>
        <v>767010</v>
      </c>
      <c r="E53" s="31">
        <f>E33+D53</f>
        <v>1150515</v>
      </c>
      <c r="F53" s="31">
        <f>F33+E53</f>
        <v>1534020</v>
      </c>
      <c r="G53" s="31">
        <f>G33+F53</f>
        <v>1917525</v>
      </c>
      <c r="H53" s="31">
        <f t="shared" ref="H53:L53" si="29">H33+G53</f>
        <v>2377731</v>
      </c>
      <c r="I53" s="31">
        <f t="shared" si="29"/>
        <v>2837937</v>
      </c>
      <c r="J53" s="31">
        <f t="shared" si="29"/>
        <v>3298143</v>
      </c>
      <c r="K53" s="31">
        <f t="shared" si="29"/>
        <v>3758349</v>
      </c>
      <c r="L53" s="31">
        <f t="shared" si="29"/>
        <v>4218555</v>
      </c>
      <c r="M53" s="5"/>
    </row>
    <row r="54" spans="1:18" ht="18.75" thickBot="1">
      <c r="A54" s="3" t="s">
        <v>20</v>
      </c>
      <c r="B54" s="4"/>
      <c r="C54" s="32">
        <f>SUM(C45:C52)-C53</f>
        <v>12636257.5</v>
      </c>
      <c r="D54" s="32">
        <f t="shared" ref="D54:L54" si="30">SUM(D45:D52)-D53</f>
        <v>13204102.0075</v>
      </c>
      <c r="E54" s="32">
        <f t="shared" si="30"/>
        <v>14049304.700312499</v>
      </c>
      <c r="F54" s="32">
        <f t="shared" si="30"/>
        <v>14979109.026773438</v>
      </c>
      <c r="G54" s="32">
        <f t="shared" si="30"/>
        <v>15997951.313485507</v>
      </c>
      <c r="H54" s="32">
        <f t="shared" si="30"/>
        <v>17033791.727870248</v>
      </c>
      <c r="I54" s="32">
        <f t="shared" si="30"/>
        <v>18187403.843084216</v>
      </c>
      <c r="J54" s="32">
        <f t="shared" si="30"/>
        <v>19444757.585390747</v>
      </c>
      <c r="K54" s="32">
        <f t="shared" si="30"/>
        <v>20811258.434082523</v>
      </c>
      <c r="L54" s="32">
        <f t="shared" si="30"/>
        <v>22292585.104053903</v>
      </c>
      <c r="M54" s="5"/>
    </row>
    <row r="55" spans="1:18" ht="18.75" thickTop="1">
      <c r="A55" s="3"/>
      <c r="B55" s="4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5"/>
    </row>
    <row r="56" spans="1:18">
      <c r="A56" s="6" t="s">
        <v>21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1:18">
      <c r="A57" s="3" t="s">
        <v>4</v>
      </c>
      <c r="B57" s="4"/>
      <c r="C57" s="36">
        <f>(C30/365)*C9</f>
        <v>32876.71232876712</v>
      </c>
      <c r="D57" s="36">
        <f t="shared" ref="D57:L57" si="31">(D30/365)*D9</f>
        <v>33863.013698630137</v>
      </c>
      <c r="E57" s="36">
        <f t="shared" si="31"/>
        <v>34878.904109589042</v>
      </c>
      <c r="F57" s="36">
        <f t="shared" si="31"/>
        <v>35925.271232876716</v>
      </c>
      <c r="G57" s="36">
        <f t="shared" si="31"/>
        <v>37003.029369863019</v>
      </c>
      <c r="H57" s="36">
        <f t="shared" si="31"/>
        <v>38113.120250958906</v>
      </c>
      <c r="I57" s="36">
        <f t="shared" si="31"/>
        <v>39256.513858487677</v>
      </c>
      <c r="J57" s="36">
        <f t="shared" si="31"/>
        <v>40434.209274242305</v>
      </c>
      <c r="K57" s="36">
        <f t="shared" si="31"/>
        <v>41647.235552469574</v>
      </c>
      <c r="L57" s="36">
        <f t="shared" si="31"/>
        <v>42896.652619043663</v>
      </c>
      <c r="M57" s="5"/>
    </row>
    <row r="58" spans="1:18">
      <c r="A58" s="3" t="s">
        <v>129</v>
      </c>
      <c r="B58" s="4"/>
      <c r="C58" s="36">
        <f>C39</f>
        <v>251472.09953705105</v>
      </c>
      <c r="D58" s="36">
        <f t="shared" ref="D58:L58" si="32">D39</f>
        <v>284448.63357957953</v>
      </c>
      <c r="E58" s="36">
        <f t="shared" si="32"/>
        <v>312745.94973819132</v>
      </c>
      <c r="F58" s="36">
        <f t="shared" si="32"/>
        <v>342527.96448971354</v>
      </c>
      <c r="G58" s="36">
        <f t="shared" si="32"/>
        <v>373870.06389229908</v>
      </c>
      <c r="H58" s="36">
        <f t="shared" si="32"/>
        <v>387676.15539754019</v>
      </c>
      <c r="I58" s="36">
        <f t="shared" si="32"/>
        <v>422379.85537760414</v>
      </c>
      <c r="J58" s="36">
        <f t="shared" si="32"/>
        <v>458893.18596032634</v>
      </c>
      <c r="K58" s="36">
        <f t="shared" si="32"/>
        <v>497307.78163435706</v>
      </c>
      <c r="L58" s="36">
        <f t="shared" si="32"/>
        <v>537719.85610948259</v>
      </c>
      <c r="M58" s="5"/>
    </row>
    <row r="59" spans="1:18">
      <c r="A59" s="3" t="s">
        <v>22</v>
      </c>
      <c r="B59" s="4"/>
      <c r="C59" s="36">
        <f>'Amortization Table'!F13</f>
        <v>7394421.6177671412</v>
      </c>
      <c r="D59" s="36">
        <f>'Amortization Table'!F28</f>
        <v>7278028.1613498759</v>
      </c>
      <c r="E59" s="36">
        <f>'Amortization Table'!F43</f>
        <v>7155679.7948012864</v>
      </c>
      <c r="F59" s="36">
        <f>'Amortization Table'!F58</f>
        <v>7027071.853617345</v>
      </c>
      <c r="G59" s="67">
        <f>'Amortization Table'!F73</f>
        <v>6891884.0860797707</v>
      </c>
      <c r="H59" s="67">
        <f>'Amortization Table'!F88</f>
        <v>6749779.8557845782</v>
      </c>
      <c r="I59" s="67">
        <f>'Amortization Table'!F103</f>
        <v>6600405.3033704618</v>
      </c>
      <c r="J59" s="67">
        <f>'Amortization Table'!F118</f>
        <v>6443388.4653596031</v>
      </c>
      <c r="K59" s="67">
        <f>'Amortization Table'!F133</f>
        <v>6278338.3479167223</v>
      </c>
      <c r="L59" s="67">
        <f>'Amortization Table'!F148</f>
        <v>6104843.9532198599</v>
      </c>
      <c r="M59" s="5"/>
    </row>
    <row r="60" spans="1:18">
      <c r="A60" s="3" t="s">
        <v>23</v>
      </c>
      <c r="B60" s="4"/>
      <c r="C60" s="36">
        <v>203070.7717558911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5"/>
    </row>
    <row r="61" spans="1:18">
      <c r="A61" s="3"/>
      <c r="B61" s="4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5"/>
    </row>
    <row r="62" spans="1:18" s="22" customFormat="1">
      <c r="A62" s="6" t="s">
        <v>26</v>
      </c>
      <c r="B62" s="20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21"/>
    </row>
    <row r="63" spans="1:18">
      <c r="A63" s="3" t="s">
        <v>5</v>
      </c>
      <c r="B63" s="98">
        <f>C51-C63</f>
        <v>7505150</v>
      </c>
      <c r="C63" s="36">
        <v>4000000</v>
      </c>
      <c r="D63" s="36">
        <f>$C$63</f>
        <v>4000000</v>
      </c>
      <c r="E63" s="36">
        <f t="shared" ref="E63:L63" si="33">$C$63</f>
        <v>4000000</v>
      </c>
      <c r="F63" s="36">
        <f t="shared" si="33"/>
        <v>4000000</v>
      </c>
      <c r="G63" s="36">
        <f t="shared" si="33"/>
        <v>4000000</v>
      </c>
      <c r="H63" s="36">
        <f t="shared" si="33"/>
        <v>4000000</v>
      </c>
      <c r="I63" s="36">
        <f t="shared" si="33"/>
        <v>4000000</v>
      </c>
      <c r="J63" s="36">
        <f t="shared" si="33"/>
        <v>4000000</v>
      </c>
      <c r="K63" s="36">
        <f t="shared" si="33"/>
        <v>4000000</v>
      </c>
      <c r="L63" s="36">
        <f t="shared" si="33"/>
        <v>4000000</v>
      </c>
      <c r="M63" s="93">
        <v>20000000000</v>
      </c>
      <c r="P63" s="33"/>
      <c r="Q63" s="33"/>
      <c r="R63" s="33"/>
    </row>
    <row r="64" spans="1:18">
      <c r="A64" s="3" t="s">
        <v>24</v>
      </c>
      <c r="B64" s="4"/>
      <c r="C64" s="36">
        <f>C40</f>
        <v>754416.29861115315</v>
      </c>
      <c r="D64" s="36">
        <f>D40+C64</f>
        <v>1607762.1993498919</v>
      </c>
      <c r="E64" s="36">
        <f t="shared" ref="E64" si="34">E40+D64</f>
        <v>2546000.0485644657</v>
      </c>
      <c r="F64" s="36">
        <f>F40+E64</f>
        <v>3573583.9420336066</v>
      </c>
      <c r="G64" s="36">
        <f t="shared" ref="G64:L64" si="35">G40+F64</f>
        <v>4695194.1337105036</v>
      </c>
      <c r="H64" s="36">
        <f t="shared" si="35"/>
        <v>5858222.5999031244</v>
      </c>
      <c r="I64" s="36">
        <f t="shared" si="35"/>
        <v>7125362.1660359371</v>
      </c>
      <c r="J64" s="36">
        <f t="shared" si="35"/>
        <v>8502041.7239169162</v>
      </c>
      <c r="K64" s="36">
        <f t="shared" si="35"/>
        <v>9993965.0688199867</v>
      </c>
      <c r="L64" s="36">
        <f t="shared" si="35"/>
        <v>11607124.637148434</v>
      </c>
      <c r="M64" s="5"/>
    </row>
    <row r="65" spans="1:13">
      <c r="A65" s="3"/>
      <c r="B65" s="4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5"/>
    </row>
    <row r="66" spans="1:13" ht="18.75" thickBot="1">
      <c r="A66" s="3" t="s">
        <v>25</v>
      </c>
      <c r="B66" s="4"/>
      <c r="C66" s="38">
        <f>SUM(C57:C64)</f>
        <v>12636257.500000004</v>
      </c>
      <c r="D66" s="38">
        <f t="shared" ref="D66:L66" si="36">SUM(D57:D64)</f>
        <v>13204102.007977977</v>
      </c>
      <c r="E66" s="38">
        <f t="shared" si="36"/>
        <v>14049304.697213532</v>
      </c>
      <c r="F66" s="38">
        <f t="shared" si="36"/>
        <v>14979109.031373542</v>
      </c>
      <c r="G66" s="38">
        <f t="shared" si="36"/>
        <v>15997951.313052436</v>
      </c>
      <c r="H66" s="38">
        <f t="shared" si="36"/>
        <v>17033791.731336202</v>
      </c>
      <c r="I66" s="38">
        <f t="shared" si="36"/>
        <v>18187403.838642493</v>
      </c>
      <c r="J66" s="38">
        <f t="shared" si="36"/>
        <v>19444757.584511086</v>
      </c>
      <c r="K66" s="38">
        <f t="shared" si="36"/>
        <v>20811258.433923535</v>
      </c>
      <c r="L66" s="38">
        <f t="shared" si="36"/>
        <v>22292585.09909682</v>
      </c>
      <c r="M66" s="5"/>
    </row>
    <row r="67" spans="1:13" ht="19.5" thickTop="1" thickBot="1">
      <c r="A67" s="7"/>
      <c r="B67" s="8"/>
      <c r="C67" s="39">
        <f>C54-C66</f>
        <v>0</v>
      </c>
      <c r="D67" s="39">
        <f t="shared" ref="D67:L67" si="37">D54-D66</f>
        <v>-4.7797709703445435E-4</v>
      </c>
      <c r="E67" s="39">
        <f t="shared" si="37"/>
        <v>3.0989665538072586E-3</v>
      </c>
      <c r="F67" s="39">
        <f t="shared" si="37"/>
        <v>-4.6001039445400238E-3</v>
      </c>
      <c r="G67" s="39">
        <f t="shared" si="37"/>
        <v>4.330705851316452E-4</v>
      </c>
      <c r="H67" s="39">
        <f t="shared" si="37"/>
        <v>-3.4659542143344879E-3</v>
      </c>
      <c r="I67" s="39">
        <f t="shared" si="37"/>
        <v>4.4417232275009155E-3</v>
      </c>
      <c r="J67" s="39">
        <f t="shared" si="37"/>
        <v>8.7966024875640869E-4</v>
      </c>
      <c r="K67" s="39">
        <f t="shared" si="37"/>
        <v>1.5898793935775757E-4</v>
      </c>
      <c r="L67" s="39">
        <f t="shared" si="37"/>
        <v>4.9570836126804352E-3</v>
      </c>
      <c r="M67" s="9"/>
    </row>
    <row r="68" spans="1:13">
      <c r="A68" s="74" t="s">
        <v>82</v>
      </c>
      <c r="B68" s="75"/>
      <c r="C68" s="96"/>
      <c r="D68" s="96"/>
      <c r="E68" s="96"/>
      <c r="F68" s="96"/>
      <c r="G68" s="96"/>
      <c r="H68" s="96"/>
      <c r="I68" s="96"/>
      <c r="J68" s="96"/>
      <c r="K68" s="96"/>
      <c r="L68" s="96"/>
    </row>
    <row r="69" spans="1:13">
      <c r="A69" s="75"/>
      <c r="B69" s="75"/>
      <c r="C69" s="75"/>
      <c r="D69" s="76"/>
      <c r="E69" s="96"/>
      <c r="F69" s="96"/>
      <c r="G69" s="75"/>
      <c r="H69" s="75"/>
      <c r="I69" s="75"/>
      <c r="J69" s="75"/>
      <c r="K69" s="69"/>
      <c r="L69" s="69"/>
    </row>
    <row r="70" spans="1:13">
      <c r="A70" s="74" t="s">
        <v>83</v>
      </c>
      <c r="B70" s="75"/>
      <c r="C70" s="75"/>
      <c r="D70" s="75"/>
      <c r="E70" s="96"/>
      <c r="F70" s="96"/>
      <c r="G70" s="75"/>
      <c r="H70" s="75"/>
      <c r="I70" s="75"/>
      <c r="J70" s="75"/>
      <c r="K70" s="69"/>
      <c r="L70" s="69"/>
    </row>
    <row r="71" spans="1:13">
      <c r="A71" s="75"/>
      <c r="B71" s="75" t="s">
        <v>139</v>
      </c>
      <c r="C71" s="75"/>
      <c r="D71" s="75">
        <v>0.8</v>
      </c>
      <c r="E71" s="75"/>
      <c r="F71" s="75"/>
      <c r="G71" s="75"/>
      <c r="H71" s="75"/>
      <c r="I71" s="75"/>
      <c r="J71" s="75"/>
      <c r="K71" s="69"/>
      <c r="L71" s="69"/>
    </row>
    <row r="72" spans="1:13">
      <c r="A72" s="75"/>
      <c r="B72" s="75" t="s">
        <v>138</v>
      </c>
      <c r="C72" s="75"/>
      <c r="D72" s="99">
        <f>D71*(1+(1-D83)*(E86/E90))</f>
        <v>1.0346945037661441</v>
      </c>
      <c r="E72" s="75"/>
      <c r="F72" s="75"/>
      <c r="G72" s="75"/>
      <c r="H72" s="75"/>
      <c r="I72" s="75"/>
      <c r="J72" s="75"/>
      <c r="K72" s="69"/>
      <c r="L72" s="69"/>
    </row>
    <row r="73" spans="1:13">
      <c r="A73" s="75"/>
      <c r="B73" s="75" t="s">
        <v>84</v>
      </c>
      <c r="C73" s="75"/>
      <c r="D73" s="77">
        <v>1.2500000000000001E-2</v>
      </c>
      <c r="E73" s="75"/>
      <c r="F73" s="75"/>
      <c r="G73" s="75"/>
      <c r="H73" s="75"/>
      <c r="I73" s="75"/>
      <c r="J73" s="75"/>
      <c r="K73" s="69"/>
      <c r="L73" s="69"/>
    </row>
    <row r="74" spans="1:13">
      <c r="A74" s="75"/>
      <c r="B74" s="75" t="s">
        <v>85</v>
      </c>
      <c r="C74" s="75"/>
      <c r="D74" s="77">
        <v>0.1125</v>
      </c>
      <c r="E74" s="75"/>
      <c r="F74" s="75"/>
      <c r="G74" s="75"/>
      <c r="H74" s="75"/>
      <c r="I74" s="75"/>
      <c r="J74" s="75"/>
      <c r="K74" s="69"/>
      <c r="L74" s="69"/>
    </row>
    <row r="75" spans="1:13">
      <c r="A75" s="75"/>
      <c r="B75" s="75"/>
      <c r="C75" s="75"/>
      <c r="D75" s="78"/>
      <c r="E75" s="75"/>
      <c r="F75" s="75"/>
      <c r="G75" s="75"/>
      <c r="H75" s="75"/>
      <c r="I75" s="75"/>
      <c r="J75" s="75"/>
      <c r="K75" s="69"/>
      <c r="L75" s="69"/>
    </row>
    <row r="76" spans="1:13">
      <c r="A76" s="75"/>
      <c r="B76" s="75" t="s">
        <v>86</v>
      </c>
      <c r="C76" s="75"/>
      <c r="D76" s="77">
        <f>D73+D72*(D74-D73)</f>
        <v>0.11596945037661442</v>
      </c>
      <c r="E76" s="75"/>
      <c r="F76" s="75"/>
      <c r="G76" s="75"/>
      <c r="H76" s="75"/>
      <c r="I76" s="75"/>
      <c r="J76" s="75"/>
      <c r="K76" s="69"/>
      <c r="L76" s="69"/>
    </row>
    <row r="77" spans="1:13">
      <c r="A77" s="75"/>
      <c r="B77" s="75"/>
      <c r="C77" s="75"/>
      <c r="D77" s="78"/>
      <c r="E77" s="75"/>
      <c r="F77" s="75"/>
      <c r="G77" s="75"/>
      <c r="H77" s="75"/>
      <c r="I77" s="75"/>
      <c r="J77" s="75"/>
      <c r="K77" s="69"/>
      <c r="L77" s="69"/>
    </row>
    <row r="78" spans="1:13">
      <c r="A78" s="74" t="s">
        <v>87</v>
      </c>
      <c r="B78" s="75"/>
      <c r="C78" s="75"/>
      <c r="D78" s="78"/>
      <c r="E78" s="75" t="s">
        <v>136</v>
      </c>
      <c r="F78" s="75" t="s">
        <v>137</v>
      </c>
      <c r="G78" s="75"/>
      <c r="H78" s="75"/>
      <c r="I78" s="75"/>
      <c r="J78" s="75"/>
      <c r="K78" s="69"/>
      <c r="L78" s="69"/>
    </row>
    <row r="79" spans="1:13">
      <c r="A79" s="75"/>
      <c r="B79" s="75" t="s">
        <v>130</v>
      </c>
      <c r="C79" s="75"/>
      <c r="D79" s="78">
        <f>'Amortization Table'!I2</f>
        <v>0.05</v>
      </c>
      <c r="E79" s="79">
        <f>L59</f>
        <v>6104843.9532198599</v>
      </c>
      <c r="F79" s="80">
        <f>E79/SUM($E$79:$E$80)</f>
        <v>1</v>
      </c>
      <c r="G79" s="75" t="s">
        <v>88</v>
      </c>
      <c r="H79" s="75"/>
      <c r="I79" s="75"/>
      <c r="J79" s="75"/>
      <c r="K79" s="69"/>
      <c r="L79" s="69"/>
    </row>
    <row r="80" spans="1:13">
      <c r="A80" s="75" t="s">
        <v>89</v>
      </c>
      <c r="B80" s="75" t="s">
        <v>90</v>
      </c>
      <c r="C80" s="75"/>
      <c r="D80" s="78">
        <f>M35</f>
        <v>0.12</v>
      </c>
      <c r="E80" s="79">
        <f>L60</f>
        <v>0</v>
      </c>
      <c r="F80" s="80">
        <f>E80/SUM($E$79:$E$80)</f>
        <v>0</v>
      </c>
      <c r="G80" s="75" t="s">
        <v>91</v>
      </c>
      <c r="H80" s="75"/>
      <c r="I80" s="75"/>
      <c r="J80" s="75"/>
      <c r="K80" s="69"/>
      <c r="L80" s="69"/>
    </row>
    <row r="81" spans="1:12">
      <c r="A81" s="75"/>
      <c r="B81" s="75" t="s">
        <v>92</v>
      </c>
      <c r="C81" s="75"/>
      <c r="D81" s="78">
        <f>+D79*F79+D80*F80</f>
        <v>0.05</v>
      </c>
      <c r="E81" s="79"/>
      <c r="F81" s="80"/>
      <c r="G81" s="75"/>
      <c r="H81" s="75"/>
      <c r="I81" s="75"/>
      <c r="J81" s="75"/>
      <c r="K81" s="69"/>
      <c r="L81" s="69"/>
    </row>
    <row r="82" spans="1:12">
      <c r="A82" s="75"/>
      <c r="B82" s="75"/>
      <c r="C82" s="75"/>
      <c r="D82" s="78"/>
      <c r="E82" s="75"/>
      <c r="F82" s="75"/>
      <c r="G82" s="75"/>
      <c r="H82" s="75"/>
      <c r="I82" s="75"/>
      <c r="J82" s="75"/>
      <c r="K82" s="69"/>
      <c r="L82" s="69"/>
    </row>
    <row r="83" spans="1:12">
      <c r="A83" s="75" t="s">
        <v>93</v>
      </c>
      <c r="B83" s="75"/>
      <c r="C83" s="75"/>
      <c r="D83" s="78">
        <f>M39</f>
        <v>0.25</v>
      </c>
      <c r="E83" s="75"/>
      <c r="F83" s="75"/>
      <c r="G83" s="75"/>
      <c r="H83" s="75"/>
      <c r="I83" s="75"/>
      <c r="J83" s="75"/>
      <c r="K83" s="69"/>
      <c r="L83" s="69"/>
    </row>
    <row r="84" spans="1:12">
      <c r="A84" s="75"/>
      <c r="B84" s="75"/>
      <c r="C84" s="75"/>
      <c r="D84" s="81"/>
      <c r="E84" s="75"/>
      <c r="F84" s="75"/>
      <c r="G84" s="75"/>
      <c r="H84" s="75"/>
      <c r="I84" s="75"/>
      <c r="J84" s="75"/>
      <c r="K84" s="69"/>
      <c r="L84" s="69"/>
    </row>
    <row r="85" spans="1:12">
      <c r="A85" s="74" t="s">
        <v>94</v>
      </c>
      <c r="B85" s="75"/>
      <c r="C85" s="75"/>
      <c r="D85" s="81"/>
      <c r="E85" s="75" t="s">
        <v>95</v>
      </c>
      <c r="F85" s="75"/>
      <c r="G85" s="75"/>
      <c r="H85" s="75"/>
      <c r="I85" s="75"/>
      <c r="J85" s="75"/>
      <c r="K85" s="69"/>
      <c r="L85" s="69"/>
    </row>
    <row r="86" spans="1:12">
      <c r="A86" s="75" t="s">
        <v>96</v>
      </c>
      <c r="B86" s="75"/>
      <c r="C86" s="75"/>
      <c r="D86" s="81">
        <f>E79</f>
        <v>6104843.9532198599</v>
      </c>
      <c r="E86" s="78">
        <f>+(D86+D87)/D93</f>
        <v>0.28117413341911551</v>
      </c>
      <c r="F86" s="75"/>
      <c r="G86" s="75"/>
      <c r="H86" s="75"/>
      <c r="I86" s="75"/>
      <c r="J86" s="75"/>
      <c r="K86" s="69"/>
      <c r="L86" s="69"/>
    </row>
    <row r="87" spans="1:12">
      <c r="A87" s="75" t="s">
        <v>97</v>
      </c>
      <c r="B87" s="75"/>
      <c r="C87" s="75"/>
      <c r="D87" s="81">
        <f>E80</f>
        <v>0</v>
      </c>
      <c r="E87" s="78"/>
      <c r="F87" s="75"/>
      <c r="G87" s="75"/>
      <c r="H87" s="75"/>
      <c r="I87" s="75"/>
      <c r="J87" s="75"/>
      <c r="K87" s="69"/>
      <c r="L87" s="69"/>
    </row>
    <row r="88" spans="1:12">
      <c r="A88" s="75"/>
      <c r="B88" s="75"/>
      <c r="C88" s="75"/>
      <c r="D88" s="75"/>
      <c r="E88" s="78"/>
      <c r="F88" s="75"/>
      <c r="G88" s="75"/>
      <c r="H88" s="75"/>
      <c r="I88" s="75"/>
      <c r="J88" s="75"/>
      <c r="K88" s="69"/>
      <c r="L88" s="69"/>
    </row>
    <row r="89" spans="1:12">
      <c r="A89" s="74" t="s">
        <v>98</v>
      </c>
      <c r="B89" s="75"/>
      <c r="C89" s="75"/>
      <c r="D89" s="75"/>
      <c r="E89" s="78"/>
      <c r="F89" s="75"/>
      <c r="G89" s="75"/>
      <c r="H89" s="75"/>
      <c r="I89" s="75"/>
      <c r="J89" s="75"/>
      <c r="K89" s="69"/>
      <c r="L89" s="69"/>
    </row>
    <row r="90" spans="1:12">
      <c r="A90" s="75" t="s">
        <v>99</v>
      </c>
      <c r="B90" s="75"/>
      <c r="C90" s="75"/>
      <c r="D90" s="81">
        <f>L63</f>
        <v>4000000</v>
      </c>
      <c r="E90" s="78">
        <f>(+D90+D91)/D93</f>
        <v>0.71882586658088454</v>
      </c>
      <c r="F90" s="75"/>
      <c r="G90" s="75"/>
      <c r="H90" s="75"/>
      <c r="I90" s="75"/>
      <c r="J90" s="75"/>
      <c r="K90" s="69"/>
      <c r="L90" s="69"/>
    </row>
    <row r="91" spans="1:12">
      <c r="A91" s="75" t="s">
        <v>100</v>
      </c>
      <c r="B91" s="75"/>
      <c r="C91" s="75"/>
      <c r="D91" s="81">
        <f>L64</f>
        <v>11607124.637148434</v>
      </c>
      <c r="E91" s="75"/>
      <c r="F91" s="75"/>
      <c r="G91" s="75"/>
      <c r="H91" s="75"/>
      <c r="I91" s="75"/>
      <c r="J91" s="75"/>
      <c r="K91" s="69"/>
      <c r="L91" s="69"/>
    </row>
    <row r="92" spans="1:12">
      <c r="A92" s="75"/>
      <c r="B92" s="75"/>
      <c r="C92" s="75"/>
      <c r="D92" s="81"/>
      <c r="E92" s="75"/>
      <c r="F92" s="75"/>
      <c r="G92" s="75"/>
      <c r="H92" s="75"/>
      <c r="I92" s="75"/>
      <c r="J92" s="75"/>
      <c r="K92" s="69"/>
      <c r="L92" s="69"/>
    </row>
    <row r="93" spans="1:12">
      <c r="A93" s="74" t="s">
        <v>101</v>
      </c>
      <c r="B93" s="75"/>
      <c r="C93" s="75"/>
      <c r="D93" s="79">
        <f>SUM(D86:D91)</f>
        <v>21711968.590368293</v>
      </c>
      <c r="E93" s="75"/>
      <c r="F93" s="75"/>
      <c r="G93" s="75"/>
      <c r="H93" s="75"/>
      <c r="I93" s="75"/>
      <c r="J93" s="75"/>
      <c r="K93" s="69"/>
      <c r="L93" s="69"/>
    </row>
    <row r="94" spans="1:12">
      <c r="A94" s="75"/>
      <c r="B94" s="75"/>
      <c r="C94" s="75"/>
      <c r="D94" s="81"/>
      <c r="E94" s="75"/>
      <c r="F94" s="75"/>
      <c r="G94" s="75"/>
      <c r="H94" s="75"/>
      <c r="I94" s="75"/>
      <c r="J94" s="75"/>
      <c r="K94" s="69"/>
      <c r="L94" s="69"/>
    </row>
    <row r="95" spans="1:12">
      <c r="A95" s="74" t="s">
        <v>102</v>
      </c>
      <c r="B95" s="75"/>
      <c r="C95" s="75"/>
      <c r="D95" s="77">
        <f>+E86*(1-D83)*D81+E90*D76</f>
        <v>9.3905870667095576E-2</v>
      </c>
      <c r="E95" s="75"/>
      <c r="F95" s="75"/>
      <c r="G95" s="75"/>
      <c r="H95" s="75"/>
      <c r="I95" s="75"/>
      <c r="J95" s="75"/>
      <c r="K95" s="69"/>
      <c r="L95" s="69"/>
    </row>
    <row r="96" spans="1:12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70"/>
      <c r="L96" s="70"/>
    </row>
    <row r="97" spans="1:16">
      <c r="A97" s="83" t="s">
        <v>103</v>
      </c>
      <c r="B97" s="84"/>
      <c r="C97" s="84"/>
      <c r="D97" s="84"/>
      <c r="E97" s="84"/>
      <c r="F97" s="84"/>
      <c r="G97" s="84"/>
      <c r="H97" s="84"/>
      <c r="I97" s="84"/>
      <c r="J97" s="84"/>
      <c r="K97" s="71"/>
      <c r="L97" s="71"/>
    </row>
    <row r="98" spans="1:16">
      <c r="A98" s="84"/>
      <c r="B98" s="84"/>
      <c r="C98" s="84">
        <v>0</v>
      </c>
      <c r="D98" s="84">
        <v>1</v>
      </c>
      <c r="E98" s="84">
        <v>2</v>
      </c>
      <c r="F98" s="84">
        <v>3</v>
      </c>
      <c r="G98" s="84">
        <v>4</v>
      </c>
      <c r="H98" s="84">
        <v>5</v>
      </c>
      <c r="I98" s="84">
        <v>6</v>
      </c>
      <c r="J98" s="84">
        <v>7</v>
      </c>
      <c r="K98" s="71">
        <v>8</v>
      </c>
      <c r="L98" s="71">
        <v>9</v>
      </c>
      <c r="M98" s="94">
        <v>10</v>
      </c>
    </row>
    <row r="99" spans="1:16">
      <c r="A99" s="74" t="s">
        <v>104</v>
      </c>
      <c r="B99" s="75"/>
      <c r="C99" s="85"/>
      <c r="D99" s="75"/>
      <c r="E99" s="75"/>
      <c r="F99" s="75"/>
      <c r="G99" s="75"/>
      <c r="H99" s="75"/>
      <c r="I99" s="75"/>
      <c r="J99" s="75"/>
      <c r="K99" s="69"/>
      <c r="L99" s="69"/>
    </row>
    <row r="100" spans="1:16">
      <c r="A100" s="75"/>
      <c r="B100" s="75" t="s">
        <v>105</v>
      </c>
      <c r="C100" s="75"/>
      <c r="D100" s="79">
        <f>C24-SUM(C27:C30)</f>
        <v>1786504.7250000001</v>
      </c>
      <c r="E100" s="79">
        <f t="shared" ref="E100:M100" si="38">D24-SUM(D27:D30)</f>
        <v>1888377.2943750001</v>
      </c>
      <c r="F100" s="79">
        <f t="shared" si="38"/>
        <v>1995611.648878125</v>
      </c>
      <c r="G100" s="79">
        <f t="shared" si="38"/>
        <v>2108480.1332488582</v>
      </c>
      <c r="H100" s="79">
        <f t="shared" si="38"/>
        <v>2227268.7045055684</v>
      </c>
      <c r="I100" s="79">
        <f t="shared" si="38"/>
        <v>2352277.6077689151</v>
      </c>
      <c r="J100" s="79">
        <f t="shared" si="38"/>
        <v>2483822.0855702455</v>
      </c>
      <c r="K100" s="79">
        <f t="shared" si="38"/>
        <v>2622233.1223043944</v>
      </c>
      <c r="L100" s="79">
        <f t="shared" si="38"/>
        <v>2767858.2255684929</v>
      </c>
      <c r="M100" s="79">
        <f t="shared" si="38"/>
        <v>2921062.2462150147</v>
      </c>
    </row>
    <row r="101" spans="1:16">
      <c r="A101" s="75"/>
      <c r="B101" s="75" t="s">
        <v>106</v>
      </c>
      <c r="C101" s="75"/>
      <c r="D101" s="79">
        <f>C33</f>
        <v>383505</v>
      </c>
      <c r="E101" s="79">
        <f t="shared" ref="E101:M101" si="39">D33</f>
        <v>383505</v>
      </c>
      <c r="F101" s="79">
        <f t="shared" si="39"/>
        <v>383505</v>
      </c>
      <c r="G101" s="79">
        <f t="shared" si="39"/>
        <v>383505</v>
      </c>
      <c r="H101" s="79">
        <f t="shared" si="39"/>
        <v>383505</v>
      </c>
      <c r="I101" s="79">
        <f t="shared" si="39"/>
        <v>460206</v>
      </c>
      <c r="J101" s="79">
        <f t="shared" si="39"/>
        <v>460206</v>
      </c>
      <c r="K101" s="79">
        <f t="shared" si="39"/>
        <v>460206</v>
      </c>
      <c r="L101" s="79">
        <f t="shared" si="39"/>
        <v>460206</v>
      </c>
      <c r="M101" s="79">
        <f t="shared" si="39"/>
        <v>460206</v>
      </c>
    </row>
    <row r="102" spans="1:16">
      <c r="A102" s="75"/>
      <c r="B102" s="75" t="s">
        <v>107</v>
      </c>
      <c r="C102" s="75"/>
      <c r="D102" s="79">
        <f>D100-D101</f>
        <v>1402999.7250000001</v>
      </c>
      <c r="E102" s="79">
        <f t="shared" ref="E102:M102" si="40">E100-E101</f>
        <v>1504872.2943750001</v>
      </c>
      <c r="F102" s="79">
        <f t="shared" si="40"/>
        <v>1612106.648878125</v>
      </c>
      <c r="G102" s="79">
        <f t="shared" si="40"/>
        <v>1724975.1332488582</v>
      </c>
      <c r="H102" s="79">
        <f t="shared" si="40"/>
        <v>1843763.7045055684</v>
      </c>
      <c r="I102" s="79">
        <f t="shared" si="40"/>
        <v>1892071.6077689151</v>
      </c>
      <c r="J102" s="79">
        <f t="shared" si="40"/>
        <v>2023616.0855702455</v>
      </c>
      <c r="K102" s="79">
        <f t="shared" si="40"/>
        <v>2162027.1223043944</v>
      </c>
      <c r="L102" s="79">
        <f t="shared" si="40"/>
        <v>2307652.2255684929</v>
      </c>
      <c r="M102" s="79">
        <f t="shared" si="40"/>
        <v>2460856.2462150147</v>
      </c>
    </row>
    <row r="103" spans="1:16">
      <c r="A103" s="75"/>
      <c r="B103" s="75" t="s">
        <v>108</v>
      </c>
      <c r="C103" s="75"/>
      <c r="D103" s="79">
        <f>D102*$D$83</f>
        <v>350749.93125000002</v>
      </c>
      <c r="E103" s="79">
        <f t="shared" ref="E103:M103" si="41">E102*$D$83</f>
        <v>376218.07359375001</v>
      </c>
      <c r="F103" s="79">
        <f t="shared" si="41"/>
        <v>403026.66221953125</v>
      </c>
      <c r="G103" s="79">
        <f t="shared" si="41"/>
        <v>431243.78331221454</v>
      </c>
      <c r="H103" s="79">
        <f t="shared" si="41"/>
        <v>460940.92612639209</v>
      </c>
      <c r="I103" s="79">
        <f t="shared" si="41"/>
        <v>473017.90194222878</v>
      </c>
      <c r="J103" s="79">
        <f t="shared" si="41"/>
        <v>505904.02139256138</v>
      </c>
      <c r="K103" s="79">
        <f t="shared" si="41"/>
        <v>540506.78057609859</v>
      </c>
      <c r="L103" s="79">
        <f t="shared" si="41"/>
        <v>576913.05639212322</v>
      </c>
      <c r="M103" s="79">
        <f t="shared" si="41"/>
        <v>615214.06155375368</v>
      </c>
    </row>
    <row r="104" spans="1:16">
      <c r="A104" s="75"/>
      <c r="B104" s="75" t="s">
        <v>109</v>
      </c>
      <c r="C104" s="75"/>
      <c r="D104" s="79">
        <f>D102-D103</f>
        <v>1052249.7937500002</v>
      </c>
      <c r="E104" s="79">
        <f t="shared" ref="E104:M104" si="42">E102-E103</f>
        <v>1128654.2207812499</v>
      </c>
      <c r="F104" s="79">
        <f t="shared" si="42"/>
        <v>1209079.9866585936</v>
      </c>
      <c r="G104" s="79">
        <f t="shared" si="42"/>
        <v>1293731.3499366436</v>
      </c>
      <c r="H104" s="79">
        <f t="shared" si="42"/>
        <v>1382822.7783791763</v>
      </c>
      <c r="I104" s="79">
        <f t="shared" si="42"/>
        <v>1419053.7058266862</v>
      </c>
      <c r="J104" s="79">
        <f t="shared" si="42"/>
        <v>1517712.064177684</v>
      </c>
      <c r="K104" s="79">
        <f t="shared" si="42"/>
        <v>1621520.3417282957</v>
      </c>
      <c r="L104" s="79">
        <f t="shared" si="42"/>
        <v>1730739.1691763697</v>
      </c>
      <c r="M104" s="79">
        <f t="shared" si="42"/>
        <v>1845642.184661261</v>
      </c>
    </row>
    <row r="105" spans="1:16">
      <c r="A105" s="75"/>
      <c r="B105" s="75" t="s">
        <v>110</v>
      </c>
      <c r="C105" s="75"/>
      <c r="D105" s="79">
        <f>D101</f>
        <v>383505</v>
      </c>
      <c r="E105" s="79">
        <f>E101</f>
        <v>383505</v>
      </c>
      <c r="F105" s="79">
        <f>F101</f>
        <v>383505</v>
      </c>
      <c r="G105" s="79">
        <f>G101</f>
        <v>383505</v>
      </c>
      <c r="H105" s="79">
        <f t="shared" ref="H105:M105" si="43">H101</f>
        <v>383505</v>
      </c>
      <c r="I105" s="79">
        <f t="shared" si="43"/>
        <v>460206</v>
      </c>
      <c r="J105" s="79">
        <f t="shared" si="43"/>
        <v>460206</v>
      </c>
      <c r="K105" s="79">
        <f t="shared" si="43"/>
        <v>460206</v>
      </c>
      <c r="L105" s="79">
        <f t="shared" si="43"/>
        <v>460206</v>
      </c>
      <c r="M105" s="79">
        <f t="shared" si="43"/>
        <v>460206</v>
      </c>
    </row>
    <row r="106" spans="1:16">
      <c r="A106" s="75"/>
      <c r="B106" s="75" t="s">
        <v>104</v>
      </c>
      <c r="C106" s="75"/>
      <c r="D106" s="86">
        <f>D104+D105</f>
        <v>1435754.7937500002</v>
      </c>
      <c r="E106" s="86">
        <f>E104+E105</f>
        <v>1512159.2207812499</v>
      </c>
      <c r="F106" s="86">
        <f>F104+F105</f>
        <v>1592584.9866585936</v>
      </c>
      <c r="G106" s="86">
        <f>G104+G105</f>
        <v>1677236.3499366436</v>
      </c>
      <c r="H106" s="86">
        <f t="shared" ref="H106:M106" si="44">H104+H105</f>
        <v>1766327.7783791763</v>
      </c>
      <c r="I106" s="86">
        <f t="shared" si="44"/>
        <v>1879259.7058266862</v>
      </c>
      <c r="J106" s="86">
        <f t="shared" si="44"/>
        <v>1977918.064177684</v>
      </c>
      <c r="K106" s="86">
        <f t="shared" si="44"/>
        <v>2081726.3417282957</v>
      </c>
      <c r="L106" s="86">
        <f t="shared" si="44"/>
        <v>2190945.1691763699</v>
      </c>
      <c r="M106" s="86">
        <f t="shared" si="44"/>
        <v>2305848.1846612608</v>
      </c>
    </row>
    <row r="107" spans="1:16">
      <c r="A107" s="74" t="s">
        <v>111</v>
      </c>
      <c r="B107" s="75"/>
      <c r="C107" s="75"/>
      <c r="D107" s="75"/>
      <c r="E107" s="75"/>
      <c r="F107" s="75"/>
      <c r="G107" s="75"/>
      <c r="H107" s="75"/>
      <c r="I107" s="75"/>
      <c r="J107" s="75"/>
      <c r="K107" s="69"/>
      <c r="L107" s="69"/>
    </row>
    <row r="108" spans="1:16">
      <c r="A108" s="75"/>
      <c r="B108" s="75" t="s">
        <v>112</v>
      </c>
      <c r="C108" s="79">
        <f>-C51</f>
        <v>-11505150</v>
      </c>
      <c r="D108" s="75"/>
      <c r="E108" s="75"/>
      <c r="F108" s="75"/>
      <c r="G108" s="75"/>
      <c r="H108" s="75"/>
      <c r="I108" s="75"/>
      <c r="J108" s="75"/>
      <c r="K108" s="69"/>
      <c r="L108" s="69"/>
    </row>
    <row r="109" spans="1:16">
      <c r="A109" s="75"/>
      <c r="B109" s="75" t="s">
        <v>135</v>
      </c>
      <c r="C109" s="79"/>
      <c r="D109" s="75"/>
      <c r="E109" s="75"/>
      <c r="F109" s="96">
        <f>-G52</f>
        <v>0</v>
      </c>
      <c r="G109" s="75"/>
      <c r="H109" s="75"/>
      <c r="I109" s="75"/>
      <c r="J109" s="75"/>
      <c r="K109" s="69"/>
      <c r="L109" s="69"/>
    </row>
    <row r="110" spans="1:16">
      <c r="A110" s="75"/>
      <c r="B110" s="75" t="s">
        <v>113</v>
      </c>
      <c r="C110" s="75"/>
      <c r="D110" s="75"/>
      <c r="E110" s="75"/>
      <c r="F110" s="75"/>
      <c r="H110" s="75"/>
      <c r="K110" s="69"/>
      <c r="M110" s="97">
        <f>P110*P111</f>
        <v>12194404.36125</v>
      </c>
      <c r="O110" s="75" t="s">
        <v>114</v>
      </c>
      <c r="P110" s="79">
        <f>(L51+L52)-L53</f>
        <v>9587625</v>
      </c>
    </row>
    <row r="111" spans="1:16">
      <c r="A111" s="75"/>
      <c r="B111" s="75" t="s">
        <v>115</v>
      </c>
      <c r="C111" s="75"/>
      <c r="D111" s="75"/>
      <c r="E111" s="75"/>
      <c r="F111" s="75"/>
      <c r="H111" s="75"/>
      <c r="K111" s="69"/>
      <c r="M111" s="72">
        <f>-P112*D83</f>
        <v>-651694.84031250002</v>
      </c>
      <c r="O111" s="75" t="s">
        <v>116</v>
      </c>
      <c r="P111" s="87">
        <v>1.27189</v>
      </c>
    </row>
    <row r="112" spans="1:16">
      <c r="A112" s="74" t="s">
        <v>117</v>
      </c>
      <c r="B112" s="75"/>
      <c r="C112" s="75"/>
      <c r="D112" s="75"/>
      <c r="E112" s="75"/>
      <c r="F112" s="75"/>
      <c r="G112" s="75"/>
      <c r="H112" s="75"/>
      <c r="K112" s="69"/>
      <c r="M112" s="69"/>
      <c r="O112" s="75" t="s">
        <v>118</v>
      </c>
      <c r="P112" s="79">
        <f>M110-P110</f>
        <v>2606779.3612500001</v>
      </c>
    </row>
    <row r="113" spans="1:13">
      <c r="A113" s="88" t="s">
        <v>119</v>
      </c>
      <c r="B113" s="89" t="s">
        <v>120</v>
      </c>
      <c r="C113" s="75"/>
      <c r="D113" s="79">
        <f>-(C47-B47)</f>
        <v>0</v>
      </c>
      <c r="E113" s="79">
        <f t="shared" ref="E113:M114" si="45">-(D47-C47)</f>
        <v>0</v>
      </c>
      <c r="F113" s="79">
        <f t="shared" si="45"/>
        <v>0</v>
      </c>
      <c r="G113" s="79">
        <f t="shared" si="45"/>
        <v>0</v>
      </c>
      <c r="H113" s="79">
        <f t="shared" si="45"/>
        <v>0</v>
      </c>
      <c r="I113" s="79">
        <f t="shared" si="45"/>
        <v>0</v>
      </c>
      <c r="J113" s="79">
        <f t="shared" si="45"/>
        <v>0</v>
      </c>
      <c r="K113" s="79">
        <f t="shared" si="45"/>
        <v>0</v>
      </c>
      <c r="L113" s="79">
        <f t="shared" si="45"/>
        <v>0</v>
      </c>
      <c r="M113" s="79">
        <f t="shared" si="45"/>
        <v>0</v>
      </c>
    </row>
    <row r="114" spans="1:13">
      <c r="A114" s="88" t="s">
        <v>119</v>
      </c>
      <c r="B114" s="89" t="s">
        <v>3</v>
      </c>
      <c r="C114" s="75"/>
      <c r="D114" s="79">
        <f>-(C48-B48)</f>
        <v>-994612.5</v>
      </c>
      <c r="E114" s="79">
        <f t="shared" si="45"/>
        <v>-35378.437499999884</v>
      </c>
      <c r="F114" s="79">
        <f t="shared" si="45"/>
        <v>-36645.032812500023</v>
      </c>
      <c r="G114" s="79">
        <f t="shared" si="45"/>
        <v>-37957.37646093755</v>
      </c>
      <c r="H114" s="79">
        <f t="shared" si="45"/>
        <v>-39317.14051206992</v>
      </c>
      <c r="I114" s="79">
        <f t="shared" si="45"/>
        <v>-40726.059098742902</v>
      </c>
      <c r="J114" s="79">
        <f t="shared" si="45"/>
        <v>-42185.930769386468</v>
      </c>
      <c r="K114" s="79">
        <f t="shared" si="45"/>
        <v>-43698.620928611141</v>
      </c>
      <c r="L114" s="79">
        <f t="shared" si="45"/>
        <v>-45266.064372524852</v>
      </c>
      <c r="M114" s="79">
        <f t="shared" si="45"/>
        <v>-46890.267922545318</v>
      </c>
    </row>
    <row r="115" spans="1:13">
      <c r="A115" s="88" t="s">
        <v>121</v>
      </c>
      <c r="B115" s="89" t="s">
        <v>122</v>
      </c>
      <c r="C115" s="75"/>
      <c r="D115" s="79">
        <f>(C57-B57)</f>
        <v>32876.71232876712</v>
      </c>
      <c r="E115" s="79">
        <f t="shared" ref="E115:M115" si="46">(D57-C57)</f>
        <v>986.30136986301659</v>
      </c>
      <c r="F115" s="79">
        <f t="shared" si="46"/>
        <v>1015.8904109589057</v>
      </c>
      <c r="G115" s="79">
        <f t="shared" si="46"/>
        <v>1046.3671232876732</v>
      </c>
      <c r="H115" s="79">
        <f t="shared" si="46"/>
        <v>1077.7581369863037</v>
      </c>
      <c r="I115" s="79">
        <f t="shared" si="46"/>
        <v>1110.0908810958863</v>
      </c>
      <c r="J115" s="79">
        <f t="shared" si="46"/>
        <v>1143.3936075287711</v>
      </c>
      <c r="K115" s="79">
        <f t="shared" si="46"/>
        <v>1177.6954157546279</v>
      </c>
      <c r="L115" s="79">
        <f t="shared" si="46"/>
        <v>1213.0262782272694</v>
      </c>
      <c r="M115" s="79">
        <f t="shared" si="46"/>
        <v>1249.4170665740894</v>
      </c>
    </row>
    <row r="116" spans="1:13" ht="19.5">
      <c r="A116" s="88" t="s">
        <v>121</v>
      </c>
      <c r="B116" s="90" t="s">
        <v>123</v>
      </c>
      <c r="C116" s="75"/>
      <c r="D116" s="79">
        <f>D103-C103</f>
        <v>350749.93125000002</v>
      </c>
      <c r="E116" s="79">
        <f t="shared" ref="E116:M116" si="47">E103-D103</f>
        <v>25468.142343749991</v>
      </c>
      <c r="F116" s="79">
        <f t="shared" si="47"/>
        <v>26808.588625781238</v>
      </c>
      <c r="G116" s="79">
        <f t="shared" si="47"/>
        <v>28217.121092683286</v>
      </c>
      <c r="H116" s="79">
        <f t="shared" si="47"/>
        <v>29697.142814177554</v>
      </c>
      <c r="I116" s="79">
        <f t="shared" si="47"/>
        <v>12076.975815836689</v>
      </c>
      <c r="J116" s="79">
        <f t="shared" si="47"/>
        <v>32886.119450332597</v>
      </c>
      <c r="K116" s="79">
        <f t="shared" si="47"/>
        <v>34602.759183537215</v>
      </c>
      <c r="L116" s="79">
        <f t="shared" si="47"/>
        <v>36406.27581602463</v>
      </c>
      <c r="M116" s="79">
        <f t="shared" si="47"/>
        <v>38301.005161630455</v>
      </c>
    </row>
    <row r="117" spans="1:13">
      <c r="A117" s="74" t="s">
        <v>124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69"/>
      <c r="L117" s="69"/>
    </row>
    <row r="118" spans="1:13">
      <c r="A118" s="88" t="s">
        <v>121</v>
      </c>
      <c r="B118" s="89" t="s">
        <v>120</v>
      </c>
      <c r="C118" s="75"/>
      <c r="D118" s="75"/>
      <c r="E118" s="75"/>
      <c r="F118" s="75"/>
      <c r="G118" s="79"/>
      <c r="H118" s="75"/>
      <c r="I118" s="75"/>
      <c r="J118" s="75"/>
      <c r="K118" s="69"/>
      <c r="L118" s="69"/>
    </row>
    <row r="119" spans="1:13">
      <c r="A119" s="88" t="s">
        <v>121</v>
      </c>
      <c r="B119" s="89" t="s">
        <v>3</v>
      </c>
      <c r="C119" s="75"/>
      <c r="D119" s="75"/>
      <c r="E119" s="75"/>
      <c r="F119" s="75"/>
      <c r="H119" s="75"/>
      <c r="I119" s="75"/>
      <c r="J119" s="75"/>
      <c r="K119" s="69"/>
      <c r="M119" s="79">
        <f>L48</f>
        <v>1362677.4303773181</v>
      </c>
    </row>
    <row r="120" spans="1:13">
      <c r="A120" s="75"/>
      <c r="B120" s="89" t="s">
        <v>122</v>
      </c>
      <c r="C120" s="75"/>
      <c r="D120" s="75"/>
      <c r="E120" s="75"/>
      <c r="F120" s="75"/>
      <c r="H120" s="75"/>
      <c r="I120" s="75"/>
      <c r="J120" s="75"/>
      <c r="K120" s="69"/>
      <c r="M120" s="79">
        <f>-L57</f>
        <v>-42896.652619043663</v>
      </c>
    </row>
    <row r="121" spans="1:13" ht="19.5">
      <c r="A121" s="74"/>
      <c r="B121" s="90" t="s">
        <v>123</v>
      </c>
      <c r="C121" s="75"/>
      <c r="D121" s="75"/>
      <c r="E121" s="75"/>
      <c r="F121" s="75"/>
      <c r="H121" s="75"/>
      <c r="I121" s="75"/>
      <c r="J121" s="75"/>
      <c r="K121" s="69"/>
      <c r="M121" s="79">
        <f>-G103</f>
        <v>-431243.78331221454</v>
      </c>
    </row>
    <row r="122" spans="1:13">
      <c r="A122" s="74"/>
      <c r="B122" s="89" t="s">
        <v>140</v>
      </c>
      <c r="C122" s="75">
        <v>430000</v>
      </c>
      <c r="D122" s="75"/>
      <c r="E122" s="75"/>
      <c r="F122" s="75"/>
      <c r="H122" s="75"/>
      <c r="I122" s="75"/>
      <c r="J122" s="75"/>
      <c r="K122" s="69"/>
      <c r="M122" s="79"/>
    </row>
    <row r="123" spans="1:13">
      <c r="A123" s="87">
        <v>0.04</v>
      </c>
      <c r="B123" s="75"/>
      <c r="C123" s="75"/>
      <c r="D123" s="75"/>
      <c r="E123" s="75"/>
      <c r="F123" s="75"/>
      <c r="G123" s="97"/>
      <c r="H123" s="75"/>
      <c r="I123" s="75"/>
      <c r="J123" s="75"/>
      <c r="K123" s="69"/>
      <c r="L123" s="69"/>
    </row>
    <row r="124" spans="1:13">
      <c r="A124" s="74" t="s">
        <v>125</v>
      </c>
      <c r="B124" s="75"/>
      <c r="C124" s="72">
        <f>SUM(C106:C122)</f>
        <v>-11075150</v>
      </c>
      <c r="D124" s="72">
        <f t="shared" ref="D124:G124" si="48">SUM(D106:D122)</f>
        <v>824768.93732876726</v>
      </c>
      <c r="E124" s="72">
        <f t="shared" si="48"/>
        <v>1503235.226994863</v>
      </c>
      <c r="F124" s="72">
        <f t="shared" si="48"/>
        <v>1583764.4328828338</v>
      </c>
      <c r="G124" s="72">
        <f t="shared" si="48"/>
        <v>1668542.4616916771</v>
      </c>
      <c r="H124" s="72">
        <f>(SUM(H106:H122))*(1+$A$123)</f>
        <v>1828096.9603710012</v>
      </c>
      <c r="I124" s="72">
        <f t="shared" ref="I124:M124" si="49">(SUM(I106:I122))*(1+$A$123)</f>
        <v>1925789.5419618709</v>
      </c>
      <c r="J124" s="72">
        <f t="shared" si="49"/>
        <v>2048552.1123248055</v>
      </c>
      <c r="K124" s="72">
        <f t="shared" si="49"/>
        <v>2156760.5024149353</v>
      </c>
      <c r="L124" s="72">
        <f t="shared" si="49"/>
        <v>2270630.3431740212</v>
      </c>
      <c r="M124" s="72">
        <f t="shared" si="49"/>
        <v>15318945.048524499</v>
      </c>
    </row>
    <row r="125" spans="1:13" ht="18.75" thickBot="1">
      <c r="A125" s="74" t="s">
        <v>141</v>
      </c>
      <c r="B125" s="75"/>
      <c r="C125" s="72"/>
      <c r="D125" s="72"/>
      <c r="E125" s="72"/>
      <c r="F125" s="72"/>
      <c r="G125" s="72">
        <v>-2000000</v>
      </c>
      <c r="H125" s="72"/>
      <c r="I125" s="72"/>
      <c r="J125" s="72"/>
      <c r="K125" s="72"/>
      <c r="L125" s="72"/>
      <c r="M125" s="72"/>
    </row>
    <row r="126" spans="1:13" ht="18.75" thickBot="1">
      <c r="A126" s="74" t="s">
        <v>126</v>
      </c>
      <c r="B126" s="75"/>
      <c r="C126" s="91">
        <f>IRR(C124:M124)</f>
        <v>0.15672830477477895</v>
      </c>
      <c r="D126" s="75"/>
      <c r="E126" s="75"/>
      <c r="F126" s="75"/>
      <c r="G126" s="75"/>
      <c r="H126" s="75"/>
      <c r="I126" s="75"/>
      <c r="J126" s="75"/>
      <c r="K126" s="69"/>
      <c r="L126" s="69"/>
    </row>
    <row r="127" spans="1:13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69"/>
      <c r="L127" s="69"/>
    </row>
    <row r="128" spans="1:13">
      <c r="A128" s="75" t="s">
        <v>127</v>
      </c>
      <c r="B128" s="75"/>
      <c r="C128" s="72">
        <f t="shared" ref="C128:M128" si="50">-PV($C$130,C98,,C124)</f>
        <v>-11075150</v>
      </c>
      <c r="D128" s="72">
        <f t="shared" si="50"/>
        <v>753967.0089034253</v>
      </c>
      <c r="E128" s="72">
        <f t="shared" si="50"/>
        <v>1256223.8614355323</v>
      </c>
      <c r="F128" s="72">
        <f t="shared" si="50"/>
        <v>1209903.4815798348</v>
      </c>
      <c r="G128" s="72">
        <f t="shared" si="50"/>
        <v>1165245.544319523</v>
      </c>
      <c r="H128" s="72">
        <f t="shared" si="50"/>
        <v>1167076.8679177619</v>
      </c>
      <c r="I128" s="72">
        <f t="shared" si="50"/>
        <v>1123903.7118156003</v>
      </c>
      <c r="J128" s="72">
        <f t="shared" si="50"/>
        <v>1092917.4113682255</v>
      </c>
      <c r="K128" s="72">
        <f t="shared" si="50"/>
        <v>1051870.5523386954</v>
      </c>
      <c r="L128" s="72">
        <f t="shared" si="50"/>
        <v>1012341.077739274</v>
      </c>
      <c r="M128" s="72">
        <f t="shared" si="50"/>
        <v>6243517.4175375244</v>
      </c>
    </row>
    <row r="129" spans="1:12" ht="18.75" thickBot="1">
      <c r="A129" s="74" t="s">
        <v>128</v>
      </c>
      <c r="B129" s="74"/>
      <c r="C129" s="86">
        <f>SUM(C128:M128)</f>
        <v>5001816.9349553976</v>
      </c>
      <c r="D129" s="75"/>
      <c r="E129" s="75"/>
      <c r="F129" s="75"/>
      <c r="G129" s="75"/>
      <c r="H129" s="75"/>
      <c r="I129" s="75"/>
      <c r="J129" s="75"/>
      <c r="K129" s="69"/>
      <c r="L129" s="69"/>
    </row>
    <row r="130" spans="1:12" ht="18.75" thickBot="1">
      <c r="A130" s="74" t="s">
        <v>82</v>
      </c>
      <c r="B130" s="74"/>
      <c r="C130" s="91">
        <f>D95</f>
        <v>9.3905870667095576E-2</v>
      </c>
      <c r="D130" s="75"/>
      <c r="E130" s="75"/>
      <c r="F130" s="75"/>
      <c r="G130" s="75"/>
      <c r="H130" s="75"/>
      <c r="I130" s="75"/>
      <c r="J130" s="75"/>
      <c r="K130" s="69"/>
      <c r="L130" s="69"/>
    </row>
    <row r="131" spans="1:12">
      <c r="A131" s="75"/>
      <c r="B131" s="75"/>
      <c r="C131" s="76"/>
      <c r="D131" s="75"/>
      <c r="E131" s="75"/>
      <c r="F131" s="75"/>
      <c r="G131" s="75"/>
      <c r="H131" s="75"/>
      <c r="I131" s="75"/>
      <c r="J131" s="75"/>
      <c r="K131" s="69"/>
      <c r="L131" s="69"/>
    </row>
    <row r="132" spans="1:12">
      <c r="A132" s="73"/>
      <c r="B132" s="73"/>
      <c r="C132" s="76">
        <f>C126-C130</f>
        <v>6.2822434107683373E-2</v>
      </c>
      <c r="D132" s="73"/>
      <c r="E132" s="73"/>
      <c r="F132" s="73"/>
      <c r="G132" s="73"/>
      <c r="H132" s="73"/>
      <c r="I132" s="73"/>
      <c r="J132" s="73"/>
    </row>
    <row r="133" spans="1:12">
      <c r="A133" s="73"/>
      <c r="B133" s="73"/>
      <c r="C133" s="73"/>
      <c r="D133" s="73"/>
      <c r="E133" s="73"/>
      <c r="F133" s="73"/>
      <c r="G133" s="73"/>
      <c r="H133" s="73"/>
      <c r="I133" s="73"/>
      <c r="J133" s="73"/>
    </row>
    <row r="134" spans="1:12">
      <c r="A134" s="73"/>
      <c r="B134" s="73"/>
      <c r="C134" s="73"/>
      <c r="D134" s="73"/>
      <c r="E134" s="73"/>
      <c r="F134" s="73"/>
      <c r="G134" s="73"/>
      <c r="H134" s="73"/>
      <c r="I134" s="73"/>
      <c r="J134" s="73"/>
    </row>
    <row r="135" spans="1:12">
      <c r="A135" s="73"/>
      <c r="B135" s="73"/>
      <c r="C135" s="73"/>
      <c r="D135" s="73"/>
      <c r="E135" s="73"/>
      <c r="F135" s="73"/>
      <c r="G135" s="73"/>
      <c r="H135" s="73"/>
      <c r="I135" s="73"/>
      <c r="J135" s="73"/>
    </row>
    <row r="136" spans="1:12">
      <c r="A136" s="73"/>
      <c r="B136" s="73"/>
      <c r="C136" s="73"/>
      <c r="D136" s="73"/>
      <c r="E136" s="73"/>
      <c r="F136" s="73"/>
      <c r="G136" s="73"/>
      <c r="H136" s="73"/>
      <c r="I136" s="73"/>
      <c r="J136" s="73"/>
    </row>
    <row r="137" spans="1:12">
      <c r="A137" s="73"/>
      <c r="B137" s="73"/>
      <c r="C137" s="73"/>
      <c r="D137" s="73"/>
      <c r="E137" s="73"/>
      <c r="F137" s="73"/>
      <c r="G137" s="73"/>
      <c r="H137" s="73"/>
      <c r="I137" s="73"/>
      <c r="J137" s="73"/>
    </row>
    <row r="138" spans="1:12">
      <c r="A138" s="73"/>
      <c r="B138" s="73"/>
      <c r="C138" s="73"/>
      <c r="D138" s="73"/>
      <c r="E138" s="73"/>
      <c r="F138" s="73"/>
      <c r="G138" s="73"/>
      <c r="H138" s="73"/>
      <c r="I138" s="73"/>
      <c r="J138" s="73"/>
    </row>
  </sheetData>
  <mergeCells count="1">
    <mergeCell ref="C1:L1"/>
  </mergeCells>
  <phoneticPr fontId="2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Bad 40%</vt:lpstr>
      <vt:lpstr>Final</vt:lpstr>
      <vt:lpstr>Amortization Table</vt:lpstr>
      <vt:lpstr>unnamed</vt:lpstr>
      <vt:lpstr>Good 60%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2019-07-25T21:47:12Z</dcterms:created>
  <dcterms:modified xsi:type="dcterms:W3CDTF">2019-08-14T21:53:22Z</dcterms:modified>
</cp:coreProperties>
</file>