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autoCompressPictures="0" defaultThemeVersion="124226"/>
  <bookViews>
    <workbookView xWindow="0" yWindow="0" windowWidth="20730" windowHeight="11760" activeTab="5"/>
  </bookViews>
  <sheets>
    <sheet name="Movie Theater" sheetId="1" r:id="rId1"/>
    <sheet name="Income Statement" sheetId="3" r:id="rId2"/>
    <sheet name="Balance Sheet" sheetId="5" r:id="rId3"/>
    <sheet name="WACC" sheetId="6" r:id="rId4"/>
    <sheet name="Cash Flow" sheetId="7" r:id="rId5"/>
    <sheet name="Probability Options" sheetId="8" r:id="rId6"/>
    <sheet name="Mortgage" sheetId="2" r:id="rId7"/>
  </sheets>
  <definedNames>
    <definedName name="solver_adj" localSheetId="0" hidden="1">'Movie Theater'!#REF!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'Movie Theater'!#REF!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1</definedName>
    <definedName name="solver_nwt" localSheetId="0" hidden="1">1</definedName>
    <definedName name="solver_opt" localSheetId="0" hidden="1">'Movie Theater'!#REF!</definedName>
    <definedName name="solver_pre" localSheetId="0" hidden="1">0.000001</definedName>
    <definedName name="solver_rbv" localSheetId="0" hidden="1">1</definedName>
    <definedName name="solver_rel1" localSheetId="0" hidden="1">2</definedName>
    <definedName name="solver_rhs1" localSheetId="0" hidden="1">'Movie Theater'!#REF!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7.0012</definedName>
    <definedName name="solver_ver" localSheetId="0" hidden="1">3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4" i="8" l="1"/>
  <c r="K4" i="8"/>
  <c r="J4" i="8"/>
  <c r="I4" i="8"/>
  <c r="H4" i="8"/>
  <c r="B31" i="8"/>
  <c r="B33" i="8"/>
  <c r="C31" i="8"/>
  <c r="C33" i="8"/>
  <c r="D31" i="8"/>
  <c r="D33" i="8"/>
  <c r="E31" i="8"/>
  <c r="E33" i="8"/>
  <c r="F31" i="8"/>
  <c r="F33" i="8"/>
  <c r="G31" i="8"/>
  <c r="G33" i="8"/>
  <c r="H31" i="8"/>
  <c r="H33" i="8"/>
  <c r="I31" i="8"/>
  <c r="I33" i="8"/>
  <c r="J31" i="8"/>
  <c r="J33" i="8"/>
  <c r="K31" i="8"/>
  <c r="K33" i="8"/>
  <c r="L31" i="8"/>
  <c r="L33" i="8"/>
  <c r="B35" i="8"/>
  <c r="B32" i="8"/>
  <c r="B20" i="8"/>
  <c r="B22" i="8"/>
  <c r="C20" i="8"/>
  <c r="C22" i="8"/>
  <c r="D20" i="8"/>
  <c r="D22" i="8"/>
  <c r="E20" i="8"/>
  <c r="E22" i="8"/>
  <c r="F20" i="8"/>
  <c r="F22" i="8"/>
  <c r="G20" i="8"/>
  <c r="G22" i="8"/>
  <c r="H20" i="8"/>
  <c r="H22" i="8"/>
  <c r="I20" i="8"/>
  <c r="I22" i="8"/>
  <c r="J20" i="8"/>
  <c r="J22" i="8"/>
  <c r="K20" i="8"/>
  <c r="K22" i="8"/>
  <c r="L20" i="8"/>
  <c r="L22" i="8"/>
  <c r="B24" i="8"/>
  <c r="C9" i="8"/>
  <c r="C11" i="8"/>
  <c r="D9" i="8"/>
  <c r="D11" i="8"/>
  <c r="E9" i="8"/>
  <c r="E11" i="8"/>
  <c r="F9" i="8"/>
  <c r="F11" i="8"/>
  <c r="G9" i="8"/>
  <c r="G11" i="8"/>
  <c r="H9" i="8"/>
  <c r="H11" i="8"/>
  <c r="I9" i="8"/>
  <c r="I11" i="8"/>
  <c r="J9" i="8"/>
  <c r="J11" i="8"/>
  <c r="K9" i="8"/>
  <c r="K11" i="8"/>
  <c r="L9" i="8"/>
  <c r="L11" i="8"/>
  <c r="B9" i="8"/>
  <c r="B11" i="8"/>
  <c r="B21" i="8"/>
  <c r="B13" i="8"/>
  <c r="B17" i="3"/>
  <c r="E17" i="3"/>
  <c r="C8" i="1"/>
  <c r="C9" i="1"/>
  <c r="C10" i="1"/>
  <c r="C11" i="1"/>
  <c r="C5" i="3"/>
  <c r="D5" i="3"/>
  <c r="E5" i="3"/>
  <c r="C12" i="1"/>
  <c r="C4" i="3"/>
  <c r="D4" i="3"/>
  <c r="E4" i="3"/>
  <c r="E8" i="1"/>
  <c r="E10" i="1"/>
  <c r="D3" i="1"/>
  <c r="E3" i="1"/>
  <c r="E9" i="1"/>
  <c r="D4" i="1"/>
  <c r="E4" i="1"/>
  <c r="E3" i="3"/>
  <c r="E6" i="3"/>
  <c r="E8" i="3"/>
  <c r="E10" i="3"/>
  <c r="E11" i="3"/>
  <c r="E13" i="3"/>
  <c r="F9" i="2"/>
  <c r="B10" i="2"/>
  <c r="C10" i="2"/>
  <c r="D10" i="2"/>
  <c r="E10" i="2"/>
  <c r="F10" i="2"/>
  <c r="B11" i="2"/>
  <c r="C11" i="2"/>
  <c r="D11" i="2"/>
  <c r="E11" i="2"/>
  <c r="F11" i="2"/>
  <c r="B12" i="2"/>
  <c r="C12" i="2"/>
  <c r="D12" i="2"/>
  <c r="E12" i="2"/>
  <c r="F12" i="2"/>
  <c r="B13" i="2"/>
  <c r="C13" i="2"/>
  <c r="D13" i="2"/>
  <c r="E13" i="2"/>
  <c r="F13" i="2"/>
  <c r="B14" i="2"/>
  <c r="C14" i="2"/>
  <c r="D14" i="2"/>
  <c r="E14" i="2"/>
  <c r="F14" i="2"/>
  <c r="B15" i="2"/>
  <c r="C15" i="2"/>
  <c r="D15" i="2"/>
  <c r="E15" i="2"/>
  <c r="F15" i="2"/>
  <c r="B16" i="2"/>
  <c r="C16" i="2"/>
  <c r="D16" i="2"/>
  <c r="E16" i="2"/>
  <c r="F16" i="2"/>
  <c r="B17" i="2"/>
  <c r="C17" i="2"/>
  <c r="D17" i="2"/>
  <c r="E17" i="2"/>
  <c r="F17" i="2"/>
  <c r="B18" i="2"/>
  <c r="C18" i="2"/>
  <c r="D18" i="2"/>
  <c r="E18" i="2"/>
  <c r="F18" i="2"/>
  <c r="B19" i="2"/>
  <c r="C19" i="2"/>
  <c r="D19" i="2"/>
  <c r="E19" i="2"/>
  <c r="F19" i="2"/>
  <c r="B20" i="2"/>
  <c r="C20" i="2"/>
  <c r="D20" i="2"/>
  <c r="E20" i="2"/>
  <c r="F20" i="2"/>
  <c r="B21" i="2"/>
  <c r="C21" i="2"/>
  <c r="D21" i="2"/>
  <c r="E21" i="2"/>
  <c r="F21" i="2"/>
  <c r="B22" i="2"/>
  <c r="C22" i="2"/>
  <c r="D22" i="2"/>
  <c r="E22" i="2"/>
  <c r="F22" i="2"/>
  <c r="B23" i="2"/>
  <c r="C23" i="2"/>
  <c r="D23" i="2"/>
  <c r="E23" i="2"/>
  <c r="F23" i="2"/>
  <c r="B24" i="2"/>
  <c r="C24" i="2"/>
  <c r="D24" i="2"/>
  <c r="E24" i="2"/>
  <c r="F24" i="2"/>
  <c r="B25" i="2"/>
  <c r="C25" i="2"/>
  <c r="D25" i="2"/>
  <c r="E25" i="2"/>
  <c r="F25" i="2"/>
  <c r="B26" i="2"/>
  <c r="C26" i="2"/>
  <c r="D26" i="2"/>
  <c r="E26" i="2"/>
  <c r="F26" i="2"/>
  <c r="B27" i="2"/>
  <c r="C27" i="2"/>
  <c r="D27" i="2"/>
  <c r="E27" i="2"/>
  <c r="F27" i="2"/>
  <c r="B28" i="2"/>
  <c r="C28" i="2"/>
  <c r="D28" i="2"/>
  <c r="E28" i="2"/>
  <c r="F28" i="2"/>
  <c r="B29" i="2"/>
  <c r="C29" i="2"/>
  <c r="D29" i="2"/>
  <c r="E29" i="2"/>
  <c r="F29" i="2"/>
  <c r="B30" i="2"/>
  <c r="C30" i="2"/>
  <c r="D30" i="2"/>
  <c r="E30" i="2"/>
  <c r="F30" i="2"/>
  <c r="B31" i="2"/>
  <c r="C31" i="2"/>
  <c r="D31" i="2"/>
  <c r="E31" i="2"/>
  <c r="F31" i="2"/>
  <c r="B32" i="2"/>
  <c r="C32" i="2"/>
  <c r="D32" i="2"/>
  <c r="E32" i="2"/>
  <c r="F32" i="2"/>
  <c r="B33" i="2"/>
  <c r="C33" i="2"/>
  <c r="D33" i="2"/>
  <c r="E33" i="2"/>
  <c r="F33" i="2"/>
  <c r="C34" i="2"/>
  <c r="B34" i="2"/>
  <c r="D34" i="2"/>
  <c r="E34" i="2"/>
  <c r="F34" i="2"/>
  <c r="C35" i="2"/>
  <c r="B35" i="2"/>
  <c r="D35" i="2"/>
  <c r="E35" i="2"/>
  <c r="F35" i="2"/>
  <c r="C36" i="2"/>
  <c r="B36" i="2"/>
  <c r="D36" i="2"/>
  <c r="E36" i="2"/>
  <c r="F36" i="2"/>
  <c r="C37" i="2"/>
  <c r="B37" i="2"/>
  <c r="D37" i="2"/>
  <c r="E37" i="2"/>
  <c r="F37" i="2"/>
  <c r="C38" i="2"/>
  <c r="B38" i="2"/>
  <c r="D38" i="2"/>
  <c r="E38" i="2"/>
  <c r="F38" i="2"/>
  <c r="C39" i="2"/>
  <c r="B39" i="2"/>
  <c r="D39" i="2"/>
  <c r="E39" i="2"/>
  <c r="F39" i="2"/>
  <c r="C40" i="2"/>
  <c r="B40" i="2"/>
  <c r="D40" i="2"/>
  <c r="E40" i="2"/>
  <c r="F40" i="2"/>
  <c r="C41" i="2"/>
  <c r="B41" i="2"/>
  <c r="D41" i="2"/>
  <c r="E41" i="2"/>
  <c r="F41" i="2"/>
  <c r="C42" i="2"/>
  <c r="B42" i="2"/>
  <c r="D42" i="2"/>
  <c r="E42" i="2"/>
  <c r="F42" i="2"/>
  <c r="C43" i="2"/>
  <c r="B43" i="2"/>
  <c r="D43" i="2"/>
  <c r="E43" i="2"/>
  <c r="F43" i="2"/>
  <c r="C44" i="2"/>
  <c r="B44" i="2"/>
  <c r="D44" i="2"/>
  <c r="E44" i="2"/>
  <c r="F44" i="2"/>
  <c r="C45" i="2"/>
  <c r="H11" i="2"/>
  <c r="E18" i="3"/>
  <c r="E21" i="3"/>
  <c r="E22" i="3"/>
  <c r="E17" i="5"/>
  <c r="E23" i="3"/>
  <c r="D17" i="3"/>
  <c r="D8" i="1"/>
  <c r="D10" i="1"/>
  <c r="D9" i="1"/>
  <c r="D3" i="3"/>
  <c r="D6" i="3"/>
  <c r="D8" i="3"/>
  <c r="D10" i="3"/>
  <c r="D11" i="3"/>
  <c r="D13" i="3"/>
  <c r="H10" i="2"/>
  <c r="D18" i="3"/>
  <c r="D21" i="3"/>
  <c r="D22" i="3"/>
  <c r="D23" i="3"/>
  <c r="C17" i="3"/>
  <c r="H9" i="2"/>
  <c r="C18" i="3"/>
  <c r="C3" i="3"/>
  <c r="C6" i="3"/>
  <c r="C8" i="3"/>
  <c r="C10" i="3"/>
  <c r="C11" i="3"/>
  <c r="C13" i="3"/>
  <c r="C21" i="3"/>
  <c r="C22" i="3"/>
  <c r="C23" i="3"/>
  <c r="C22" i="5"/>
  <c r="D22" i="5"/>
  <c r="E22" i="5"/>
  <c r="I9" i="2"/>
  <c r="J9" i="2"/>
  <c r="I10" i="2"/>
  <c r="J10" i="2"/>
  <c r="B45" i="2"/>
  <c r="D45" i="2"/>
  <c r="I11" i="2"/>
  <c r="J11" i="2"/>
  <c r="E18" i="5"/>
  <c r="E21" i="5"/>
  <c r="E24" i="5"/>
  <c r="E7" i="5"/>
  <c r="E8" i="5"/>
  <c r="C11" i="5"/>
  <c r="D11" i="5"/>
  <c r="E11" i="5"/>
  <c r="D10" i="5"/>
  <c r="E10" i="5"/>
  <c r="E13" i="5"/>
  <c r="E26" i="5"/>
  <c r="F4" i="3"/>
  <c r="F8" i="3"/>
  <c r="F7" i="5"/>
  <c r="F8" i="5"/>
  <c r="F17" i="3"/>
  <c r="F11" i="5"/>
  <c r="F10" i="5"/>
  <c r="F13" i="5"/>
  <c r="F5" i="3"/>
  <c r="F8" i="1"/>
  <c r="F10" i="1"/>
  <c r="F3" i="1"/>
  <c r="F9" i="1"/>
  <c r="F4" i="1"/>
  <c r="F3" i="3"/>
  <c r="F6" i="3"/>
  <c r="F10" i="3"/>
  <c r="F11" i="3"/>
  <c r="F13" i="3"/>
  <c r="E45" i="2"/>
  <c r="F45" i="2"/>
  <c r="C46" i="2"/>
  <c r="B46" i="2"/>
  <c r="D46" i="2"/>
  <c r="E46" i="2"/>
  <c r="F46" i="2"/>
  <c r="C47" i="2"/>
  <c r="B47" i="2"/>
  <c r="D47" i="2"/>
  <c r="E47" i="2"/>
  <c r="F47" i="2"/>
  <c r="C48" i="2"/>
  <c r="B48" i="2"/>
  <c r="D48" i="2"/>
  <c r="E48" i="2"/>
  <c r="F48" i="2"/>
  <c r="C49" i="2"/>
  <c r="B49" i="2"/>
  <c r="D49" i="2"/>
  <c r="E49" i="2"/>
  <c r="F49" i="2"/>
  <c r="C50" i="2"/>
  <c r="B50" i="2"/>
  <c r="D50" i="2"/>
  <c r="E50" i="2"/>
  <c r="F50" i="2"/>
  <c r="C51" i="2"/>
  <c r="B51" i="2"/>
  <c r="D51" i="2"/>
  <c r="E51" i="2"/>
  <c r="F51" i="2"/>
  <c r="C52" i="2"/>
  <c r="B52" i="2"/>
  <c r="D52" i="2"/>
  <c r="E52" i="2"/>
  <c r="F52" i="2"/>
  <c r="C53" i="2"/>
  <c r="B53" i="2"/>
  <c r="D53" i="2"/>
  <c r="E53" i="2"/>
  <c r="F53" i="2"/>
  <c r="C54" i="2"/>
  <c r="B54" i="2"/>
  <c r="D54" i="2"/>
  <c r="E54" i="2"/>
  <c r="F54" i="2"/>
  <c r="C55" i="2"/>
  <c r="B55" i="2"/>
  <c r="D55" i="2"/>
  <c r="E55" i="2"/>
  <c r="F55" i="2"/>
  <c r="C56" i="2"/>
  <c r="B56" i="2"/>
  <c r="D56" i="2"/>
  <c r="E56" i="2"/>
  <c r="F56" i="2"/>
  <c r="C57" i="2"/>
  <c r="H12" i="2"/>
  <c r="F18" i="3"/>
  <c r="F21" i="3"/>
  <c r="F22" i="3"/>
  <c r="F17" i="5"/>
  <c r="F23" i="3"/>
  <c r="F22" i="5"/>
  <c r="B57" i="2"/>
  <c r="D57" i="2"/>
  <c r="I12" i="2"/>
  <c r="J12" i="2"/>
  <c r="F18" i="5"/>
  <c r="F21" i="5"/>
  <c r="F24" i="5"/>
  <c r="F26" i="5"/>
  <c r="G4" i="3"/>
  <c r="G8" i="3"/>
  <c r="G7" i="5"/>
  <c r="G8" i="5"/>
  <c r="G17" i="3"/>
  <c r="G11" i="5"/>
  <c r="G10" i="5"/>
  <c r="G13" i="5"/>
  <c r="G5" i="3"/>
  <c r="G8" i="1"/>
  <c r="G10" i="1"/>
  <c r="G3" i="1"/>
  <c r="G9" i="1"/>
  <c r="G4" i="1"/>
  <c r="G3" i="3"/>
  <c r="G6" i="3"/>
  <c r="G10" i="3"/>
  <c r="G11" i="3"/>
  <c r="G13" i="3"/>
  <c r="E57" i="2"/>
  <c r="F57" i="2"/>
  <c r="C58" i="2"/>
  <c r="B58" i="2"/>
  <c r="D58" i="2"/>
  <c r="E58" i="2"/>
  <c r="F58" i="2"/>
  <c r="C59" i="2"/>
  <c r="B59" i="2"/>
  <c r="D59" i="2"/>
  <c r="E59" i="2"/>
  <c r="F59" i="2"/>
  <c r="C60" i="2"/>
  <c r="B60" i="2"/>
  <c r="D60" i="2"/>
  <c r="E60" i="2"/>
  <c r="F60" i="2"/>
  <c r="C61" i="2"/>
  <c r="B61" i="2"/>
  <c r="D61" i="2"/>
  <c r="E61" i="2"/>
  <c r="F61" i="2"/>
  <c r="C62" i="2"/>
  <c r="B62" i="2"/>
  <c r="D62" i="2"/>
  <c r="E62" i="2"/>
  <c r="F62" i="2"/>
  <c r="C63" i="2"/>
  <c r="B63" i="2"/>
  <c r="D63" i="2"/>
  <c r="E63" i="2"/>
  <c r="F63" i="2"/>
  <c r="C64" i="2"/>
  <c r="B64" i="2"/>
  <c r="D64" i="2"/>
  <c r="E64" i="2"/>
  <c r="F64" i="2"/>
  <c r="C65" i="2"/>
  <c r="B65" i="2"/>
  <c r="D65" i="2"/>
  <c r="E65" i="2"/>
  <c r="F65" i="2"/>
  <c r="C66" i="2"/>
  <c r="B66" i="2"/>
  <c r="D66" i="2"/>
  <c r="E66" i="2"/>
  <c r="F66" i="2"/>
  <c r="C67" i="2"/>
  <c r="B67" i="2"/>
  <c r="D67" i="2"/>
  <c r="E67" i="2"/>
  <c r="F67" i="2"/>
  <c r="C68" i="2"/>
  <c r="B68" i="2"/>
  <c r="D68" i="2"/>
  <c r="E68" i="2"/>
  <c r="F68" i="2"/>
  <c r="C69" i="2"/>
  <c r="H13" i="2"/>
  <c r="G18" i="3"/>
  <c r="G21" i="3"/>
  <c r="G22" i="3"/>
  <c r="G17" i="5"/>
  <c r="G23" i="3"/>
  <c r="G22" i="5"/>
  <c r="B69" i="2"/>
  <c r="D69" i="2"/>
  <c r="I13" i="2"/>
  <c r="J13" i="2"/>
  <c r="G18" i="5"/>
  <c r="G21" i="5"/>
  <c r="G24" i="5"/>
  <c r="G26" i="5"/>
  <c r="H17" i="3"/>
  <c r="H5" i="3"/>
  <c r="H4" i="3"/>
  <c r="H8" i="1"/>
  <c r="H10" i="1"/>
  <c r="H3" i="1"/>
  <c r="H9" i="1"/>
  <c r="H4" i="1"/>
  <c r="H3" i="3"/>
  <c r="H6" i="3"/>
  <c r="H8" i="3"/>
  <c r="H10" i="3"/>
  <c r="H11" i="3"/>
  <c r="H13" i="3"/>
  <c r="E69" i="2"/>
  <c r="F69" i="2"/>
  <c r="C70" i="2"/>
  <c r="B70" i="2"/>
  <c r="D70" i="2"/>
  <c r="E70" i="2"/>
  <c r="F70" i="2"/>
  <c r="C71" i="2"/>
  <c r="B71" i="2"/>
  <c r="D71" i="2"/>
  <c r="E71" i="2"/>
  <c r="F71" i="2"/>
  <c r="C72" i="2"/>
  <c r="B72" i="2"/>
  <c r="D72" i="2"/>
  <c r="E72" i="2"/>
  <c r="F72" i="2"/>
  <c r="C73" i="2"/>
  <c r="B73" i="2"/>
  <c r="D73" i="2"/>
  <c r="E73" i="2"/>
  <c r="F73" i="2"/>
  <c r="C74" i="2"/>
  <c r="B74" i="2"/>
  <c r="D74" i="2"/>
  <c r="E74" i="2"/>
  <c r="F74" i="2"/>
  <c r="C75" i="2"/>
  <c r="B75" i="2"/>
  <c r="D75" i="2"/>
  <c r="E75" i="2"/>
  <c r="F75" i="2"/>
  <c r="C76" i="2"/>
  <c r="B76" i="2"/>
  <c r="D76" i="2"/>
  <c r="E76" i="2"/>
  <c r="F76" i="2"/>
  <c r="C77" i="2"/>
  <c r="B77" i="2"/>
  <c r="D77" i="2"/>
  <c r="E77" i="2"/>
  <c r="F77" i="2"/>
  <c r="C78" i="2"/>
  <c r="B78" i="2"/>
  <c r="D78" i="2"/>
  <c r="E78" i="2"/>
  <c r="F78" i="2"/>
  <c r="C79" i="2"/>
  <c r="B79" i="2"/>
  <c r="D79" i="2"/>
  <c r="E79" i="2"/>
  <c r="F79" i="2"/>
  <c r="C80" i="2"/>
  <c r="B80" i="2"/>
  <c r="D80" i="2"/>
  <c r="E80" i="2"/>
  <c r="F80" i="2"/>
  <c r="C81" i="2"/>
  <c r="H14" i="2"/>
  <c r="H18" i="3"/>
  <c r="H21" i="3"/>
  <c r="H22" i="3"/>
  <c r="H17" i="5"/>
  <c r="H23" i="3"/>
  <c r="H22" i="5"/>
  <c r="B81" i="2"/>
  <c r="D81" i="2"/>
  <c r="I14" i="2"/>
  <c r="J14" i="2"/>
  <c r="H18" i="5"/>
  <c r="H21" i="5"/>
  <c r="H24" i="5"/>
  <c r="H7" i="5"/>
  <c r="H8" i="5"/>
  <c r="H11" i="5"/>
  <c r="H10" i="5"/>
  <c r="H13" i="5"/>
  <c r="H26" i="5"/>
  <c r="I17" i="3"/>
  <c r="I5" i="3"/>
  <c r="I4" i="3"/>
  <c r="I8" i="1"/>
  <c r="I10" i="1"/>
  <c r="I3" i="1"/>
  <c r="I9" i="1"/>
  <c r="I4" i="1"/>
  <c r="I3" i="3"/>
  <c r="I6" i="3"/>
  <c r="I8" i="3"/>
  <c r="I10" i="3"/>
  <c r="I11" i="3"/>
  <c r="I13" i="3"/>
  <c r="E81" i="2"/>
  <c r="F81" i="2"/>
  <c r="C82" i="2"/>
  <c r="B82" i="2"/>
  <c r="D82" i="2"/>
  <c r="E82" i="2"/>
  <c r="F82" i="2"/>
  <c r="C83" i="2"/>
  <c r="B83" i="2"/>
  <c r="D83" i="2"/>
  <c r="E83" i="2"/>
  <c r="F83" i="2"/>
  <c r="C84" i="2"/>
  <c r="B84" i="2"/>
  <c r="D84" i="2"/>
  <c r="E84" i="2"/>
  <c r="F84" i="2"/>
  <c r="C85" i="2"/>
  <c r="B85" i="2"/>
  <c r="D85" i="2"/>
  <c r="E85" i="2"/>
  <c r="F85" i="2"/>
  <c r="C86" i="2"/>
  <c r="B86" i="2"/>
  <c r="D86" i="2"/>
  <c r="E86" i="2"/>
  <c r="F86" i="2"/>
  <c r="C87" i="2"/>
  <c r="B87" i="2"/>
  <c r="D87" i="2"/>
  <c r="E87" i="2"/>
  <c r="F87" i="2"/>
  <c r="C88" i="2"/>
  <c r="B88" i="2"/>
  <c r="D88" i="2"/>
  <c r="E88" i="2"/>
  <c r="F88" i="2"/>
  <c r="C89" i="2"/>
  <c r="B89" i="2"/>
  <c r="D89" i="2"/>
  <c r="E89" i="2"/>
  <c r="F89" i="2"/>
  <c r="C90" i="2"/>
  <c r="B90" i="2"/>
  <c r="D90" i="2"/>
  <c r="E90" i="2"/>
  <c r="F90" i="2"/>
  <c r="C91" i="2"/>
  <c r="B91" i="2"/>
  <c r="D91" i="2"/>
  <c r="E91" i="2"/>
  <c r="F91" i="2"/>
  <c r="C92" i="2"/>
  <c r="B92" i="2"/>
  <c r="D92" i="2"/>
  <c r="E92" i="2"/>
  <c r="F92" i="2"/>
  <c r="C93" i="2"/>
  <c r="H15" i="2"/>
  <c r="I18" i="3"/>
  <c r="I21" i="3"/>
  <c r="I22" i="3"/>
  <c r="I17" i="5"/>
  <c r="I23" i="3"/>
  <c r="I22" i="5"/>
  <c r="B93" i="2"/>
  <c r="D93" i="2"/>
  <c r="I15" i="2"/>
  <c r="J15" i="2"/>
  <c r="I18" i="5"/>
  <c r="I21" i="5"/>
  <c r="I24" i="5"/>
  <c r="I7" i="5"/>
  <c r="I8" i="5"/>
  <c r="I11" i="5"/>
  <c r="I10" i="5"/>
  <c r="I13" i="5"/>
  <c r="I26" i="5"/>
  <c r="J17" i="3"/>
  <c r="J5" i="3"/>
  <c r="J4" i="3"/>
  <c r="J8" i="1"/>
  <c r="J10" i="1"/>
  <c r="J3" i="1"/>
  <c r="J9" i="1"/>
  <c r="J4" i="1"/>
  <c r="J3" i="3"/>
  <c r="J6" i="3"/>
  <c r="J8" i="3"/>
  <c r="J10" i="3"/>
  <c r="J11" i="3"/>
  <c r="J13" i="3"/>
  <c r="E93" i="2"/>
  <c r="F93" i="2"/>
  <c r="C94" i="2"/>
  <c r="B94" i="2"/>
  <c r="D94" i="2"/>
  <c r="E94" i="2"/>
  <c r="F94" i="2"/>
  <c r="C95" i="2"/>
  <c r="B95" i="2"/>
  <c r="D95" i="2"/>
  <c r="E95" i="2"/>
  <c r="F95" i="2"/>
  <c r="C96" i="2"/>
  <c r="B96" i="2"/>
  <c r="D96" i="2"/>
  <c r="E96" i="2"/>
  <c r="F96" i="2"/>
  <c r="C97" i="2"/>
  <c r="B97" i="2"/>
  <c r="D97" i="2"/>
  <c r="E97" i="2"/>
  <c r="F97" i="2"/>
  <c r="C98" i="2"/>
  <c r="B98" i="2"/>
  <c r="D98" i="2"/>
  <c r="E98" i="2"/>
  <c r="F98" i="2"/>
  <c r="C99" i="2"/>
  <c r="B99" i="2"/>
  <c r="D99" i="2"/>
  <c r="E99" i="2"/>
  <c r="F99" i="2"/>
  <c r="C100" i="2"/>
  <c r="B100" i="2"/>
  <c r="D100" i="2"/>
  <c r="E100" i="2"/>
  <c r="F100" i="2"/>
  <c r="C101" i="2"/>
  <c r="B101" i="2"/>
  <c r="D101" i="2"/>
  <c r="E101" i="2"/>
  <c r="F101" i="2"/>
  <c r="C102" i="2"/>
  <c r="B102" i="2"/>
  <c r="D102" i="2"/>
  <c r="E102" i="2"/>
  <c r="F102" i="2"/>
  <c r="C103" i="2"/>
  <c r="B103" i="2"/>
  <c r="D103" i="2"/>
  <c r="E103" i="2"/>
  <c r="F103" i="2"/>
  <c r="C104" i="2"/>
  <c r="B104" i="2"/>
  <c r="D104" i="2"/>
  <c r="E104" i="2"/>
  <c r="F104" i="2"/>
  <c r="C105" i="2"/>
  <c r="H16" i="2"/>
  <c r="J18" i="3"/>
  <c r="J21" i="3"/>
  <c r="J22" i="3"/>
  <c r="J17" i="5"/>
  <c r="J23" i="3"/>
  <c r="J22" i="5"/>
  <c r="B105" i="2"/>
  <c r="D105" i="2"/>
  <c r="I16" i="2"/>
  <c r="J16" i="2"/>
  <c r="J18" i="5"/>
  <c r="J21" i="5"/>
  <c r="J24" i="5"/>
  <c r="J7" i="5"/>
  <c r="J8" i="5"/>
  <c r="J11" i="5"/>
  <c r="J10" i="5"/>
  <c r="J13" i="5"/>
  <c r="J26" i="5"/>
  <c r="K17" i="3"/>
  <c r="K5" i="3"/>
  <c r="K4" i="3"/>
  <c r="K8" i="1"/>
  <c r="K10" i="1"/>
  <c r="K3" i="1"/>
  <c r="K9" i="1"/>
  <c r="K4" i="1"/>
  <c r="K3" i="3"/>
  <c r="K6" i="3"/>
  <c r="K8" i="3"/>
  <c r="K10" i="3"/>
  <c r="K11" i="3"/>
  <c r="K13" i="3"/>
  <c r="E105" i="2"/>
  <c r="F105" i="2"/>
  <c r="B106" i="2"/>
  <c r="C106" i="2"/>
  <c r="D106" i="2"/>
  <c r="E106" i="2"/>
  <c r="F106" i="2"/>
  <c r="B107" i="2"/>
  <c r="C107" i="2"/>
  <c r="D107" i="2"/>
  <c r="E107" i="2"/>
  <c r="F107" i="2"/>
  <c r="B108" i="2"/>
  <c r="C108" i="2"/>
  <c r="D108" i="2"/>
  <c r="E108" i="2"/>
  <c r="F108" i="2"/>
  <c r="B109" i="2"/>
  <c r="C109" i="2"/>
  <c r="D109" i="2"/>
  <c r="E109" i="2"/>
  <c r="F109" i="2"/>
  <c r="B110" i="2"/>
  <c r="C110" i="2"/>
  <c r="D110" i="2"/>
  <c r="E110" i="2"/>
  <c r="F110" i="2"/>
  <c r="B111" i="2"/>
  <c r="C111" i="2"/>
  <c r="D111" i="2"/>
  <c r="E111" i="2"/>
  <c r="F111" i="2"/>
  <c r="B112" i="2"/>
  <c r="C112" i="2"/>
  <c r="D112" i="2"/>
  <c r="E112" i="2"/>
  <c r="F112" i="2"/>
  <c r="B113" i="2"/>
  <c r="C113" i="2"/>
  <c r="D113" i="2"/>
  <c r="E113" i="2"/>
  <c r="F113" i="2"/>
  <c r="B114" i="2"/>
  <c r="C114" i="2"/>
  <c r="D114" i="2"/>
  <c r="E114" i="2"/>
  <c r="F114" i="2"/>
  <c r="B115" i="2"/>
  <c r="C115" i="2"/>
  <c r="D115" i="2"/>
  <c r="E115" i="2"/>
  <c r="F115" i="2"/>
  <c r="B116" i="2"/>
  <c r="C116" i="2"/>
  <c r="D116" i="2"/>
  <c r="E116" i="2"/>
  <c r="F116" i="2"/>
  <c r="C117" i="2"/>
  <c r="B117" i="2"/>
  <c r="D117" i="2"/>
  <c r="E117" i="2"/>
  <c r="F117" i="2"/>
  <c r="C118" i="2"/>
  <c r="B118" i="2"/>
  <c r="D118" i="2"/>
  <c r="E118" i="2"/>
  <c r="F118" i="2"/>
  <c r="C119" i="2"/>
  <c r="B119" i="2"/>
  <c r="D119" i="2"/>
  <c r="E119" i="2"/>
  <c r="F119" i="2"/>
  <c r="C120" i="2"/>
  <c r="B120" i="2"/>
  <c r="D120" i="2"/>
  <c r="E120" i="2"/>
  <c r="F120" i="2"/>
  <c r="C121" i="2"/>
  <c r="B121" i="2"/>
  <c r="D121" i="2"/>
  <c r="E121" i="2"/>
  <c r="F121" i="2"/>
  <c r="C122" i="2"/>
  <c r="B122" i="2"/>
  <c r="D122" i="2"/>
  <c r="E122" i="2"/>
  <c r="F122" i="2"/>
  <c r="C123" i="2"/>
  <c r="B123" i="2"/>
  <c r="D123" i="2"/>
  <c r="E123" i="2"/>
  <c r="F123" i="2"/>
  <c r="C124" i="2"/>
  <c r="B124" i="2"/>
  <c r="D124" i="2"/>
  <c r="E124" i="2"/>
  <c r="F124" i="2"/>
  <c r="C125" i="2"/>
  <c r="B125" i="2"/>
  <c r="D125" i="2"/>
  <c r="E125" i="2"/>
  <c r="F125" i="2"/>
  <c r="C126" i="2"/>
  <c r="B126" i="2"/>
  <c r="D126" i="2"/>
  <c r="E126" i="2"/>
  <c r="F126" i="2"/>
  <c r="C127" i="2"/>
  <c r="B127" i="2"/>
  <c r="D127" i="2"/>
  <c r="E127" i="2"/>
  <c r="F127" i="2"/>
  <c r="C128" i="2"/>
  <c r="H17" i="2"/>
  <c r="K18" i="3"/>
  <c r="K21" i="3"/>
  <c r="K22" i="3"/>
  <c r="K17" i="5"/>
  <c r="K23" i="3"/>
  <c r="K22" i="5"/>
  <c r="B128" i="2"/>
  <c r="D128" i="2"/>
  <c r="I17" i="2"/>
  <c r="J17" i="2"/>
  <c r="K18" i="5"/>
  <c r="K21" i="5"/>
  <c r="K24" i="5"/>
  <c r="K7" i="5"/>
  <c r="K8" i="5"/>
  <c r="K11" i="5"/>
  <c r="K10" i="5"/>
  <c r="K13" i="5"/>
  <c r="K26" i="5"/>
  <c r="L17" i="3"/>
  <c r="L5" i="3"/>
  <c r="L4" i="3"/>
  <c r="L8" i="1"/>
  <c r="L10" i="1"/>
  <c r="L3" i="1"/>
  <c r="L9" i="1"/>
  <c r="L4" i="1"/>
  <c r="L3" i="3"/>
  <c r="L6" i="3"/>
  <c r="L8" i="3"/>
  <c r="L10" i="3"/>
  <c r="L11" i="3"/>
  <c r="L13" i="3"/>
  <c r="H18" i="2"/>
  <c r="L18" i="3"/>
  <c r="L21" i="3"/>
  <c r="L22" i="3"/>
  <c r="L17" i="5"/>
  <c r="L23" i="3"/>
  <c r="L22" i="5"/>
  <c r="I18" i="2"/>
  <c r="J18" i="2"/>
  <c r="L18" i="5"/>
  <c r="L21" i="5"/>
  <c r="L24" i="5"/>
  <c r="L7" i="5"/>
  <c r="L8" i="5"/>
  <c r="L11" i="5"/>
  <c r="L10" i="5"/>
  <c r="L13" i="5"/>
  <c r="L26" i="5"/>
  <c r="D7" i="5"/>
  <c r="D8" i="5"/>
  <c r="D13" i="5"/>
  <c r="D17" i="5"/>
  <c r="D18" i="5"/>
  <c r="D21" i="5"/>
  <c r="D24" i="5"/>
  <c r="D26" i="5"/>
  <c r="C17" i="5"/>
  <c r="C18" i="5"/>
  <c r="C24" i="5"/>
  <c r="C7" i="5"/>
  <c r="C8" i="5"/>
  <c r="C13" i="5"/>
  <c r="C26" i="5"/>
  <c r="L13" i="7"/>
  <c r="B39" i="8"/>
  <c r="C39" i="8"/>
  <c r="B36" i="8"/>
  <c r="B25" i="8"/>
  <c r="B10" i="8"/>
  <c r="C24" i="6"/>
  <c r="C18" i="6"/>
  <c r="C19" i="6"/>
  <c r="C23" i="6"/>
  <c r="C27" i="6"/>
  <c r="C20" i="6"/>
  <c r="C25" i="6"/>
  <c r="H11" i="6"/>
  <c r="H12" i="6"/>
  <c r="C15" i="6"/>
  <c r="H6" i="6"/>
  <c r="H9" i="6"/>
  <c r="H14" i="6"/>
  <c r="C4" i="6"/>
  <c r="C8" i="6"/>
  <c r="C11" i="6"/>
  <c r="D11" i="6"/>
  <c r="E11" i="6"/>
  <c r="C12" i="6"/>
  <c r="E12" i="6"/>
  <c r="C13" i="6"/>
  <c r="C29" i="6"/>
  <c r="B30" i="7"/>
  <c r="L4" i="7"/>
  <c r="L5" i="7"/>
  <c r="L6" i="7"/>
  <c r="L7" i="7"/>
  <c r="L8" i="7"/>
  <c r="L9" i="7"/>
  <c r="B11" i="7"/>
  <c r="L14" i="7"/>
  <c r="L16" i="7"/>
  <c r="L17" i="7"/>
  <c r="K4" i="7"/>
  <c r="K5" i="7"/>
  <c r="K6" i="7"/>
  <c r="K7" i="7"/>
  <c r="L18" i="7"/>
  <c r="L19" i="7"/>
  <c r="L21" i="7"/>
  <c r="L22" i="7"/>
  <c r="L23" i="7"/>
  <c r="L24" i="7"/>
  <c r="L26" i="7"/>
  <c r="L29" i="7"/>
  <c r="K8" i="7"/>
  <c r="K9" i="7"/>
  <c r="K16" i="7"/>
  <c r="K17" i="7"/>
  <c r="J4" i="7"/>
  <c r="J5" i="7"/>
  <c r="J6" i="7"/>
  <c r="J7" i="7"/>
  <c r="K18" i="7"/>
  <c r="K19" i="7"/>
  <c r="K26" i="7"/>
  <c r="K29" i="7"/>
  <c r="J8" i="7"/>
  <c r="J9" i="7"/>
  <c r="J16" i="7"/>
  <c r="J17" i="7"/>
  <c r="I4" i="7"/>
  <c r="I5" i="7"/>
  <c r="I6" i="7"/>
  <c r="I7" i="7"/>
  <c r="J18" i="7"/>
  <c r="J19" i="7"/>
  <c r="J26" i="7"/>
  <c r="J29" i="7"/>
  <c r="I8" i="7"/>
  <c r="I9" i="7"/>
  <c r="I16" i="7"/>
  <c r="I17" i="7"/>
  <c r="H4" i="7"/>
  <c r="H5" i="7"/>
  <c r="H6" i="7"/>
  <c r="H7" i="7"/>
  <c r="I18" i="7"/>
  <c r="I19" i="7"/>
  <c r="I26" i="7"/>
  <c r="I29" i="7"/>
  <c r="H8" i="7"/>
  <c r="H9" i="7"/>
  <c r="H16" i="7"/>
  <c r="H17" i="7"/>
  <c r="G4" i="7"/>
  <c r="G5" i="7"/>
  <c r="G6" i="7"/>
  <c r="G7" i="7"/>
  <c r="H18" i="7"/>
  <c r="H19" i="7"/>
  <c r="H26" i="7"/>
  <c r="H29" i="7"/>
  <c r="G8" i="7"/>
  <c r="G9" i="7"/>
  <c r="G16" i="7"/>
  <c r="G17" i="7"/>
  <c r="F4" i="7"/>
  <c r="F5" i="7"/>
  <c r="F6" i="7"/>
  <c r="F7" i="7"/>
  <c r="G18" i="7"/>
  <c r="G19" i="7"/>
  <c r="G26" i="7"/>
  <c r="G29" i="7"/>
  <c r="F8" i="7"/>
  <c r="F9" i="7"/>
  <c r="F16" i="7"/>
  <c r="F17" i="7"/>
  <c r="E4" i="7"/>
  <c r="E5" i="7"/>
  <c r="E6" i="7"/>
  <c r="E7" i="7"/>
  <c r="F18" i="7"/>
  <c r="F19" i="7"/>
  <c r="F26" i="7"/>
  <c r="F29" i="7"/>
  <c r="E8" i="7"/>
  <c r="E9" i="7"/>
  <c r="E16" i="7"/>
  <c r="E17" i="7"/>
  <c r="D4" i="7"/>
  <c r="D5" i="7"/>
  <c r="D6" i="7"/>
  <c r="D7" i="7"/>
  <c r="E18" i="7"/>
  <c r="E19" i="7"/>
  <c r="E26" i="7"/>
  <c r="E29" i="7"/>
  <c r="D8" i="7"/>
  <c r="D9" i="7"/>
  <c r="D16" i="7"/>
  <c r="D17" i="7"/>
  <c r="C4" i="7"/>
  <c r="C5" i="7"/>
  <c r="C6" i="7"/>
  <c r="C7" i="7"/>
  <c r="D18" i="7"/>
  <c r="D19" i="7"/>
  <c r="D26" i="7"/>
  <c r="D29" i="7"/>
  <c r="C8" i="7"/>
  <c r="C9" i="7"/>
  <c r="C16" i="7"/>
  <c r="C17" i="7"/>
  <c r="C18" i="7"/>
  <c r="C19" i="7"/>
  <c r="C26" i="7"/>
  <c r="C29" i="7"/>
  <c r="B26" i="7"/>
  <c r="B29" i="7"/>
  <c r="C19" i="3"/>
  <c r="L19" i="3"/>
  <c r="K19" i="3"/>
  <c r="J19" i="3"/>
  <c r="I19" i="3"/>
  <c r="H19" i="3"/>
  <c r="G19" i="3"/>
  <c r="F19" i="3"/>
  <c r="E19" i="3"/>
  <c r="D19" i="3"/>
  <c r="B31" i="7"/>
  <c r="B27" i="7"/>
  <c r="M18" i="7"/>
  <c r="E369" i="2"/>
  <c r="B369" i="2"/>
  <c r="E368" i="2"/>
  <c r="B368" i="2"/>
  <c r="E367" i="2"/>
  <c r="B367" i="2"/>
  <c r="E366" i="2"/>
  <c r="B366" i="2"/>
  <c r="E365" i="2"/>
  <c r="B365" i="2"/>
  <c r="E364" i="2"/>
  <c r="B364" i="2"/>
  <c r="E363" i="2"/>
  <c r="B363" i="2"/>
  <c r="E362" i="2"/>
  <c r="B362" i="2"/>
  <c r="E361" i="2"/>
  <c r="B361" i="2"/>
  <c r="E360" i="2"/>
  <c r="B360" i="2"/>
  <c r="E359" i="2"/>
  <c r="B359" i="2"/>
  <c r="E358" i="2"/>
  <c r="B358" i="2"/>
  <c r="E357" i="2"/>
  <c r="B357" i="2"/>
  <c r="E356" i="2"/>
  <c r="B356" i="2"/>
  <c r="E355" i="2"/>
  <c r="B355" i="2"/>
  <c r="E354" i="2"/>
  <c r="B354" i="2"/>
  <c r="E353" i="2"/>
  <c r="B353" i="2"/>
  <c r="E352" i="2"/>
  <c r="B352" i="2"/>
  <c r="E351" i="2"/>
  <c r="B351" i="2"/>
  <c r="E350" i="2"/>
  <c r="B350" i="2"/>
  <c r="E349" i="2"/>
  <c r="B349" i="2"/>
  <c r="E348" i="2"/>
  <c r="B348" i="2"/>
  <c r="E347" i="2"/>
  <c r="B347" i="2"/>
  <c r="E346" i="2"/>
  <c r="B346" i="2"/>
  <c r="E345" i="2"/>
  <c r="B345" i="2"/>
  <c r="E344" i="2"/>
  <c r="B344" i="2"/>
  <c r="E343" i="2"/>
  <c r="B343" i="2"/>
  <c r="E342" i="2"/>
  <c r="B342" i="2"/>
  <c r="E341" i="2"/>
  <c r="B341" i="2"/>
  <c r="E340" i="2"/>
  <c r="B340" i="2"/>
  <c r="E339" i="2"/>
  <c r="B339" i="2"/>
  <c r="E338" i="2"/>
  <c r="B338" i="2"/>
  <c r="E337" i="2"/>
  <c r="B337" i="2"/>
  <c r="E336" i="2"/>
  <c r="B336" i="2"/>
  <c r="E335" i="2"/>
  <c r="B335" i="2"/>
  <c r="E334" i="2"/>
  <c r="B334" i="2"/>
  <c r="E333" i="2"/>
  <c r="B333" i="2"/>
  <c r="E332" i="2"/>
  <c r="B332" i="2"/>
  <c r="E331" i="2"/>
  <c r="B331" i="2"/>
  <c r="E330" i="2"/>
  <c r="B330" i="2"/>
  <c r="E329" i="2"/>
  <c r="B329" i="2"/>
  <c r="E328" i="2"/>
  <c r="B328" i="2"/>
  <c r="E327" i="2"/>
  <c r="B327" i="2"/>
  <c r="E326" i="2"/>
  <c r="B326" i="2"/>
  <c r="E325" i="2"/>
  <c r="B325" i="2"/>
  <c r="E324" i="2"/>
  <c r="B324" i="2"/>
  <c r="E323" i="2"/>
  <c r="B323" i="2"/>
  <c r="E322" i="2"/>
  <c r="B322" i="2"/>
  <c r="E321" i="2"/>
  <c r="B321" i="2"/>
  <c r="E320" i="2"/>
  <c r="B320" i="2"/>
  <c r="E319" i="2"/>
  <c r="B319" i="2"/>
  <c r="E318" i="2"/>
  <c r="B318" i="2"/>
  <c r="E317" i="2"/>
  <c r="B317" i="2"/>
  <c r="E316" i="2"/>
  <c r="B316" i="2"/>
  <c r="E315" i="2"/>
  <c r="B315" i="2"/>
  <c r="E314" i="2"/>
  <c r="B314" i="2"/>
  <c r="E313" i="2"/>
  <c r="B313" i="2"/>
  <c r="E312" i="2"/>
  <c r="B312" i="2"/>
  <c r="E311" i="2"/>
  <c r="B311" i="2"/>
  <c r="E310" i="2"/>
  <c r="B310" i="2"/>
  <c r="E309" i="2"/>
  <c r="B309" i="2"/>
  <c r="E308" i="2"/>
  <c r="B308" i="2"/>
  <c r="E307" i="2"/>
  <c r="B307" i="2"/>
  <c r="E306" i="2"/>
  <c r="B306" i="2"/>
  <c r="E305" i="2"/>
  <c r="B305" i="2"/>
  <c r="E304" i="2"/>
  <c r="B304" i="2"/>
  <c r="E303" i="2"/>
  <c r="B303" i="2"/>
  <c r="E302" i="2"/>
  <c r="B302" i="2"/>
  <c r="E301" i="2"/>
  <c r="B301" i="2"/>
  <c r="E300" i="2"/>
  <c r="B300" i="2"/>
  <c r="E299" i="2"/>
  <c r="B299" i="2"/>
  <c r="E298" i="2"/>
  <c r="B298" i="2"/>
  <c r="E297" i="2"/>
  <c r="B297" i="2"/>
  <c r="E296" i="2"/>
  <c r="B296" i="2"/>
  <c r="E295" i="2"/>
  <c r="B295" i="2"/>
  <c r="E294" i="2"/>
  <c r="B294" i="2"/>
  <c r="E293" i="2"/>
  <c r="B293" i="2"/>
  <c r="E292" i="2"/>
  <c r="B292" i="2"/>
  <c r="E291" i="2"/>
  <c r="B291" i="2"/>
  <c r="E290" i="2"/>
  <c r="B290" i="2"/>
  <c r="E289" i="2"/>
  <c r="B289" i="2"/>
  <c r="E288" i="2"/>
  <c r="B288" i="2"/>
  <c r="E287" i="2"/>
  <c r="B287" i="2"/>
  <c r="E286" i="2"/>
  <c r="B286" i="2"/>
  <c r="E285" i="2"/>
  <c r="B285" i="2"/>
  <c r="E284" i="2"/>
  <c r="B284" i="2"/>
  <c r="E283" i="2"/>
  <c r="B283" i="2"/>
  <c r="E282" i="2"/>
  <c r="B282" i="2"/>
  <c r="E281" i="2"/>
  <c r="B281" i="2"/>
  <c r="E280" i="2"/>
  <c r="B280" i="2"/>
  <c r="E279" i="2"/>
  <c r="B279" i="2"/>
  <c r="E278" i="2"/>
  <c r="B278" i="2"/>
  <c r="E277" i="2"/>
  <c r="B277" i="2"/>
  <c r="E276" i="2"/>
  <c r="B276" i="2"/>
  <c r="E275" i="2"/>
  <c r="B275" i="2"/>
  <c r="E274" i="2"/>
  <c r="B274" i="2"/>
  <c r="E273" i="2"/>
  <c r="B273" i="2"/>
  <c r="E272" i="2"/>
  <c r="B272" i="2"/>
  <c r="E271" i="2"/>
  <c r="B271" i="2"/>
  <c r="E270" i="2"/>
  <c r="B270" i="2"/>
  <c r="E269" i="2"/>
  <c r="B269" i="2"/>
  <c r="E268" i="2"/>
  <c r="B268" i="2"/>
  <c r="E267" i="2"/>
  <c r="B267" i="2"/>
  <c r="E266" i="2"/>
  <c r="B266" i="2"/>
  <c r="E265" i="2"/>
  <c r="B265" i="2"/>
  <c r="E264" i="2"/>
  <c r="B264" i="2"/>
  <c r="E263" i="2"/>
  <c r="B263" i="2"/>
  <c r="E262" i="2"/>
  <c r="B262" i="2"/>
  <c r="E261" i="2"/>
  <c r="B261" i="2"/>
  <c r="E260" i="2"/>
  <c r="B260" i="2"/>
  <c r="E259" i="2"/>
  <c r="B259" i="2"/>
  <c r="E258" i="2"/>
  <c r="B258" i="2"/>
  <c r="E257" i="2"/>
  <c r="B257" i="2"/>
  <c r="E256" i="2"/>
  <c r="B256" i="2"/>
  <c r="E255" i="2"/>
  <c r="B255" i="2"/>
  <c r="E254" i="2"/>
  <c r="B254" i="2"/>
  <c r="E253" i="2"/>
  <c r="B253" i="2"/>
  <c r="E252" i="2"/>
  <c r="B252" i="2"/>
  <c r="E251" i="2"/>
  <c r="B251" i="2"/>
  <c r="E250" i="2"/>
  <c r="B250" i="2"/>
  <c r="E249" i="2"/>
  <c r="B249" i="2"/>
  <c r="E248" i="2"/>
  <c r="B248" i="2"/>
  <c r="E247" i="2"/>
  <c r="B247" i="2"/>
  <c r="E246" i="2"/>
  <c r="B246" i="2"/>
  <c r="E245" i="2"/>
  <c r="B245" i="2"/>
  <c r="E244" i="2"/>
  <c r="B244" i="2"/>
  <c r="E243" i="2"/>
  <c r="B243" i="2"/>
  <c r="E242" i="2"/>
  <c r="B242" i="2"/>
  <c r="E241" i="2"/>
  <c r="B241" i="2"/>
  <c r="E240" i="2"/>
  <c r="B240" i="2"/>
  <c r="E239" i="2"/>
  <c r="B239" i="2"/>
  <c r="E238" i="2"/>
  <c r="B238" i="2"/>
  <c r="E237" i="2"/>
  <c r="B237" i="2"/>
  <c r="E236" i="2"/>
  <c r="B236" i="2"/>
  <c r="E235" i="2"/>
  <c r="B235" i="2"/>
  <c r="E234" i="2"/>
  <c r="B234" i="2"/>
  <c r="E233" i="2"/>
  <c r="B233" i="2"/>
  <c r="E232" i="2"/>
  <c r="B232" i="2"/>
  <c r="E231" i="2"/>
  <c r="B231" i="2"/>
  <c r="E230" i="2"/>
  <c r="B230" i="2"/>
  <c r="E229" i="2"/>
  <c r="B229" i="2"/>
  <c r="E228" i="2"/>
  <c r="B228" i="2"/>
  <c r="E227" i="2"/>
  <c r="B227" i="2"/>
  <c r="E226" i="2"/>
  <c r="B226" i="2"/>
  <c r="E225" i="2"/>
  <c r="B225" i="2"/>
  <c r="E224" i="2"/>
  <c r="B224" i="2"/>
  <c r="E223" i="2"/>
  <c r="B223" i="2"/>
  <c r="E222" i="2"/>
  <c r="B222" i="2"/>
  <c r="E221" i="2"/>
  <c r="B221" i="2"/>
  <c r="E220" i="2"/>
  <c r="B220" i="2"/>
  <c r="E219" i="2"/>
  <c r="B219" i="2"/>
  <c r="E218" i="2"/>
  <c r="B218" i="2"/>
  <c r="E217" i="2"/>
  <c r="B217" i="2"/>
  <c r="E216" i="2"/>
  <c r="B216" i="2"/>
  <c r="E215" i="2"/>
  <c r="B215" i="2"/>
  <c r="E214" i="2"/>
  <c r="B214" i="2"/>
  <c r="E213" i="2"/>
  <c r="B213" i="2"/>
  <c r="E212" i="2"/>
  <c r="B212" i="2"/>
  <c r="E211" i="2"/>
  <c r="B211" i="2"/>
  <c r="E210" i="2"/>
  <c r="B210" i="2"/>
  <c r="E209" i="2"/>
  <c r="B209" i="2"/>
  <c r="E208" i="2"/>
  <c r="B208" i="2"/>
  <c r="E207" i="2"/>
  <c r="B207" i="2"/>
  <c r="E206" i="2"/>
  <c r="B206" i="2"/>
  <c r="E205" i="2"/>
  <c r="B205" i="2"/>
  <c r="E204" i="2"/>
  <c r="B204" i="2"/>
  <c r="E203" i="2"/>
  <c r="B203" i="2"/>
  <c r="E202" i="2"/>
  <c r="B202" i="2"/>
  <c r="E201" i="2"/>
  <c r="B201" i="2"/>
  <c r="E200" i="2"/>
  <c r="B200" i="2"/>
  <c r="E199" i="2"/>
  <c r="B199" i="2"/>
  <c r="E198" i="2"/>
  <c r="B198" i="2"/>
  <c r="E197" i="2"/>
  <c r="B197" i="2"/>
  <c r="E196" i="2"/>
  <c r="B196" i="2"/>
  <c r="E195" i="2"/>
  <c r="B195" i="2"/>
  <c r="E194" i="2"/>
  <c r="B194" i="2"/>
  <c r="E193" i="2"/>
  <c r="B193" i="2"/>
  <c r="E192" i="2"/>
  <c r="B192" i="2"/>
  <c r="E191" i="2"/>
  <c r="B191" i="2"/>
  <c r="E190" i="2"/>
  <c r="B190" i="2"/>
  <c r="E189" i="2"/>
  <c r="B189" i="2"/>
  <c r="E188" i="2"/>
  <c r="B188" i="2"/>
  <c r="E187" i="2"/>
  <c r="B187" i="2"/>
  <c r="E186" i="2"/>
  <c r="B186" i="2"/>
  <c r="E185" i="2"/>
  <c r="B185" i="2"/>
  <c r="E184" i="2"/>
  <c r="B184" i="2"/>
  <c r="E183" i="2"/>
  <c r="B183" i="2"/>
  <c r="E182" i="2"/>
  <c r="B182" i="2"/>
  <c r="E181" i="2"/>
  <c r="B181" i="2"/>
  <c r="E180" i="2"/>
  <c r="B180" i="2"/>
  <c r="E179" i="2"/>
  <c r="B179" i="2"/>
  <c r="E178" i="2"/>
  <c r="B178" i="2"/>
  <c r="E177" i="2"/>
  <c r="B177" i="2"/>
  <c r="E176" i="2"/>
  <c r="B176" i="2"/>
  <c r="E175" i="2"/>
  <c r="B175" i="2"/>
  <c r="E174" i="2"/>
  <c r="B174" i="2"/>
  <c r="E173" i="2"/>
  <c r="B173" i="2"/>
  <c r="E172" i="2"/>
  <c r="B172" i="2"/>
  <c r="E171" i="2"/>
  <c r="B171" i="2"/>
  <c r="E170" i="2"/>
  <c r="B170" i="2"/>
  <c r="E169" i="2"/>
  <c r="B169" i="2"/>
  <c r="E168" i="2"/>
  <c r="B168" i="2"/>
  <c r="E167" i="2"/>
  <c r="B167" i="2"/>
  <c r="E166" i="2"/>
  <c r="B166" i="2"/>
  <c r="E165" i="2"/>
  <c r="B165" i="2"/>
  <c r="E164" i="2"/>
  <c r="B164" i="2"/>
  <c r="E163" i="2"/>
  <c r="B163" i="2"/>
  <c r="E162" i="2"/>
  <c r="B162" i="2"/>
  <c r="E161" i="2"/>
  <c r="B161" i="2"/>
  <c r="E160" i="2"/>
  <c r="B160" i="2"/>
  <c r="E159" i="2"/>
  <c r="B159" i="2"/>
  <c r="E158" i="2"/>
  <c r="B158" i="2"/>
  <c r="E157" i="2"/>
  <c r="B157" i="2"/>
  <c r="E156" i="2"/>
  <c r="B156" i="2"/>
  <c r="E155" i="2"/>
  <c r="B155" i="2"/>
  <c r="E154" i="2"/>
  <c r="B154" i="2"/>
  <c r="E153" i="2"/>
  <c r="B153" i="2"/>
  <c r="E152" i="2"/>
  <c r="B152" i="2"/>
  <c r="E151" i="2"/>
  <c r="B151" i="2"/>
  <c r="E150" i="2"/>
  <c r="B150" i="2"/>
  <c r="E149" i="2"/>
  <c r="B149" i="2"/>
  <c r="E148" i="2"/>
  <c r="B148" i="2"/>
  <c r="E147" i="2"/>
  <c r="B147" i="2"/>
  <c r="E146" i="2"/>
  <c r="B146" i="2"/>
  <c r="E145" i="2"/>
  <c r="B145" i="2"/>
  <c r="E144" i="2"/>
  <c r="B144" i="2"/>
  <c r="E143" i="2"/>
  <c r="B143" i="2"/>
  <c r="E142" i="2"/>
  <c r="B142" i="2"/>
  <c r="E141" i="2"/>
  <c r="B141" i="2"/>
  <c r="E140" i="2"/>
  <c r="B140" i="2"/>
  <c r="E139" i="2"/>
  <c r="B139" i="2"/>
  <c r="E138" i="2"/>
  <c r="B138" i="2"/>
  <c r="E137" i="2"/>
  <c r="B137" i="2"/>
  <c r="E136" i="2"/>
  <c r="B136" i="2"/>
  <c r="E135" i="2"/>
  <c r="B135" i="2"/>
  <c r="E134" i="2"/>
  <c r="B134" i="2"/>
  <c r="E133" i="2"/>
  <c r="B133" i="2"/>
  <c r="E132" i="2"/>
  <c r="B132" i="2"/>
  <c r="E131" i="2"/>
  <c r="B131" i="2"/>
  <c r="E130" i="2"/>
  <c r="B130" i="2"/>
  <c r="E129" i="2"/>
  <c r="B129" i="2"/>
  <c r="E128" i="2"/>
  <c r="F128" i="2"/>
  <c r="C129" i="2"/>
  <c r="D129" i="2"/>
  <c r="F129" i="2"/>
  <c r="C130" i="2"/>
  <c r="D130" i="2"/>
  <c r="F130" i="2"/>
  <c r="C131" i="2"/>
  <c r="D131" i="2"/>
  <c r="F131" i="2"/>
  <c r="C132" i="2"/>
  <c r="D132" i="2"/>
  <c r="F132" i="2"/>
  <c r="C133" i="2"/>
  <c r="D133" i="2"/>
  <c r="F133" i="2"/>
  <c r="C134" i="2"/>
  <c r="D134" i="2"/>
  <c r="F134" i="2"/>
  <c r="C135" i="2"/>
  <c r="D135" i="2"/>
  <c r="F135" i="2"/>
  <c r="C136" i="2"/>
  <c r="D136" i="2"/>
  <c r="F136" i="2"/>
  <c r="C137" i="2"/>
  <c r="D137" i="2"/>
  <c r="F137" i="2"/>
  <c r="C138" i="2"/>
  <c r="D138" i="2"/>
  <c r="F138" i="2"/>
  <c r="C139" i="2"/>
  <c r="D139" i="2"/>
  <c r="F139" i="2"/>
  <c r="C140" i="2"/>
  <c r="D140" i="2"/>
  <c r="F140" i="2"/>
  <c r="C141" i="2"/>
  <c r="D141" i="2"/>
  <c r="F141" i="2"/>
  <c r="C142" i="2"/>
  <c r="D142" i="2"/>
  <c r="F142" i="2"/>
  <c r="C143" i="2"/>
  <c r="D143" i="2"/>
  <c r="F143" i="2"/>
  <c r="C144" i="2"/>
  <c r="D144" i="2"/>
  <c r="F144" i="2"/>
  <c r="C145" i="2"/>
  <c r="D145" i="2"/>
  <c r="F145" i="2"/>
  <c r="C146" i="2"/>
  <c r="D146" i="2"/>
  <c r="F146" i="2"/>
  <c r="C147" i="2"/>
  <c r="D147" i="2"/>
  <c r="F147" i="2"/>
  <c r="C148" i="2"/>
  <c r="D148" i="2"/>
  <c r="F148" i="2"/>
  <c r="C149" i="2"/>
  <c r="D149" i="2"/>
  <c r="F149" i="2"/>
  <c r="C150" i="2"/>
  <c r="D150" i="2"/>
  <c r="F150" i="2"/>
  <c r="C151" i="2"/>
  <c r="D151" i="2"/>
  <c r="F151" i="2"/>
  <c r="C152" i="2"/>
  <c r="D152" i="2"/>
  <c r="F152" i="2"/>
  <c r="C153" i="2"/>
  <c r="D153" i="2"/>
  <c r="F153" i="2"/>
  <c r="C154" i="2"/>
  <c r="D154" i="2"/>
  <c r="F154" i="2"/>
  <c r="C155" i="2"/>
  <c r="D155" i="2"/>
  <c r="F155" i="2"/>
  <c r="C156" i="2"/>
  <c r="D156" i="2"/>
  <c r="F156" i="2"/>
  <c r="C157" i="2"/>
  <c r="D157" i="2"/>
  <c r="F157" i="2"/>
  <c r="C158" i="2"/>
  <c r="D158" i="2"/>
  <c r="F158" i="2"/>
  <c r="C159" i="2"/>
  <c r="D159" i="2"/>
  <c r="F159" i="2"/>
  <c r="C160" i="2"/>
  <c r="D160" i="2"/>
  <c r="F160" i="2"/>
  <c r="C161" i="2"/>
  <c r="D161" i="2"/>
  <c r="F161" i="2"/>
  <c r="C162" i="2"/>
  <c r="D162" i="2"/>
  <c r="F162" i="2"/>
  <c r="C163" i="2"/>
  <c r="D163" i="2"/>
  <c r="F163" i="2"/>
  <c r="C164" i="2"/>
  <c r="D164" i="2"/>
  <c r="F164" i="2"/>
  <c r="C165" i="2"/>
  <c r="D165" i="2"/>
  <c r="F165" i="2"/>
  <c r="C166" i="2"/>
  <c r="D166" i="2"/>
  <c r="F166" i="2"/>
  <c r="C167" i="2"/>
  <c r="D167" i="2"/>
  <c r="F167" i="2"/>
  <c r="C168" i="2"/>
  <c r="D168" i="2"/>
  <c r="F168" i="2"/>
  <c r="C169" i="2"/>
  <c r="D169" i="2"/>
  <c r="F169" i="2"/>
  <c r="C170" i="2"/>
  <c r="D170" i="2"/>
  <c r="F170" i="2"/>
  <c r="C171" i="2"/>
  <c r="D171" i="2"/>
  <c r="F171" i="2"/>
  <c r="C172" i="2"/>
  <c r="D172" i="2"/>
  <c r="F172" i="2"/>
  <c r="C173" i="2"/>
  <c r="D173" i="2"/>
  <c r="F173" i="2"/>
  <c r="C174" i="2"/>
  <c r="D174" i="2"/>
  <c r="F174" i="2"/>
  <c r="C175" i="2"/>
  <c r="D175" i="2"/>
  <c r="F175" i="2"/>
  <c r="C176" i="2"/>
  <c r="D176" i="2"/>
  <c r="F176" i="2"/>
  <c r="C177" i="2"/>
  <c r="D177" i="2"/>
  <c r="F177" i="2"/>
  <c r="C178" i="2"/>
  <c r="D178" i="2"/>
  <c r="F178" i="2"/>
  <c r="C179" i="2"/>
  <c r="D179" i="2"/>
  <c r="F179" i="2"/>
  <c r="C180" i="2"/>
  <c r="D180" i="2"/>
  <c r="F180" i="2"/>
  <c r="C181" i="2"/>
  <c r="D181" i="2"/>
  <c r="F181" i="2"/>
  <c r="C182" i="2"/>
  <c r="D182" i="2"/>
  <c r="F182" i="2"/>
  <c r="C183" i="2"/>
  <c r="D183" i="2"/>
  <c r="F183" i="2"/>
  <c r="C184" i="2"/>
  <c r="D184" i="2"/>
  <c r="F184" i="2"/>
  <c r="C185" i="2"/>
  <c r="D185" i="2"/>
  <c r="F185" i="2"/>
  <c r="C186" i="2"/>
  <c r="D186" i="2"/>
  <c r="F186" i="2"/>
  <c r="C187" i="2"/>
  <c r="D187" i="2"/>
  <c r="F187" i="2"/>
  <c r="C188" i="2"/>
  <c r="D188" i="2"/>
  <c r="F188" i="2"/>
  <c r="C189" i="2"/>
  <c r="D189" i="2"/>
  <c r="F189" i="2"/>
  <c r="C190" i="2"/>
  <c r="D190" i="2"/>
  <c r="F190" i="2"/>
  <c r="C191" i="2"/>
  <c r="D191" i="2"/>
  <c r="F191" i="2"/>
  <c r="C192" i="2"/>
  <c r="D192" i="2"/>
  <c r="F192" i="2"/>
  <c r="C193" i="2"/>
  <c r="D193" i="2"/>
  <c r="F193" i="2"/>
  <c r="C194" i="2"/>
  <c r="D194" i="2"/>
  <c r="F194" i="2"/>
  <c r="C195" i="2"/>
  <c r="D195" i="2"/>
  <c r="F195" i="2"/>
  <c r="C196" i="2"/>
  <c r="D196" i="2"/>
  <c r="F196" i="2"/>
  <c r="C197" i="2"/>
  <c r="D197" i="2"/>
  <c r="F197" i="2"/>
  <c r="C198" i="2"/>
  <c r="D198" i="2"/>
  <c r="F198" i="2"/>
  <c r="C199" i="2"/>
  <c r="D199" i="2"/>
  <c r="F199" i="2"/>
  <c r="C200" i="2"/>
  <c r="D200" i="2"/>
  <c r="F200" i="2"/>
  <c r="C201" i="2"/>
  <c r="D201" i="2"/>
  <c r="F201" i="2"/>
  <c r="C202" i="2"/>
  <c r="D202" i="2"/>
  <c r="F202" i="2"/>
  <c r="C203" i="2"/>
  <c r="D203" i="2"/>
  <c r="F203" i="2"/>
  <c r="C204" i="2"/>
  <c r="D204" i="2"/>
  <c r="F204" i="2"/>
  <c r="C205" i="2"/>
  <c r="D205" i="2"/>
  <c r="F205" i="2"/>
  <c r="C206" i="2"/>
  <c r="D206" i="2"/>
  <c r="F206" i="2"/>
  <c r="C207" i="2"/>
  <c r="D207" i="2"/>
  <c r="F207" i="2"/>
  <c r="C208" i="2"/>
  <c r="D208" i="2"/>
  <c r="F208" i="2"/>
  <c r="C209" i="2"/>
  <c r="D209" i="2"/>
  <c r="F209" i="2"/>
  <c r="C210" i="2"/>
  <c r="D210" i="2"/>
  <c r="F210" i="2"/>
  <c r="C211" i="2"/>
  <c r="D211" i="2"/>
  <c r="F211" i="2"/>
  <c r="C212" i="2"/>
  <c r="D212" i="2"/>
  <c r="F212" i="2"/>
  <c r="C213" i="2"/>
  <c r="D213" i="2"/>
  <c r="F213" i="2"/>
  <c r="C214" i="2"/>
  <c r="D214" i="2"/>
  <c r="F214" i="2"/>
  <c r="C215" i="2"/>
  <c r="D215" i="2"/>
  <c r="F215" i="2"/>
  <c r="C216" i="2"/>
  <c r="D216" i="2"/>
  <c r="F216" i="2"/>
  <c r="C217" i="2"/>
  <c r="D217" i="2"/>
  <c r="F217" i="2"/>
  <c r="C218" i="2"/>
  <c r="D218" i="2"/>
  <c r="F218" i="2"/>
  <c r="C219" i="2"/>
  <c r="D219" i="2"/>
  <c r="F219" i="2"/>
  <c r="C220" i="2"/>
  <c r="D220" i="2"/>
  <c r="F220" i="2"/>
  <c r="C221" i="2"/>
  <c r="D221" i="2"/>
  <c r="F221" i="2"/>
  <c r="C222" i="2"/>
  <c r="D222" i="2"/>
  <c r="F222" i="2"/>
  <c r="C223" i="2"/>
  <c r="D223" i="2"/>
  <c r="F223" i="2"/>
  <c r="C224" i="2"/>
  <c r="D224" i="2"/>
  <c r="F224" i="2"/>
  <c r="C225" i="2"/>
  <c r="D225" i="2"/>
  <c r="F225" i="2"/>
  <c r="C226" i="2"/>
  <c r="D226" i="2"/>
  <c r="F226" i="2"/>
  <c r="C227" i="2"/>
  <c r="D227" i="2"/>
  <c r="F227" i="2"/>
  <c r="C228" i="2"/>
  <c r="D228" i="2"/>
  <c r="F228" i="2"/>
  <c r="C229" i="2"/>
  <c r="D229" i="2"/>
  <c r="F229" i="2"/>
  <c r="C230" i="2"/>
  <c r="D230" i="2"/>
  <c r="F230" i="2"/>
  <c r="C231" i="2"/>
  <c r="D231" i="2"/>
  <c r="F231" i="2"/>
  <c r="C232" i="2"/>
  <c r="D232" i="2"/>
  <c r="F232" i="2"/>
  <c r="C233" i="2"/>
  <c r="D233" i="2"/>
  <c r="F233" i="2"/>
  <c r="C234" i="2"/>
  <c r="D234" i="2"/>
  <c r="F234" i="2"/>
  <c r="C235" i="2"/>
  <c r="D235" i="2"/>
  <c r="F235" i="2"/>
  <c r="C236" i="2"/>
  <c r="D236" i="2"/>
  <c r="F236" i="2"/>
  <c r="C237" i="2"/>
  <c r="D237" i="2"/>
  <c r="F237" i="2"/>
  <c r="C238" i="2"/>
  <c r="D238" i="2"/>
  <c r="F238" i="2"/>
  <c r="C239" i="2"/>
  <c r="D239" i="2"/>
  <c r="F239" i="2"/>
  <c r="C240" i="2"/>
  <c r="D240" i="2"/>
  <c r="F240" i="2"/>
  <c r="C241" i="2"/>
  <c r="D241" i="2"/>
  <c r="F241" i="2"/>
  <c r="C242" i="2"/>
  <c r="D242" i="2"/>
  <c r="F242" i="2"/>
  <c r="C243" i="2"/>
  <c r="D243" i="2"/>
  <c r="F243" i="2"/>
  <c r="C244" i="2"/>
  <c r="D244" i="2"/>
  <c r="F244" i="2"/>
  <c r="C245" i="2"/>
  <c r="D245" i="2"/>
  <c r="F245" i="2"/>
  <c r="C246" i="2"/>
  <c r="D246" i="2"/>
  <c r="F246" i="2"/>
  <c r="C247" i="2"/>
  <c r="D247" i="2"/>
  <c r="F247" i="2"/>
  <c r="C248" i="2"/>
  <c r="D248" i="2"/>
  <c r="F248" i="2"/>
  <c r="C249" i="2"/>
  <c r="D249" i="2"/>
  <c r="F249" i="2"/>
  <c r="C250" i="2"/>
  <c r="D250" i="2"/>
  <c r="F250" i="2"/>
  <c r="C251" i="2"/>
  <c r="D251" i="2"/>
  <c r="F251" i="2"/>
  <c r="C252" i="2"/>
  <c r="D252" i="2"/>
  <c r="F252" i="2"/>
  <c r="C253" i="2"/>
  <c r="D253" i="2"/>
  <c r="F253" i="2"/>
  <c r="C254" i="2"/>
  <c r="D254" i="2"/>
  <c r="F254" i="2"/>
  <c r="C255" i="2"/>
  <c r="D255" i="2"/>
  <c r="F255" i="2"/>
  <c r="C256" i="2"/>
  <c r="D256" i="2"/>
  <c r="F256" i="2"/>
  <c r="C257" i="2"/>
  <c r="D257" i="2"/>
  <c r="F257" i="2"/>
  <c r="C258" i="2"/>
  <c r="D258" i="2"/>
  <c r="F258" i="2"/>
  <c r="C259" i="2"/>
  <c r="D259" i="2"/>
  <c r="F259" i="2"/>
  <c r="C260" i="2"/>
  <c r="D260" i="2"/>
  <c r="F260" i="2"/>
  <c r="C261" i="2"/>
  <c r="D261" i="2"/>
  <c r="F261" i="2"/>
  <c r="C262" i="2"/>
  <c r="D262" i="2"/>
  <c r="F262" i="2"/>
  <c r="C263" i="2"/>
  <c r="D263" i="2"/>
  <c r="F263" i="2"/>
  <c r="C264" i="2"/>
  <c r="D264" i="2"/>
  <c r="F264" i="2"/>
  <c r="C265" i="2"/>
  <c r="D265" i="2"/>
  <c r="F265" i="2"/>
  <c r="C266" i="2"/>
  <c r="D266" i="2"/>
  <c r="F266" i="2"/>
  <c r="C267" i="2"/>
  <c r="D267" i="2"/>
  <c r="F267" i="2"/>
  <c r="C268" i="2"/>
  <c r="D268" i="2"/>
  <c r="F268" i="2"/>
  <c r="C269" i="2"/>
  <c r="D269" i="2"/>
  <c r="F269" i="2"/>
  <c r="C270" i="2"/>
  <c r="D270" i="2"/>
  <c r="F270" i="2"/>
  <c r="C271" i="2"/>
  <c r="D271" i="2"/>
  <c r="F271" i="2"/>
  <c r="C272" i="2"/>
  <c r="D272" i="2"/>
  <c r="F272" i="2"/>
  <c r="C273" i="2"/>
  <c r="D273" i="2"/>
  <c r="F273" i="2"/>
  <c r="C274" i="2"/>
  <c r="D274" i="2"/>
  <c r="F274" i="2"/>
  <c r="C275" i="2"/>
  <c r="D275" i="2"/>
  <c r="F275" i="2"/>
  <c r="C276" i="2"/>
  <c r="D276" i="2"/>
  <c r="F276" i="2"/>
  <c r="C277" i="2"/>
  <c r="D277" i="2"/>
  <c r="F277" i="2"/>
  <c r="C278" i="2"/>
  <c r="D278" i="2"/>
  <c r="F278" i="2"/>
  <c r="C279" i="2"/>
  <c r="D279" i="2"/>
  <c r="F279" i="2"/>
  <c r="C280" i="2"/>
  <c r="D280" i="2"/>
  <c r="F280" i="2"/>
  <c r="C281" i="2"/>
  <c r="D281" i="2"/>
  <c r="F281" i="2"/>
  <c r="C282" i="2"/>
  <c r="D282" i="2"/>
  <c r="F282" i="2"/>
  <c r="C283" i="2"/>
  <c r="D283" i="2"/>
  <c r="F283" i="2"/>
  <c r="C284" i="2"/>
  <c r="D284" i="2"/>
  <c r="F284" i="2"/>
  <c r="C285" i="2"/>
  <c r="D285" i="2"/>
  <c r="F285" i="2"/>
  <c r="C286" i="2"/>
  <c r="D286" i="2"/>
  <c r="F286" i="2"/>
  <c r="C287" i="2"/>
  <c r="D287" i="2"/>
  <c r="F287" i="2"/>
  <c r="C288" i="2"/>
  <c r="D288" i="2"/>
  <c r="F288" i="2"/>
  <c r="C289" i="2"/>
  <c r="D289" i="2"/>
  <c r="F289" i="2"/>
  <c r="C290" i="2"/>
  <c r="D290" i="2"/>
  <c r="F290" i="2"/>
  <c r="C291" i="2"/>
  <c r="D291" i="2"/>
  <c r="F291" i="2"/>
  <c r="C292" i="2"/>
  <c r="D292" i="2"/>
  <c r="F292" i="2"/>
  <c r="C293" i="2"/>
  <c r="D293" i="2"/>
  <c r="F293" i="2"/>
  <c r="C294" i="2"/>
  <c r="D294" i="2"/>
  <c r="F294" i="2"/>
  <c r="C295" i="2"/>
  <c r="D295" i="2"/>
  <c r="F295" i="2"/>
  <c r="C296" i="2"/>
  <c r="D296" i="2"/>
  <c r="F296" i="2"/>
  <c r="C297" i="2"/>
  <c r="D297" i="2"/>
  <c r="F297" i="2"/>
  <c r="C298" i="2"/>
  <c r="D298" i="2"/>
  <c r="F298" i="2"/>
  <c r="C299" i="2"/>
  <c r="D299" i="2"/>
  <c r="F299" i="2"/>
  <c r="C300" i="2"/>
  <c r="D300" i="2"/>
  <c r="F300" i="2"/>
  <c r="C301" i="2"/>
  <c r="D301" i="2"/>
  <c r="F301" i="2"/>
  <c r="C302" i="2"/>
  <c r="D302" i="2"/>
  <c r="F302" i="2"/>
  <c r="C303" i="2"/>
  <c r="D303" i="2"/>
  <c r="F303" i="2"/>
  <c r="C304" i="2"/>
  <c r="D304" i="2"/>
  <c r="F304" i="2"/>
  <c r="C305" i="2"/>
  <c r="D305" i="2"/>
  <c r="F305" i="2"/>
  <c r="C306" i="2"/>
  <c r="D306" i="2"/>
  <c r="F306" i="2"/>
  <c r="C307" i="2"/>
  <c r="D307" i="2"/>
  <c r="F307" i="2"/>
  <c r="C308" i="2"/>
  <c r="D308" i="2"/>
  <c r="F308" i="2"/>
  <c r="C309" i="2"/>
  <c r="D309" i="2"/>
  <c r="F309" i="2"/>
  <c r="C310" i="2"/>
  <c r="D310" i="2"/>
  <c r="F310" i="2"/>
  <c r="C311" i="2"/>
  <c r="D311" i="2"/>
  <c r="F311" i="2"/>
  <c r="C312" i="2"/>
  <c r="D312" i="2"/>
  <c r="F312" i="2"/>
  <c r="C313" i="2"/>
  <c r="D313" i="2"/>
  <c r="F313" i="2"/>
  <c r="C314" i="2"/>
  <c r="D314" i="2"/>
  <c r="F314" i="2"/>
  <c r="C315" i="2"/>
  <c r="D315" i="2"/>
  <c r="F315" i="2"/>
  <c r="C316" i="2"/>
  <c r="D316" i="2"/>
  <c r="F316" i="2"/>
  <c r="C317" i="2"/>
  <c r="D317" i="2"/>
  <c r="F317" i="2"/>
  <c r="C318" i="2"/>
  <c r="D318" i="2"/>
  <c r="F318" i="2"/>
  <c r="C319" i="2"/>
  <c r="D319" i="2"/>
  <c r="F319" i="2"/>
  <c r="C320" i="2"/>
  <c r="D320" i="2"/>
  <c r="F320" i="2"/>
  <c r="C321" i="2"/>
  <c r="D321" i="2"/>
  <c r="F321" i="2"/>
  <c r="C322" i="2"/>
  <c r="D322" i="2"/>
  <c r="F322" i="2"/>
  <c r="C323" i="2"/>
  <c r="D323" i="2"/>
  <c r="F323" i="2"/>
  <c r="C324" i="2"/>
  <c r="D324" i="2"/>
  <c r="F324" i="2"/>
  <c r="C325" i="2"/>
  <c r="D325" i="2"/>
  <c r="F325" i="2"/>
  <c r="C326" i="2"/>
  <c r="D326" i="2"/>
  <c r="F326" i="2"/>
  <c r="C327" i="2"/>
  <c r="D327" i="2"/>
  <c r="F327" i="2"/>
  <c r="C328" i="2"/>
  <c r="D328" i="2"/>
  <c r="F328" i="2"/>
  <c r="C329" i="2"/>
  <c r="D329" i="2"/>
  <c r="F329" i="2"/>
  <c r="C330" i="2"/>
  <c r="D330" i="2"/>
  <c r="F330" i="2"/>
  <c r="C331" i="2"/>
  <c r="D331" i="2"/>
  <c r="F331" i="2"/>
  <c r="C332" i="2"/>
  <c r="D332" i="2"/>
  <c r="F332" i="2"/>
  <c r="C333" i="2"/>
  <c r="D333" i="2"/>
  <c r="F333" i="2"/>
  <c r="C334" i="2"/>
  <c r="D334" i="2"/>
  <c r="F334" i="2"/>
  <c r="C335" i="2"/>
  <c r="D335" i="2"/>
  <c r="F335" i="2"/>
  <c r="C336" i="2"/>
  <c r="D336" i="2"/>
  <c r="F336" i="2"/>
  <c r="C337" i="2"/>
  <c r="D337" i="2"/>
  <c r="F337" i="2"/>
  <c r="C338" i="2"/>
  <c r="D338" i="2"/>
  <c r="F338" i="2"/>
  <c r="C339" i="2"/>
  <c r="D339" i="2"/>
  <c r="F339" i="2"/>
  <c r="C340" i="2"/>
  <c r="D340" i="2"/>
  <c r="F340" i="2"/>
  <c r="C341" i="2"/>
  <c r="D341" i="2"/>
  <c r="F341" i="2"/>
  <c r="C342" i="2"/>
  <c r="D342" i="2"/>
  <c r="F342" i="2"/>
  <c r="C343" i="2"/>
  <c r="D343" i="2"/>
  <c r="F343" i="2"/>
  <c r="C344" i="2"/>
  <c r="D344" i="2"/>
  <c r="F344" i="2"/>
  <c r="C345" i="2"/>
  <c r="D345" i="2"/>
  <c r="F345" i="2"/>
  <c r="C346" i="2"/>
  <c r="D346" i="2"/>
  <c r="F346" i="2"/>
  <c r="C347" i="2"/>
  <c r="D347" i="2"/>
  <c r="F347" i="2"/>
  <c r="C348" i="2"/>
  <c r="D348" i="2"/>
  <c r="F348" i="2"/>
  <c r="J11" i="1"/>
  <c r="G11" i="1"/>
  <c r="D5" i="1"/>
  <c r="C5" i="1"/>
  <c r="G12" i="1"/>
  <c r="J12" i="1"/>
  <c r="L11" i="1"/>
  <c r="H11" i="1"/>
  <c r="D11" i="1"/>
  <c r="F11" i="1"/>
  <c r="K11" i="1"/>
  <c r="I11" i="1"/>
  <c r="E11" i="1"/>
  <c r="E5" i="1"/>
  <c r="C349" i="2"/>
  <c r="D349" i="2"/>
  <c r="F349" i="2"/>
  <c r="F12" i="1"/>
  <c r="L12" i="1"/>
  <c r="I12" i="1"/>
  <c r="E12" i="1"/>
  <c r="K12" i="1"/>
  <c r="D12" i="1"/>
  <c r="H12" i="1"/>
  <c r="C350" i="2"/>
  <c r="D350" i="2"/>
  <c r="F350" i="2"/>
  <c r="F5" i="1"/>
  <c r="C351" i="2"/>
  <c r="D351" i="2"/>
  <c r="F351" i="2"/>
  <c r="G5" i="1"/>
  <c r="C352" i="2"/>
  <c r="D352" i="2"/>
  <c r="F352" i="2"/>
  <c r="H5" i="1"/>
  <c r="C353" i="2"/>
  <c r="D353" i="2"/>
  <c r="F353" i="2"/>
  <c r="I5" i="1"/>
  <c r="C354" i="2"/>
  <c r="D354" i="2"/>
  <c r="F354" i="2"/>
  <c r="J5" i="1"/>
  <c r="C355" i="2"/>
  <c r="D355" i="2"/>
  <c r="F355" i="2"/>
  <c r="K5" i="1"/>
  <c r="C356" i="2"/>
  <c r="D356" i="2"/>
  <c r="F356" i="2"/>
  <c r="L5" i="1"/>
  <c r="C357" i="2"/>
  <c r="D357" i="2"/>
  <c r="F357" i="2"/>
  <c r="C358" i="2"/>
  <c r="D358" i="2"/>
  <c r="F358" i="2"/>
  <c r="C359" i="2"/>
  <c r="D359" i="2"/>
  <c r="F359" i="2"/>
  <c r="C360" i="2"/>
  <c r="D360" i="2"/>
  <c r="F360" i="2"/>
  <c r="C361" i="2"/>
  <c r="D361" i="2"/>
  <c r="F361" i="2"/>
  <c r="C362" i="2"/>
  <c r="D362" i="2"/>
  <c r="F362" i="2"/>
  <c r="C363" i="2"/>
  <c r="D363" i="2"/>
  <c r="F363" i="2"/>
  <c r="C364" i="2"/>
  <c r="D364" i="2"/>
  <c r="F364" i="2"/>
  <c r="C365" i="2"/>
  <c r="D365" i="2"/>
  <c r="F365" i="2"/>
  <c r="C366" i="2"/>
  <c r="D366" i="2"/>
  <c r="F366" i="2"/>
  <c r="C367" i="2"/>
  <c r="D367" i="2"/>
  <c r="F367" i="2"/>
  <c r="C368" i="2"/>
  <c r="D368" i="2"/>
  <c r="F368" i="2"/>
  <c r="C369" i="2"/>
  <c r="D369" i="2"/>
  <c r="F369" i="2"/>
  <c r="G5" i="2"/>
  <c r="B14" i="8"/>
  <c r="G39" i="8"/>
</calcChain>
</file>

<file path=xl/sharedStrings.xml><?xml version="1.0" encoding="utf-8"?>
<sst xmlns="http://schemas.openxmlformats.org/spreadsheetml/2006/main" count="180" uniqueCount="151">
  <si>
    <t>Days of Inventory</t>
  </si>
  <si>
    <t>Accts Receivable Days</t>
  </si>
  <si>
    <t>Accts Payable Days</t>
  </si>
  <si>
    <t>Building Maintenance Expense</t>
  </si>
  <si>
    <t>General and Admin Expense</t>
  </si>
  <si>
    <t>Depreciation Expense</t>
  </si>
  <si>
    <t>Movie Price (Matinee)</t>
  </si>
  <si>
    <t>Movie Price (Evening)</t>
  </si>
  <si>
    <t>Movie Price (Military)</t>
  </si>
  <si>
    <t>% Change</t>
  </si>
  <si>
    <t>Matinee Seating</t>
  </si>
  <si>
    <t>Evening Seating</t>
  </si>
  <si>
    <t>Daily Matinee Seating</t>
  </si>
  <si>
    <t>Daily Evening Seating</t>
  </si>
  <si>
    <t>Daily Evening Military Seating</t>
  </si>
  <si>
    <t>Yearly Seating</t>
  </si>
  <si>
    <t>Concessions</t>
  </si>
  <si>
    <t>Income Statement</t>
  </si>
  <si>
    <t>Movie Revenue</t>
  </si>
  <si>
    <t>Concession Revenue</t>
  </si>
  <si>
    <t>COGS Concession</t>
  </si>
  <si>
    <t>Labor Expense</t>
  </si>
  <si>
    <t xml:space="preserve">     Total Revenue</t>
  </si>
  <si>
    <t>Mortgage Interest Expense</t>
  </si>
  <si>
    <t>Mortgage Payment</t>
  </si>
  <si>
    <t>Loan Amt:</t>
  </si>
  <si>
    <t>Extra Pmt:</t>
  </si>
  <si>
    <t>Int. Rate</t>
  </si>
  <si>
    <t>Period</t>
  </si>
  <si>
    <t>Total Int:</t>
  </si>
  <si>
    <t>Payment</t>
  </si>
  <si>
    <t>Interest</t>
  </si>
  <si>
    <t>Principal</t>
  </si>
  <si>
    <t>Extra Pmt.</t>
  </si>
  <si>
    <t>Loan Bal.</t>
  </si>
  <si>
    <t>Remaining</t>
  </si>
  <si>
    <t>Yr1</t>
  </si>
  <si>
    <t>Yr2</t>
  </si>
  <si>
    <t>Yr3</t>
  </si>
  <si>
    <t>Yr4</t>
  </si>
  <si>
    <t>Yr5</t>
  </si>
  <si>
    <t>Yr6</t>
  </si>
  <si>
    <t>Yr7</t>
  </si>
  <si>
    <t>Yr8</t>
  </si>
  <si>
    <t>Yr9</t>
  </si>
  <si>
    <t>Yr10</t>
  </si>
  <si>
    <t>Extra Bank Loan Interest Expense</t>
  </si>
  <si>
    <t>Taxable Income</t>
  </si>
  <si>
    <t>Income Tax</t>
  </si>
  <si>
    <t>Net Income</t>
  </si>
  <si>
    <t>Balance Sheet</t>
  </si>
  <si>
    <t>Minimum Cash</t>
  </si>
  <si>
    <t>Extra Cash</t>
  </si>
  <si>
    <t>Accounts Receivable</t>
  </si>
  <si>
    <t>Inventory</t>
  </si>
  <si>
    <t>Buildings</t>
  </si>
  <si>
    <t>Accumulated Depreciation</t>
  </si>
  <si>
    <t>TOTAL ASSETS</t>
  </si>
  <si>
    <t>Accounts Payable</t>
  </si>
  <si>
    <t>Taxes Payable</t>
  </si>
  <si>
    <t>Mortgage Loan</t>
  </si>
  <si>
    <t>Extra Bank Loan</t>
  </si>
  <si>
    <t>Common Stock</t>
  </si>
  <si>
    <t>Retained Earnings</t>
  </si>
  <si>
    <t>Total Liabilities and Equity</t>
  </si>
  <si>
    <t>DFN</t>
  </si>
  <si>
    <t>Assets</t>
  </si>
  <si>
    <t>`</t>
  </si>
  <si>
    <t>Royalty Expense</t>
  </si>
  <si>
    <t>Building Expansion Expense</t>
  </si>
  <si>
    <t>Arcade Revenue</t>
  </si>
  <si>
    <t>Fort Cinema Movie Theater</t>
  </si>
  <si>
    <t xml:space="preserve">     Total Current Assets</t>
  </si>
  <si>
    <t>Liabilities and Equity</t>
  </si>
  <si>
    <t>WACC</t>
  </si>
  <si>
    <t>CAPM for return equity holders want:</t>
  </si>
  <si>
    <t xml:space="preserve">   Beta</t>
  </si>
  <si>
    <t xml:space="preserve">   S&amp;P 500 Rate</t>
  </si>
  <si>
    <t xml:space="preserve">   T-Bill Rate</t>
  </si>
  <si>
    <t xml:space="preserve">   Return Equity Holders want</t>
  </si>
  <si>
    <t>Return Debt Holders Want</t>
  </si>
  <si>
    <t xml:space="preserve">    Fixed Rate Mortgage Debt</t>
  </si>
  <si>
    <t xml:space="preserve">    Fixed rate of Bank Loan debt</t>
  </si>
  <si>
    <t xml:space="preserve">    Combined rate of all debt</t>
  </si>
  <si>
    <t>Debt in 2013</t>
  </si>
  <si>
    <t>Proportion in 2013</t>
  </si>
  <si>
    <t>Tax Rate of Company</t>
  </si>
  <si>
    <t>Debt Investors</t>
  </si>
  <si>
    <t xml:space="preserve">   Mortgage on Buildings</t>
  </si>
  <si>
    <t xml:space="preserve">   Bank Loan</t>
  </si>
  <si>
    <r>
      <t xml:space="preserve">       </t>
    </r>
    <r>
      <rPr>
        <b/>
        <sz val="11"/>
        <color theme="1"/>
        <rFont val="Calibri"/>
        <family val="2"/>
        <scheme val="minor"/>
      </rPr>
      <t>PORTION OF TOTAL DEBT</t>
    </r>
  </si>
  <si>
    <t>Equity Investors (Including Retained Earnings)</t>
  </si>
  <si>
    <t xml:space="preserve">   Shareholder Contributions</t>
  </si>
  <si>
    <t xml:space="preserve">   Retained Earnings</t>
  </si>
  <si>
    <t>Total Debt and Equity</t>
  </si>
  <si>
    <t>WACC Projected for 2015</t>
  </si>
  <si>
    <t>Cash from operations</t>
  </si>
  <si>
    <t xml:space="preserve">     Operating Income</t>
  </si>
  <si>
    <t xml:space="preserve">     Less: Depreciation</t>
  </si>
  <si>
    <t xml:space="preserve">     Taxable Operating Income</t>
  </si>
  <si>
    <t xml:space="preserve">     Taxes on Operations Only</t>
  </si>
  <si>
    <t xml:space="preserve">     Add back: Depreciation</t>
  </si>
  <si>
    <t xml:space="preserve">     Cash From Operations</t>
  </si>
  <si>
    <t>Cash in/out from Capital Expenditures</t>
  </si>
  <si>
    <t xml:space="preserve">     Buy Buildings</t>
  </si>
  <si>
    <t xml:space="preserve">     Refurbishing</t>
  </si>
  <si>
    <t xml:space="preserve">     Sale of building</t>
  </si>
  <si>
    <t xml:space="preserve">     Taxes on Sale of Building</t>
  </si>
  <si>
    <t>Cash from Changes in Working Capital</t>
  </si>
  <si>
    <t xml:space="preserve">     Accounts Receivable</t>
  </si>
  <si>
    <t xml:space="preserve">     Inventory</t>
  </si>
  <si>
    <t xml:space="preserve">     Income Tax Payable (Operations Only)</t>
  </si>
  <si>
    <t xml:space="preserve">     Accounts Payable - COGS</t>
  </si>
  <si>
    <t>TOTAL FREE CASH FLOWS</t>
  </si>
  <si>
    <t>Cash from liquidating Working Capital</t>
  </si>
  <si>
    <t>IRR</t>
  </si>
  <si>
    <t>PV of FCF</t>
  </si>
  <si>
    <t>NPV</t>
  </si>
  <si>
    <t>Return On Building</t>
  </si>
  <si>
    <t>Unlevered and Relevered Beta</t>
  </si>
  <si>
    <t>Old Debt</t>
  </si>
  <si>
    <t xml:space="preserve">Old Equity </t>
  </si>
  <si>
    <t>Tax Rate</t>
  </si>
  <si>
    <t>Equity Beta</t>
  </si>
  <si>
    <t>Unlevered</t>
  </si>
  <si>
    <t>New Debt</t>
  </si>
  <si>
    <t>New Equity</t>
  </si>
  <si>
    <t>Relevered Beta</t>
  </si>
  <si>
    <t>Probability Options</t>
  </si>
  <si>
    <t>Free Cash Flow</t>
  </si>
  <si>
    <t>Probability</t>
  </si>
  <si>
    <t>Strong Market Total FCF</t>
  </si>
  <si>
    <t xml:space="preserve">     Total FCF from Operations</t>
  </si>
  <si>
    <t xml:space="preserve">         Addition of Building</t>
  </si>
  <si>
    <t xml:space="preserve">     Total FCF from Capital Exp</t>
  </si>
  <si>
    <t xml:space="preserve">     Total FCF from WC Changes</t>
  </si>
  <si>
    <t xml:space="preserve">     Total FCF from Liquid</t>
  </si>
  <si>
    <t xml:space="preserve">            TOTAL FREE CASH FLOWS</t>
  </si>
  <si>
    <t xml:space="preserve">                  IRR</t>
  </si>
  <si>
    <t xml:space="preserve">      PV of FCF</t>
  </si>
  <si>
    <t xml:space="preserve">      WACC  </t>
  </si>
  <si>
    <t xml:space="preserve">                  NPV</t>
  </si>
  <si>
    <t>NPV * Probability</t>
  </si>
  <si>
    <t>Neutral Market Total FCF</t>
  </si>
  <si>
    <t>Bad Market Total FCF</t>
  </si>
  <si>
    <t>STDEV(%)</t>
  </si>
  <si>
    <t>Option Price</t>
  </si>
  <si>
    <t>Expected NPV (S)</t>
  </si>
  <si>
    <t>Purchase Price (X)</t>
  </si>
  <si>
    <t>Length of Option (t)</t>
  </si>
  <si>
    <t>Risk Free Rate(r)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</si>
</sst>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  <numFmt numFmtId="167" formatCode="_(* #,##0.00_);_(* \(#,##0.00\);_(* \-??_);_(@_)"/>
    <numFmt numFmtId="168" formatCode="_(\$* #,##0.00_);_(\$* \(#,##0.00\);_(\$* \-??_);_(@_)"/>
    <numFmt numFmtId="169" formatCode="_(\$* #,##0_);_(\$* \(#,##0\);_(\$* \-??_);_(@_)"/>
    <numFmt numFmtId="170" formatCode="0.00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</font>
    <font>
      <sz val="10"/>
      <name val="Arial"/>
      <family val="2"/>
    </font>
    <font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3366FF"/>
      <name val="Calibri"/>
      <scheme val="minor"/>
    </font>
    <font>
      <b/>
      <sz val="14"/>
      <color theme="8" tint="-0.249977111117893"/>
      <name val="Calibri"/>
      <scheme val="minor"/>
    </font>
    <font>
      <sz val="11"/>
      <color theme="0"/>
      <name val="Calibri"/>
      <scheme val="minor"/>
    </font>
    <font>
      <sz val="11"/>
      <color rgb="FF00B0F0"/>
      <name val="Calibri"/>
      <family val="2"/>
      <scheme val="minor"/>
    </font>
    <font>
      <sz val="11"/>
      <color rgb="FF0000FF"/>
      <name val="Calibri"/>
      <scheme val="minor"/>
    </font>
    <font>
      <b/>
      <sz val="10"/>
      <color theme="1"/>
      <name val="Calibri"/>
      <scheme val="minor"/>
    </font>
    <font>
      <sz val="11"/>
      <color rgb="FF0000FF"/>
      <name val="Calibri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rgb="FF31869B"/>
        <bgColor rgb="FF000000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0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0" borderId="0"/>
    <xf numFmtId="167" fontId="9" fillId="0" borderId="0"/>
    <xf numFmtId="168" fontId="9" fillId="0" borderId="0"/>
    <xf numFmtId="0" fontId="9" fillId="0" borderId="0"/>
    <xf numFmtId="9" fontId="9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93">
    <xf numFmtId="0" fontId="0" fillId="0" borderId="0" xfId="0"/>
    <xf numFmtId="44" fontId="0" fillId="0" borderId="0" xfId="1" applyFont="1"/>
    <xf numFmtId="44" fontId="0" fillId="0" borderId="0" xfId="0" applyNumberFormat="1"/>
    <xf numFmtId="0" fontId="0" fillId="0" borderId="0" xfId="1" applyNumberFormat="1" applyFont="1"/>
    <xf numFmtId="0" fontId="0" fillId="0" borderId="0" xfId="0" applyFont="1"/>
    <xf numFmtId="164" fontId="0" fillId="0" borderId="0" xfId="0" applyNumberFormat="1"/>
    <xf numFmtId="0" fontId="3" fillId="2" borderId="0" xfId="0" applyFont="1" applyFill="1"/>
    <xf numFmtId="165" fontId="0" fillId="0" borderId="0" xfId="2" applyNumberFormat="1" applyFont="1"/>
    <xf numFmtId="0" fontId="4" fillId="0" borderId="0" xfId="0" applyFont="1"/>
    <xf numFmtId="0" fontId="4" fillId="0" borderId="1" xfId="0" applyFont="1" applyBorder="1"/>
    <xf numFmtId="44" fontId="0" fillId="0" borderId="1" xfId="1" applyFont="1" applyBorder="1"/>
    <xf numFmtId="44" fontId="1" fillId="0" borderId="1" xfId="1" applyFont="1" applyBorder="1"/>
    <xf numFmtId="166" fontId="0" fillId="0" borderId="1" xfId="3" applyNumberFormat="1" applyFont="1" applyBorder="1"/>
    <xf numFmtId="10" fontId="0" fillId="0" borderId="0" xfId="3" applyNumberFormat="1" applyFont="1"/>
    <xf numFmtId="0" fontId="0" fillId="0" borderId="1" xfId="0" applyFont="1" applyBorder="1"/>
    <xf numFmtId="0" fontId="0" fillId="0" borderId="1" xfId="0" applyBorder="1"/>
    <xf numFmtId="0" fontId="4" fillId="0" borderId="0" xfId="0" applyFont="1" applyAlignment="1">
      <alignment horizontal="right"/>
    </xf>
    <xf numFmtId="8" fontId="0" fillId="0" borderId="1" xfId="0" applyNumberFormat="1" applyBorder="1"/>
    <xf numFmtId="44" fontId="0" fillId="0" borderId="1" xfId="0" applyNumberFormat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166" fontId="0" fillId="0" borderId="0" xfId="3" applyNumberFormat="1" applyFont="1"/>
    <xf numFmtId="43" fontId="0" fillId="0" borderId="0" xfId="2" applyFont="1"/>
    <xf numFmtId="9" fontId="0" fillId="0" borderId="0" xfId="1" applyNumberFormat="1" applyFont="1"/>
    <xf numFmtId="170" fontId="0" fillId="0" borderId="0" xfId="3" applyNumberFormat="1" applyFont="1"/>
    <xf numFmtId="9" fontId="9" fillId="0" borderId="0" xfId="3" applyFont="1"/>
    <xf numFmtId="0" fontId="8" fillId="0" borderId="0" xfId="4"/>
    <xf numFmtId="0" fontId="9" fillId="0" borderId="0" xfId="7"/>
    <xf numFmtId="169" fontId="9" fillId="0" borderId="0" xfId="7" applyNumberFormat="1"/>
    <xf numFmtId="167" fontId="9" fillId="0" borderId="0" xfId="7" applyNumberFormat="1"/>
    <xf numFmtId="0" fontId="0" fillId="0" borderId="5" xfId="0" applyBorder="1"/>
    <xf numFmtId="0" fontId="0" fillId="0" borderId="7" xfId="0" applyBorder="1"/>
    <xf numFmtId="10" fontId="0" fillId="0" borderId="8" xfId="0" applyNumberFormat="1" applyBorder="1"/>
    <xf numFmtId="9" fontId="0" fillId="0" borderId="8" xfId="0" applyNumberFormat="1" applyBorder="1"/>
    <xf numFmtId="0" fontId="0" fillId="0" borderId="8" xfId="0" applyBorder="1"/>
    <xf numFmtId="0" fontId="12" fillId="3" borderId="0" xfId="0" applyFont="1" applyFill="1"/>
    <xf numFmtId="0" fontId="13" fillId="0" borderId="0" xfId="0" applyFont="1"/>
    <xf numFmtId="164" fontId="13" fillId="0" borderId="0" xfId="0" applyNumberFormat="1" applyFont="1"/>
    <xf numFmtId="9" fontId="13" fillId="0" borderId="0" xfId="0" applyNumberFormat="1" applyFont="1"/>
    <xf numFmtId="44" fontId="13" fillId="0" borderId="0" xfId="0" applyNumberFormat="1" applyFont="1"/>
    <xf numFmtId="44" fontId="13" fillId="0" borderId="2" xfId="0" applyNumberFormat="1" applyFont="1" applyBorder="1"/>
    <xf numFmtId="0" fontId="14" fillId="0" borderId="0" xfId="0" applyFont="1"/>
    <xf numFmtId="9" fontId="15" fillId="0" borderId="0" xfId="0" applyNumberFormat="1" applyFont="1"/>
    <xf numFmtId="0" fontId="15" fillId="0" borderId="0" xfId="0" applyFont="1"/>
    <xf numFmtId="166" fontId="15" fillId="0" borderId="0" xfId="0" applyNumberFormat="1" applyFont="1"/>
    <xf numFmtId="0" fontId="16" fillId="2" borderId="0" xfId="0" applyFont="1" applyFill="1"/>
    <xf numFmtId="0" fontId="17" fillId="2" borderId="9" xfId="0" applyFont="1" applyFill="1" applyBorder="1"/>
    <xf numFmtId="0" fontId="17" fillId="2" borderId="10" xfId="0" applyFont="1" applyFill="1" applyBorder="1"/>
    <xf numFmtId="44" fontId="13" fillId="0" borderId="0" xfId="0" applyNumberFormat="1" applyFont="1" applyFill="1" applyAlignment="1">
      <alignment horizontal="left"/>
    </xf>
    <xf numFmtId="44" fontId="13" fillId="0" borderId="0" xfId="0" applyNumberFormat="1" applyFont="1" applyFill="1"/>
    <xf numFmtId="44" fontId="13" fillId="0" borderId="4" xfId="0" applyNumberFormat="1" applyFont="1" applyBorder="1"/>
    <xf numFmtId="10" fontId="13" fillId="0" borderId="0" xfId="0" applyNumberFormat="1" applyFont="1"/>
    <xf numFmtId="0" fontId="3" fillId="0" borderId="0" xfId="0" applyFont="1" applyFill="1"/>
    <xf numFmtId="0" fontId="16" fillId="0" borderId="0" xfId="0" applyFont="1" applyFill="1"/>
    <xf numFmtId="0" fontId="2" fillId="0" borderId="0" xfId="35"/>
    <xf numFmtId="0" fontId="2" fillId="0" borderId="0" xfId="35" applyFont="1"/>
    <xf numFmtId="0" fontId="5" fillId="0" borderId="0" xfId="35" applyFont="1"/>
    <xf numFmtId="165" fontId="2" fillId="0" borderId="0" xfId="36" applyNumberFormat="1" applyFont="1"/>
    <xf numFmtId="10" fontId="2" fillId="0" borderId="0" xfId="35" applyNumberFormat="1"/>
    <xf numFmtId="10" fontId="2" fillId="0" borderId="0" xfId="37" applyNumberFormat="1" applyFont="1"/>
    <xf numFmtId="9" fontId="0" fillId="0" borderId="1" xfId="3" applyFont="1" applyBorder="1"/>
    <xf numFmtId="9" fontId="0" fillId="0" borderId="1" xfId="3" applyNumberFormat="1" applyFont="1" applyBorder="1"/>
    <xf numFmtId="44" fontId="18" fillId="0" borderId="1" xfId="1" applyFont="1" applyBorder="1"/>
    <xf numFmtId="0" fontId="0" fillId="2" borderId="0" xfId="0" applyFill="1"/>
    <xf numFmtId="9" fontId="19" fillId="0" borderId="0" xfId="0" applyNumberFormat="1" applyFont="1" applyFill="1"/>
    <xf numFmtId="0" fontId="19" fillId="0" borderId="0" xfId="0" applyFont="1" applyFill="1"/>
    <xf numFmtId="44" fontId="19" fillId="0" borderId="0" xfId="1" applyFont="1" applyFill="1"/>
    <xf numFmtId="9" fontId="15" fillId="0" borderId="0" xfId="0" applyNumberFormat="1" applyFont="1" applyFill="1"/>
    <xf numFmtId="0" fontId="15" fillId="0" borderId="0" xfId="0" applyFont="1" applyFill="1"/>
    <xf numFmtId="0" fontId="20" fillId="0" borderId="1" xfId="0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5" fillId="0" borderId="3" xfId="0" applyFont="1" applyBorder="1"/>
    <xf numFmtId="0" fontId="5" fillId="0" borderId="3" xfId="35" applyFont="1" applyBorder="1"/>
    <xf numFmtId="44" fontId="19" fillId="0" borderId="0" xfId="1" applyFont="1"/>
    <xf numFmtId="0" fontId="19" fillId="0" borderId="0" xfId="0" applyFont="1"/>
    <xf numFmtId="164" fontId="19" fillId="0" borderId="0" xfId="0" applyNumberFormat="1" applyFont="1"/>
    <xf numFmtId="9" fontId="19" fillId="0" borderId="0" xfId="0" applyNumberFormat="1" applyFont="1"/>
    <xf numFmtId="44" fontId="19" fillId="0" borderId="0" xfId="1" applyNumberFormat="1" applyFont="1"/>
    <xf numFmtId="44" fontId="0" fillId="0" borderId="0" xfId="1" applyNumberFormat="1" applyFont="1"/>
    <xf numFmtId="44" fontId="19" fillId="0" borderId="0" xfId="0" applyNumberFormat="1" applyFont="1"/>
    <xf numFmtId="10" fontId="19" fillId="0" borderId="0" xfId="3" applyNumberFormat="1" applyFont="1"/>
    <xf numFmtId="169" fontId="21" fillId="0" borderId="0" xfId="7" applyNumberFormat="1" applyFont="1"/>
    <xf numFmtId="10" fontId="19" fillId="0" borderId="6" xfId="0" applyNumberFormat="1" applyFont="1" applyBorder="1"/>
    <xf numFmtId="10" fontId="19" fillId="0" borderId="8" xfId="0" applyNumberFormat="1" applyFont="1" applyBorder="1"/>
    <xf numFmtId="0" fontId="19" fillId="0" borderId="8" xfId="0" applyFont="1" applyBorder="1"/>
    <xf numFmtId="9" fontId="19" fillId="0" borderId="0" xfId="35" applyNumberFormat="1" applyFont="1"/>
    <xf numFmtId="9" fontId="19" fillId="0" borderId="0" xfId="3" applyFont="1"/>
    <xf numFmtId="44" fontId="2" fillId="0" borderId="0" xfId="36" applyNumberFormat="1" applyFont="1"/>
    <xf numFmtId="44" fontId="2" fillId="0" borderId="0" xfId="35" applyNumberFormat="1"/>
    <xf numFmtId="44" fontId="0" fillId="0" borderId="0" xfId="2" applyNumberFormat="1" applyFont="1"/>
    <xf numFmtId="44" fontId="0" fillId="0" borderId="0" xfId="36" applyNumberFormat="1" applyFont="1"/>
    <xf numFmtId="44" fontId="5" fillId="0" borderId="3" xfId="1" applyFont="1" applyBorder="1" applyAlignment="1">
      <alignment horizontal="center"/>
    </xf>
  </cellXfs>
  <cellStyles count="50">
    <cellStyle name="Comma" xfId="2" builtinId="3"/>
    <cellStyle name="Comma 2" xfId="5"/>
    <cellStyle name="Comma 3" xfId="36"/>
    <cellStyle name="Currency" xfId="1" builtinId="4"/>
    <cellStyle name="Currency 2" xfId="6"/>
    <cellStyle name="Excel Built-in Normal" xfId="7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Normal" xfId="0" builtinId="0"/>
    <cellStyle name="Normal 2" xfId="4"/>
    <cellStyle name="Normal 3" xfId="35"/>
    <cellStyle name="Percent" xfId="3" builtinId="5"/>
    <cellStyle name="Percent 2" xfId="8"/>
    <cellStyle name="Percent 3" xfId="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/>
  <dimension ref="A1:M15"/>
  <sheetViews>
    <sheetView workbookViewId="0">
      <selection activeCell="F16" sqref="F16"/>
    </sheetView>
  </sheetViews>
  <sheetFormatPr defaultColWidth="8.85546875" defaultRowHeight="15" x14ac:dyDescent="0.25"/>
  <cols>
    <col min="1" max="1" width="30.28515625" customWidth="1"/>
    <col min="2" max="2" width="13.7109375" bestFit="1" customWidth="1"/>
    <col min="3" max="12" width="14.42578125" customWidth="1"/>
    <col min="13" max="13" width="10.7109375" customWidth="1"/>
  </cols>
  <sheetData>
    <row r="1" spans="1:13" ht="18.75" x14ac:dyDescent="0.3">
      <c r="A1" s="36" t="s">
        <v>71</v>
      </c>
      <c r="B1" s="36"/>
      <c r="C1" s="36"/>
      <c r="D1" s="36"/>
      <c r="E1" s="64"/>
      <c r="F1" s="64"/>
      <c r="G1" s="64"/>
      <c r="H1" s="64"/>
      <c r="I1" s="64"/>
      <c r="J1" s="64"/>
      <c r="K1" s="64"/>
      <c r="L1" s="64"/>
    </row>
    <row r="2" spans="1:13" x14ac:dyDescent="0.25">
      <c r="C2" s="72">
        <v>2013</v>
      </c>
      <c r="D2" s="72">
        <v>2014</v>
      </c>
      <c r="E2" s="72">
        <v>2015</v>
      </c>
      <c r="F2" s="72">
        <v>2016</v>
      </c>
      <c r="G2" s="72">
        <v>2017</v>
      </c>
      <c r="H2" s="72">
        <v>2018</v>
      </c>
      <c r="I2" s="72">
        <v>2019</v>
      </c>
      <c r="J2" s="72">
        <v>2020</v>
      </c>
      <c r="K2" s="72">
        <v>2021</v>
      </c>
      <c r="L2" s="72">
        <v>2022</v>
      </c>
      <c r="M2" t="s">
        <v>9</v>
      </c>
    </row>
    <row r="3" spans="1:13" x14ac:dyDescent="0.25">
      <c r="A3" t="s">
        <v>6</v>
      </c>
      <c r="C3" s="74">
        <v>6.5</v>
      </c>
      <c r="D3" s="74">
        <f>C3*(1+$M$3)</f>
        <v>6.6950000000000003</v>
      </c>
      <c r="E3" s="74">
        <f>D3*(1+$M$3)</f>
        <v>6.8958500000000003</v>
      </c>
      <c r="F3" s="74">
        <f>E3*(1+$M$3)</f>
        <v>7.1027255</v>
      </c>
      <c r="G3" s="74">
        <f>F3*(1+$M$3)</f>
        <v>7.3158072650000001</v>
      </c>
      <c r="H3" s="74">
        <f t="shared" ref="H3:L3" si="0">G3*(1+$M$3)</f>
        <v>7.5352814829500003</v>
      </c>
      <c r="I3" s="74">
        <f t="shared" si="0"/>
        <v>7.7613399274385007</v>
      </c>
      <c r="J3" s="74">
        <f t="shared" si="0"/>
        <v>7.9941801252616562</v>
      </c>
      <c r="K3" s="74">
        <f t="shared" si="0"/>
        <v>8.2340055290195053</v>
      </c>
      <c r="L3" s="74">
        <f t="shared" si="0"/>
        <v>8.4810256948900911</v>
      </c>
      <c r="M3" s="65">
        <v>0.03</v>
      </c>
    </row>
    <row r="4" spans="1:13" x14ac:dyDescent="0.25">
      <c r="A4" t="s">
        <v>7</v>
      </c>
      <c r="C4" s="74">
        <v>8.5</v>
      </c>
      <c r="D4" s="74">
        <f>C4*(1+$M$4)</f>
        <v>8.7550000000000008</v>
      </c>
      <c r="E4" s="74">
        <f>D4*(1+$M$4)</f>
        <v>9.0176500000000015</v>
      </c>
      <c r="F4" s="74">
        <f>E4*(1+$M$4)</f>
        <v>9.2881795000000018</v>
      </c>
      <c r="G4" s="74">
        <f>F4*(1+$M$4)</f>
        <v>9.5668248850000026</v>
      </c>
      <c r="H4" s="74">
        <f t="shared" ref="H4:L4" si="1">G4*(1+$M$4)</f>
        <v>9.8538296315500027</v>
      </c>
      <c r="I4" s="74">
        <f t="shared" si="1"/>
        <v>10.149444520496504</v>
      </c>
      <c r="J4" s="74">
        <f t="shared" si="1"/>
        <v>10.453927856111399</v>
      </c>
      <c r="K4" s="74">
        <f t="shared" si="1"/>
        <v>10.767545691794741</v>
      </c>
      <c r="L4" s="74">
        <f t="shared" si="1"/>
        <v>11.090572062548583</v>
      </c>
      <c r="M4" s="65">
        <v>0.03</v>
      </c>
    </row>
    <row r="5" spans="1:13" x14ac:dyDescent="0.25">
      <c r="A5" t="s">
        <v>8</v>
      </c>
      <c r="C5" s="1">
        <f>C3</f>
        <v>6.5</v>
      </c>
      <c r="D5" s="1">
        <f t="shared" ref="D5:L5" si="2">D3</f>
        <v>6.6950000000000003</v>
      </c>
      <c r="E5" s="1">
        <f t="shared" si="2"/>
        <v>6.8958500000000003</v>
      </c>
      <c r="F5" s="1">
        <f t="shared" si="2"/>
        <v>7.1027255</v>
      </c>
      <c r="G5" s="1">
        <f t="shared" si="2"/>
        <v>7.3158072650000001</v>
      </c>
      <c r="H5" s="1">
        <f t="shared" si="2"/>
        <v>7.5352814829500003</v>
      </c>
      <c r="I5" s="1">
        <f t="shared" si="2"/>
        <v>7.7613399274385007</v>
      </c>
      <c r="J5" s="1">
        <f t="shared" si="2"/>
        <v>7.9941801252616562</v>
      </c>
      <c r="K5" s="1">
        <f t="shared" si="2"/>
        <v>8.2340055290195053</v>
      </c>
      <c r="L5" s="1">
        <f t="shared" si="2"/>
        <v>8.4810256948900911</v>
      </c>
    </row>
    <row r="6" spans="1:13" x14ac:dyDescent="0.25">
      <c r="A6" t="s">
        <v>10</v>
      </c>
      <c r="C6" s="3">
        <v>600</v>
      </c>
      <c r="D6" s="3">
        <v>600</v>
      </c>
      <c r="E6" s="3">
        <v>600</v>
      </c>
      <c r="F6" s="3">
        <v>600</v>
      </c>
      <c r="G6" s="3">
        <v>600</v>
      </c>
      <c r="H6" s="3">
        <v>600</v>
      </c>
      <c r="I6" s="3">
        <v>600</v>
      </c>
      <c r="J6" s="3">
        <v>600</v>
      </c>
      <c r="K6" s="3">
        <v>600</v>
      </c>
      <c r="L6" s="3">
        <v>600</v>
      </c>
    </row>
    <row r="7" spans="1:13" x14ac:dyDescent="0.25">
      <c r="A7" t="s">
        <v>11</v>
      </c>
      <c r="C7" s="3">
        <v>900</v>
      </c>
      <c r="D7" s="3">
        <v>900</v>
      </c>
      <c r="E7" s="3">
        <v>900</v>
      </c>
      <c r="F7" s="3">
        <v>900</v>
      </c>
      <c r="G7" s="3">
        <v>900</v>
      </c>
      <c r="H7" s="3">
        <v>900</v>
      </c>
      <c r="I7" s="3">
        <v>900</v>
      </c>
      <c r="J7" s="3">
        <v>900</v>
      </c>
      <c r="K7" s="3">
        <v>900</v>
      </c>
      <c r="L7" s="3">
        <v>900</v>
      </c>
    </row>
    <row r="8" spans="1:13" x14ac:dyDescent="0.25">
      <c r="A8" t="s">
        <v>12</v>
      </c>
      <c r="C8">
        <f t="shared" ref="C8:L8" si="3">C6*$M$8</f>
        <v>120</v>
      </c>
      <c r="D8">
        <f t="shared" si="3"/>
        <v>120</v>
      </c>
      <c r="E8">
        <f t="shared" si="3"/>
        <v>120</v>
      </c>
      <c r="F8">
        <f t="shared" si="3"/>
        <v>120</v>
      </c>
      <c r="G8">
        <f t="shared" si="3"/>
        <v>120</v>
      </c>
      <c r="H8">
        <f t="shared" si="3"/>
        <v>120</v>
      </c>
      <c r="I8">
        <f t="shared" si="3"/>
        <v>120</v>
      </c>
      <c r="J8">
        <f t="shared" si="3"/>
        <v>120</v>
      </c>
      <c r="K8">
        <f t="shared" si="3"/>
        <v>120</v>
      </c>
      <c r="L8">
        <f t="shared" si="3"/>
        <v>120</v>
      </c>
      <c r="M8" s="65">
        <v>0.2</v>
      </c>
    </row>
    <row r="9" spans="1:13" x14ac:dyDescent="0.25">
      <c r="A9" t="s">
        <v>13</v>
      </c>
      <c r="C9">
        <f t="shared" ref="C9:L9" si="4">C7*$M$9</f>
        <v>108</v>
      </c>
      <c r="D9">
        <f t="shared" si="4"/>
        <v>108</v>
      </c>
      <c r="E9">
        <f t="shared" si="4"/>
        <v>108</v>
      </c>
      <c r="F9">
        <f t="shared" si="4"/>
        <v>108</v>
      </c>
      <c r="G9">
        <f t="shared" si="4"/>
        <v>108</v>
      </c>
      <c r="H9">
        <f t="shared" si="4"/>
        <v>108</v>
      </c>
      <c r="I9">
        <f t="shared" si="4"/>
        <v>108</v>
      </c>
      <c r="J9">
        <f t="shared" si="4"/>
        <v>108</v>
      </c>
      <c r="K9">
        <f t="shared" si="4"/>
        <v>108</v>
      </c>
      <c r="L9">
        <f t="shared" si="4"/>
        <v>108</v>
      </c>
      <c r="M9" s="65">
        <v>0.12</v>
      </c>
    </row>
    <row r="10" spans="1:13" x14ac:dyDescent="0.25">
      <c r="A10" t="s">
        <v>14</v>
      </c>
      <c r="C10">
        <f t="shared" ref="C10:L10" si="5">C7*$M$10</f>
        <v>162</v>
      </c>
      <c r="D10">
        <f t="shared" si="5"/>
        <v>162</v>
      </c>
      <c r="E10">
        <f t="shared" si="5"/>
        <v>162</v>
      </c>
      <c r="F10">
        <f t="shared" si="5"/>
        <v>162</v>
      </c>
      <c r="G10">
        <f t="shared" si="5"/>
        <v>162</v>
      </c>
      <c r="H10">
        <f t="shared" si="5"/>
        <v>162</v>
      </c>
      <c r="I10">
        <f t="shared" si="5"/>
        <v>162</v>
      </c>
      <c r="J10">
        <f t="shared" si="5"/>
        <v>162</v>
      </c>
      <c r="K10">
        <f t="shared" si="5"/>
        <v>162</v>
      </c>
      <c r="L10">
        <f t="shared" si="5"/>
        <v>162</v>
      </c>
      <c r="M10" s="65">
        <v>0.18</v>
      </c>
    </row>
    <row r="11" spans="1:13" x14ac:dyDescent="0.25">
      <c r="A11" t="s">
        <v>15</v>
      </c>
      <c r="C11" s="7">
        <f>SUM(C8:C10)*365</f>
        <v>142350</v>
      </c>
      <c r="D11" s="7">
        <f t="shared" ref="D11:G11" si="6">SUM(D8:D10)*365</f>
        <v>142350</v>
      </c>
      <c r="E11" s="7">
        <f t="shared" si="6"/>
        <v>142350</v>
      </c>
      <c r="F11" s="7">
        <f t="shared" si="6"/>
        <v>142350</v>
      </c>
      <c r="G11" s="7">
        <f t="shared" si="6"/>
        <v>142350</v>
      </c>
      <c r="H11" s="7">
        <f t="shared" ref="H11" si="7">SUM(H8:H10)*365</f>
        <v>142350</v>
      </c>
      <c r="I11" s="7">
        <f t="shared" ref="I11" si="8">SUM(I8:I10)*365</f>
        <v>142350</v>
      </c>
      <c r="J11" s="7">
        <f t="shared" ref="J11" si="9">SUM(J8:J10)*365</f>
        <v>142350</v>
      </c>
      <c r="K11" s="7">
        <f t="shared" ref="K11" si="10">SUM(K8:K10)*365</f>
        <v>142350</v>
      </c>
      <c r="L11" s="7">
        <f t="shared" ref="L11" si="11">SUM(L8:L10)*365</f>
        <v>142350</v>
      </c>
      <c r="M11" s="66"/>
    </row>
    <row r="12" spans="1:13" x14ac:dyDescent="0.25">
      <c r="A12" t="s">
        <v>16</v>
      </c>
      <c r="C12" s="5">
        <f>C11*$M$12</f>
        <v>462637.5</v>
      </c>
      <c r="D12" s="5">
        <f>D11*$M$12</f>
        <v>462637.5</v>
      </c>
      <c r="E12" s="5">
        <f>E11*$M$12</f>
        <v>462637.5</v>
      </c>
      <c r="F12" s="5">
        <f>F11*$M$12</f>
        <v>462637.5</v>
      </c>
      <c r="G12" s="5">
        <f>G11*$M$12</f>
        <v>462637.5</v>
      </c>
      <c r="H12" s="5">
        <f t="shared" ref="H12:L12" si="12">H11*$M$12</f>
        <v>462637.5</v>
      </c>
      <c r="I12" s="5">
        <f t="shared" si="12"/>
        <v>462637.5</v>
      </c>
      <c r="J12" s="5">
        <f t="shared" si="12"/>
        <v>462637.5</v>
      </c>
      <c r="K12" s="5">
        <f t="shared" si="12"/>
        <v>462637.5</v>
      </c>
      <c r="L12" s="5">
        <f t="shared" si="12"/>
        <v>462637.5</v>
      </c>
      <c r="M12" s="67">
        <v>3.25</v>
      </c>
    </row>
    <row r="13" spans="1:13" x14ac:dyDescent="0.25">
      <c r="A13" t="s">
        <v>0</v>
      </c>
      <c r="C13" s="75">
        <v>10</v>
      </c>
      <c r="D13" s="75">
        <v>10</v>
      </c>
      <c r="E13" s="75">
        <v>10</v>
      </c>
      <c r="F13" s="75">
        <v>10</v>
      </c>
      <c r="G13" s="75">
        <v>10</v>
      </c>
      <c r="H13" s="75">
        <v>10</v>
      </c>
      <c r="I13" s="75">
        <v>10</v>
      </c>
      <c r="J13" s="75">
        <v>10</v>
      </c>
      <c r="K13" s="75">
        <v>10</v>
      </c>
      <c r="L13" s="75">
        <v>10</v>
      </c>
    </row>
    <row r="14" spans="1:13" x14ac:dyDescent="0.25">
      <c r="A14" s="4" t="s">
        <v>1</v>
      </c>
      <c r="B14" s="4"/>
      <c r="C14" s="75">
        <v>0</v>
      </c>
      <c r="D14" s="75">
        <v>0</v>
      </c>
      <c r="E14" s="75">
        <v>0</v>
      </c>
      <c r="F14" s="75">
        <v>0</v>
      </c>
      <c r="G14" s="75">
        <v>0</v>
      </c>
      <c r="H14" s="75">
        <v>0</v>
      </c>
      <c r="I14" s="75">
        <v>0</v>
      </c>
      <c r="J14" s="75">
        <v>0</v>
      </c>
      <c r="K14" s="75">
        <v>0</v>
      </c>
      <c r="L14" s="75">
        <v>0</v>
      </c>
    </row>
    <row r="15" spans="1:13" x14ac:dyDescent="0.25">
      <c r="A15" s="4" t="s">
        <v>2</v>
      </c>
      <c r="B15" s="4"/>
      <c r="C15" s="75">
        <v>0</v>
      </c>
      <c r="D15" s="75">
        <v>0</v>
      </c>
      <c r="E15" s="75">
        <v>0</v>
      </c>
      <c r="F15" s="75">
        <v>0</v>
      </c>
      <c r="G15" s="75">
        <v>0</v>
      </c>
      <c r="H15" s="75">
        <v>0</v>
      </c>
      <c r="I15" s="75">
        <v>0</v>
      </c>
      <c r="J15" s="75">
        <v>0</v>
      </c>
      <c r="K15" s="75">
        <v>0</v>
      </c>
      <c r="L15" s="75">
        <v>0</v>
      </c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/>
  <dimension ref="A1:M23"/>
  <sheetViews>
    <sheetView workbookViewId="0">
      <selection activeCell="G23" sqref="G23"/>
    </sheetView>
  </sheetViews>
  <sheetFormatPr defaultColWidth="8.85546875" defaultRowHeight="15" x14ac:dyDescent="0.25"/>
  <cols>
    <col min="1" max="1" width="30.28515625" customWidth="1"/>
    <col min="2" max="2" width="14.28515625" bestFit="1" customWidth="1"/>
    <col min="3" max="12" width="14.42578125" customWidth="1"/>
    <col min="13" max="13" width="10.7109375" customWidth="1"/>
  </cols>
  <sheetData>
    <row r="1" spans="1:13" ht="18.75" x14ac:dyDescent="0.3">
      <c r="A1" s="36" t="s">
        <v>17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x14ac:dyDescent="0.25">
      <c r="A2" s="37"/>
      <c r="B2" s="37"/>
      <c r="C2" s="72">
        <v>2013</v>
      </c>
      <c r="D2" s="72">
        <v>2014</v>
      </c>
      <c r="E2" s="72">
        <v>2015</v>
      </c>
      <c r="F2" s="72">
        <v>2016</v>
      </c>
      <c r="G2" s="72">
        <v>2017</v>
      </c>
      <c r="H2" s="72">
        <v>2018</v>
      </c>
      <c r="I2" s="72">
        <v>2019</v>
      </c>
      <c r="J2" s="72">
        <v>2020</v>
      </c>
      <c r="K2" s="72">
        <v>2021</v>
      </c>
      <c r="L2" s="72">
        <v>2022</v>
      </c>
      <c r="M2" t="s">
        <v>9</v>
      </c>
    </row>
    <row r="3" spans="1:13" x14ac:dyDescent="0.25">
      <c r="A3" s="37" t="s">
        <v>18</v>
      </c>
      <c r="B3" s="37"/>
      <c r="C3" s="38">
        <f>((('Movie Theater'!C8+'Movie Theater'!C10)*'Movie Theater'!C3)+('Movie Theater'!C9*'Movie Theater'!C4))*365</f>
        <v>1004115</v>
      </c>
      <c r="D3" s="38">
        <f>((('Movie Theater'!D8+'Movie Theater'!D10)*'Movie Theater'!D3)+('Movie Theater'!D9*'Movie Theater'!D4))*365</f>
        <v>1034238.4500000001</v>
      </c>
      <c r="E3" s="38">
        <f>((('Movie Theater'!E8+'Movie Theater'!E10)*'Movie Theater'!E3)+('Movie Theater'!E9*'Movie Theater'!E4))*365</f>
        <v>1065265.6035000002</v>
      </c>
      <c r="F3" s="38">
        <f>((('Movie Theater'!F8+'Movie Theater'!F10)*'Movie Theater'!F3)+('Movie Theater'!F9*'Movie Theater'!F4))*365</f>
        <v>1097223.5716049999</v>
      </c>
      <c r="G3" s="38">
        <f>((('Movie Theater'!G8+'Movie Theater'!G10)*'Movie Theater'!G3)+('Movie Theater'!G9*'Movie Theater'!G4))*365</f>
        <v>1130140.27875315</v>
      </c>
      <c r="H3" s="38">
        <f>((('Movie Theater'!H8+'Movie Theater'!H10)*'Movie Theater'!H3)+('Movie Theater'!H9*'Movie Theater'!H4))*365</f>
        <v>1164044.4871157445</v>
      </c>
      <c r="I3" s="38">
        <f>((('Movie Theater'!I8+'Movie Theater'!I10)*'Movie Theater'!I3)+('Movie Theater'!I9*'Movie Theater'!I4))*365</f>
        <v>1198965.821729217</v>
      </c>
      <c r="J3" s="38">
        <f>((('Movie Theater'!J8+'Movie Theater'!J10)*'Movie Theater'!J3)+('Movie Theater'!J9*'Movie Theater'!J4))*365</f>
        <v>1234934.7963810936</v>
      </c>
      <c r="K3" s="38">
        <f>((('Movie Theater'!K8+'Movie Theater'!K10)*'Movie Theater'!K3)+('Movie Theater'!K9*'Movie Theater'!K4))*365</f>
        <v>1271982.8402725263</v>
      </c>
      <c r="L3" s="38">
        <f>((('Movie Theater'!L8+'Movie Theater'!L10)*'Movie Theater'!L3)+('Movie Theater'!L9*'Movie Theater'!L4))*365</f>
        <v>1310142.3254807021</v>
      </c>
      <c r="M3" s="37"/>
    </row>
    <row r="4" spans="1:13" x14ac:dyDescent="0.25">
      <c r="A4" s="37" t="s">
        <v>19</v>
      </c>
      <c r="B4" s="37"/>
      <c r="C4" s="38">
        <f>'Movie Theater'!C12</f>
        <v>462637.5</v>
      </c>
      <c r="D4" s="38">
        <f>C4*(1+$M$4)</f>
        <v>471890.25</v>
      </c>
      <c r="E4" s="38">
        <f t="shared" ref="E4:L4" si="0">D4*(1+$M$4)</f>
        <v>481328.05499999999</v>
      </c>
      <c r="F4" s="38">
        <f t="shared" si="0"/>
        <v>490954.61609999998</v>
      </c>
      <c r="G4" s="38">
        <f t="shared" si="0"/>
        <v>500773.708422</v>
      </c>
      <c r="H4" s="38">
        <f t="shared" si="0"/>
        <v>510789.18259044003</v>
      </c>
      <c r="I4" s="38">
        <f t="shared" si="0"/>
        <v>521004.96624224883</v>
      </c>
      <c r="J4" s="38">
        <f t="shared" si="0"/>
        <v>531425.06556709378</v>
      </c>
      <c r="K4" s="38">
        <f t="shared" si="0"/>
        <v>542053.56687843567</v>
      </c>
      <c r="L4" s="38">
        <f t="shared" si="0"/>
        <v>552894.63821600436</v>
      </c>
      <c r="M4" s="43">
        <v>0.02</v>
      </c>
    </row>
    <row r="5" spans="1:13" x14ac:dyDescent="0.25">
      <c r="A5" s="37" t="s">
        <v>70</v>
      </c>
      <c r="B5" s="37"/>
      <c r="C5" s="38">
        <f>'Movie Theater'!C11*$M$5</f>
        <v>7117.5</v>
      </c>
      <c r="D5" s="38">
        <f>C5*(1+$M$5)</f>
        <v>7473.375</v>
      </c>
      <c r="E5" s="38">
        <f t="shared" ref="E5:L5" si="1">D5*(1+$M$5)</f>
        <v>7847.0437500000007</v>
      </c>
      <c r="F5" s="38">
        <f t="shared" si="1"/>
        <v>8239.3959375000013</v>
      </c>
      <c r="G5" s="38">
        <f t="shared" si="1"/>
        <v>8651.3657343750019</v>
      </c>
      <c r="H5" s="38">
        <f t="shared" si="1"/>
        <v>9083.9340210937517</v>
      </c>
      <c r="I5" s="38">
        <f t="shared" si="1"/>
        <v>9538.1307221484403</v>
      </c>
      <c r="J5" s="38">
        <f t="shared" si="1"/>
        <v>10015.037258255863</v>
      </c>
      <c r="K5" s="38">
        <f t="shared" si="1"/>
        <v>10515.789121168656</v>
      </c>
      <c r="L5" s="38">
        <f t="shared" si="1"/>
        <v>11041.57857722709</v>
      </c>
      <c r="M5" s="68">
        <v>0.05</v>
      </c>
    </row>
    <row r="6" spans="1:13" x14ac:dyDescent="0.25">
      <c r="A6" s="37" t="s">
        <v>22</v>
      </c>
      <c r="B6" s="37"/>
      <c r="C6" s="38">
        <f>C5+C4+C3</f>
        <v>1473870</v>
      </c>
      <c r="D6" s="38">
        <f t="shared" ref="D6:L6" si="2">D5+D4+D3</f>
        <v>1513602.0750000002</v>
      </c>
      <c r="E6" s="38">
        <f t="shared" si="2"/>
        <v>1554440.7022500001</v>
      </c>
      <c r="F6" s="38">
        <f t="shared" si="2"/>
        <v>1596417.5836425</v>
      </c>
      <c r="G6" s="38">
        <f t="shared" si="2"/>
        <v>1639565.3529095249</v>
      </c>
      <c r="H6" s="38">
        <f t="shared" si="2"/>
        <v>1683917.6037272783</v>
      </c>
      <c r="I6" s="38">
        <f t="shared" si="2"/>
        <v>1729508.9186936142</v>
      </c>
      <c r="J6" s="38">
        <f t="shared" si="2"/>
        <v>1776374.8992064432</v>
      </c>
      <c r="K6" s="38">
        <f t="shared" si="2"/>
        <v>1824552.1962721306</v>
      </c>
      <c r="L6" s="38">
        <f t="shared" si="2"/>
        <v>1874078.5422739335</v>
      </c>
      <c r="M6" s="69"/>
    </row>
    <row r="7" spans="1:13" x14ac:dyDescent="0.25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69"/>
    </row>
    <row r="8" spans="1:13" x14ac:dyDescent="0.25">
      <c r="A8" s="37" t="s">
        <v>20</v>
      </c>
      <c r="B8" s="37"/>
      <c r="C8" s="40">
        <f>$M$8*C4</f>
        <v>69395.625</v>
      </c>
      <c r="D8" s="40">
        <f>$M$8*D4</f>
        <v>70783.537499999991</v>
      </c>
      <c r="E8" s="40">
        <f t="shared" ref="E8:L8" si="3">$M$8*E4</f>
        <v>72199.208249999996</v>
      </c>
      <c r="F8" s="40">
        <f t="shared" si="3"/>
        <v>73643.192414999998</v>
      </c>
      <c r="G8" s="40">
        <f t="shared" si="3"/>
        <v>75116.056263299994</v>
      </c>
      <c r="H8" s="40">
        <f t="shared" si="3"/>
        <v>76618.377388566005</v>
      </c>
      <c r="I8" s="40">
        <f t="shared" si="3"/>
        <v>78150.744936337316</v>
      </c>
      <c r="J8" s="40">
        <f t="shared" si="3"/>
        <v>79713.759835064062</v>
      </c>
      <c r="K8" s="40">
        <f t="shared" si="3"/>
        <v>81308.03503176535</v>
      </c>
      <c r="L8" s="40">
        <f t="shared" si="3"/>
        <v>82934.195732400651</v>
      </c>
      <c r="M8" s="68">
        <v>0.15</v>
      </c>
    </row>
    <row r="9" spans="1:13" x14ac:dyDescent="0.25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44"/>
    </row>
    <row r="10" spans="1:13" x14ac:dyDescent="0.25">
      <c r="A10" s="37" t="s">
        <v>68</v>
      </c>
      <c r="B10" s="37"/>
      <c r="C10" s="38">
        <f>C3*$M$10</f>
        <v>717942.22499999998</v>
      </c>
      <c r="D10" s="38">
        <f>D3*$M$10</f>
        <v>739480.49175000004</v>
      </c>
      <c r="E10" s="38">
        <f t="shared" ref="E10:L10" si="4">E3*$M$10</f>
        <v>761664.90650250006</v>
      </c>
      <c r="F10" s="38">
        <f t="shared" si="4"/>
        <v>784514.85369757493</v>
      </c>
      <c r="G10" s="38">
        <f t="shared" si="4"/>
        <v>808050.29930850223</v>
      </c>
      <c r="H10" s="38">
        <f t="shared" si="4"/>
        <v>832291.80828775733</v>
      </c>
      <c r="I10" s="38">
        <f t="shared" si="4"/>
        <v>857260.56253639003</v>
      </c>
      <c r="J10" s="38">
        <f t="shared" si="4"/>
        <v>882978.37941248191</v>
      </c>
      <c r="K10" s="38">
        <f t="shared" si="4"/>
        <v>909467.73079485621</v>
      </c>
      <c r="L10" s="38">
        <f t="shared" si="4"/>
        <v>936751.76271870197</v>
      </c>
      <c r="M10" s="45">
        <v>0.71499999999999997</v>
      </c>
    </row>
    <row r="11" spans="1:13" x14ac:dyDescent="0.25">
      <c r="A11" s="37" t="s">
        <v>21</v>
      </c>
      <c r="B11" s="37"/>
      <c r="C11" s="40">
        <f>C6*$M$11</f>
        <v>368467.5</v>
      </c>
      <c r="D11" s="40">
        <f t="shared" ref="D11:L11" si="5">D6*$M$11</f>
        <v>378400.51875000005</v>
      </c>
      <c r="E11" s="40">
        <f t="shared" si="5"/>
        <v>388610.17556250002</v>
      </c>
      <c r="F11" s="40">
        <f t="shared" si="5"/>
        <v>399104.395910625</v>
      </c>
      <c r="G11" s="40">
        <f t="shared" si="5"/>
        <v>409891.33822738123</v>
      </c>
      <c r="H11" s="40">
        <f t="shared" si="5"/>
        <v>420979.40093181957</v>
      </c>
      <c r="I11" s="40">
        <f t="shared" si="5"/>
        <v>432377.22967340355</v>
      </c>
      <c r="J11" s="40">
        <f t="shared" si="5"/>
        <v>444093.72480161081</v>
      </c>
      <c r="K11" s="40">
        <f t="shared" si="5"/>
        <v>456138.04906803265</v>
      </c>
      <c r="L11" s="40">
        <f t="shared" si="5"/>
        <v>468519.63556848338</v>
      </c>
      <c r="M11" s="43">
        <v>0.25</v>
      </c>
    </row>
    <row r="12" spans="1:13" x14ac:dyDescent="0.25">
      <c r="A12" s="37" t="s">
        <v>3</v>
      </c>
      <c r="B12" s="37"/>
      <c r="C12" s="76">
        <v>20000</v>
      </c>
      <c r="D12" s="76">
        <v>10000</v>
      </c>
      <c r="E12" s="76">
        <v>10000</v>
      </c>
      <c r="F12" s="76">
        <v>10000</v>
      </c>
      <c r="G12" s="76">
        <v>10000</v>
      </c>
      <c r="H12" s="76">
        <v>10000</v>
      </c>
      <c r="I12" s="76">
        <v>10000</v>
      </c>
      <c r="J12" s="76">
        <v>10000</v>
      </c>
      <c r="K12" s="76">
        <v>10000</v>
      </c>
      <c r="L12" s="76">
        <v>10000</v>
      </c>
      <c r="M12" s="44"/>
    </row>
    <row r="13" spans="1:13" x14ac:dyDescent="0.25">
      <c r="A13" s="37" t="s">
        <v>4</v>
      </c>
      <c r="B13" s="37"/>
      <c r="C13" s="40">
        <f>C6*$M$13+5000</f>
        <v>226080.5</v>
      </c>
      <c r="D13" s="40">
        <f>D6*$M$13</f>
        <v>227040.31125000003</v>
      </c>
      <c r="E13" s="40">
        <f t="shared" ref="E13:L13" si="6">E6*$M$13</f>
        <v>233166.10533750002</v>
      </c>
      <c r="F13" s="40">
        <f t="shared" si="6"/>
        <v>239462.63754637499</v>
      </c>
      <c r="G13" s="40">
        <f t="shared" si="6"/>
        <v>245934.80293642872</v>
      </c>
      <c r="H13" s="40">
        <f t="shared" si="6"/>
        <v>252587.64055909173</v>
      </c>
      <c r="I13" s="40">
        <f t="shared" si="6"/>
        <v>259426.33780404212</v>
      </c>
      <c r="J13" s="40">
        <f t="shared" si="6"/>
        <v>266456.23488096648</v>
      </c>
      <c r="K13" s="40">
        <f t="shared" si="6"/>
        <v>273682.82944081957</v>
      </c>
      <c r="L13" s="40">
        <f t="shared" si="6"/>
        <v>281111.78134109004</v>
      </c>
      <c r="M13" s="43">
        <v>0.15</v>
      </c>
    </row>
    <row r="14" spans="1:13" x14ac:dyDescent="0.25">
      <c r="A14" s="37" t="s">
        <v>69</v>
      </c>
      <c r="B14" s="37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9"/>
    </row>
    <row r="15" spans="1:13" x14ac:dyDescent="0.25">
      <c r="A15" s="37"/>
      <c r="B15" s="37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39"/>
    </row>
    <row r="16" spans="1:13" x14ac:dyDescent="0.25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</row>
    <row r="17" spans="1:13" x14ac:dyDescent="0.25">
      <c r="A17" s="37" t="s">
        <v>5</v>
      </c>
      <c r="B17" s="49">
        <f>'Balance Sheet'!C10</f>
        <v>1000000</v>
      </c>
      <c r="C17" s="40">
        <f>$B$17/30</f>
        <v>33333.333333333336</v>
      </c>
      <c r="D17" s="40">
        <f t="shared" ref="D17:L17" si="7">$B$17/30</f>
        <v>33333.333333333336</v>
      </c>
      <c r="E17" s="40">
        <f t="shared" si="7"/>
        <v>33333.333333333336</v>
      </c>
      <c r="F17" s="40">
        <f t="shared" si="7"/>
        <v>33333.333333333336</v>
      </c>
      <c r="G17" s="40">
        <f t="shared" si="7"/>
        <v>33333.333333333336</v>
      </c>
      <c r="H17" s="40">
        <f t="shared" si="7"/>
        <v>33333.333333333336</v>
      </c>
      <c r="I17" s="40">
        <f t="shared" si="7"/>
        <v>33333.333333333336</v>
      </c>
      <c r="J17" s="40">
        <f t="shared" si="7"/>
        <v>33333.333333333336</v>
      </c>
      <c r="K17" s="40">
        <f t="shared" si="7"/>
        <v>33333.333333333336</v>
      </c>
      <c r="L17" s="40">
        <f t="shared" si="7"/>
        <v>33333.333333333336</v>
      </c>
      <c r="M17" s="37"/>
    </row>
    <row r="18" spans="1:13" x14ac:dyDescent="0.25">
      <c r="A18" s="37" t="s">
        <v>23</v>
      </c>
      <c r="B18" s="37"/>
      <c r="C18" s="40">
        <f>Mortgage!$H9</f>
        <v>39731.953044625508</v>
      </c>
      <c r="D18" s="40">
        <f>Mortgage!$H10</f>
        <v>39128.093115440126</v>
      </c>
      <c r="E18" s="40">
        <f>Mortgage!$H11</f>
        <v>38493.33856622289</v>
      </c>
      <c r="F18" s="40">
        <f>Mortgage!$H12</f>
        <v>37826.108769578634</v>
      </c>
      <c r="G18" s="40">
        <f>Mortgage!$H13</f>
        <v>37124.742230214833</v>
      </c>
      <c r="H18" s="40">
        <f>Mortgage!$H14</f>
        <v>36387.492447586439</v>
      </c>
      <c r="I18" s="40">
        <f>Mortgage!$H15</f>
        <v>35612.523566865879</v>
      </c>
      <c r="J18" s="40">
        <f>Mortgage!$H16</f>
        <v>34797.905807408366</v>
      </c>
      <c r="K18" s="40">
        <f>Mortgage!$H17</f>
        <v>33118.241797273884</v>
      </c>
      <c r="L18" s="40">
        <f>Mortgage!$H18</f>
        <v>33868.305385862855</v>
      </c>
      <c r="M18" s="37"/>
    </row>
    <row r="19" spans="1:13" x14ac:dyDescent="0.25">
      <c r="A19" s="37" t="s">
        <v>46</v>
      </c>
      <c r="B19" s="77">
        <v>0.08</v>
      </c>
      <c r="C19" s="50">
        <f>'Balance Sheet'!C19*(1+$B$19)</f>
        <v>39261.483873898294</v>
      </c>
      <c r="D19" s="50">
        <f t="shared" ref="D19:L19" si="8">D43*(1+$B$35)</f>
        <v>0</v>
      </c>
      <c r="E19" s="50">
        <f t="shared" si="8"/>
        <v>0</v>
      </c>
      <c r="F19" s="50">
        <f t="shared" si="8"/>
        <v>0</v>
      </c>
      <c r="G19" s="50">
        <f t="shared" si="8"/>
        <v>0</v>
      </c>
      <c r="H19" s="50">
        <f t="shared" si="8"/>
        <v>0</v>
      </c>
      <c r="I19" s="50">
        <f t="shared" si="8"/>
        <v>0</v>
      </c>
      <c r="J19" s="50">
        <f t="shared" si="8"/>
        <v>0</v>
      </c>
      <c r="K19" s="50">
        <f t="shared" si="8"/>
        <v>0</v>
      </c>
      <c r="L19" s="50">
        <f t="shared" si="8"/>
        <v>0</v>
      </c>
      <c r="M19" s="37"/>
    </row>
    <row r="20" spans="1:13" x14ac:dyDescent="0.25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</row>
    <row r="21" spans="1:13" x14ac:dyDescent="0.25">
      <c r="A21" s="37" t="s">
        <v>47</v>
      </c>
      <c r="B21" s="37"/>
      <c r="C21" s="40">
        <f t="shared" ref="C21:L21" si="9">C6-SUM(C8:C18)</f>
        <v>-1081.1363779588137</v>
      </c>
      <c r="D21" s="40">
        <f t="shared" si="9"/>
        <v>15435.789301226847</v>
      </c>
      <c r="E21" s="40">
        <f t="shared" si="9"/>
        <v>16973.634697943693</v>
      </c>
      <c r="F21" s="40">
        <f t="shared" si="9"/>
        <v>18533.061970013194</v>
      </c>
      <c r="G21" s="40">
        <f t="shared" si="9"/>
        <v>20114.780610364629</v>
      </c>
      <c r="H21" s="40">
        <f t="shared" si="9"/>
        <v>21719.550779123791</v>
      </c>
      <c r="I21" s="40">
        <f t="shared" si="9"/>
        <v>23348.186843242031</v>
      </c>
      <c r="J21" s="40">
        <f t="shared" si="9"/>
        <v>25001.561135578435</v>
      </c>
      <c r="K21" s="40">
        <f t="shared" si="9"/>
        <v>27503.976806049468</v>
      </c>
      <c r="L21" s="40">
        <f t="shared" si="9"/>
        <v>27559.528194061248</v>
      </c>
      <c r="M21" s="37"/>
    </row>
    <row r="22" spans="1:13" ht="15.75" thickBot="1" x14ac:dyDescent="0.3">
      <c r="A22" s="37" t="s">
        <v>48</v>
      </c>
      <c r="B22" s="77">
        <v>0.35</v>
      </c>
      <c r="C22" s="41">
        <f>IF(C21&lt;0,0,C21*$B$22)</f>
        <v>0</v>
      </c>
      <c r="D22" s="41">
        <f>IF(D21&lt;0,0,D21*$B$22)</f>
        <v>5402.5262554293959</v>
      </c>
      <c r="E22" s="41">
        <f t="shared" ref="E22:L22" si="10">IF(E21&lt;0,0,E21*$B$22)</f>
        <v>5940.7721442802922</v>
      </c>
      <c r="F22" s="41">
        <f t="shared" si="10"/>
        <v>6486.5716895046171</v>
      </c>
      <c r="G22" s="41">
        <f t="shared" si="10"/>
        <v>7040.1732136276196</v>
      </c>
      <c r="H22" s="41">
        <f t="shared" si="10"/>
        <v>7601.842772693326</v>
      </c>
      <c r="I22" s="41">
        <f t="shared" si="10"/>
        <v>8171.8653951347105</v>
      </c>
      <c r="J22" s="41">
        <f t="shared" si="10"/>
        <v>8750.5463974524519</v>
      </c>
      <c r="K22" s="41">
        <f t="shared" si="10"/>
        <v>9626.3918821173138</v>
      </c>
      <c r="L22" s="41">
        <f t="shared" si="10"/>
        <v>9645.8348679214359</v>
      </c>
      <c r="M22" s="37"/>
    </row>
    <row r="23" spans="1:13" ht="15.75" thickTop="1" x14ac:dyDescent="0.25">
      <c r="A23" s="42" t="s">
        <v>49</v>
      </c>
      <c r="B23" s="37"/>
      <c r="C23" s="40">
        <f>C21-C22</f>
        <v>-1081.1363779588137</v>
      </c>
      <c r="D23" s="40">
        <f t="shared" ref="D23:L23" si="11">D21-D22</f>
        <v>10033.263045797452</v>
      </c>
      <c r="E23" s="40">
        <f t="shared" si="11"/>
        <v>11032.862553663401</v>
      </c>
      <c r="F23" s="40">
        <f t="shared" si="11"/>
        <v>12046.490280508577</v>
      </c>
      <c r="G23" s="40">
        <f t="shared" si="11"/>
        <v>13074.60739673701</v>
      </c>
      <c r="H23" s="40">
        <f t="shared" si="11"/>
        <v>14117.708006430465</v>
      </c>
      <c r="I23" s="40">
        <f t="shared" si="11"/>
        <v>15176.321448107319</v>
      </c>
      <c r="J23" s="40">
        <f t="shared" si="11"/>
        <v>16251.014738125983</v>
      </c>
      <c r="K23" s="40">
        <f t="shared" si="11"/>
        <v>17877.584923932154</v>
      </c>
      <c r="L23" s="40">
        <f t="shared" si="11"/>
        <v>17913.693326139812</v>
      </c>
      <c r="M23" s="37"/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workbookViewId="0">
      <selection activeCell="D27" sqref="D27"/>
    </sheetView>
  </sheetViews>
  <sheetFormatPr defaultColWidth="11.42578125" defaultRowHeight="15" x14ac:dyDescent="0.25"/>
  <cols>
    <col min="1" max="1" width="30.28515625" customWidth="1"/>
    <col min="2" max="2" width="13.7109375" bestFit="1" customWidth="1"/>
    <col min="3" max="12" width="14.42578125" customWidth="1"/>
    <col min="13" max="13" width="10.7109375" customWidth="1"/>
  </cols>
  <sheetData>
    <row r="1" spans="1:12" ht="18.75" x14ac:dyDescent="0.3">
      <c r="A1" s="6" t="s">
        <v>50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x14ac:dyDescent="0.25">
      <c r="C2" s="72">
        <v>2013</v>
      </c>
      <c r="D2" s="72">
        <v>2014</v>
      </c>
      <c r="E2" s="72">
        <v>2015</v>
      </c>
      <c r="F2" s="72">
        <v>2016</v>
      </c>
      <c r="G2" s="72">
        <v>2017</v>
      </c>
      <c r="H2" s="72">
        <v>2018</v>
      </c>
      <c r="I2" s="72">
        <v>2019</v>
      </c>
      <c r="J2" s="72">
        <v>2020</v>
      </c>
      <c r="K2" s="72">
        <v>2021</v>
      </c>
      <c r="L2" s="72">
        <v>2022</v>
      </c>
    </row>
    <row r="3" spans="1:12" x14ac:dyDescent="0.25">
      <c r="A3" s="20" t="s">
        <v>66</v>
      </c>
    </row>
    <row r="4" spans="1:12" x14ac:dyDescent="0.25">
      <c r="A4" t="s">
        <v>51</v>
      </c>
      <c r="C4" s="74">
        <v>1000</v>
      </c>
      <c r="D4" s="78">
        <v>1000</v>
      </c>
      <c r="E4" s="78">
        <v>1000</v>
      </c>
      <c r="F4" s="78">
        <v>1000</v>
      </c>
      <c r="G4" s="78">
        <v>1000</v>
      </c>
      <c r="H4" s="78">
        <v>1000</v>
      </c>
      <c r="I4" s="78">
        <v>1000</v>
      </c>
      <c r="J4" s="78">
        <v>1000</v>
      </c>
      <c r="K4" s="78">
        <v>1000</v>
      </c>
      <c r="L4" s="78">
        <v>1000</v>
      </c>
    </row>
    <row r="5" spans="1:12" x14ac:dyDescent="0.25">
      <c r="A5" t="s">
        <v>52</v>
      </c>
      <c r="C5" s="74">
        <v>153901.25</v>
      </c>
      <c r="D5" s="78">
        <v>239225.57</v>
      </c>
      <c r="E5" s="78">
        <v>271049.69</v>
      </c>
      <c r="F5" s="78">
        <v>303226.98</v>
      </c>
      <c r="G5" s="80">
        <v>335738.04</v>
      </c>
      <c r="H5" s="78">
        <v>368562.21</v>
      </c>
      <c r="I5" s="78">
        <v>401677.55</v>
      </c>
      <c r="J5" s="78">
        <v>435060.79</v>
      </c>
      <c r="K5" s="78">
        <v>468687.24</v>
      </c>
      <c r="L5" s="78">
        <v>502242.58</v>
      </c>
    </row>
    <row r="6" spans="1:12" x14ac:dyDescent="0.25">
      <c r="A6" t="s">
        <v>53</v>
      </c>
      <c r="C6" s="1">
        <v>0</v>
      </c>
      <c r="D6" s="79">
        <v>0</v>
      </c>
      <c r="E6" s="79">
        <v>0</v>
      </c>
      <c r="F6" s="79">
        <v>0</v>
      </c>
      <c r="G6" s="79">
        <v>0</v>
      </c>
      <c r="H6" s="79">
        <v>0</v>
      </c>
      <c r="I6" s="79">
        <v>0</v>
      </c>
      <c r="J6" s="79">
        <v>0</v>
      </c>
      <c r="K6" s="79">
        <v>0</v>
      </c>
      <c r="L6" s="79">
        <v>0</v>
      </c>
    </row>
    <row r="7" spans="1:12" x14ac:dyDescent="0.25">
      <c r="A7" t="s">
        <v>54</v>
      </c>
      <c r="C7" s="1">
        <f>('Income Statement'!C8/365)*'Movie Theater'!C13</f>
        <v>1901.25</v>
      </c>
      <c r="D7" s="79">
        <f>('Income Statement'!D8/365)*'Movie Theater'!D13</f>
        <v>1939.2749999999999</v>
      </c>
      <c r="E7" s="79">
        <f>('Income Statement'!E8/365)*'Movie Theater'!E13</f>
        <v>1978.0605</v>
      </c>
      <c r="F7" s="79">
        <f>('Income Statement'!F8/365)*'Movie Theater'!F13</f>
        <v>2017.6217099999999</v>
      </c>
      <c r="G7" s="79">
        <f>('Income Statement'!G8/365)*'Movie Theater'!G13</f>
        <v>2057.9741442</v>
      </c>
      <c r="H7" s="79">
        <f>('Income Statement'!H8/365)*'Movie Theater'!H13</f>
        <v>2099.1336270840002</v>
      </c>
      <c r="I7" s="79">
        <f>('Income Statement'!I8/365)*'Movie Theater'!I13</f>
        <v>2141.1162996256799</v>
      </c>
      <c r="J7" s="79">
        <f>('Income Statement'!J8/365)*'Movie Theater'!J13</f>
        <v>2183.9386256181938</v>
      </c>
      <c r="K7" s="79">
        <f>('Income Statement'!K8/365)*'Movie Theater'!K13</f>
        <v>2227.6173981305574</v>
      </c>
      <c r="L7" s="79">
        <f>('Income Statement'!L8/365)*'Movie Theater'!L13</f>
        <v>2272.1697460931687</v>
      </c>
    </row>
    <row r="8" spans="1:12" x14ac:dyDescent="0.25">
      <c r="A8" t="s">
        <v>72</v>
      </c>
      <c r="C8" s="1">
        <f>SUM(C4:C7)</f>
        <v>156802.5</v>
      </c>
      <c r="D8" s="79">
        <f t="shared" ref="D8:L8" si="0">SUM(D4:D7)</f>
        <v>242164.845</v>
      </c>
      <c r="E8" s="79">
        <f t="shared" si="0"/>
        <v>274027.75050000002</v>
      </c>
      <c r="F8" s="79">
        <f t="shared" si="0"/>
        <v>306244.60170999996</v>
      </c>
      <c r="G8" s="79">
        <f t="shared" si="0"/>
        <v>338796.01414419996</v>
      </c>
      <c r="H8" s="79">
        <f t="shared" si="0"/>
        <v>371661.34362708405</v>
      </c>
      <c r="I8" s="79">
        <f t="shared" si="0"/>
        <v>404818.66629962565</v>
      </c>
      <c r="J8" s="79">
        <f t="shared" si="0"/>
        <v>438244.72862561815</v>
      </c>
      <c r="K8" s="79">
        <f t="shared" si="0"/>
        <v>471914.85739813052</v>
      </c>
      <c r="L8" s="79">
        <f t="shared" si="0"/>
        <v>505514.74974609318</v>
      </c>
    </row>
    <row r="9" spans="1:12" x14ac:dyDescent="0.25">
      <c r="D9" s="79"/>
      <c r="E9" s="79"/>
      <c r="F9" s="79"/>
      <c r="G9" s="79"/>
      <c r="H9" s="79"/>
      <c r="I9" s="79"/>
      <c r="J9" s="79"/>
      <c r="K9" s="79"/>
      <c r="L9" s="79"/>
    </row>
    <row r="10" spans="1:12" x14ac:dyDescent="0.25">
      <c r="A10" t="s">
        <v>55</v>
      </c>
      <c r="C10" s="1">
        <v>1000000</v>
      </c>
      <c r="D10" s="79">
        <f>C10</f>
        <v>1000000</v>
      </c>
      <c r="E10" s="79">
        <f t="shared" ref="E10:L10" si="1">D10</f>
        <v>1000000</v>
      </c>
      <c r="F10" s="79">
        <f t="shared" si="1"/>
        <v>1000000</v>
      </c>
      <c r="G10" s="79">
        <f t="shared" si="1"/>
        <v>1000000</v>
      </c>
      <c r="H10" s="79">
        <f t="shared" si="1"/>
        <v>1000000</v>
      </c>
      <c r="I10" s="79">
        <f t="shared" si="1"/>
        <v>1000000</v>
      </c>
      <c r="J10" s="79">
        <f t="shared" si="1"/>
        <v>1000000</v>
      </c>
      <c r="K10" s="79">
        <f t="shared" si="1"/>
        <v>1000000</v>
      </c>
      <c r="L10" s="79">
        <f t="shared" si="1"/>
        <v>1000000</v>
      </c>
    </row>
    <row r="11" spans="1:12" x14ac:dyDescent="0.25">
      <c r="A11" t="s">
        <v>56</v>
      </c>
      <c r="C11" s="2">
        <f>B11+'Income Statement'!C17</f>
        <v>33333.333333333336</v>
      </c>
      <c r="D11" s="79">
        <f>C11+'Income Statement'!D17</f>
        <v>66666.666666666672</v>
      </c>
      <c r="E11" s="79">
        <f>D11+'Income Statement'!E17</f>
        <v>100000</v>
      </c>
      <c r="F11" s="79">
        <f>E11+'Income Statement'!F17</f>
        <v>133333.33333333334</v>
      </c>
      <c r="G11" s="79">
        <f>F11+'Income Statement'!G17</f>
        <v>166666.66666666669</v>
      </c>
      <c r="H11" s="79">
        <f>G11+'Income Statement'!H17</f>
        <v>200000.00000000003</v>
      </c>
      <c r="I11" s="79">
        <f>H11+'Income Statement'!I17</f>
        <v>233333.33333333337</v>
      </c>
      <c r="J11" s="79">
        <f>I11+'Income Statement'!J17</f>
        <v>266666.66666666669</v>
      </c>
      <c r="K11" s="79">
        <f>J11+'Income Statement'!K17</f>
        <v>300000</v>
      </c>
      <c r="L11" s="79">
        <f>K11+'Income Statement'!L17</f>
        <v>333333.33333333331</v>
      </c>
    </row>
    <row r="12" spans="1:12" x14ac:dyDescent="0.25">
      <c r="D12" s="79"/>
      <c r="E12" s="79"/>
      <c r="F12" s="79"/>
      <c r="G12" s="79"/>
      <c r="H12" s="79"/>
      <c r="I12" s="79"/>
      <c r="J12" s="79"/>
      <c r="K12" s="79"/>
      <c r="L12" s="79"/>
    </row>
    <row r="13" spans="1:12" x14ac:dyDescent="0.25">
      <c r="A13" t="s">
        <v>57</v>
      </c>
      <c r="C13" s="2">
        <f>SUM(C8:C10)-C11</f>
        <v>1123469.1666666667</v>
      </c>
      <c r="D13" s="79">
        <f>SUM(D8:D10)-D11</f>
        <v>1175498.1783333332</v>
      </c>
      <c r="E13" s="79">
        <f t="shared" ref="E13:L13" si="2">SUM(E8:E10)-E11</f>
        <v>1174027.7505000001</v>
      </c>
      <c r="F13" s="79">
        <f t="shared" si="2"/>
        <v>1172911.2683766668</v>
      </c>
      <c r="G13" s="79">
        <f t="shared" si="2"/>
        <v>1172129.3474775332</v>
      </c>
      <c r="H13" s="79">
        <f t="shared" si="2"/>
        <v>1171661.343627084</v>
      </c>
      <c r="I13" s="79">
        <f t="shared" si="2"/>
        <v>1171485.3329662923</v>
      </c>
      <c r="J13" s="79">
        <f t="shared" si="2"/>
        <v>1171578.0619589514</v>
      </c>
      <c r="K13" s="79">
        <f t="shared" si="2"/>
        <v>1171914.8573981305</v>
      </c>
      <c r="L13" s="79">
        <f t="shared" si="2"/>
        <v>1172181.4164127598</v>
      </c>
    </row>
    <row r="14" spans="1:12" x14ac:dyDescent="0.25">
      <c r="D14" s="79"/>
      <c r="E14" s="79"/>
      <c r="F14" s="79"/>
      <c r="G14" s="79"/>
      <c r="H14" s="79"/>
      <c r="I14" s="79"/>
      <c r="J14" s="79"/>
      <c r="K14" s="79"/>
      <c r="L14" s="79"/>
    </row>
    <row r="15" spans="1:12" x14ac:dyDescent="0.25">
      <c r="A15" s="21" t="s">
        <v>73</v>
      </c>
      <c r="D15" s="79"/>
      <c r="E15" s="79"/>
      <c r="F15" s="79"/>
      <c r="G15" s="79"/>
      <c r="H15" s="79"/>
      <c r="I15" s="79"/>
      <c r="J15" s="79"/>
      <c r="K15" s="79"/>
      <c r="L15" s="79"/>
    </row>
    <row r="16" spans="1:12" x14ac:dyDescent="0.25">
      <c r="A16" t="s">
        <v>58</v>
      </c>
      <c r="C16" s="1">
        <v>0</v>
      </c>
      <c r="D16" s="79">
        <v>0</v>
      </c>
      <c r="E16" s="79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</row>
    <row r="17" spans="1:12" x14ac:dyDescent="0.25">
      <c r="A17" t="s">
        <v>59</v>
      </c>
      <c r="C17" s="1">
        <f>'Income Statement'!C22</f>
        <v>0</v>
      </c>
      <c r="D17" s="79">
        <f>'Income Statement'!D22</f>
        <v>5402.5262554293959</v>
      </c>
      <c r="E17" s="79">
        <f>'Income Statement'!E22</f>
        <v>5940.7721442802922</v>
      </c>
      <c r="F17" s="79">
        <f>'Income Statement'!F22</f>
        <v>6486.5716895046171</v>
      </c>
      <c r="G17" s="79">
        <f>'Income Statement'!G22</f>
        <v>7040.1732136276196</v>
      </c>
      <c r="H17" s="79">
        <f>'Income Statement'!H22</f>
        <v>7601.842772693326</v>
      </c>
      <c r="I17" s="79">
        <f>'Income Statement'!I22</f>
        <v>8171.8653951347105</v>
      </c>
      <c r="J17" s="79">
        <f>'Income Statement'!J22</f>
        <v>8750.5463974524519</v>
      </c>
      <c r="K17" s="79">
        <f>'Income Statement'!K22</f>
        <v>9626.3918821173138</v>
      </c>
      <c r="L17" s="79">
        <f>'Income Statement'!L22</f>
        <v>9645.8348679214359</v>
      </c>
    </row>
    <row r="18" spans="1:12" x14ac:dyDescent="0.25">
      <c r="A18" t="s">
        <v>60</v>
      </c>
      <c r="C18" s="1">
        <f>Mortgage!$J$9</f>
        <v>788197.07723546016</v>
      </c>
      <c r="D18" s="79">
        <f>Mortgage!$J$10</f>
        <v>775790.29454173497</v>
      </c>
      <c r="E18" s="79">
        <f>Mortgage!$J$11</f>
        <v>762748.75729879248</v>
      </c>
      <c r="F18" s="79">
        <f>Mortgage!$J$12</f>
        <v>749039.99025920581</v>
      </c>
      <c r="G18" s="79">
        <f>Mortgage!$J$13</f>
        <v>734629.85668025527</v>
      </c>
      <c r="H18" s="79">
        <f>Mortgage!$J$14</f>
        <v>719482.47331867635</v>
      </c>
      <c r="I18" s="79">
        <f>Mortgage!$J$15</f>
        <v>703560.12107637688</v>
      </c>
      <c r="J18" s="79">
        <f>Mortgage!$J$16</f>
        <v>686823.15107461985</v>
      </c>
      <c r="K18" s="79">
        <f>Mortgage!$J$17</f>
        <v>668406.51706272841</v>
      </c>
      <c r="L18" s="79">
        <f>Mortgage!$J$18</f>
        <v>650739.94663942594</v>
      </c>
    </row>
    <row r="19" spans="1:12" x14ac:dyDescent="0.25">
      <c r="A19" t="s">
        <v>61</v>
      </c>
      <c r="C19" s="1">
        <v>36353.225809165087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  <c r="I19" s="79">
        <v>0</v>
      </c>
      <c r="J19" s="79">
        <v>0</v>
      </c>
      <c r="K19" s="79">
        <v>0</v>
      </c>
      <c r="L19" s="79">
        <v>0</v>
      </c>
    </row>
    <row r="20" spans="1:12" x14ac:dyDescent="0.25">
      <c r="C20" s="1"/>
      <c r="D20" s="79"/>
      <c r="E20" s="79"/>
      <c r="F20" s="79"/>
      <c r="G20" s="79"/>
      <c r="H20" s="79"/>
      <c r="I20" s="79"/>
      <c r="J20" s="79"/>
      <c r="K20" s="79"/>
      <c r="L20" s="79"/>
    </row>
    <row r="21" spans="1:12" x14ac:dyDescent="0.25">
      <c r="A21" t="s">
        <v>62</v>
      </c>
      <c r="C21" s="1">
        <v>300000</v>
      </c>
      <c r="D21" s="79">
        <f t="shared" ref="D21:L21" si="3">149000+236353.23</f>
        <v>385353.23</v>
      </c>
      <c r="E21" s="79">
        <f t="shared" si="3"/>
        <v>385353.23</v>
      </c>
      <c r="F21" s="79">
        <f t="shared" si="3"/>
        <v>385353.23</v>
      </c>
      <c r="G21" s="79">
        <f t="shared" si="3"/>
        <v>385353.23</v>
      </c>
      <c r="H21" s="79">
        <f t="shared" si="3"/>
        <v>385353.23</v>
      </c>
      <c r="I21" s="79">
        <f t="shared" si="3"/>
        <v>385353.23</v>
      </c>
      <c r="J21" s="79">
        <f t="shared" si="3"/>
        <v>385353.23</v>
      </c>
      <c r="K21" s="79">
        <f t="shared" si="3"/>
        <v>385353.23</v>
      </c>
      <c r="L21" s="79">
        <f t="shared" si="3"/>
        <v>385353.23</v>
      </c>
    </row>
    <row r="22" spans="1:12" x14ac:dyDescent="0.25">
      <c r="A22" t="s">
        <v>63</v>
      </c>
      <c r="C22" s="1">
        <f>'Income Statement'!C23</f>
        <v>-1081.1363779588137</v>
      </c>
      <c r="D22" s="79">
        <f>'Income Statement'!D23+C22</f>
        <v>8952.1266678386382</v>
      </c>
      <c r="E22" s="79">
        <f>'Income Statement'!E23+D22</f>
        <v>19984.989221502037</v>
      </c>
      <c r="F22" s="79">
        <f>'Income Statement'!F23+E22</f>
        <v>32031.479502010614</v>
      </c>
      <c r="G22" s="79">
        <f>'Income Statement'!G23+F22</f>
        <v>45106.086898747628</v>
      </c>
      <c r="H22" s="79">
        <f>'Income Statement'!H23+G22</f>
        <v>59223.794905178089</v>
      </c>
      <c r="I22" s="79">
        <f>'Income Statement'!I23+H22</f>
        <v>74400.116353285412</v>
      </c>
      <c r="J22" s="79">
        <f>'Income Statement'!J23+I22</f>
        <v>90651.1310914114</v>
      </c>
      <c r="K22" s="79">
        <f>'Income Statement'!K23+J22</f>
        <v>108528.71601534355</v>
      </c>
      <c r="L22" s="79">
        <f>'Income Statement'!L23+K22</f>
        <v>126442.40934148336</v>
      </c>
    </row>
    <row r="23" spans="1:12" x14ac:dyDescent="0.25">
      <c r="C23" s="1"/>
      <c r="D23" s="79"/>
      <c r="E23" s="79"/>
      <c r="F23" s="79"/>
      <c r="G23" s="79"/>
      <c r="H23" s="79"/>
      <c r="I23" s="79"/>
      <c r="J23" s="79"/>
      <c r="K23" s="79"/>
      <c r="L23" s="79"/>
    </row>
    <row r="24" spans="1:12" x14ac:dyDescent="0.25">
      <c r="A24" t="s">
        <v>64</v>
      </c>
      <c r="C24" s="1">
        <f>SUM(C16:C22)</f>
        <v>1123469.1666666663</v>
      </c>
      <c r="D24" s="79">
        <f t="shared" ref="D24:L24" si="4">SUM(D16:D22)</f>
        <v>1175498.177465003</v>
      </c>
      <c r="E24" s="79">
        <f t="shared" si="4"/>
        <v>1174027.7486645747</v>
      </c>
      <c r="F24" s="79">
        <f t="shared" si="4"/>
        <v>1172911.2714507212</v>
      </c>
      <c r="G24" s="79">
        <f t="shared" si="4"/>
        <v>1172129.3467926306</v>
      </c>
      <c r="H24" s="79">
        <f t="shared" si="4"/>
        <v>1171661.3409965478</v>
      </c>
      <c r="I24" s="79">
        <f t="shared" si="4"/>
        <v>1171485.3328247969</v>
      </c>
      <c r="J24" s="79">
        <f t="shared" si="4"/>
        <v>1171578.0585634836</v>
      </c>
      <c r="K24" s="79">
        <f t="shared" si="4"/>
        <v>1171914.8549601892</v>
      </c>
      <c r="L24" s="79">
        <f t="shared" si="4"/>
        <v>1172181.4208488306</v>
      </c>
    </row>
    <row r="25" spans="1:12" x14ac:dyDescent="0.25">
      <c r="C25" s="1"/>
      <c r="D25" s="79"/>
      <c r="E25" s="79"/>
      <c r="F25" s="79"/>
      <c r="G25" s="79"/>
      <c r="H25" s="79"/>
      <c r="I25" s="79"/>
      <c r="J25" s="79"/>
      <c r="K25" s="79"/>
      <c r="L25" s="79"/>
    </row>
    <row r="26" spans="1:12" x14ac:dyDescent="0.25">
      <c r="A26" t="s">
        <v>65</v>
      </c>
      <c r="C26" s="79">
        <f>ROUND(C24-C13,2)</f>
        <v>0</v>
      </c>
      <c r="D26" s="79">
        <f>ROUND(D24-D13,2)</f>
        <v>0</v>
      </c>
      <c r="E26" s="79">
        <f t="shared" ref="E26:L26" si="5">ROUND(E24-E13,2)</f>
        <v>0</v>
      </c>
      <c r="F26" s="79">
        <f t="shared" si="5"/>
        <v>0</v>
      </c>
      <c r="G26" s="79">
        <f t="shared" si="5"/>
        <v>0</v>
      </c>
      <c r="H26" s="79">
        <f t="shared" si="5"/>
        <v>0</v>
      </c>
      <c r="I26" s="79">
        <f t="shared" si="5"/>
        <v>0</v>
      </c>
      <c r="J26" s="79">
        <f t="shared" si="5"/>
        <v>0</v>
      </c>
      <c r="K26" s="79">
        <f t="shared" si="5"/>
        <v>0</v>
      </c>
      <c r="L26" s="79">
        <f t="shared" si="5"/>
        <v>0</v>
      </c>
    </row>
    <row r="30" spans="1:12" x14ac:dyDescent="0.25">
      <c r="C30" s="2"/>
    </row>
    <row r="33" spans="3:3" x14ac:dyDescent="0.25">
      <c r="C33" s="2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selection activeCell="H8" sqref="H8"/>
    </sheetView>
  </sheetViews>
  <sheetFormatPr defaultColWidth="11.42578125" defaultRowHeight="15" x14ac:dyDescent="0.25"/>
  <cols>
    <col min="1" max="1" width="30.28515625" customWidth="1"/>
    <col min="2" max="2" width="13.7109375" bestFit="1" customWidth="1"/>
    <col min="3" max="12" width="14.42578125" customWidth="1"/>
    <col min="13" max="13" width="10.7109375" customWidth="1"/>
  </cols>
  <sheetData>
    <row r="1" spans="1:12" ht="18.75" x14ac:dyDescent="0.3">
      <c r="A1" s="6" t="s">
        <v>74</v>
      </c>
      <c r="B1" s="46">
        <v>0</v>
      </c>
      <c r="C1" s="46">
        <v>1</v>
      </c>
      <c r="D1" s="46">
        <v>2</v>
      </c>
      <c r="E1" s="46">
        <v>3</v>
      </c>
      <c r="F1" s="46">
        <v>4</v>
      </c>
      <c r="G1" s="46">
        <v>5</v>
      </c>
      <c r="H1" s="46">
        <v>6</v>
      </c>
      <c r="I1" s="46">
        <v>7</v>
      </c>
      <c r="J1" s="46">
        <v>8</v>
      </c>
      <c r="K1" s="46">
        <v>9</v>
      </c>
      <c r="L1" s="46">
        <v>10</v>
      </c>
    </row>
    <row r="2" spans="1:12" x14ac:dyDescent="0.25">
      <c r="C2" s="1"/>
      <c r="D2" s="1"/>
      <c r="E2" s="1"/>
      <c r="F2" s="1"/>
      <c r="G2" s="1"/>
      <c r="H2" s="1"/>
      <c r="I2" s="1"/>
      <c r="J2" s="1" t="s">
        <v>67</v>
      </c>
      <c r="K2" s="1"/>
      <c r="L2" s="1"/>
    </row>
    <row r="3" spans="1:12" x14ac:dyDescent="0.25">
      <c r="A3" s="19" t="s">
        <v>75</v>
      </c>
      <c r="C3" s="1"/>
      <c r="D3" s="1"/>
      <c r="E3" s="1"/>
      <c r="F3" s="1"/>
      <c r="G3" s="92" t="s">
        <v>119</v>
      </c>
      <c r="H3" s="92"/>
      <c r="I3" s="1"/>
      <c r="J3" s="1"/>
      <c r="K3" s="1"/>
      <c r="L3" s="1"/>
    </row>
    <row r="4" spans="1:12" x14ac:dyDescent="0.25">
      <c r="A4" t="s">
        <v>76</v>
      </c>
      <c r="C4" s="23">
        <f>H14</f>
        <v>2.1432816231004805</v>
      </c>
      <c r="D4" s="1"/>
      <c r="E4" s="1"/>
      <c r="F4" s="1"/>
      <c r="G4" s="31" t="s">
        <v>120</v>
      </c>
      <c r="H4" s="83">
        <v>0.72</v>
      </c>
      <c r="I4" s="1"/>
      <c r="J4" s="1"/>
      <c r="K4" s="1"/>
      <c r="L4" s="1"/>
    </row>
    <row r="5" spans="1:12" x14ac:dyDescent="0.25">
      <c r="A5" t="s">
        <v>78</v>
      </c>
      <c r="C5" s="81">
        <v>1.2500000000000001E-2</v>
      </c>
      <c r="D5" s="1"/>
      <c r="E5" s="1"/>
      <c r="F5" s="1"/>
      <c r="G5" s="32" t="s">
        <v>121</v>
      </c>
      <c r="H5" s="84">
        <v>0.28000000000000003</v>
      </c>
      <c r="I5" s="1"/>
      <c r="J5" s="1"/>
      <c r="K5" s="1"/>
      <c r="L5" s="1"/>
    </row>
    <row r="6" spans="1:12" x14ac:dyDescent="0.25">
      <c r="A6" t="s">
        <v>77</v>
      </c>
      <c r="C6" s="81">
        <v>0.1125</v>
      </c>
      <c r="D6" s="1"/>
      <c r="E6" s="1"/>
      <c r="F6" s="1"/>
      <c r="G6" s="32" t="s">
        <v>122</v>
      </c>
      <c r="H6" s="34">
        <f>C15</f>
        <v>0.35</v>
      </c>
      <c r="I6" s="1"/>
      <c r="J6" s="1"/>
      <c r="K6" s="1"/>
      <c r="L6" s="1"/>
    </row>
    <row r="7" spans="1:12" x14ac:dyDescent="0.25">
      <c r="C7" s="1"/>
      <c r="D7" s="1"/>
      <c r="E7" s="1"/>
      <c r="F7" s="1"/>
      <c r="G7" s="32" t="s">
        <v>123</v>
      </c>
      <c r="H7" s="85">
        <v>2.0499999999999998</v>
      </c>
      <c r="I7" s="1"/>
      <c r="J7" s="1"/>
      <c r="K7" s="1"/>
      <c r="L7" s="1"/>
    </row>
    <row r="8" spans="1:12" x14ac:dyDescent="0.25">
      <c r="A8" t="s">
        <v>79</v>
      </c>
      <c r="C8" s="13">
        <f>C5+C4*(C6-C5)</f>
        <v>0.22682816231004807</v>
      </c>
      <c r="D8" s="1"/>
      <c r="E8" s="1"/>
      <c r="F8" s="1"/>
      <c r="G8" s="32"/>
      <c r="H8" s="35"/>
      <c r="I8" s="1"/>
      <c r="J8" s="1"/>
      <c r="K8" s="1"/>
      <c r="L8" s="1"/>
    </row>
    <row r="9" spans="1:12" x14ac:dyDescent="0.25">
      <c r="C9" s="1"/>
      <c r="D9" s="1"/>
      <c r="E9" s="1"/>
      <c r="F9" s="1"/>
      <c r="G9" s="32" t="s">
        <v>124</v>
      </c>
      <c r="H9" s="35">
        <f>H7/(1+(1-H6)*(H4/H5))</f>
        <v>0.76737967914438499</v>
      </c>
      <c r="I9" s="1"/>
      <c r="J9" s="1"/>
      <c r="K9" s="1"/>
      <c r="L9" s="1"/>
    </row>
    <row r="10" spans="1:12" x14ac:dyDescent="0.25">
      <c r="A10" s="19" t="s">
        <v>80</v>
      </c>
      <c r="C10" s="1"/>
      <c r="D10" s="28" t="s">
        <v>84</v>
      </c>
      <c r="E10" s="28" t="s">
        <v>85</v>
      </c>
      <c r="F10" s="27"/>
      <c r="G10" s="32"/>
      <c r="H10" s="35"/>
      <c r="I10" s="1"/>
      <c r="J10" s="1"/>
      <c r="K10" s="1"/>
      <c r="L10" s="1"/>
    </row>
    <row r="11" spans="1:12" x14ac:dyDescent="0.25">
      <c r="A11" t="s">
        <v>81</v>
      </c>
      <c r="C11" s="22">
        <f>Mortgage!D4</f>
        <v>0.05</v>
      </c>
      <c r="D11" s="29">
        <f>'Balance Sheet'!C18</f>
        <v>788197.07723546016</v>
      </c>
      <c r="E11" s="26">
        <f>D11/SUM(D11:$D$79)</f>
        <v>1</v>
      </c>
      <c r="F11" s="28"/>
      <c r="G11" s="32" t="s">
        <v>125</v>
      </c>
      <c r="H11" s="33">
        <f>C20</f>
        <v>0.73393229428010587</v>
      </c>
      <c r="I11" s="1"/>
      <c r="J11" s="1"/>
      <c r="K11" s="1"/>
    </row>
    <row r="12" spans="1:12" x14ac:dyDescent="0.25">
      <c r="A12" s="28" t="s">
        <v>82</v>
      </c>
      <c r="C12" s="22">
        <f>'Income Statement'!B19</f>
        <v>0.08</v>
      </c>
      <c r="D12" s="82">
        <v>0</v>
      </c>
      <c r="E12" s="30">
        <f>D12/SUM(D11:D12)</f>
        <v>0</v>
      </c>
      <c r="F12" s="28"/>
      <c r="G12" s="32" t="s">
        <v>126</v>
      </c>
      <c r="H12" s="33">
        <f>C25</f>
        <v>0.26606770571989402</v>
      </c>
      <c r="I12" s="1"/>
      <c r="J12" s="1"/>
      <c r="K12" s="1"/>
    </row>
    <row r="13" spans="1:12" x14ac:dyDescent="0.25">
      <c r="A13" s="28" t="s">
        <v>83</v>
      </c>
      <c r="C13" s="13">
        <f>C11*E11+C12*E12</f>
        <v>0.05</v>
      </c>
      <c r="D13" s="1"/>
      <c r="E13" s="1"/>
      <c r="F13" s="1"/>
      <c r="G13" s="32"/>
      <c r="H13" s="35"/>
      <c r="I13" s="1"/>
      <c r="J13" s="1"/>
      <c r="K13" s="1"/>
      <c r="L13" s="1"/>
    </row>
    <row r="14" spans="1:12" x14ac:dyDescent="0.25">
      <c r="C14" s="1"/>
      <c r="D14" s="1"/>
      <c r="E14" s="1"/>
      <c r="F14" s="1"/>
      <c r="G14" s="47" t="s">
        <v>127</v>
      </c>
      <c r="H14" s="48">
        <f>H9*(1+(1-H6)*(H11/H12))</f>
        <v>2.1432816231004805</v>
      </c>
      <c r="I14" s="1"/>
      <c r="J14" s="1"/>
      <c r="K14" s="1"/>
      <c r="L14" s="1"/>
    </row>
    <row r="15" spans="1:12" x14ac:dyDescent="0.25">
      <c r="A15" t="s">
        <v>86</v>
      </c>
      <c r="C15" s="24">
        <f>'Income Statement'!B22</f>
        <v>0.35</v>
      </c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25"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x14ac:dyDescent="0.25">
      <c r="A17" s="19" t="s">
        <v>87</v>
      </c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x14ac:dyDescent="0.25">
      <c r="A18" t="s">
        <v>88</v>
      </c>
      <c r="C18" s="1">
        <f>'Balance Sheet'!C18</f>
        <v>788197.07723546016</v>
      </c>
      <c r="D18" s="1"/>
      <c r="E18" s="1"/>
      <c r="F18" s="1"/>
      <c r="G18" s="1"/>
      <c r="H18" s="1"/>
      <c r="I18" s="1"/>
      <c r="J18" s="1"/>
      <c r="K18" s="1"/>
      <c r="L18" s="1"/>
    </row>
    <row r="19" spans="1:12" x14ac:dyDescent="0.25">
      <c r="A19" t="s">
        <v>89</v>
      </c>
      <c r="C19" s="1">
        <f>'Balance Sheet'!C19</f>
        <v>36353.225809165087</v>
      </c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t="s">
        <v>90</v>
      </c>
      <c r="C20" s="13">
        <f>SUM(C18:C19)/C27</f>
        <v>0.73393229428010587</v>
      </c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9" t="s">
        <v>91</v>
      </c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t="s">
        <v>92</v>
      </c>
      <c r="C23" s="1">
        <f>'Balance Sheet'!C21</f>
        <v>300000</v>
      </c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t="s">
        <v>93</v>
      </c>
      <c r="C24" s="1">
        <f>'Balance Sheet'!C22</f>
        <v>-1081.1363779588137</v>
      </c>
      <c r="D24" s="1"/>
      <c r="E24" s="1"/>
      <c r="F24" s="1"/>
      <c r="G24" s="1"/>
      <c r="H24" s="1"/>
      <c r="I24" s="1"/>
      <c r="J24" s="1"/>
      <c r="K24" s="1"/>
      <c r="L24" s="1"/>
    </row>
    <row r="25" spans="1:12" x14ac:dyDescent="0.25">
      <c r="A25" t="s">
        <v>90</v>
      </c>
      <c r="C25" s="13">
        <f>SUM(C23:C24)/C27</f>
        <v>0.26606770571989402</v>
      </c>
      <c r="D25" s="1"/>
      <c r="E25" s="1"/>
      <c r="F25" s="1"/>
      <c r="G25" s="1"/>
      <c r="H25" s="1"/>
      <c r="I25" s="1"/>
      <c r="J25" s="1"/>
      <c r="K25" s="1"/>
      <c r="L25" s="1"/>
    </row>
    <row r="26" spans="1:12" x14ac:dyDescent="0.25"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x14ac:dyDescent="0.25">
      <c r="A27" s="19" t="s">
        <v>94</v>
      </c>
      <c r="C27" s="1">
        <f>SUM(C18:C19)+SUM(C23:C24)</f>
        <v>1123469.1666666665</v>
      </c>
      <c r="D27" s="1"/>
      <c r="E27" s="1"/>
      <c r="F27" s="1"/>
      <c r="G27" s="1"/>
      <c r="H27" s="1"/>
      <c r="I27" s="1"/>
      <c r="J27" s="1"/>
      <c r="K27" s="1"/>
      <c r="L27" s="1"/>
    </row>
    <row r="28" spans="1:12" x14ac:dyDescent="0.25"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x14ac:dyDescent="0.25">
      <c r="A29" t="s">
        <v>95</v>
      </c>
      <c r="C29" s="25">
        <f>(C20*(1-C15)*C13)+(C25*C8)</f>
        <v>8.420444830259767E-2</v>
      </c>
      <c r="D29" s="1"/>
      <c r="E29" s="1"/>
      <c r="F29" s="1"/>
      <c r="G29" s="1"/>
      <c r="H29" s="1"/>
      <c r="I29" s="1"/>
      <c r="J29" s="1"/>
      <c r="K29" s="1"/>
      <c r="L29" s="1"/>
    </row>
  </sheetData>
  <mergeCells count="1">
    <mergeCell ref="G3:H3"/>
  </mergeCells>
  <pageMargins left="0.75" right="0.75" top="1" bottom="1" header="0.5" footer="0.5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opLeftCell="A2" workbookViewId="0">
      <selection activeCell="I14" sqref="I14"/>
    </sheetView>
  </sheetViews>
  <sheetFormatPr defaultColWidth="11.42578125" defaultRowHeight="15" x14ac:dyDescent="0.25"/>
  <cols>
    <col min="1" max="1" width="30.28515625" customWidth="1"/>
    <col min="2" max="2" width="15" bestFit="1" customWidth="1"/>
    <col min="3" max="12" width="14.42578125" customWidth="1"/>
    <col min="13" max="13" width="11.5703125" bestFit="1" customWidth="1"/>
  </cols>
  <sheetData>
    <row r="1" spans="1:15" ht="18.75" x14ac:dyDescent="0.3">
      <c r="A1" s="6" t="s">
        <v>129</v>
      </c>
      <c r="B1" s="46">
        <v>0</v>
      </c>
      <c r="C1" s="46">
        <v>1</v>
      </c>
      <c r="D1" s="46">
        <v>2</v>
      </c>
      <c r="E1" s="46">
        <v>3</v>
      </c>
      <c r="F1" s="46">
        <v>4</v>
      </c>
      <c r="G1" s="46">
        <v>5</v>
      </c>
      <c r="H1" s="46">
        <v>6</v>
      </c>
      <c r="I1" s="46">
        <v>7</v>
      </c>
      <c r="J1" s="46">
        <v>8</v>
      </c>
      <c r="K1" s="46">
        <v>9</v>
      </c>
      <c r="L1" s="46">
        <v>10</v>
      </c>
      <c r="M1" s="37"/>
      <c r="N1" s="37"/>
      <c r="O1" s="37"/>
    </row>
    <row r="2" spans="1:15" ht="18.75" x14ac:dyDescent="0.3">
      <c r="A2" s="53"/>
      <c r="B2" s="54"/>
      <c r="C2" s="72">
        <v>2013</v>
      </c>
      <c r="D2" s="72">
        <v>2014</v>
      </c>
      <c r="E2" s="72">
        <v>2015</v>
      </c>
      <c r="F2" s="72">
        <v>2016</v>
      </c>
      <c r="G2" s="72">
        <v>2017</v>
      </c>
      <c r="H2" s="72">
        <v>2018</v>
      </c>
      <c r="I2" s="72">
        <v>2019</v>
      </c>
      <c r="J2" s="72">
        <v>2020</v>
      </c>
      <c r="K2" s="72">
        <v>2021</v>
      </c>
      <c r="L2" s="72">
        <v>2022</v>
      </c>
      <c r="M2" s="37"/>
      <c r="N2" s="37"/>
      <c r="O2" s="37"/>
    </row>
    <row r="3" spans="1:15" x14ac:dyDescent="0.25">
      <c r="A3" s="37" t="s">
        <v>96</v>
      </c>
      <c r="B3" s="37"/>
      <c r="C3" s="38"/>
      <c r="D3" s="40"/>
      <c r="E3" s="40"/>
      <c r="F3" s="40"/>
      <c r="G3" s="40"/>
      <c r="H3" s="40"/>
      <c r="I3" s="40"/>
      <c r="J3" s="40"/>
      <c r="K3" s="40"/>
      <c r="L3" s="40"/>
      <c r="M3" s="37"/>
      <c r="N3" s="37"/>
      <c r="O3" s="37"/>
    </row>
    <row r="4" spans="1:15" x14ac:dyDescent="0.25">
      <c r="A4" s="37" t="s">
        <v>97</v>
      </c>
      <c r="B4" s="37"/>
      <c r="C4" s="40">
        <f>'Income Statement'!C6-'Income Statement'!C8-SUM('Income Statement'!C10:C13)</f>
        <v>71984.149999999907</v>
      </c>
      <c r="D4" s="40">
        <f>'Income Statement'!D6-'Income Statement'!D8-SUM('Income Statement'!D10:D13)</f>
        <v>87897.215749999974</v>
      </c>
      <c r="E4" s="40">
        <f>'Income Statement'!E6-'Income Statement'!E8-SUM('Income Statement'!E10:E13)</f>
        <v>88800.306597499875</v>
      </c>
      <c r="F4" s="40">
        <f>'Income Statement'!F6-'Income Statement'!F8-SUM('Income Statement'!F10:F13)</f>
        <v>89692.504072925076</v>
      </c>
      <c r="G4" s="40">
        <f>'Income Statement'!G6-'Income Statement'!G8-SUM('Income Statement'!G10:G13)</f>
        <v>90572.856173912762</v>
      </c>
      <c r="H4" s="40">
        <f>'Income Statement'!H6-'Income Statement'!H8-SUM('Income Statement'!H10:H13)</f>
        <v>91440.376560043776</v>
      </c>
      <c r="I4" s="40">
        <f>'Income Statement'!I6-'Income Statement'!I8-SUM('Income Statement'!I10:I13)</f>
        <v>92294.043743441347</v>
      </c>
      <c r="J4" s="40">
        <f>'Income Statement'!J6-'Income Statement'!J8-SUM('Income Statement'!J10:J13)</f>
        <v>93132.800276319962</v>
      </c>
      <c r="K4" s="40">
        <f>'Income Statement'!K6-'Income Statement'!K8-SUM('Income Statement'!K10:K13)</f>
        <v>93955.551936656935</v>
      </c>
      <c r="L4" s="40">
        <f>'Income Statement'!L6-'Income Statement'!L8-SUM('Income Statement'!L10:L13)</f>
        <v>94761.166913257213</v>
      </c>
      <c r="M4" s="37"/>
      <c r="N4" s="37"/>
      <c r="O4" s="37"/>
    </row>
    <row r="5" spans="1:15" x14ac:dyDescent="0.25">
      <c r="A5" s="37" t="s">
        <v>98</v>
      </c>
      <c r="B5" s="37"/>
      <c r="C5" s="40">
        <f>'Income Statement'!C17</f>
        <v>33333.333333333336</v>
      </c>
      <c r="D5" s="40">
        <f>'Income Statement'!D17</f>
        <v>33333.333333333336</v>
      </c>
      <c r="E5" s="40">
        <f>'Income Statement'!E17</f>
        <v>33333.333333333336</v>
      </c>
      <c r="F5" s="40">
        <f>'Income Statement'!F17</f>
        <v>33333.333333333336</v>
      </c>
      <c r="G5" s="40">
        <f>'Income Statement'!G17</f>
        <v>33333.333333333336</v>
      </c>
      <c r="H5" s="40">
        <f>'Income Statement'!H17</f>
        <v>33333.333333333336</v>
      </c>
      <c r="I5" s="40">
        <f>'Income Statement'!I17</f>
        <v>33333.333333333336</v>
      </c>
      <c r="J5" s="40">
        <f>'Income Statement'!J17</f>
        <v>33333.333333333336</v>
      </c>
      <c r="K5" s="40">
        <f>'Income Statement'!K17</f>
        <v>33333.333333333336</v>
      </c>
      <c r="L5" s="40">
        <f>'Income Statement'!L17</f>
        <v>33333.333333333336</v>
      </c>
      <c r="M5" s="37"/>
      <c r="N5" s="37"/>
      <c r="O5" s="37"/>
    </row>
    <row r="6" spans="1:15" x14ac:dyDescent="0.25">
      <c r="A6" s="37" t="s">
        <v>99</v>
      </c>
      <c r="B6" s="37"/>
      <c r="C6" s="40">
        <f>C4-C5</f>
        <v>38650.816666666571</v>
      </c>
      <c r="D6" s="40">
        <f t="shared" ref="D6:L6" si="0">D4-D5</f>
        <v>54563.882416666638</v>
      </c>
      <c r="E6" s="40">
        <f t="shared" si="0"/>
        <v>55466.97326416654</v>
      </c>
      <c r="F6" s="40">
        <f t="shared" si="0"/>
        <v>56359.17073959174</v>
      </c>
      <c r="G6" s="40">
        <f t="shared" si="0"/>
        <v>57239.522840579426</v>
      </c>
      <c r="H6" s="40">
        <f t="shared" si="0"/>
        <v>58107.043226710441</v>
      </c>
      <c r="I6" s="40">
        <f t="shared" si="0"/>
        <v>58960.710410108011</v>
      </c>
      <c r="J6" s="40">
        <f t="shared" si="0"/>
        <v>59799.466942986626</v>
      </c>
      <c r="K6" s="40">
        <f t="shared" si="0"/>
        <v>60622.218603323599</v>
      </c>
      <c r="L6" s="40">
        <f t="shared" si="0"/>
        <v>61427.833579923878</v>
      </c>
      <c r="M6" s="37"/>
      <c r="N6" s="37"/>
      <c r="O6" s="37"/>
    </row>
    <row r="7" spans="1:15" x14ac:dyDescent="0.25">
      <c r="A7" s="37" t="s">
        <v>100</v>
      </c>
      <c r="B7" s="37"/>
      <c r="C7" s="40">
        <f>C6*WACC!$C$15</f>
        <v>13527.785833333299</v>
      </c>
      <c r="D7" s="40">
        <f>D6*WACC!$C$15</f>
        <v>19097.358845833322</v>
      </c>
      <c r="E7" s="40">
        <f>E6*WACC!$C$15</f>
        <v>19413.440642458288</v>
      </c>
      <c r="F7" s="40">
        <f>F6*WACC!$C$15</f>
        <v>19725.709758857109</v>
      </c>
      <c r="G7" s="40">
        <f>G6*WACC!$C$15</f>
        <v>20033.832994202799</v>
      </c>
      <c r="H7" s="40">
        <f>H6*WACC!$C$15</f>
        <v>20337.465129348653</v>
      </c>
      <c r="I7" s="40">
        <f>I6*WACC!$C$15</f>
        <v>20636.248643537801</v>
      </c>
      <c r="J7" s="40">
        <f>J6*WACC!$C$15</f>
        <v>20929.813430045317</v>
      </c>
      <c r="K7" s="40">
        <f>K6*WACC!$C$15</f>
        <v>21217.776511163258</v>
      </c>
      <c r="L7" s="40">
        <f>L6*WACC!$C$15</f>
        <v>21499.741752973358</v>
      </c>
      <c r="M7" s="37"/>
      <c r="N7" s="37"/>
      <c r="O7" s="37"/>
    </row>
    <row r="8" spans="1:15" x14ac:dyDescent="0.25">
      <c r="A8" s="37" t="s">
        <v>101</v>
      </c>
      <c r="B8" s="37"/>
      <c r="C8" s="40">
        <f>C5</f>
        <v>33333.333333333336</v>
      </c>
      <c r="D8" s="40">
        <f t="shared" ref="D8:L8" si="1">D5</f>
        <v>33333.333333333336</v>
      </c>
      <c r="E8" s="40">
        <f t="shared" si="1"/>
        <v>33333.333333333336</v>
      </c>
      <c r="F8" s="40">
        <f t="shared" si="1"/>
        <v>33333.333333333336</v>
      </c>
      <c r="G8" s="40">
        <f t="shared" si="1"/>
        <v>33333.333333333336</v>
      </c>
      <c r="H8" s="40">
        <f t="shared" si="1"/>
        <v>33333.333333333336</v>
      </c>
      <c r="I8" s="40">
        <f t="shared" si="1"/>
        <v>33333.333333333336</v>
      </c>
      <c r="J8" s="40">
        <f t="shared" si="1"/>
        <v>33333.333333333336</v>
      </c>
      <c r="K8" s="40">
        <f t="shared" si="1"/>
        <v>33333.333333333336</v>
      </c>
      <c r="L8" s="40">
        <f t="shared" si="1"/>
        <v>33333.333333333336</v>
      </c>
      <c r="M8" s="37"/>
      <c r="N8" s="37"/>
      <c r="O8" s="37"/>
    </row>
    <row r="9" spans="1:15" ht="15.75" thickBot="1" x14ac:dyDescent="0.3">
      <c r="A9" s="37" t="s">
        <v>102</v>
      </c>
      <c r="B9" s="37"/>
      <c r="C9" s="51">
        <f>C6-C7+C8</f>
        <v>58456.364166666608</v>
      </c>
      <c r="D9" s="51">
        <f t="shared" ref="D9:L9" si="2">D6-D7+D8</f>
        <v>68799.856904166663</v>
      </c>
      <c r="E9" s="51">
        <f t="shared" si="2"/>
        <v>69386.865955041576</v>
      </c>
      <c r="F9" s="51">
        <f t="shared" si="2"/>
        <v>69966.794314067956</v>
      </c>
      <c r="G9" s="51">
        <f t="shared" si="2"/>
        <v>70539.02317970997</v>
      </c>
      <c r="H9" s="51">
        <f t="shared" si="2"/>
        <v>71102.911430695123</v>
      </c>
      <c r="I9" s="51">
        <f t="shared" si="2"/>
        <v>71657.795099903538</v>
      </c>
      <c r="J9" s="51">
        <f t="shared" si="2"/>
        <v>72202.986846274638</v>
      </c>
      <c r="K9" s="51">
        <f t="shared" si="2"/>
        <v>72737.775425493688</v>
      </c>
      <c r="L9" s="51">
        <f t="shared" si="2"/>
        <v>73261.425160283863</v>
      </c>
      <c r="M9" s="37"/>
      <c r="N9" s="37"/>
      <c r="O9" s="37"/>
    </row>
    <row r="10" spans="1:15" ht="15.75" thickTop="1" x14ac:dyDescent="0.25">
      <c r="A10" s="37" t="s">
        <v>103</v>
      </c>
      <c r="B10" s="37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37"/>
      <c r="N10" s="37"/>
      <c r="O10" s="37"/>
    </row>
    <row r="11" spans="1:15" x14ac:dyDescent="0.25">
      <c r="A11" s="37" t="s">
        <v>104</v>
      </c>
      <c r="B11" s="40">
        <f>-'Balance Sheet'!C10</f>
        <v>-1000000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37"/>
      <c r="N11" s="37"/>
      <c r="O11" s="37"/>
    </row>
    <row r="12" spans="1:15" x14ac:dyDescent="0.25">
      <c r="A12" s="37" t="s">
        <v>105</v>
      </c>
      <c r="B12" s="37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37"/>
      <c r="N12" s="37"/>
      <c r="O12" s="37"/>
    </row>
    <row r="13" spans="1:15" x14ac:dyDescent="0.25">
      <c r="A13" s="37" t="s">
        <v>106</v>
      </c>
      <c r="B13" s="37"/>
      <c r="C13" s="40"/>
      <c r="D13" s="40"/>
      <c r="E13" s="40"/>
      <c r="F13" s="40"/>
      <c r="G13" s="40"/>
      <c r="H13" s="40"/>
      <c r="I13" s="40"/>
      <c r="J13" s="40"/>
      <c r="K13" s="40"/>
      <c r="L13" s="40">
        <f>'Balance Sheet'!C10*M13</f>
        <v>1300000</v>
      </c>
      <c r="M13" s="77">
        <v>1.3</v>
      </c>
      <c r="N13" s="37" t="s">
        <v>118</v>
      </c>
      <c r="O13" s="37"/>
    </row>
    <row r="14" spans="1:15" x14ac:dyDescent="0.25">
      <c r="A14" s="37" t="s">
        <v>107</v>
      </c>
      <c r="B14" s="37"/>
      <c r="C14" s="40"/>
      <c r="D14" s="40"/>
      <c r="E14" s="40"/>
      <c r="F14" s="40"/>
      <c r="G14" s="40"/>
      <c r="H14" s="40"/>
      <c r="I14" s="40"/>
      <c r="J14" s="40"/>
      <c r="K14" s="40"/>
      <c r="L14" s="40">
        <f>-(L13+B11)*'Income Statement'!B22</f>
        <v>-105000</v>
      </c>
      <c r="M14" s="37"/>
      <c r="N14" s="37"/>
      <c r="O14" s="37"/>
    </row>
    <row r="15" spans="1:15" x14ac:dyDescent="0.25">
      <c r="A15" s="37" t="s">
        <v>108</v>
      </c>
      <c r="B15" s="37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37"/>
      <c r="N15" s="37"/>
      <c r="O15" s="37"/>
    </row>
    <row r="16" spans="1:15" x14ac:dyDescent="0.25">
      <c r="A16" s="37" t="s">
        <v>109</v>
      </c>
      <c r="B16" s="37"/>
      <c r="C16" s="40">
        <f>'Balance Sheet'!C6</f>
        <v>0</v>
      </c>
      <c r="D16" s="40">
        <f>'Balance Sheet'!D6</f>
        <v>0</v>
      </c>
      <c r="E16" s="40">
        <f>'Balance Sheet'!E6</f>
        <v>0</v>
      </c>
      <c r="F16" s="40">
        <f>'Balance Sheet'!F6</f>
        <v>0</v>
      </c>
      <c r="G16" s="40">
        <f>'Balance Sheet'!G6</f>
        <v>0</v>
      </c>
      <c r="H16" s="40">
        <f>'Balance Sheet'!H6</f>
        <v>0</v>
      </c>
      <c r="I16" s="40">
        <f>'Balance Sheet'!I6</f>
        <v>0</v>
      </c>
      <c r="J16" s="40">
        <f>'Balance Sheet'!J6</f>
        <v>0</v>
      </c>
      <c r="K16" s="40">
        <f>'Balance Sheet'!K6</f>
        <v>0</v>
      </c>
      <c r="L16" s="40">
        <f>'Balance Sheet'!L6</f>
        <v>0</v>
      </c>
      <c r="M16" s="37"/>
      <c r="N16" s="37"/>
      <c r="O16" s="37"/>
    </row>
    <row r="17" spans="1:15" x14ac:dyDescent="0.25">
      <c r="A17" s="37" t="s">
        <v>110</v>
      </c>
      <c r="B17" s="37"/>
      <c r="C17" s="40">
        <f>-'Balance Sheet'!C7</f>
        <v>-1901.25</v>
      </c>
      <c r="D17" s="40">
        <f>-('Balance Sheet'!D7-'Balance Sheet'!C7)</f>
        <v>-38.024999999999864</v>
      </c>
      <c r="E17" s="40">
        <f>-('Balance Sheet'!E7-'Balance Sheet'!D7)</f>
        <v>-38.785500000000184</v>
      </c>
      <c r="F17" s="40">
        <f>-('Balance Sheet'!F7-'Balance Sheet'!E7)</f>
        <v>-39.561209999999846</v>
      </c>
      <c r="G17" s="40">
        <f>-('Balance Sheet'!G7-'Balance Sheet'!F7)</f>
        <v>-40.352434200000062</v>
      </c>
      <c r="H17" s="40">
        <f>-('Balance Sheet'!H7-'Balance Sheet'!G7)</f>
        <v>-41.159482884000226</v>
      </c>
      <c r="I17" s="40">
        <f>-('Balance Sheet'!I7-'Balance Sheet'!H7)</f>
        <v>-41.982672541679676</v>
      </c>
      <c r="J17" s="40">
        <f>-('Balance Sheet'!J7-'Balance Sheet'!I7)</f>
        <v>-42.822325992513925</v>
      </c>
      <c r="K17" s="40">
        <f>-('Balance Sheet'!K7-'Balance Sheet'!J7)</f>
        <v>-43.678772512363594</v>
      </c>
      <c r="L17" s="40">
        <f>-('Balance Sheet'!L7-'Balance Sheet'!K7)</f>
        <v>-44.552347962611293</v>
      </c>
      <c r="M17" s="37"/>
      <c r="N17" s="37"/>
      <c r="O17" s="37"/>
    </row>
    <row r="18" spans="1:15" x14ac:dyDescent="0.25">
      <c r="A18" s="37" t="s">
        <v>111</v>
      </c>
      <c r="B18" s="37"/>
      <c r="C18" s="40">
        <f>+C7</f>
        <v>13527.785833333299</v>
      </c>
      <c r="D18" s="40">
        <f>+(D7-C7)</f>
        <v>5569.5730125000227</v>
      </c>
      <c r="E18" s="40">
        <f t="shared" ref="E18:K18" si="3">+(E7-D7)</f>
        <v>316.08179662496696</v>
      </c>
      <c r="F18" s="40">
        <f t="shared" si="3"/>
        <v>312.26911639882019</v>
      </c>
      <c r="G18" s="40">
        <f t="shared" si="3"/>
        <v>308.12323534569077</v>
      </c>
      <c r="H18" s="40">
        <f t="shared" si="3"/>
        <v>303.63213514585368</v>
      </c>
      <c r="I18" s="40">
        <f t="shared" si="3"/>
        <v>298.78351418914826</v>
      </c>
      <c r="J18" s="40">
        <f t="shared" si="3"/>
        <v>293.56478650751524</v>
      </c>
      <c r="K18" s="40">
        <f t="shared" si="3"/>
        <v>287.96308111794133</v>
      </c>
      <c r="L18" s="40">
        <f>+(L7-K7)</f>
        <v>281.96524181009954</v>
      </c>
      <c r="M18" s="40">
        <f>SUM(C18:L18)</f>
        <v>21499.741752973358</v>
      </c>
      <c r="N18" s="37"/>
      <c r="O18" s="37"/>
    </row>
    <row r="19" spans="1:15" x14ac:dyDescent="0.25">
      <c r="A19" s="37" t="s">
        <v>112</v>
      </c>
      <c r="B19" s="37"/>
      <c r="C19" s="40">
        <f>+'Balance Sheet'!C16</f>
        <v>0</v>
      </c>
      <c r="D19" s="40">
        <f>+'Balance Sheet'!D16</f>
        <v>0</v>
      </c>
      <c r="E19" s="40">
        <f>+'Balance Sheet'!E16</f>
        <v>0</v>
      </c>
      <c r="F19" s="40">
        <f>+'Balance Sheet'!F16</f>
        <v>0</v>
      </c>
      <c r="G19" s="40">
        <f>+'Balance Sheet'!G16</f>
        <v>0</v>
      </c>
      <c r="H19" s="40">
        <f>+'Balance Sheet'!H16</f>
        <v>0</v>
      </c>
      <c r="I19" s="40">
        <f>+'Balance Sheet'!I16</f>
        <v>0</v>
      </c>
      <c r="J19" s="40">
        <f>+'Balance Sheet'!J16</f>
        <v>0</v>
      </c>
      <c r="K19" s="40">
        <f>+'Balance Sheet'!K16</f>
        <v>0</v>
      </c>
      <c r="L19" s="40">
        <f>+'Balance Sheet'!L16</f>
        <v>0</v>
      </c>
      <c r="M19" s="37"/>
      <c r="N19" s="37"/>
      <c r="O19" s="37"/>
    </row>
    <row r="20" spans="1:15" x14ac:dyDescent="0.25">
      <c r="A20" s="37" t="s">
        <v>114</v>
      </c>
      <c r="B20" s="37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37"/>
      <c r="N20" s="37"/>
      <c r="O20" s="37"/>
    </row>
    <row r="21" spans="1:15" x14ac:dyDescent="0.25">
      <c r="A21" s="37" t="s">
        <v>109</v>
      </c>
      <c r="B21" s="37"/>
      <c r="C21" s="40"/>
      <c r="D21" s="40"/>
      <c r="E21" s="40"/>
      <c r="F21" s="40"/>
      <c r="G21" s="40"/>
      <c r="H21" s="40"/>
      <c r="I21" s="40"/>
      <c r="J21" s="40"/>
      <c r="K21" s="40"/>
      <c r="L21" s="40">
        <f>+'Balance Sheet'!L6</f>
        <v>0</v>
      </c>
      <c r="M21" s="37"/>
      <c r="N21" s="37"/>
      <c r="O21" s="37"/>
    </row>
    <row r="22" spans="1:15" x14ac:dyDescent="0.25">
      <c r="A22" s="37" t="s">
        <v>110</v>
      </c>
      <c r="B22" s="37"/>
      <c r="C22" s="40"/>
      <c r="D22" s="40"/>
      <c r="E22" s="40"/>
      <c r="F22" s="40"/>
      <c r="G22" s="40"/>
      <c r="H22" s="40"/>
      <c r="I22" s="40"/>
      <c r="J22" s="40"/>
      <c r="K22" s="40"/>
      <c r="L22" s="40">
        <f>+'Balance Sheet'!L7</f>
        <v>2272.1697460931687</v>
      </c>
      <c r="M22" s="37"/>
      <c r="N22" s="37"/>
      <c r="O22" s="37"/>
    </row>
    <row r="23" spans="1:15" x14ac:dyDescent="0.25">
      <c r="A23" s="37" t="s">
        <v>111</v>
      </c>
      <c r="B23" s="37"/>
      <c r="C23" s="40"/>
      <c r="D23" s="40"/>
      <c r="E23" s="40"/>
      <c r="F23" s="40"/>
      <c r="G23" s="40"/>
      <c r="H23" s="40"/>
      <c r="I23" s="40"/>
      <c r="J23" s="40"/>
      <c r="K23" s="40"/>
      <c r="L23" s="40">
        <f>-L7</f>
        <v>-21499.741752973358</v>
      </c>
      <c r="M23" s="37"/>
      <c r="N23" s="37"/>
      <c r="O23" s="37"/>
    </row>
    <row r="24" spans="1:15" x14ac:dyDescent="0.25">
      <c r="A24" s="37" t="s">
        <v>112</v>
      </c>
      <c r="B24" s="37"/>
      <c r="C24" s="40"/>
      <c r="D24" s="40"/>
      <c r="E24" s="40"/>
      <c r="F24" s="40"/>
      <c r="G24" s="40"/>
      <c r="H24" s="40"/>
      <c r="I24" s="40"/>
      <c r="J24" s="40"/>
      <c r="K24" s="40"/>
      <c r="L24" s="40">
        <f>-'Balance Sheet'!L16</f>
        <v>0</v>
      </c>
      <c r="M24" s="37"/>
      <c r="N24" s="37"/>
      <c r="O24" s="37"/>
    </row>
    <row r="25" spans="1:15" x14ac:dyDescent="0.25">
      <c r="A25" s="37"/>
      <c r="B25" s="37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37"/>
      <c r="N25" s="37"/>
      <c r="O25" s="37"/>
    </row>
    <row r="26" spans="1:15" x14ac:dyDescent="0.25">
      <c r="A26" s="37" t="s">
        <v>113</v>
      </c>
      <c r="B26" s="40">
        <f>SUM(B11:B25)</f>
        <v>-1000000</v>
      </c>
      <c r="C26" s="40">
        <f>SUM(C9:C25)</f>
        <v>70082.899999999907</v>
      </c>
      <c r="D26" s="40">
        <f t="shared" ref="D26:K26" si="4">SUM(D9:D25)</f>
        <v>74331.404916666695</v>
      </c>
      <c r="E26" s="40">
        <f t="shared" si="4"/>
        <v>69664.162251666537</v>
      </c>
      <c r="F26" s="40">
        <f t="shared" si="4"/>
        <v>70239.502220466777</v>
      </c>
      <c r="G26" s="40">
        <f t="shared" si="4"/>
        <v>70806.793980855655</v>
      </c>
      <c r="H26" s="40">
        <f t="shared" si="4"/>
        <v>71365.384082956967</v>
      </c>
      <c r="I26" s="40">
        <f t="shared" si="4"/>
        <v>71914.595941551001</v>
      </c>
      <c r="J26" s="40">
        <f t="shared" si="4"/>
        <v>72453.729306789639</v>
      </c>
      <c r="K26" s="40">
        <f t="shared" si="4"/>
        <v>72982.059734099268</v>
      </c>
      <c r="L26" s="40">
        <f>SUM(L9:L25)</f>
        <v>1249271.2660472514</v>
      </c>
      <c r="M26" s="37"/>
      <c r="N26" s="37"/>
      <c r="O26" s="37"/>
    </row>
    <row r="27" spans="1:15" x14ac:dyDescent="0.25">
      <c r="A27" s="37" t="s">
        <v>115</v>
      </c>
      <c r="B27" s="52">
        <f>IRR(B26:L26)</f>
        <v>8.3516188437292582E-2</v>
      </c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37"/>
      <c r="N27" s="37"/>
      <c r="O27" s="37"/>
    </row>
    <row r="28" spans="1:15" x14ac:dyDescent="0.25">
      <c r="A28" s="37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37"/>
      <c r="N28" s="37"/>
      <c r="O28" s="37"/>
    </row>
    <row r="29" spans="1:15" x14ac:dyDescent="0.25">
      <c r="A29" s="37" t="s">
        <v>116</v>
      </c>
      <c r="B29" s="40">
        <f>-PV($B$30,B1,,B26)</f>
        <v>-1000000</v>
      </c>
      <c r="C29" s="40">
        <f t="shared" ref="C29:L29" si="5">-PV($B$30,C1,,C26)</f>
        <v>64639.930328380295</v>
      </c>
      <c r="D29" s="40">
        <f t="shared" si="5"/>
        <v>63233.900538861373</v>
      </c>
      <c r="E29" s="40">
        <f t="shared" si="5"/>
        <v>54660.785009233026</v>
      </c>
      <c r="F29" s="40">
        <f t="shared" si="5"/>
        <v>50831.940131152529</v>
      </c>
      <c r="G29" s="40">
        <f t="shared" si="5"/>
        <v>47262.752083056599</v>
      </c>
      <c r="H29" s="40">
        <f t="shared" si="5"/>
        <v>43935.998302300548</v>
      </c>
      <c r="I29" s="40">
        <f t="shared" si="5"/>
        <v>40835.582144712884</v>
      </c>
      <c r="J29" s="40">
        <f t="shared" si="5"/>
        <v>37946.459900062051</v>
      </c>
      <c r="K29" s="40">
        <f t="shared" si="5"/>
        <v>35254.572521511676</v>
      </c>
      <c r="L29" s="40">
        <f t="shared" si="5"/>
        <v>556602.18034585554</v>
      </c>
      <c r="M29" s="37"/>
      <c r="N29" s="37"/>
      <c r="O29" s="37"/>
    </row>
    <row r="30" spans="1:15" x14ac:dyDescent="0.25">
      <c r="A30" s="37" t="s">
        <v>74</v>
      </c>
      <c r="B30" s="52">
        <f>WACC!C29</f>
        <v>8.420444830259767E-2</v>
      </c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37"/>
      <c r="N30" s="37"/>
      <c r="O30" s="37"/>
    </row>
    <row r="31" spans="1:15" x14ac:dyDescent="0.25">
      <c r="A31" s="37" t="s">
        <v>117</v>
      </c>
      <c r="B31" s="40">
        <f>SUM(B29:L29)</f>
        <v>-4795.8986948733218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37"/>
      <c r="N31" s="37"/>
      <c r="O31" s="37"/>
    </row>
  </sheetData>
  <pageMargins left="0.75" right="0.75" top="1" bottom="1" header="0.5" footer="0.5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workbookViewId="0">
      <selection activeCell="E13" sqref="E13"/>
    </sheetView>
  </sheetViews>
  <sheetFormatPr defaultColWidth="11.42578125" defaultRowHeight="15" x14ac:dyDescent="0.25"/>
  <cols>
    <col min="1" max="1" width="30.28515625" customWidth="1"/>
    <col min="2" max="2" width="15" bestFit="1" customWidth="1"/>
    <col min="3" max="12" width="14.42578125" customWidth="1"/>
    <col min="13" max="13" width="10.7109375" customWidth="1"/>
  </cols>
  <sheetData>
    <row r="1" spans="1:13" ht="18.75" x14ac:dyDescent="0.3">
      <c r="A1" s="6" t="s">
        <v>128</v>
      </c>
      <c r="B1" s="46">
        <v>0</v>
      </c>
      <c r="C1" s="46">
        <v>1</v>
      </c>
      <c r="D1" s="46">
        <v>2</v>
      </c>
      <c r="E1" s="46">
        <v>3</v>
      </c>
      <c r="F1" s="46">
        <v>4</v>
      </c>
      <c r="G1" s="46">
        <v>5</v>
      </c>
      <c r="H1" s="46">
        <v>6</v>
      </c>
      <c r="I1" s="46">
        <v>7</v>
      </c>
      <c r="J1" s="46">
        <v>8</v>
      </c>
      <c r="K1" s="46">
        <v>9</v>
      </c>
      <c r="L1" s="46">
        <v>10</v>
      </c>
    </row>
    <row r="2" spans="1:13" x14ac:dyDescent="0.25">
      <c r="A2" s="55"/>
      <c r="B2" s="73">
        <v>2012</v>
      </c>
      <c r="C2" s="72">
        <v>2013</v>
      </c>
      <c r="D2" s="72">
        <v>2014</v>
      </c>
      <c r="E2" s="72">
        <v>2015</v>
      </c>
      <c r="F2" s="72">
        <v>2016</v>
      </c>
      <c r="G2" s="72">
        <v>2017</v>
      </c>
      <c r="H2" s="72">
        <v>2018</v>
      </c>
      <c r="I2" s="72">
        <v>2019</v>
      </c>
      <c r="J2" s="72">
        <v>2020</v>
      </c>
      <c r="K2" s="72">
        <v>2021</v>
      </c>
      <c r="L2" s="72">
        <v>2022</v>
      </c>
      <c r="M2" s="56" t="s">
        <v>130</v>
      </c>
    </row>
    <row r="3" spans="1:13" x14ac:dyDescent="0.25">
      <c r="A3" s="57" t="s">
        <v>131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6">
        <v>0.35</v>
      </c>
    </row>
    <row r="4" spans="1:13" x14ac:dyDescent="0.25">
      <c r="A4" s="55" t="s">
        <v>132</v>
      </c>
      <c r="B4" s="88">
        <v>0</v>
      </c>
      <c r="C4" s="88">
        <v>89418.293541666644</v>
      </c>
      <c r="D4" s="88">
        <v>109651.21079166676</v>
      </c>
      <c r="E4" s="88">
        <v>108642.82830291655</v>
      </c>
      <c r="F4" s="88">
        <v>107604.19433950423</v>
      </c>
      <c r="G4" s="88">
        <v>106534.40135718932</v>
      </c>
      <c r="H4" s="88">
        <f>105432.514585405+10000</f>
        <v>115432.51458540501</v>
      </c>
      <c r="I4" s="88">
        <f>104297.571210467+10000</f>
        <v>114297.57121046699</v>
      </c>
      <c r="J4" s="91">
        <f>103128.579534281+10000</f>
        <v>113128.579534281</v>
      </c>
      <c r="K4" s="88">
        <f>101924.51810781+10000</f>
        <v>111924.51810781</v>
      </c>
      <c r="L4" s="88">
        <f>100684.334838544+10000</f>
        <v>110684.334838544</v>
      </c>
      <c r="M4" s="58"/>
    </row>
    <row r="5" spans="1:13" x14ac:dyDescent="0.25">
      <c r="A5" s="56" t="s">
        <v>133</v>
      </c>
      <c r="B5" s="88"/>
      <c r="C5" s="88"/>
      <c r="D5" s="88"/>
      <c r="E5" s="88"/>
      <c r="F5" s="88"/>
      <c r="G5" s="88">
        <v>-100000</v>
      </c>
      <c r="H5" s="88"/>
      <c r="I5" s="88"/>
      <c r="J5" s="88"/>
      <c r="K5" s="88"/>
      <c r="L5" s="88">
        <v>80000</v>
      </c>
      <c r="M5" s="58"/>
    </row>
    <row r="6" spans="1:13" x14ac:dyDescent="0.25">
      <c r="A6" s="55" t="s">
        <v>134</v>
      </c>
      <c r="B6" s="88">
        <v>-1000000</v>
      </c>
      <c r="C6" s="88">
        <v>0</v>
      </c>
      <c r="D6" s="88">
        <v>0</v>
      </c>
      <c r="E6" s="88">
        <v>0</v>
      </c>
      <c r="F6" s="88">
        <v>-75000</v>
      </c>
      <c r="G6" s="88">
        <v>0</v>
      </c>
      <c r="H6" s="88">
        <v>0</v>
      </c>
      <c r="I6" s="88">
        <v>0</v>
      </c>
      <c r="J6" s="88">
        <v>0</v>
      </c>
      <c r="K6" s="88">
        <v>0</v>
      </c>
      <c r="L6" s="88">
        <v>1325000</v>
      </c>
      <c r="M6" s="58"/>
    </row>
    <row r="7" spans="1:13" x14ac:dyDescent="0.25">
      <c r="A7" s="55" t="s">
        <v>135</v>
      </c>
      <c r="B7" s="88">
        <v>0</v>
      </c>
      <c r="C7" s="88">
        <v>28298.343958333313</v>
      </c>
      <c r="D7" s="88">
        <v>10894.647750000058</v>
      </c>
      <c r="E7" s="88">
        <v>-542.97518625011435</v>
      </c>
      <c r="F7" s="88">
        <v>-559.26444183738931</v>
      </c>
      <c r="G7" s="88">
        <v>-576.04237509265658</v>
      </c>
      <c r="H7" s="88">
        <v>-593.32364634535043</v>
      </c>
      <c r="I7" s="88">
        <v>-611.12335573585733</v>
      </c>
      <c r="J7" s="88">
        <v>-629.45705640775122</v>
      </c>
      <c r="K7" s="88">
        <v>-648.34076810016995</v>
      </c>
      <c r="L7" s="88">
        <v>-667.79099114311248</v>
      </c>
      <c r="M7" s="58"/>
    </row>
    <row r="8" spans="1:13" x14ac:dyDescent="0.25">
      <c r="A8" s="55" t="s">
        <v>136</v>
      </c>
      <c r="B8" s="88">
        <v>0</v>
      </c>
      <c r="C8" s="88">
        <v>0</v>
      </c>
      <c r="D8" s="88">
        <v>0</v>
      </c>
      <c r="E8" s="88">
        <v>0</v>
      </c>
      <c r="F8" s="88">
        <v>0</v>
      </c>
      <c r="G8" s="88">
        <v>0</v>
      </c>
      <c r="H8" s="88">
        <v>0</v>
      </c>
      <c r="I8" s="88">
        <v>0</v>
      </c>
      <c r="J8" s="88">
        <v>0</v>
      </c>
      <c r="K8" s="88">
        <v>0</v>
      </c>
      <c r="L8" s="88">
        <v>-34364.67388742097</v>
      </c>
      <c r="M8" s="58"/>
    </row>
    <row r="9" spans="1:13" x14ac:dyDescent="0.25">
      <c r="A9" s="55" t="s">
        <v>137</v>
      </c>
      <c r="B9" s="88">
        <f>SUM(B4:B8)</f>
        <v>-1000000</v>
      </c>
      <c r="C9" s="88">
        <f t="shared" ref="C9:L9" si="0">SUM(C4:C8)</f>
        <v>117716.63749999995</v>
      </c>
      <c r="D9" s="88">
        <f t="shared" si="0"/>
        <v>120545.85854166682</v>
      </c>
      <c r="E9" s="88">
        <f t="shared" si="0"/>
        <v>108099.85311666643</v>
      </c>
      <c r="F9" s="88">
        <f t="shared" si="0"/>
        <v>32044.929897666843</v>
      </c>
      <c r="G9" s="88">
        <f t="shared" si="0"/>
        <v>5958.358982096659</v>
      </c>
      <c r="H9" s="88">
        <f t="shared" si="0"/>
        <v>114839.19093905966</v>
      </c>
      <c r="I9" s="88">
        <f t="shared" si="0"/>
        <v>113686.44785473114</v>
      </c>
      <c r="J9" s="88">
        <f t="shared" si="0"/>
        <v>112499.12247787326</v>
      </c>
      <c r="K9" s="88">
        <f t="shared" si="0"/>
        <v>111276.17733970983</v>
      </c>
      <c r="L9" s="88">
        <f t="shared" si="0"/>
        <v>1480651.86995998</v>
      </c>
      <c r="M9" s="58"/>
    </row>
    <row r="10" spans="1:13" x14ac:dyDescent="0.25">
      <c r="A10" s="55" t="s">
        <v>138</v>
      </c>
      <c r="B10" s="59">
        <f>IRR(B9:L9)</f>
        <v>0.1157799489543021</v>
      </c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</row>
    <row r="11" spans="1:13" x14ac:dyDescent="0.25">
      <c r="A11" s="55" t="s">
        <v>139</v>
      </c>
      <c r="B11" s="88">
        <f>-PV($B$12,B1,,B9)</f>
        <v>-1000000</v>
      </c>
      <c r="C11" s="88">
        <f t="shared" ref="C11:L11" si="1">-PV($B$12,C1,,C9)</f>
        <v>111919.22181023002</v>
      </c>
      <c r="D11" s="88">
        <f t="shared" si="1"/>
        <v>108964.73360806478</v>
      </c>
      <c r="E11" s="88">
        <f t="shared" si="1"/>
        <v>92902.115685249068</v>
      </c>
      <c r="F11" s="88">
        <f t="shared" si="1"/>
        <v>26183.4373496144</v>
      </c>
      <c r="G11" s="88">
        <f t="shared" si="1"/>
        <v>4628.7191748449413</v>
      </c>
      <c r="H11" s="88">
        <f t="shared" si="1"/>
        <v>84818.604979352502</v>
      </c>
      <c r="I11" s="88">
        <f t="shared" si="1"/>
        <v>79831.912163134955</v>
      </c>
      <c r="J11" s="88">
        <f t="shared" si="1"/>
        <v>75107.58587830863</v>
      </c>
      <c r="K11" s="88">
        <f t="shared" si="1"/>
        <v>70632.357126178045</v>
      </c>
      <c r="L11" s="88">
        <f t="shared" si="1"/>
        <v>893555.01103274815</v>
      </c>
      <c r="M11" s="58"/>
    </row>
    <row r="12" spans="1:13" x14ac:dyDescent="0.25">
      <c r="A12" s="55" t="s">
        <v>140</v>
      </c>
      <c r="B12" s="60">
        <v>5.1799999999999999E-2</v>
      </c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</row>
    <row r="13" spans="1:13" x14ac:dyDescent="0.25">
      <c r="A13" s="55" t="s">
        <v>141</v>
      </c>
      <c r="B13" s="88">
        <f>SUM(B11:L11)</f>
        <v>548543.69880772568</v>
      </c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</row>
    <row r="14" spans="1:13" x14ac:dyDescent="0.25">
      <c r="A14" s="56" t="s">
        <v>142</v>
      </c>
      <c r="B14" s="88">
        <f>B13*M3</f>
        <v>191990.29458270397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</row>
    <row r="15" spans="1:13" x14ac:dyDescent="0.25">
      <c r="A15" s="57" t="s">
        <v>143</v>
      </c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87">
        <v>0.45</v>
      </c>
    </row>
    <row r="16" spans="1:13" x14ac:dyDescent="0.25">
      <c r="A16" s="55" t="s">
        <v>132</v>
      </c>
      <c r="B16" s="88">
        <v>0</v>
      </c>
      <c r="C16" s="88">
        <v>55152.869166666729</v>
      </c>
      <c r="D16" s="88">
        <v>76038.461166666675</v>
      </c>
      <c r="E16" s="88">
        <v>74021.696189166571</v>
      </c>
      <c r="F16" s="88">
        <v>71944.428262341797</v>
      </c>
      <c r="G16" s="88">
        <v>69804.842297711963</v>
      </c>
      <c r="H16" s="88">
        <v>67601.068754143373</v>
      </c>
      <c r="I16" s="88">
        <v>65331.182004267612</v>
      </c>
      <c r="J16" s="88">
        <v>62993.198651895676</v>
      </c>
      <c r="K16" s="88">
        <v>60585.075798952494</v>
      </c>
      <c r="L16" s="88">
        <v>58104.709260420925</v>
      </c>
      <c r="M16" s="58"/>
    </row>
    <row r="17" spans="1:13" x14ac:dyDescent="0.25">
      <c r="A17" s="55" t="s">
        <v>134</v>
      </c>
      <c r="B17" s="88">
        <v>-1000000</v>
      </c>
      <c r="C17" s="88">
        <v>0</v>
      </c>
      <c r="D17" s="88">
        <v>0</v>
      </c>
      <c r="E17" s="88">
        <v>0</v>
      </c>
      <c r="F17" s="88">
        <v>-75000</v>
      </c>
      <c r="G17" s="88">
        <v>0</v>
      </c>
      <c r="H17" s="88">
        <v>0</v>
      </c>
      <c r="I17" s="88">
        <v>0</v>
      </c>
      <c r="J17" s="88">
        <v>0</v>
      </c>
      <c r="K17" s="88">
        <v>0</v>
      </c>
      <c r="L17" s="88">
        <v>1325000</v>
      </c>
      <c r="M17" s="58"/>
    </row>
    <row r="18" spans="1:13" x14ac:dyDescent="0.25">
      <c r="A18" s="55" t="s">
        <v>135</v>
      </c>
      <c r="B18" s="88">
        <v>0</v>
      </c>
      <c r="C18" s="88">
        <v>4312.5468958332731</v>
      </c>
      <c r="D18" s="88">
        <v>11351.520075000064</v>
      </c>
      <c r="E18" s="88">
        <v>-1248.8429283749756</v>
      </c>
      <c r="F18" s="88">
        <v>-1286.3082162262181</v>
      </c>
      <c r="G18" s="88">
        <v>-1324.8974627130319</v>
      </c>
      <c r="H18" s="88">
        <v>-1364.6443865945093</v>
      </c>
      <c r="I18" s="88">
        <v>-1405.5837181922052</v>
      </c>
      <c r="J18" s="88">
        <v>-1447.7512297380945</v>
      </c>
      <c r="K18" s="88">
        <v>-1491.1837666301053</v>
      </c>
      <c r="L18" s="88">
        <v>-1535.9192796290963</v>
      </c>
      <c r="M18" s="58"/>
    </row>
    <row r="19" spans="1:13" x14ac:dyDescent="0.25">
      <c r="A19" s="55" t="s">
        <v>136</v>
      </c>
      <c r="B19" s="88">
        <v>0</v>
      </c>
      <c r="C19" s="88">
        <v>0</v>
      </c>
      <c r="D19" s="88">
        <v>0</v>
      </c>
      <c r="E19" s="88">
        <v>0</v>
      </c>
      <c r="F19" s="88">
        <v>0</v>
      </c>
      <c r="G19" s="88">
        <v>0</v>
      </c>
      <c r="H19" s="88">
        <v>0</v>
      </c>
      <c r="I19" s="88">
        <v>0</v>
      </c>
      <c r="J19" s="88">
        <v>0</v>
      </c>
      <c r="K19" s="88">
        <v>0</v>
      </c>
      <c r="L19" s="88">
        <v>-11437.1831915087</v>
      </c>
      <c r="M19" s="58"/>
    </row>
    <row r="20" spans="1:13" x14ac:dyDescent="0.25">
      <c r="A20" s="55" t="s">
        <v>137</v>
      </c>
      <c r="B20" s="88">
        <f>SUM(B16:B19)</f>
        <v>-1000000</v>
      </c>
      <c r="C20" s="88">
        <f t="shared" ref="C20:L20" si="2">SUM(C16:C19)</f>
        <v>59465.4160625</v>
      </c>
      <c r="D20" s="88">
        <f t="shared" si="2"/>
        <v>87389.981241666741</v>
      </c>
      <c r="E20" s="88">
        <f t="shared" si="2"/>
        <v>72772.853260791599</v>
      </c>
      <c r="F20" s="88">
        <f t="shared" si="2"/>
        <v>-4341.8799538844214</v>
      </c>
      <c r="G20" s="88">
        <f t="shared" si="2"/>
        <v>68479.944834998925</v>
      </c>
      <c r="H20" s="88">
        <f t="shared" si="2"/>
        <v>66236.424367548869</v>
      </c>
      <c r="I20" s="88">
        <f t="shared" si="2"/>
        <v>63925.598286075408</v>
      </c>
      <c r="J20" s="88">
        <f t="shared" si="2"/>
        <v>61545.44742215758</v>
      </c>
      <c r="K20" s="88">
        <f t="shared" si="2"/>
        <v>59093.892032322387</v>
      </c>
      <c r="L20" s="88">
        <f t="shared" si="2"/>
        <v>1370131.606789283</v>
      </c>
      <c r="M20" s="58"/>
    </row>
    <row r="21" spans="1:13" x14ac:dyDescent="0.25">
      <c r="A21" s="55" t="s">
        <v>138</v>
      </c>
      <c r="B21" s="60">
        <f>IRR(B20:L20)</f>
        <v>8.1040223511694931E-2</v>
      </c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</row>
    <row r="22" spans="1:13" x14ac:dyDescent="0.25">
      <c r="A22" s="55" t="s">
        <v>139</v>
      </c>
      <c r="B22" s="88">
        <f>-PV($B$23,B1,,B20)</f>
        <v>-1000000</v>
      </c>
      <c r="C22" s="88">
        <f>-PV($B$23,C1,,C20)</f>
        <v>56601.992979244518</v>
      </c>
      <c r="D22" s="88">
        <f t="shared" ref="D22:L22" si="3">-PV($B$23,D1,,D20)</f>
        <v>79176.476089290867</v>
      </c>
      <c r="E22" s="88">
        <f t="shared" si="3"/>
        <v>62758.302301152631</v>
      </c>
      <c r="F22" s="88">
        <f t="shared" si="3"/>
        <v>-3564.0751836843765</v>
      </c>
      <c r="G22" s="88">
        <f t="shared" si="3"/>
        <v>53505.657868677925</v>
      </c>
      <c r="H22" s="88">
        <f t="shared" si="3"/>
        <v>49260.685107122663</v>
      </c>
      <c r="I22" s="88">
        <f t="shared" si="3"/>
        <v>45252.818140512878</v>
      </c>
      <c r="J22" s="88">
        <f t="shared" si="3"/>
        <v>41469.998866547408</v>
      </c>
      <c r="K22" s="88">
        <f t="shared" si="3"/>
        <v>37900.762371772646</v>
      </c>
      <c r="L22" s="88">
        <f t="shared" si="3"/>
        <v>836440.20102232543</v>
      </c>
      <c r="M22" s="58"/>
    </row>
    <row r="23" spans="1:13" x14ac:dyDescent="0.25">
      <c r="A23" s="55" t="s">
        <v>140</v>
      </c>
      <c r="B23" s="60">
        <v>5.0588732525822522E-2</v>
      </c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</row>
    <row r="24" spans="1:13" x14ac:dyDescent="0.25">
      <c r="A24" s="55" t="s">
        <v>141</v>
      </c>
      <c r="B24" s="88">
        <f>SUM(B22:L22)</f>
        <v>258802.81956296251</v>
      </c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</row>
    <row r="25" spans="1:13" x14ac:dyDescent="0.25">
      <c r="A25" s="56" t="s">
        <v>142</v>
      </c>
      <c r="B25" s="88">
        <f>B24*M15</f>
        <v>116461.26880333314</v>
      </c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</row>
    <row r="26" spans="1:13" x14ac:dyDescent="0.25">
      <c r="A26" s="57" t="s">
        <v>144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87">
        <v>0.2</v>
      </c>
    </row>
    <row r="27" spans="1:13" x14ac:dyDescent="0.25">
      <c r="A27" s="55" t="s">
        <v>132</v>
      </c>
      <c r="B27" s="88">
        <v>0</v>
      </c>
      <c r="C27" s="88">
        <v>20887.444791666669</v>
      </c>
      <c r="D27" s="88">
        <v>42425.71154166662</v>
      </c>
      <c r="E27" s="88">
        <v>39400.564075416587</v>
      </c>
      <c r="F27" s="88">
        <v>36284.66218517923</v>
      </c>
      <c r="G27" s="88">
        <v>33075.28323823461</v>
      </c>
      <c r="H27" s="88">
        <v>29769.622922881637</v>
      </c>
      <c r="I27" s="88">
        <v>26364.792798068007</v>
      </c>
      <c r="J27" s="88">
        <v>22857.817769510104</v>
      </c>
      <c r="K27" s="88">
        <v>19245.633490095326</v>
      </c>
      <c r="L27" s="88">
        <v>15525.083682298129</v>
      </c>
      <c r="M27" s="58"/>
    </row>
    <row r="28" spans="1:13" x14ac:dyDescent="0.25">
      <c r="A28" s="55" t="s">
        <v>134</v>
      </c>
      <c r="B28" s="88">
        <v>-1000000</v>
      </c>
      <c r="C28" s="88">
        <v>0</v>
      </c>
      <c r="D28" s="88">
        <v>0</v>
      </c>
      <c r="E28" s="88">
        <v>0</v>
      </c>
      <c r="F28" s="88">
        <v>-75000</v>
      </c>
      <c r="G28" s="88">
        <v>0</v>
      </c>
      <c r="H28" s="88">
        <v>0</v>
      </c>
      <c r="I28" s="88">
        <v>0</v>
      </c>
      <c r="J28" s="88">
        <v>0</v>
      </c>
      <c r="K28" s="88">
        <v>0</v>
      </c>
      <c r="L28" s="88">
        <v>1325000</v>
      </c>
      <c r="M28" s="58"/>
    </row>
    <row r="29" spans="1:13" x14ac:dyDescent="0.25">
      <c r="A29" s="55" t="s">
        <v>135</v>
      </c>
      <c r="B29" s="88">
        <v>0</v>
      </c>
      <c r="C29" s="88">
        <v>-8602.8822916666668</v>
      </c>
      <c r="D29" s="88">
        <v>11597.528249999974</v>
      </c>
      <c r="E29" s="88">
        <v>-1628.925558750017</v>
      </c>
      <c r="F29" s="88">
        <v>-1677.7933255124256</v>
      </c>
      <c r="G29" s="88">
        <v>-1728.1271252778706</v>
      </c>
      <c r="H29" s="88">
        <v>-1779.9709390362141</v>
      </c>
      <c r="I29" s="88">
        <v>-1833.3700672073408</v>
      </c>
      <c r="J29" s="88">
        <v>-1888.3711692234851</v>
      </c>
      <c r="K29" s="88">
        <v>-1945.0223043002652</v>
      </c>
      <c r="L29" s="88">
        <v>-2003.3729734292601</v>
      </c>
      <c r="M29" s="58"/>
    </row>
    <row r="30" spans="1:13" x14ac:dyDescent="0.25">
      <c r="A30" s="55" t="s">
        <v>136</v>
      </c>
      <c r="B30" s="88">
        <v>0</v>
      </c>
      <c r="C30" s="88">
        <v>0</v>
      </c>
      <c r="D30" s="88">
        <v>0</v>
      </c>
      <c r="E30" s="88">
        <v>0</v>
      </c>
      <c r="F30" s="88">
        <v>0</v>
      </c>
      <c r="G30" s="88">
        <v>0</v>
      </c>
      <c r="H30" s="88">
        <v>0</v>
      </c>
      <c r="I30" s="88">
        <v>0</v>
      </c>
      <c r="J30" s="88">
        <v>0</v>
      </c>
      <c r="K30" s="88">
        <v>0</v>
      </c>
      <c r="L30" s="88">
        <v>11490.307504403572</v>
      </c>
      <c r="M30" s="58"/>
    </row>
    <row r="31" spans="1:13" x14ac:dyDescent="0.25">
      <c r="A31" s="55" t="s">
        <v>137</v>
      </c>
      <c r="B31" s="88">
        <f>SUM(B27:B30)</f>
        <v>-1000000</v>
      </c>
      <c r="C31" s="88">
        <f t="shared" ref="C31:L31" si="4">SUM(C27:C30)</f>
        <v>12284.562500000002</v>
      </c>
      <c r="D31" s="88">
        <f t="shared" si="4"/>
        <v>54023.239791666594</v>
      </c>
      <c r="E31" s="88">
        <f t="shared" si="4"/>
        <v>37771.638516666571</v>
      </c>
      <c r="F31" s="88">
        <f t="shared" si="4"/>
        <v>-40393.131140333193</v>
      </c>
      <c r="G31" s="88">
        <f t="shared" si="4"/>
        <v>31347.156112956738</v>
      </c>
      <c r="H31" s="88">
        <f t="shared" si="4"/>
        <v>27989.651983845422</v>
      </c>
      <c r="I31" s="88">
        <f t="shared" si="4"/>
        <v>24531.422730860668</v>
      </c>
      <c r="J31" s="88">
        <f t="shared" si="4"/>
        <v>20969.446600286617</v>
      </c>
      <c r="K31" s="88">
        <f t="shared" si="4"/>
        <v>17300.61118579506</v>
      </c>
      <c r="L31" s="88">
        <f t="shared" si="4"/>
        <v>1350012.0182132726</v>
      </c>
      <c r="M31" s="58"/>
    </row>
    <row r="32" spans="1:13" x14ac:dyDescent="0.25">
      <c r="A32" s="55" t="s">
        <v>138</v>
      </c>
      <c r="B32" s="59">
        <f>IRR(B31:L31)</f>
        <v>4.7350245895446008E-2</v>
      </c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</row>
    <row r="33" spans="1:13" x14ac:dyDescent="0.25">
      <c r="A33" s="55" t="s">
        <v>139</v>
      </c>
      <c r="B33" s="88">
        <f>-PV($B$34,B1,,B31)</f>
        <v>-1000000</v>
      </c>
      <c r="C33" s="88">
        <f t="shared" ref="C33:L33" si="5">-PV($B$34,C1,,C31)</f>
        <v>11686.783511937991</v>
      </c>
      <c r="D33" s="88">
        <f t="shared" si="5"/>
        <v>48893.512197316697</v>
      </c>
      <c r="E33" s="88">
        <f t="shared" si="5"/>
        <v>32521.587696305691</v>
      </c>
      <c r="F33" s="88">
        <f t="shared" si="5"/>
        <v>-33086.34084087651</v>
      </c>
      <c r="G33" s="88">
        <f t="shared" si="5"/>
        <v>24427.255304407496</v>
      </c>
      <c r="H33" s="88">
        <f t="shared" si="5"/>
        <v>20749.580854847067</v>
      </c>
      <c r="I33" s="88">
        <f t="shared" si="5"/>
        <v>17300.946815087093</v>
      </c>
      <c r="J33" s="88">
        <f t="shared" si="5"/>
        <v>14069.200178392142</v>
      </c>
      <c r="K33" s="88">
        <f t="shared" si="5"/>
        <v>11042.799590595698</v>
      </c>
      <c r="L33" s="88">
        <f t="shared" si="5"/>
        <v>819767.47681109083</v>
      </c>
      <c r="M33" s="58"/>
    </row>
    <row r="34" spans="1:13" x14ac:dyDescent="0.25">
      <c r="A34" s="55" t="s">
        <v>140</v>
      </c>
      <c r="B34" s="59">
        <v>5.1150000977718338E-2</v>
      </c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</row>
    <row r="35" spans="1:13" x14ac:dyDescent="0.25">
      <c r="A35" s="55" t="s">
        <v>141</v>
      </c>
      <c r="B35" s="88">
        <f>SUM(B33:L33)</f>
        <v>-32627.197880895925</v>
      </c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</row>
    <row r="36" spans="1:13" x14ac:dyDescent="0.25">
      <c r="A36" s="56" t="s">
        <v>142</v>
      </c>
      <c r="B36" s="90">
        <f>B35*M26</f>
        <v>-6525.4395761791857</v>
      </c>
    </row>
    <row r="38" spans="1:13" x14ac:dyDescent="0.25">
      <c r="B38" s="70" t="s">
        <v>147</v>
      </c>
      <c r="C38" s="70" t="s">
        <v>148</v>
      </c>
      <c r="D38" s="70" t="s">
        <v>149</v>
      </c>
      <c r="E38" s="70" t="s">
        <v>145</v>
      </c>
      <c r="F38" s="70" t="s">
        <v>150</v>
      </c>
      <c r="G38" s="71" t="s">
        <v>146</v>
      </c>
    </row>
    <row r="39" spans="1:13" x14ac:dyDescent="0.25">
      <c r="B39" s="10">
        <f>'Cash Flow'!L13</f>
        <v>1300000</v>
      </c>
      <c r="C39" s="10">
        <f>'Balance Sheet'!C10</f>
        <v>1000000</v>
      </c>
      <c r="D39" s="15">
        <v>10</v>
      </c>
      <c r="E39" s="61">
        <v>0.25</v>
      </c>
      <c r="F39" s="62">
        <v>0.04</v>
      </c>
      <c r="G39" s="63">
        <f>(B39*(NORMSDIST((LN(B39/PV(F39,D39,,-C39))+(F39+((E39^2)/2)*D39))/(E39*SQRT(D39)))))-((NORMSDIST(((LN(B39/PV(F39,D39,,-C39))+(F39+((E39^2)/2)*D39))/(E39*SQRT(D39)))-(E39*SQRT(D39))))*PV(F39,D39,,-C39))</f>
        <v>705099.97790306772</v>
      </c>
    </row>
  </sheetData>
  <conditionalFormatting sqref="B25 B14 B3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/>
  <dimension ref="A1:L369"/>
  <sheetViews>
    <sheetView workbookViewId="0">
      <selection activeCell="B10" sqref="B10"/>
    </sheetView>
  </sheetViews>
  <sheetFormatPr defaultColWidth="8.85546875" defaultRowHeight="15" x14ac:dyDescent="0.25"/>
  <cols>
    <col min="2" max="2" width="15.28515625" customWidth="1"/>
    <col min="3" max="3" width="12.28515625" customWidth="1"/>
    <col min="4" max="4" width="14.42578125" customWidth="1"/>
    <col min="6" max="6" width="13.7109375" customWidth="1"/>
    <col min="7" max="7" width="12.7109375" customWidth="1"/>
    <col min="8" max="8" width="12.140625" customWidth="1"/>
    <col min="9" max="9" width="11.42578125" customWidth="1"/>
    <col min="10" max="10" width="13.42578125" customWidth="1"/>
  </cols>
  <sheetData>
    <row r="1" spans="1:12" ht="18.75" x14ac:dyDescent="0.3">
      <c r="A1" s="36" t="s">
        <v>24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3" spans="1:12" x14ac:dyDescent="0.25">
      <c r="C3" s="9" t="s">
        <v>25</v>
      </c>
      <c r="D3" s="10">
        <v>800000</v>
      </c>
      <c r="F3" s="9" t="s">
        <v>26</v>
      </c>
      <c r="G3" s="11">
        <v>0</v>
      </c>
    </row>
    <row r="4" spans="1:12" x14ac:dyDescent="0.25">
      <c r="C4" s="9" t="s">
        <v>27</v>
      </c>
      <c r="D4" s="12">
        <v>0.05</v>
      </c>
      <c r="E4" s="13"/>
      <c r="F4" s="9"/>
      <c r="G4" s="14"/>
    </row>
    <row r="5" spans="1:12" x14ac:dyDescent="0.25">
      <c r="C5" s="9" t="s">
        <v>28</v>
      </c>
      <c r="D5" s="15">
        <v>360</v>
      </c>
      <c r="F5" s="9" t="s">
        <v>29</v>
      </c>
      <c r="G5" s="11">
        <f>SUMIF(C10:C369,"&gt;0")</f>
        <v>746046.27427495946</v>
      </c>
      <c r="I5" s="2"/>
    </row>
    <row r="6" spans="1:12" x14ac:dyDescent="0.25">
      <c r="G6" s="2"/>
    </row>
    <row r="7" spans="1:12" x14ac:dyDescent="0.25">
      <c r="G7" s="2"/>
    </row>
    <row r="8" spans="1:12" x14ac:dyDescent="0.25">
      <c r="B8" s="8" t="s">
        <v>30</v>
      </c>
      <c r="C8" s="8" t="s">
        <v>31</v>
      </c>
      <c r="D8" s="8" t="s">
        <v>32</v>
      </c>
      <c r="E8" s="8" t="s">
        <v>33</v>
      </c>
      <c r="F8" s="8" t="s">
        <v>34</v>
      </c>
      <c r="H8" s="8" t="s">
        <v>31</v>
      </c>
      <c r="I8" s="8" t="s">
        <v>32</v>
      </c>
      <c r="J8" s="8" t="s">
        <v>35</v>
      </c>
    </row>
    <row r="9" spans="1:12" x14ac:dyDescent="0.25">
      <c r="A9" s="8">
        <v>0</v>
      </c>
      <c r="B9" s="15"/>
      <c r="C9" s="15"/>
      <c r="D9" s="15"/>
      <c r="E9" s="15"/>
      <c r="F9" s="10">
        <f>D3</f>
        <v>800000</v>
      </c>
      <c r="G9" s="16" t="s">
        <v>36</v>
      </c>
      <c r="H9" s="10">
        <f>SUM(C10:C21)</f>
        <v>39731.953044625508</v>
      </c>
      <c r="I9" s="10">
        <f>SUM(D10:D21)</f>
        <v>11802.922764539851</v>
      </c>
      <c r="J9" s="10">
        <f>D3-I9</f>
        <v>788197.07723546016</v>
      </c>
    </row>
    <row r="10" spans="1:12" x14ac:dyDescent="0.25">
      <c r="A10" s="8">
        <v>1</v>
      </c>
      <c r="B10" s="17">
        <f t="shared" ref="B10:B73" si="0">PMT(($D$4/12),$D$5,-$D$3)</f>
        <v>4294.5729840971126</v>
      </c>
      <c r="C10" s="10">
        <f>F9*($D$4/12)</f>
        <v>3333.3333333333335</v>
      </c>
      <c r="D10" s="17">
        <f>B10-C10</f>
        <v>961.23965076377908</v>
      </c>
      <c r="E10" s="17">
        <f t="shared" ref="E10:E73" si="1">$G$3</f>
        <v>0</v>
      </c>
      <c r="F10" s="18">
        <f>F9-D10-E10</f>
        <v>799038.7603492362</v>
      </c>
      <c r="G10" s="16" t="s">
        <v>37</v>
      </c>
      <c r="H10" s="10">
        <f>SUM(C22:C33)</f>
        <v>39128.093115440126</v>
      </c>
      <c r="I10" s="10">
        <f>SUM(D22:D33)</f>
        <v>12406.782693725232</v>
      </c>
      <c r="J10" s="10">
        <f>J9-I10</f>
        <v>775790.29454173497</v>
      </c>
    </row>
    <row r="11" spans="1:12" x14ac:dyDescent="0.25">
      <c r="A11" s="8">
        <v>2</v>
      </c>
      <c r="B11" s="17">
        <f t="shared" si="0"/>
        <v>4294.5729840971126</v>
      </c>
      <c r="C11" s="10">
        <f t="shared" ref="C11:C74" si="2">F10*($D$4/12)</f>
        <v>3329.3281681218173</v>
      </c>
      <c r="D11" s="17">
        <f t="shared" ref="D11:D74" si="3">B11-C11</f>
        <v>965.2448159752953</v>
      </c>
      <c r="E11" s="17">
        <f t="shared" si="1"/>
        <v>0</v>
      </c>
      <c r="F11" s="18">
        <f t="shared" ref="F11:F74" si="4">F10-D11-E11</f>
        <v>798073.51553326088</v>
      </c>
      <c r="G11" s="16" t="s">
        <v>38</v>
      </c>
      <c r="H11" s="10">
        <f>SUM(C34:C45)</f>
        <v>38493.33856622289</v>
      </c>
      <c r="I11" s="10">
        <f>SUM(D34:D45)</f>
        <v>13041.537242942466</v>
      </c>
      <c r="J11" s="10">
        <f t="shared" ref="J11:J18" si="5">J10-I11</f>
        <v>762748.75729879248</v>
      </c>
    </row>
    <row r="12" spans="1:12" x14ac:dyDescent="0.25">
      <c r="A12" s="8">
        <v>3</v>
      </c>
      <c r="B12" s="17">
        <f t="shared" si="0"/>
        <v>4294.5729840971126</v>
      </c>
      <c r="C12" s="10">
        <f t="shared" si="2"/>
        <v>3325.3063147219204</v>
      </c>
      <c r="D12" s="17">
        <f t="shared" si="3"/>
        <v>969.26666937519212</v>
      </c>
      <c r="E12" s="17">
        <f t="shared" si="1"/>
        <v>0</v>
      </c>
      <c r="F12" s="18">
        <f t="shared" si="4"/>
        <v>797104.24886388564</v>
      </c>
      <c r="G12" s="16" t="s">
        <v>39</v>
      </c>
      <c r="H12" s="10">
        <f>SUM(C46:C57)</f>
        <v>37826.108769578634</v>
      </c>
      <c r="I12" s="10">
        <f>SUM(D46:D57)</f>
        <v>13708.76703958671</v>
      </c>
      <c r="J12" s="10">
        <f t="shared" si="5"/>
        <v>749039.99025920581</v>
      </c>
    </row>
    <row r="13" spans="1:12" x14ac:dyDescent="0.25">
      <c r="A13" s="8">
        <v>4</v>
      </c>
      <c r="B13" s="17">
        <f t="shared" si="0"/>
        <v>4294.5729840971126</v>
      </c>
      <c r="C13" s="10">
        <f t="shared" si="2"/>
        <v>3321.2677035995234</v>
      </c>
      <c r="D13" s="17">
        <f t="shared" si="3"/>
        <v>973.30528049758914</v>
      </c>
      <c r="E13" s="17">
        <f t="shared" si="1"/>
        <v>0</v>
      </c>
      <c r="F13" s="18">
        <f t="shared" si="4"/>
        <v>796130.943583388</v>
      </c>
      <c r="G13" s="16" t="s">
        <v>40</v>
      </c>
      <c r="H13" s="10">
        <f>SUM(C58:C69)</f>
        <v>37124.742230214833</v>
      </c>
      <c r="I13" s="10">
        <f>SUM(D58:D69)</f>
        <v>14410.133578950514</v>
      </c>
      <c r="J13" s="10">
        <f t="shared" si="5"/>
        <v>734629.85668025527</v>
      </c>
    </row>
    <row r="14" spans="1:12" x14ac:dyDescent="0.25">
      <c r="A14" s="8">
        <v>5</v>
      </c>
      <c r="B14" s="17">
        <f t="shared" si="0"/>
        <v>4294.5729840971126</v>
      </c>
      <c r="C14" s="10">
        <f t="shared" si="2"/>
        <v>3317.2122649307835</v>
      </c>
      <c r="D14" s="17">
        <f t="shared" si="3"/>
        <v>977.36071916632909</v>
      </c>
      <c r="E14" s="17">
        <f t="shared" si="1"/>
        <v>0</v>
      </c>
      <c r="F14" s="18">
        <f t="shared" si="4"/>
        <v>795153.58286422165</v>
      </c>
      <c r="G14" s="16" t="s">
        <v>41</v>
      </c>
      <c r="H14" s="10">
        <f>SUM(C70:C81)</f>
        <v>36387.492447586439</v>
      </c>
      <c r="I14" s="10">
        <f>SUM(D70:D81)</f>
        <v>15147.38336157891</v>
      </c>
      <c r="J14" s="10">
        <f t="shared" si="5"/>
        <v>719482.47331867635</v>
      </c>
    </row>
    <row r="15" spans="1:12" x14ac:dyDescent="0.25">
      <c r="A15" s="8">
        <v>6</v>
      </c>
      <c r="B15" s="17">
        <f t="shared" si="0"/>
        <v>4294.5729840971126</v>
      </c>
      <c r="C15" s="10">
        <f t="shared" si="2"/>
        <v>3313.1399286009237</v>
      </c>
      <c r="D15" s="17">
        <f t="shared" si="3"/>
        <v>981.4330554961889</v>
      </c>
      <c r="E15" s="17">
        <f t="shared" si="1"/>
        <v>0</v>
      </c>
      <c r="F15" s="18">
        <f t="shared" si="4"/>
        <v>794172.14980872546</v>
      </c>
      <c r="G15" s="16" t="s">
        <v>42</v>
      </c>
      <c r="H15" s="10">
        <f>SUM(C82:C93)</f>
        <v>35612.523566865879</v>
      </c>
      <c r="I15" s="10">
        <f>SUM(D82:D93)</f>
        <v>15922.352242299476</v>
      </c>
      <c r="J15" s="10">
        <f t="shared" si="5"/>
        <v>703560.12107637688</v>
      </c>
    </row>
    <row r="16" spans="1:12" x14ac:dyDescent="0.25">
      <c r="A16" s="8">
        <v>7</v>
      </c>
      <c r="B16" s="17">
        <f t="shared" si="0"/>
        <v>4294.5729840971126</v>
      </c>
      <c r="C16" s="10">
        <f t="shared" si="2"/>
        <v>3309.0506242030228</v>
      </c>
      <c r="D16" s="17">
        <f t="shared" si="3"/>
        <v>985.52235989408973</v>
      </c>
      <c r="E16" s="17">
        <f t="shared" si="1"/>
        <v>0</v>
      </c>
      <c r="F16" s="18">
        <f t="shared" si="4"/>
        <v>793186.62744883134</v>
      </c>
      <c r="G16" s="16" t="s">
        <v>43</v>
      </c>
      <c r="H16" s="10">
        <f>SUM(C94:C105)</f>
        <v>34797.905807408366</v>
      </c>
      <c r="I16" s="10">
        <f>SUM(D94:D105)</f>
        <v>16736.970001756985</v>
      </c>
      <c r="J16" s="10">
        <f t="shared" si="5"/>
        <v>686823.15107461985</v>
      </c>
    </row>
    <row r="17" spans="1:10" x14ac:dyDescent="0.25">
      <c r="A17" s="8">
        <v>8</v>
      </c>
      <c r="B17" s="17">
        <f t="shared" si="0"/>
        <v>4294.5729840971126</v>
      </c>
      <c r="C17" s="10">
        <f t="shared" si="2"/>
        <v>3304.9442810367973</v>
      </c>
      <c r="D17" s="17">
        <f t="shared" si="3"/>
        <v>989.62870306031527</v>
      </c>
      <c r="E17" s="17">
        <f t="shared" si="1"/>
        <v>0</v>
      </c>
      <c r="F17" s="18">
        <f t="shared" si="4"/>
        <v>792196.99874577101</v>
      </c>
      <c r="G17" s="16" t="s">
        <v>44</v>
      </c>
      <c r="H17" s="10">
        <f>SUM(C117:C128)</f>
        <v>33118.241797273884</v>
      </c>
      <c r="I17" s="10">
        <f>SUM(D117:D128)</f>
        <v>18416.634011891463</v>
      </c>
      <c r="J17" s="10">
        <f t="shared" si="5"/>
        <v>668406.51706272841</v>
      </c>
    </row>
    <row r="18" spans="1:10" x14ac:dyDescent="0.25">
      <c r="A18" s="8">
        <v>9</v>
      </c>
      <c r="B18" s="17">
        <f t="shared" si="0"/>
        <v>4294.5729840971126</v>
      </c>
      <c r="C18" s="10">
        <f t="shared" si="2"/>
        <v>3300.8208281073789</v>
      </c>
      <c r="D18" s="17">
        <f t="shared" si="3"/>
        <v>993.75215598973364</v>
      </c>
      <c r="E18" s="17">
        <f t="shared" si="1"/>
        <v>0</v>
      </c>
      <c r="F18" s="18">
        <f t="shared" si="4"/>
        <v>791203.24658978125</v>
      </c>
      <c r="G18" s="16" t="s">
        <v>45</v>
      </c>
      <c r="H18" s="10">
        <f>SUM(C107:C118)</f>
        <v>33868.305385862855</v>
      </c>
      <c r="I18" s="10">
        <f>SUM(D107:D118)</f>
        <v>17666.570423302492</v>
      </c>
      <c r="J18" s="10">
        <f t="shared" si="5"/>
        <v>650739.94663942594</v>
      </c>
    </row>
    <row r="19" spans="1:10" x14ac:dyDescent="0.25">
      <c r="A19" s="8">
        <v>10</v>
      </c>
      <c r="B19" s="17">
        <f t="shared" si="0"/>
        <v>4294.5729840971126</v>
      </c>
      <c r="C19" s="10">
        <f t="shared" si="2"/>
        <v>3296.6801941240883</v>
      </c>
      <c r="D19" s="17">
        <f t="shared" si="3"/>
        <v>997.89278997302426</v>
      </c>
      <c r="E19" s="17">
        <f t="shared" si="1"/>
        <v>0</v>
      </c>
      <c r="F19" s="18">
        <f t="shared" si="4"/>
        <v>790205.35379980819</v>
      </c>
    </row>
    <row r="20" spans="1:10" x14ac:dyDescent="0.25">
      <c r="A20" s="8">
        <v>11</v>
      </c>
      <c r="B20" s="17">
        <f t="shared" si="0"/>
        <v>4294.5729840971126</v>
      </c>
      <c r="C20" s="10">
        <f t="shared" si="2"/>
        <v>3292.5223074992009</v>
      </c>
      <c r="D20" s="17">
        <f t="shared" si="3"/>
        <v>1002.0506765979117</v>
      </c>
      <c r="E20" s="17">
        <f t="shared" si="1"/>
        <v>0</v>
      </c>
      <c r="F20" s="18">
        <f t="shared" si="4"/>
        <v>789203.30312321032</v>
      </c>
    </row>
    <row r="21" spans="1:10" x14ac:dyDescent="0.25">
      <c r="A21" s="8">
        <v>12</v>
      </c>
      <c r="B21" s="17">
        <f t="shared" si="0"/>
        <v>4294.5729840971126</v>
      </c>
      <c r="C21" s="10">
        <f t="shared" si="2"/>
        <v>3288.3470963467098</v>
      </c>
      <c r="D21" s="17">
        <f t="shared" si="3"/>
        <v>1006.2258877504028</v>
      </c>
      <c r="E21" s="17">
        <f t="shared" si="1"/>
        <v>0</v>
      </c>
      <c r="F21" s="18">
        <f t="shared" si="4"/>
        <v>788197.07723545993</v>
      </c>
    </row>
    <row r="22" spans="1:10" x14ac:dyDescent="0.25">
      <c r="A22" s="8">
        <v>13</v>
      </c>
      <c r="B22" s="17">
        <f t="shared" si="0"/>
        <v>4294.5729840971126</v>
      </c>
      <c r="C22" s="10">
        <f t="shared" si="2"/>
        <v>3284.1544884810828</v>
      </c>
      <c r="D22" s="17">
        <f t="shared" si="3"/>
        <v>1010.4184956160298</v>
      </c>
      <c r="E22" s="17">
        <f t="shared" si="1"/>
        <v>0</v>
      </c>
      <c r="F22" s="18">
        <f t="shared" si="4"/>
        <v>787186.65873984387</v>
      </c>
    </row>
    <row r="23" spans="1:10" x14ac:dyDescent="0.25">
      <c r="A23" s="8">
        <v>14</v>
      </c>
      <c r="B23" s="17">
        <f t="shared" si="0"/>
        <v>4294.5729840971126</v>
      </c>
      <c r="C23" s="10">
        <f t="shared" si="2"/>
        <v>3279.944411416016</v>
      </c>
      <c r="D23" s="17">
        <f t="shared" si="3"/>
        <v>1014.6285726810966</v>
      </c>
      <c r="E23" s="17">
        <f t="shared" si="1"/>
        <v>0</v>
      </c>
      <c r="F23" s="18">
        <f t="shared" si="4"/>
        <v>786172.03016716277</v>
      </c>
    </row>
    <row r="24" spans="1:10" x14ac:dyDescent="0.25">
      <c r="A24" s="8">
        <v>15</v>
      </c>
      <c r="B24" s="17">
        <f t="shared" si="0"/>
        <v>4294.5729840971126</v>
      </c>
      <c r="C24" s="10">
        <f t="shared" si="2"/>
        <v>3275.7167923631782</v>
      </c>
      <c r="D24" s="17">
        <f t="shared" si="3"/>
        <v>1018.8561917339343</v>
      </c>
      <c r="E24" s="17">
        <f t="shared" si="1"/>
        <v>0</v>
      </c>
      <c r="F24" s="18">
        <f t="shared" si="4"/>
        <v>785153.1739754288</v>
      </c>
    </row>
    <row r="25" spans="1:10" x14ac:dyDescent="0.25">
      <c r="A25" s="8">
        <v>16</v>
      </c>
      <c r="B25" s="17">
        <f t="shared" si="0"/>
        <v>4294.5729840971126</v>
      </c>
      <c r="C25" s="10">
        <f t="shared" si="2"/>
        <v>3271.4715582309532</v>
      </c>
      <c r="D25" s="17">
        <f t="shared" si="3"/>
        <v>1023.1014258661594</v>
      </c>
      <c r="E25" s="17">
        <f t="shared" si="1"/>
        <v>0</v>
      </c>
      <c r="F25" s="18">
        <f t="shared" si="4"/>
        <v>784130.07254956267</v>
      </c>
    </row>
    <row r="26" spans="1:10" x14ac:dyDescent="0.25">
      <c r="A26" s="8">
        <v>17</v>
      </c>
      <c r="B26" s="17">
        <f t="shared" si="0"/>
        <v>4294.5729840971126</v>
      </c>
      <c r="C26" s="10">
        <f t="shared" si="2"/>
        <v>3267.2086356231775</v>
      </c>
      <c r="D26" s="17">
        <f t="shared" si="3"/>
        <v>1027.364348473935</v>
      </c>
      <c r="E26" s="17">
        <f t="shared" si="1"/>
        <v>0</v>
      </c>
      <c r="F26" s="18">
        <f t="shared" si="4"/>
        <v>783102.70820108871</v>
      </c>
    </row>
    <row r="27" spans="1:10" x14ac:dyDescent="0.25">
      <c r="A27" s="8">
        <v>18</v>
      </c>
      <c r="B27" s="17">
        <f t="shared" si="0"/>
        <v>4294.5729840971126</v>
      </c>
      <c r="C27" s="10">
        <f t="shared" si="2"/>
        <v>3262.9279508378695</v>
      </c>
      <c r="D27" s="17">
        <f t="shared" si="3"/>
        <v>1031.6450332592431</v>
      </c>
      <c r="E27" s="17">
        <f t="shared" si="1"/>
        <v>0</v>
      </c>
      <c r="F27" s="18">
        <f t="shared" si="4"/>
        <v>782071.06316782942</v>
      </c>
    </row>
    <row r="28" spans="1:10" x14ac:dyDescent="0.25">
      <c r="A28" s="8">
        <v>19</v>
      </c>
      <c r="B28" s="17">
        <f t="shared" si="0"/>
        <v>4294.5729840971126</v>
      </c>
      <c r="C28" s="10">
        <f t="shared" si="2"/>
        <v>3258.6294298659559</v>
      </c>
      <c r="D28" s="17">
        <f t="shared" si="3"/>
        <v>1035.9435542311567</v>
      </c>
      <c r="E28" s="17">
        <f t="shared" si="1"/>
        <v>0</v>
      </c>
      <c r="F28" s="18">
        <f t="shared" si="4"/>
        <v>781035.11961359822</v>
      </c>
    </row>
    <row r="29" spans="1:10" x14ac:dyDescent="0.25">
      <c r="A29" s="8">
        <v>20</v>
      </c>
      <c r="B29" s="17">
        <f t="shared" si="0"/>
        <v>4294.5729840971126</v>
      </c>
      <c r="C29" s="10">
        <f t="shared" si="2"/>
        <v>3254.3129983899926</v>
      </c>
      <c r="D29" s="17">
        <f t="shared" si="3"/>
        <v>1040.25998570712</v>
      </c>
      <c r="E29" s="17">
        <f t="shared" si="1"/>
        <v>0</v>
      </c>
      <c r="F29" s="18">
        <f t="shared" si="4"/>
        <v>779994.8596278911</v>
      </c>
    </row>
    <row r="30" spans="1:10" x14ac:dyDescent="0.25">
      <c r="A30" s="8">
        <v>21</v>
      </c>
      <c r="B30" s="17">
        <f t="shared" si="0"/>
        <v>4294.5729840971126</v>
      </c>
      <c r="C30" s="10">
        <f t="shared" si="2"/>
        <v>3249.9785817828797</v>
      </c>
      <c r="D30" s="17">
        <f t="shared" si="3"/>
        <v>1044.5944023142329</v>
      </c>
      <c r="E30" s="17">
        <f t="shared" si="1"/>
        <v>0</v>
      </c>
      <c r="F30" s="18">
        <f t="shared" si="4"/>
        <v>778950.26522557682</v>
      </c>
    </row>
    <row r="31" spans="1:10" x14ac:dyDescent="0.25">
      <c r="A31" s="8">
        <v>22</v>
      </c>
      <c r="B31" s="17">
        <f t="shared" si="0"/>
        <v>4294.5729840971126</v>
      </c>
      <c r="C31" s="10">
        <f t="shared" si="2"/>
        <v>3245.6261051065699</v>
      </c>
      <c r="D31" s="17">
        <f t="shared" si="3"/>
        <v>1048.9468789905427</v>
      </c>
      <c r="E31" s="17">
        <f t="shared" si="1"/>
        <v>0</v>
      </c>
      <c r="F31" s="18">
        <f t="shared" si="4"/>
        <v>777901.31834658631</v>
      </c>
    </row>
    <row r="32" spans="1:10" x14ac:dyDescent="0.25">
      <c r="A32" s="8">
        <v>23</v>
      </c>
      <c r="B32" s="17">
        <f t="shared" si="0"/>
        <v>4294.5729840971126</v>
      </c>
      <c r="C32" s="10">
        <f t="shared" si="2"/>
        <v>3241.2554931107761</v>
      </c>
      <c r="D32" s="17">
        <f t="shared" si="3"/>
        <v>1053.3174909863365</v>
      </c>
      <c r="E32" s="17">
        <f t="shared" si="1"/>
        <v>0</v>
      </c>
      <c r="F32" s="18">
        <f t="shared" si="4"/>
        <v>776848.0008556</v>
      </c>
    </row>
    <row r="33" spans="1:6" x14ac:dyDescent="0.25">
      <c r="A33" s="8">
        <v>24</v>
      </c>
      <c r="B33" s="17">
        <f t="shared" si="0"/>
        <v>4294.5729840971126</v>
      </c>
      <c r="C33" s="10">
        <f t="shared" si="2"/>
        <v>3236.8666702316668</v>
      </c>
      <c r="D33" s="17">
        <f t="shared" si="3"/>
        <v>1057.7063138654457</v>
      </c>
      <c r="E33" s="17">
        <f t="shared" si="1"/>
        <v>0</v>
      </c>
      <c r="F33" s="18">
        <f t="shared" si="4"/>
        <v>775790.2945417345</v>
      </c>
    </row>
    <row r="34" spans="1:6" x14ac:dyDescent="0.25">
      <c r="A34" s="8">
        <v>25</v>
      </c>
      <c r="B34" s="17">
        <f t="shared" si="0"/>
        <v>4294.5729840971126</v>
      </c>
      <c r="C34" s="10">
        <f t="shared" si="2"/>
        <v>3232.4595605905606</v>
      </c>
      <c r="D34" s="17">
        <f t="shared" si="3"/>
        <v>1062.113423506552</v>
      </c>
      <c r="E34" s="17">
        <f t="shared" si="1"/>
        <v>0</v>
      </c>
      <c r="F34" s="18">
        <f t="shared" si="4"/>
        <v>774728.18111822801</v>
      </c>
    </row>
    <row r="35" spans="1:6" x14ac:dyDescent="0.25">
      <c r="A35" s="8">
        <v>26</v>
      </c>
      <c r="B35" s="17">
        <f t="shared" si="0"/>
        <v>4294.5729840971126</v>
      </c>
      <c r="C35" s="10">
        <f t="shared" si="2"/>
        <v>3228.0340879926166</v>
      </c>
      <c r="D35" s="17">
        <f t="shared" si="3"/>
        <v>1066.538896104496</v>
      </c>
      <c r="E35" s="17">
        <f t="shared" si="1"/>
        <v>0</v>
      </c>
      <c r="F35" s="18">
        <f t="shared" si="4"/>
        <v>773661.64222212345</v>
      </c>
    </row>
    <row r="36" spans="1:6" x14ac:dyDescent="0.25">
      <c r="A36" s="8">
        <v>27</v>
      </c>
      <c r="B36" s="17">
        <f t="shared" si="0"/>
        <v>4294.5729840971126</v>
      </c>
      <c r="C36" s="10">
        <f t="shared" si="2"/>
        <v>3223.5901759255144</v>
      </c>
      <c r="D36" s="17">
        <f t="shared" si="3"/>
        <v>1070.9828081715982</v>
      </c>
      <c r="E36" s="17">
        <f t="shared" si="1"/>
        <v>0</v>
      </c>
      <c r="F36" s="18">
        <f t="shared" si="4"/>
        <v>772590.6594139518</v>
      </c>
    </row>
    <row r="37" spans="1:6" x14ac:dyDescent="0.25">
      <c r="A37" s="8">
        <v>28</v>
      </c>
      <c r="B37" s="17">
        <f t="shared" si="0"/>
        <v>4294.5729840971126</v>
      </c>
      <c r="C37" s="10">
        <f t="shared" si="2"/>
        <v>3219.1277475581323</v>
      </c>
      <c r="D37" s="17">
        <f t="shared" si="3"/>
        <v>1075.4452365389802</v>
      </c>
      <c r="E37" s="17">
        <f t="shared" si="1"/>
        <v>0</v>
      </c>
      <c r="F37" s="18">
        <f t="shared" si="4"/>
        <v>771515.2141774128</v>
      </c>
    </row>
    <row r="38" spans="1:6" x14ac:dyDescent="0.25">
      <c r="A38" s="8">
        <v>29</v>
      </c>
      <c r="B38" s="17">
        <f t="shared" si="0"/>
        <v>4294.5729840971126</v>
      </c>
      <c r="C38" s="10">
        <f t="shared" si="2"/>
        <v>3214.6467257392201</v>
      </c>
      <c r="D38" s="17">
        <f t="shared" si="3"/>
        <v>1079.9262583578925</v>
      </c>
      <c r="E38" s="17">
        <f t="shared" si="1"/>
        <v>0</v>
      </c>
      <c r="F38" s="18">
        <f t="shared" si="4"/>
        <v>770435.28791905486</v>
      </c>
    </row>
    <row r="39" spans="1:6" x14ac:dyDescent="0.25">
      <c r="A39" s="8">
        <v>30</v>
      </c>
      <c r="B39" s="17">
        <f t="shared" si="0"/>
        <v>4294.5729840971126</v>
      </c>
      <c r="C39" s="10">
        <f t="shared" si="2"/>
        <v>3210.1470329960621</v>
      </c>
      <c r="D39" s="17">
        <f t="shared" si="3"/>
        <v>1084.4259511010505</v>
      </c>
      <c r="E39" s="17">
        <f t="shared" si="1"/>
        <v>0</v>
      </c>
      <c r="F39" s="18">
        <f t="shared" si="4"/>
        <v>769350.86196795385</v>
      </c>
    </row>
    <row r="40" spans="1:6" x14ac:dyDescent="0.25">
      <c r="A40" s="8">
        <v>31</v>
      </c>
      <c r="B40" s="17">
        <f t="shared" si="0"/>
        <v>4294.5729840971126</v>
      </c>
      <c r="C40" s="10">
        <f t="shared" si="2"/>
        <v>3205.6285915331409</v>
      </c>
      <c r="D40" s="17">
        <f t="shared" si="3"/>
        <v>1088.9443925639716</v>
      </c>
      <c r="E40" s="17">
        <f t="shared" si="1"/>
        <v>0</v>
      </c>
      <c r="F40" s="18">
        <f t="shared" si="4"/>
        <v>768261.91757538985</v>
      </c>
    </row>
    <row r="41" spans="1:6" x14ac:dyDescent="0.25">
      <c r="A41" s="8">
        <v>32</v>
      </c>
      <c r="B41" s="17">
        <f t="shared" si="0"/>
        <v>4294.5729840971126</v>
      </c>
      <c r="C41" s="10">
        <f t="shared" si="2"/>
        <v>3201.0913232307912</v>
      </c>
      <c r="D41" s="17">
        <f t="shared" si="3"/>
        <v>1093.4816608663214</v>
      </c>
      <c r="E41" s="17">
        <f t="shared" si="1"/>
        <v>0</v>
      </c>
      <c r="F41" s="18">
        <f t="shared" si="4"/>
        <v>767168.43591452355</v>
      </c>
    </row>
    <row r="42" spans="1:6" x14ac:dyDescent="0.25">
      <c r="A42" s="8">
        <v>33</v>
      </c>
      <c r="B42" s="17">
        <f t="shared" si="0"/>
        <v>4294.5729840971126</v>
      </c>
      <c r="C42" s="10">
        <f t="shared" si="2"/>
        <v>3196.5351496438479</v>
      </c>
      <c r="D42" s="17">
        <f t="shared" si="3"/>
        <v>1098.0378344532646</v>
      </c>
      <c r="E42" s="17">
        <f t="shared" si="1"/>
        <v>0</v>
      </c>
      <c r="F42" s="18">
        <f t="shared" si="4"/>
        <v>766070.39808007027</v>
      </c>
    </row>
    <row r="43" spans="1:6" x14ac:dyDescent="0.25">
      <c r="A43" s="8">
        <v>34</v>
      </c>
      <c r="B43" s="17">
        <f t="shared" si="0"/>
        <v>4294.5729840971126</v>
      </c>
      <c r="C43" s="10">
        <f t="shared" si="2"/>
        <v>3191.9599920002929</v>
      </c>
      <c r="D43" s="17">
        <f t="shared" si="3"/>
        <v>1102.6129920968197</v>
      </c>
      <c r="E43" s="17">
        <f t="shared" si="1"/>
        <v>0</v>
      </c>
      <c r="F43" s="18">
        <f t="shared" si="4"/>
        <v>764967.78508797346</v>
      </c>
    </row>
    <row r="44" spans="1:6" x14ac:dyDescent="0.25">
      <c r="A44" s="8">
        <v>35</v>
      </c>
      <c r="B44" s="17">
        <f t="shared" si="0"/>
        <v>4294.5729840971126</v>
      </c>
      <c r="C44" s="10">
        <f t="shared" si="2"/>
        <v>3187.3657711998894</v>
      </c>
      <c r="D44" s="17">
        <f t="shared" si="3"/>
        <v>1107.2072128972231</v>
      </c>
      <c r="E44" s="17">
        <f t="shared" si="1"/>
        <v>0</v>
      </c>
      <c r="F44" s="18">
        <f t="shared" si="4"/>
        <v>763860.57787507621</v>
      </c>
    </row>
    <row r="45" spans="1:6" x14ac:dyDescent="0.25">
      <c r="A45" s="8">
        <v>36</v>
      </c>
      <c r="B45" s="17">
        <f t="shared" si="0"/>
        <v>4294.5729840971126</v>
      </c>
      <c r="C45" s="10">
        <f t="shared" si="2"/>
        <v>3182.7524078128176</v>
      </c>
      <c r="D45" s="17">
        <f t="shared" si="3"/>
        <v>1111.8205762842949</v>
      </c>
      <c r="E45" s="17">
        <f t="shared" si="1"/>
        <v>0</v>
      </c>
      <c r="F45" s="18">
        <f t="shared" si="4"/>
        <v>762748.7572987919</v>
      </c>
    </row>
    <row r="46" spans="1:6" x14ac:dyDescent="0.25">
      <c r="A46" s="8">
        <v>37</v>
      </c>
      <c r="B46" s="17">
        <f t="shared" si="0"/>
        <v>4294.5729840971126</v>
      </c>
      <c r="C46" s="10">
        <f t="shared" si="2"/>
        <v>3178.1198220782994</v>
      </c>
      <c r="D46" s="17">
        <f t="shared" si="3"/>
        <v>1116.4531620188131</v>
      </c>
      <c r="E46" s="17">
        <f t="shared" si="1"/>
        <v>0</v>
      </c>
      <c r="F46" s="18">
        <f t="shared" si="4"/>
        <v>761632.30413677311</v>
      </c>
    </row>
    <row r="47" spans="1:6" x14ac:dyDescent="0.25">
      <c r="A47" s="8">
        <v>38</v>
      </c>
      <c r="B47" s="17">
        <f t="shared" si="0"/>
        <v>4294.5729840971126</v>
      </c>
      <c r="C47" s="10">
        <f t="shared" si="2"/>
        <v>3173.4679339032214</v>
      </c>
      <c r="D47" s="17">
        <f t="shared" si="3"/>
        <v>1121.1050501938912</v>
      </c>
      <c r="E47" s="17">
        <f t="shared" si="1"/>
        <v>0</v>
      </c>
      <c r="F47" s="18">
        <f t="shared" si="4"/>
        <v>760511.19908657926</v>
      </c>
    </row>
    <row r="48" spans="1:6" x14ac:dyDescent="0.25">
      <c r="A48" s="8">
        <v>39</v>
      </c>
      <c r="B48" s="17">
        <f t="shared" si="0"/>
        <v>4294.5729840971126</v>
      </c>
      <c r="C48" s="10">
        <f t="shared" si="2"/>
        <v>3168.7966628607469</v>
      </c>
      <c r="D48" s="17">
        <f t="shared" si="3"/>
        <v>1125.7763212363657</v>
      </c>
      <c r="E48" s="17">
        <f t="shared" si="1"/>
        <v>0</v>
      </c>
      <c r="F48" s="18">
        <f t="shared" si="4"/>
        <v>759385.42276534287</v>
      </c>
    </row>
    <row r="49" spans="1:6" x14ac:dyDescent="0.25">
      <c r="A49" s="8">
        <v>40</v>
      </c>
      <c r="B49" s="17">
        <f t="shared" si="0"/>
        <v>4294.5729840971126</v>
      </c>
      <c r="C49" s="10">
        <f t="shared" si="2"/>
        <v>3164.1059281889284</v>
      </c>
      <c r="D49" s="17">
        <f t="shared" si="3"/>
        <v>1130.4670559081842</v>
      </c>
      <c r="E49" s="17">
        <f t="shared" si="1"/>
        <v>0</v>
      </c>
      <c r="F49" s="18">
        <f t="shared" si="4"/>
        <v>758254.9557094347</v>
      </c>
    </row>
    <row r="50" spans="1:6" x14ac:dyDescent="0.25">
      <c r="A50" s="8">
        <v>41</v>
      </c>
      <c r="B50" s="17">
        <f t="shared" si="0"/>
        <v>4294.5729840971126</v>
      </c>
      <c r="C50" s="10">
        <f t="shared" si="2"/>
        <v>3159.3956487893111</v>
      </c>
      <c r="D50" s="17">
        <f t="shared" si="3"/>
        <v>1135.1773353078015</v>
      </c>
      <c r="E50" s="17">
        <f t="shared" si="1"/>
        <v>0</v>
      </c>
      <c r="F50" s="18">
        <f t="shared" si="4"/>
        <v>757119.77837412688</v>
      </c>
    </row>
    <row r="51" spans="1:6" x14ac:dyDescent="0.25">
      <c r="A51" s="8">
        <v>42</v>
      </c>
      <c r="B51" s="17">
        <f t="shared" si="0"/>
        <v>4294.5729840971126</v>
      </c>
      <c r="C51" s="10">
        <f t="shared" si="2"/>
        <v>3154.6657432255288</v>
      </c>
      <c r="D51" s="17">
        <f t="shared" si="3"/>
        <v>1139.9072408715838</v>
      </c>
      <c r="E51" s="17">
        <f t="shared" si="1"/>
        <v>0</v>
      </c>
      <c r="F51" s="18">
        <f t="shared" si="4"/>
        <v>755979.87113325531</v>
      </c>
    </row>
    <row r="52" spans="1:6" x14ac:dyDescent="0.25">
      <c r="A52" s="8">
        <v>43</v>
      </c>
      <c r="B52" s="17">
        <f t="shared" si="0"/>
        <v>4294.5729840971126</v>
      </c>
      <c r="C52" s="10">
        <f t="shared" si="2"/>
        <v>3149.9161297218971</v>
      </c>
      <c r="D52" s="17">
        <f t="shared" si="3"/>
        <v>1144.6568543752155</v>
      </c>
      <c r="E52" s="17">
        <f t="shared" si="1"/>
        <v>0</v>
      </c>
      <c r="F52" s="18">
        <f t="shared" si="4"/>
        <v>754835.21427888004</v>
      </c>
    </row>
    <row r="53" spans="1:6" x14ac:dyDescent="0.25">
      <c r="A53" s="8">
        <v>44</v>
      </c>
      <c r="B53" s="17">
        <f t="shared" si="0"/>
        <v>4294.5729840971126</v>
      </c>
      <c r="C53" s="10">
        <f t="shared" si="2"/>
        <v>3145.146726162</v>
      </c>
      <c r="D53" s="17">
        <f t="shared" si="3"/>
        <v>1149.4262579351125</v>
      </c>
      <c r="E53" s="17">
        <f t="shared" si="1"/>
        <v>0</v>
      </c>
      <c r="F53" s="18">
        <f t="shared" si="4"/>
        <v>753685.78802094492</v>
      </c>
    </row>
    <row r="54" spans="1:6" x14ac:dyDescent="0.25">
      <c r="A54" s="8">
        <v>45</v>
      </c>
      <c r="B54" s="17">
        <f t="shared" si="0"/>
        <v>4294.5729840971126</v>
      </c>
      <c r="C54" s="10">
        <f t="shared" si="2"/>
        <v>3140.3574500872705</v>
      </c>
      <c r="D54" s="17">
        <f t="shared" si="3"/>
        <v>1154.215534009842</v>
      </c>
      <c r="E54" s="17">
        <f t="shared" si="1"/>
        <v>0</v>
      </c>
      <c r="F54" s="18">
        <f t="shared" si="4"/>
        <v>752531.57248693507</v>
      </c>
    </row>
    <row r="55" spans="1:6" x14ac:dyDescent="0.25">
      <c r="A55" s="8">
        <v>46</v>
      </c>
      <c r="B55" s="17">
        <f t="shared" si="0"/>
        <v>4294.5729840971126</v>
      </c>
      <c r="C55" s="10">
        <f t="shared" si="2"/>
        <v>3135.5482186955628</v>
      </c>
      <c r="D55" s="17">
        <f t="shared" si="3"/>
        <v>1159.0247654015498</v>
      </c>
      <c r="E55" s="17">
        <f t="shared" si="1"/>
        <v>0</v>
      </c>
      <c r="F55" s="18">
        <f t="shared" si="4"/>
        <v>751372.54772153357</v>
      </c>
    </row>
    <row r="56" spans="1:6" x14ac:dyDescent="0.25">
      <c r="A56" s="8">
        <v>47</v>
      </c>
      <c r="B56" s="17">
        <f t="shared" si="0"/>
        <v>4294.5729840971126</v>
      </c>
      <c r="C56" s="10">
        <f t="shared" si="2"/>
        <v>3130.718948839723</v>
      </c>
      <c r="D56" s="17">
        <f t="shared" si="3"/>
        <v>1163.8540352573896</v>
      </c>
      <c r="E56" s="17">
        <f t="shared" si="1"/>
        <v>0</v>
      </c>
      <c r="F56" s="18">
        <f t="shared" si="4"/>
        <v>750208.69368627621</v>
      </c>
    </row>
    <row r="57" spans="1:6" x14ac:dyDescent="0.25">
      <c r="A57" s="8">
        <v>48</v>
      </c>
      <c r="B57" s="17">
        <f t="shared" si="0"/>
        <v>4294.5729840971126</v>
      </c>
      <c r="C57" s="10">
        <f t="shared" si="2"/>
        <v>3125.8695570261507</v>
      </c>
      <c r="D57" s="17">
        <f t="shared" si="3"/>
        <v>1168.7034270709619</v>
      </c>
      <c r="E57" s="17">
        <f t="shared" si="1"/>
        <v>0</v>
      </c>
      <c r="F57" s="18">
        <f t="shared" si="4"/>
        <v>749039.99025920522</v>
      </c>
    </row>
    <row r="58" spans="1:6" x14ac:dyDescent="0.25">
      <c r="A58" s="8">
        <v>49</v>
      </c>
      <c r="B58" s="17">
        <f t="shared" si="0"/>
        <v>4294.5729840971126</v>
      </c>
      <c r="C58" s="10">
        <f t="shared" si="2"/>
        <v>3120.9999594133551</v>
      </c>
      <c r="D58" s="17">
        <f t="shared" si="3"/>
        <v>1173.5730246837575</v>
      </c>
      <c r="E58" s="17">
        <f t="shared" si="1"/>
        <v>0</v>
      </c>
      <c r="F58" s="18">
        <f t="shared" si="4"/>
        <v>747866.41723452148</v>
      </c>
    </row>
    <row r="59" spans="1:6" x14ac:dyDescent="0.25">
      <c r="A59" s="8">
        <v>50</v>
      </c>
      <c r="B59" s="17">
        <f t="shared" si="0"/>
        <v>4294.5729840971126</v>
      </c>
      <c r="C59" s="10">
        <f t="shared" si="2"/>
        <v>3116.1100718105063</v>
      </c>
      <c r="D59" s="17">
        <f t="shared" si="3"/>
        <v>1178.4629122866063</v>
      </c>
      <c r="E59" s="17">
        <f t="shared" si="1"/>
        <v>0</v>
      </c>
      <c r="F59" s="18">
        <f t="shared" si="4"/>
        <v>746687.95432223484</v>
      </c>
    </row>
    <row r="60" spans="1:6" x14ac:dyDescent="0.25">
      <c r="A60" s="8">
        <v>51</v>
      </c>
      <c r="B60" s="17">
        <f t="shared" si="0"/>
        <v>4294.5729840971126</v>
      </c>
      <c r="C60" s="10">
        <f t="shared" si="2"/>
        <v>3111.1998096759785</v>
      </c>
      <c r="D60" s="17">
        <f t="shared" si="3"/>
        <v>1183.3731744211341</v>
      </c>
      <c r="E60" s="17">
        <f t="shared" si="1"/>
        <v>0</v>
      </c>
      <c r="F60" s="18">
        <f t="shared" si="4"/>
        <v>745504.5811478137</v>
      </c>
    </row>
    <row r="61" spans="1:6" x14ac:dyDescent="0.25">
      <c r="A61" s="8">
        <v>52</v>
      </c>
      <c r="B61" s="17">
        <f t="shared" si="0"/>
        <v>4294.5729840971126</v>
      </c>
      <c r="C61" s="10">
        <f t="shared" si="2"/>
        <v>3106.2690881158906</v>
      </c>
      <c r="D61" s="17">
        <f t="shared" si="3"/>
        <v>1188.303895981222</v>
      </c>
      <c r="E61" s="17">
        <f t="shared" si="1"/>
        <v>0</v>
      </c>
      <c r="F61" s="18">
        <f t="shared" si="4"/>
        <v>744316.27725183254</v>
      </c>
    </row>
    <row r="62" spans="1:6" x14ac:dyDescent="0.25">
      <c r="A62" s="8">
        <v>53</v>
      </c>
      <c r="B62" s="17">
        <f t="shared" si="0"/>
        <v>4294.5729840971126</v>
      </c>
      <c r="C62" s="10">
        <f t="shared" si="2"/>
        <v>3101.3178218826356</v>
      </c>
      <c r="D62" s="17">
        <f t="shared" si="3"/>
        <v>1193.255162214477</v>
      </c>
      <c r="E62" s="17">
        <f t="shared" si="1"/>
        <v>0</v>
      </c>
      <c r="F62" s="18">
        <f t="shared" si="4"/>
        <v>743123.02208961803</v>
      </c>
    </row>
    <row r="63" spans="1:6" x14ac:dyDescent="0.25">
      <c r="A63" s="8">
        <v>54</v>
      </c>
      <c r="B63" s="17">
        <f t="shared" si="0"/>
        <v>4294.5729840971126</v>
      </c>
      <c r="C63" s="10">
        <f t="shared" si="2"/>
        <v>3096.3459253734086</v>
      </c>
      <c r="D63" s="17">
        <f t="shared" si="3"/>
        <v>1198.227058723704</v>
      </c>
      <c r="E63" s="17">
        <f t="shared" si="1"/>
        <v>0</v>
      </c>
      <c r="F63" s="18">
        <f t="shared" si="4"/>
        <v>741924.79503089434</v>
      </c>
    </row>
    <row r="64" spans="1:6" x14ac:dyDescent="0.25">
      <c r="A64" s="8">
        <v>55</v>
      </c>
      <c r="B64" s="17">
        <f t="shared" si="0"/>
        <v>4294.5729840971126</v>
      </c>
      <c r="C64" s="10">
        <f t="shared" si="2"/>
        <v>3091.3533126287266</v>
      </c>
      <c r="D64" s="17">
        <f t="shared" si="3"/>
        <v>1203.219671468386</v>
      </c>
      <c r="E64" s="17">
        <f t="shared" si="1"/>
        <v>0</v>
      </c>
      <c r="F64" s="18">
        <f t="shared" si="4"/>
        <v>740721.57535942597</v>
      </c>
    </row>
    <row r="65" spans="1:6" x14ac:dyDescent="0.25">
      <c r="A65" s="8">
        <v>56</v>
      </c>
      <c r="B65" s="17">
        <f t="shared" si="0"/>
        <v>4294.5729840971126</v>
      </c>
      <c r="C65" s="10">
        <f t="shared" si="2"/>
        <v>3086.3398973309413</v>
      </c>
      <c r="D65" s="17">
        <f t="shared" si="3"/>
        <v>1208.2330867661713</v>
      </c>
      <c r="E65" s="17">
        <f t="shared" si="1"/>
        <v>0</v>
      </c>
      <c r="F65" s="18">
        <f t="shared" si="4"/>
        <v>739513.34227265976</v>
      </c>
    </row>
    <row r="66" spans="1:6" x14ac:dyDescent="0.25">
      <c r="A66" s="8">
        <v>57</v>
      </c>
      <c r="B66" s="17">
        <f t="shared" si="0"/>
        <v>4294.5729840971126</v>
      </c>
      <c r="C66" s="10">
        <f t="shared" si="2"/>
        <v>3081.3055928027488</v>
      </c>
      <c r="D66" s="17">
        <f t="shared" si="3"/>
        <v>1213.2673912943637</v>
      </c>
      <c r="E66" s="17">
        <f t="shared" si="1"/>
        <v>0</v>
      </c>
      <c r="F66" s="18">
        <f t="shared" si="4"/>
        <v>738300.07488136541</v>
      </c>
    </row>
    <row r="67" spans="1:6" x14ac:dyDescent="0.25">
      <c r="A67" s="8">
        <v>58</v>
      </c>
      <c r="B67" s="17">
        <f t="shared" si="0"/>
        <v>4294.5729840971126</v>
      </c>
      <c r="C67" s="10">
        <f t="shared" si="2"/>
        <v>3076.250312005689</v>
      </c>
      <c r="D67" s="17">
        <f t="shared" si="3"/>
        <v>1218.3226720914236</v>
      </c>
      <c r="E67" s="17">
        <f t="shared" si="1"/>
        <v>0</v>
      </c>
      <c r="F67" s="18">
        <f t="shared" si="4"/>
        <v>737081.75220927398</v>
      </c>
    </row>
    <row r="68" spans="1:6" x14ac:dyDescent="0.25">
      <c r="A68" s="8">
        <v>59</v>
      </c>
      <c r="B68" s="17">
        <f t="shared" si="0"/>
        <v>4294.5729840971126</v>
      </c>
      <c r="C68" s="10">
        <f t="shared" si="2"/>
        <v>3071.1739675386416</v>
      </c>
      <c r="D68" s="17">
        <f t="shared" si="3"/>
        <v>1223.399016558471</v>
      </c>
      <c r="E68" s="17">
        <f t="shared" si="1"/>
        <v>0</v>
      </c>
      <c r="F68" s="18">
        <f t="shared" si="4"/>
        <v>735858.35319271556</v>
      </c>
    </row>
    <row r="69" spans="1:6" x14ac:dyDescent="0.25">
      <c r="A69" s="8">
        <v>60</v>
      </c>
      <c r="B69" s="17">
        <f t="shared" si="0"/>
        <v>4294.5729840971126</v>
      </c>
      <c r="C69" s="10">
        <f t="shared" si="2"/>
        <v>3066.0764716363146</v>
      </c>
      <c r="D69" s="17">
        <f t="shared" si="3"/>
        <v>1228.4965124607979</v>
      </c>
      <c r="E69" s="17">
        <f t="shared" si="1"/>
        <v>0</v>
      </c>
      <c r="F69" s="18">
        <f t="shared" si="4"/>
        <v>734629.8566802548</v>
      </c>
    </row>
    <row r="70" spans="1:6" x14ac:dyDescent="0.25">
      <c r="A70" s="8">
        <v>61</v>
      </c>
      <c r="B70" s="17">
        <f t="shared" si="0"/>
        <v>4294.5729840971126</v>
      </c>
      <c r="C70" s="10">
        <f t="shared" si="2"/>
        <v>3060.9577361677284</v>
      </c>
      <c r="D70" s="17">
        <f t="shared" si="3"/>
        <v>1233.6152479293842</v>
      </c>
      <c r="E70" s="17">
        <f t="shared" si="1"/>
        <v>0</v>
      </c>
      <c r="F70" s="18">
        <f t="shared" si="4"/>
        <v>733396.24143232545</v>
      </c>
    </row>
    <row r="71" spans="1:6" x14ac:dyDescent="0.25">
      <c r="A71" s="8">
        <v>62</v>
      </c>
      <c r="B71" s="17">
        <f t="shared" si="0"/>
        <v>4294.5729840971126</v>
      </c>
      <c r="C71" s="10">
        <f t="shared" si="2"/>
        <v>3055.8176726346892</v>
      </c>
      <c r="D71" s="17">
        <f t="shared" si="3"/>
        <v>1238.7553114624234</v>
      </c>
      <c r="E71" s="17">
        <f t="shared" si="1"/>
        <v>0</v>
      </c>
      <c r="F71" s="18">
        <f t="shared" si="4"/>
        <v>732157.486120863</v>
      </c>
    </row>
    <row r="72" spans="1:6" x14ac:dyDescent="0.25">
      <c r="A72" s="8">
        <v>63</v>
      </c>
      <c r="B72" s="17">
        <f t="shared" si="0"/>
        <v>4294.5729840971126</v>
      </c>
      <c r="C72" s="10">
        <f t="shared" si="2"/>
        <v>3050.6561921702623</v>
      </c>
      <c r="D72" s="17">
        <f t="shared" si="3"/>
        <v>1243.9167919268502</v>
      </c>
      <c r="E72" s="17">
        <f t="shared" si="1"/>
        <v>0</v>
      </c>
      <c r="F72" s="18">
        <f t="shared" si="4"/>
        <v>730913.56932893617</v>
      </c>
    </row>
    <row r="73" spans="1:6" x14ac:dyDescent="0.25">
      <c r="A73" s="8">
        <v>64</v>
      </c>
      <c r="B73" s="17">
        <f t="shared" si="0"/>
        <v>4294.5729840971126</v>
      </c>
      <c r="C73" s="10">
        <f t="shared" si="2"/>
        <v>3045.4732055372342</v>
      </c>
      <c r="D73" s="17">
        <f t="shared" si="3"/>
        <v>1249.0997785598784</v>
      </c>
      <c r="E73" s="17">
        <f t="shared" si="1"/>
        <v>0</v>
      </c>
      <c r="F73" s="18">
        <f t="shared" si="4"/>
        <v>729664.46955037629</v>
      </c>
    </row>
    <row r="74" spans="1:6" x14ac:dyDescent="0.25">
      <c r="A74" s="8">
        <v>65</v>
      </c>
      <c r="B74" s="17">
        <f t="shared" ref="B74:B137" si="6">PMT(($D$4/12),$D$5,-$D$3)</f>
        <v>4294.5729840971126</v>
      </c>
      <c r="C74" s="10">
        <f t="shared" si="2"/>
        <v>3040.2686231265679</v>
      </c>
      <c r="D74" s="17">
        <f t="shared" si="3"/>
        <v>1254.3043609705446</v>
      </c>
      <c r="E74" s="17">
        <f t="shared" ref="E74:E137" si="7">$G$3</f>
        <v>0</v>
      </c>
      <c r="F74" s="18">
        <f t="shared" si="4"/>
        <v>728410.16518940579</v>
      </c>
    </row>
    <row r="75" spans="1:6" x14ac:dyDescent="0.25">
      <c r="A75" s="8">
        <v>66</v>
      </c>
      <c r="B75" s="17">
        <f t="shared" si="6"/>
        <v>4294.5729840971126</v>
      </c>
      <c r="C75" s="10">
        <f t="shared" ref="C75:C138" si="8">F74*($D$4/12)</f>
        <v>3035.0423549558573</v>
      </c>
      <c r="D75" s="17">
        <f t="shared" ref="D75:D138" si="9">B75-C75</f>
        <v>1259.5306291412553</v>
      </c>
      <c r="E75" s="17">
        <f t="shared" si="7"/>
        <v>0</v>
      </c>
      <c r="F75" s="18">
        <f t="shared" ref="F75:F138" si="10">F74-D75-E75</f>
        <v>727150.63456026453</v>
      </c>
    </row>
    <row r="76" spans="1:6" x14ac:dyDescent="0.25">
      <c r="A76" s="8">
        <v>67</v>
      </c>
      <c r="B76" s="17">
        <f t="shared" si="6"/>
        <v>4294.5729840971126</v>
      </c>
      <c r="C76" s="10">
        <f t="shared" si="8"/>
        <v>3029.794310667769</v>
      </c>
      <c r="D76" s="17">
        <f t="shared" si="9"/>
        <v>1264.7786734293436</v>
      </c>
      <c r="E76" s="17">
        <f t="shared" si="7"/>
        <v>0</v>
      </c>
      <c r="F76" s="18">
        <f t="shared" si="10"/>
        <v>725885.85588683514</v>
      </c>
    </row>
    <row r="77" spans="1:6" x14ac:dyDescent="0.25">
      <c r="A77" s="8">
        <v>68</v>
      </c>
      <c r="B77" s="17">
        <f t="shared" si="6"/>
        <v>4294.5729840971126</v>
      </c>
      <c r="C77" s="10">
        <f t="shared" si="8"/>
        <v>3024.5243995284795</v>
      </c>
      <c r="D77" s="17">
        <f t="shared" si="9"/>
        <v>1270.048584568633</v>
      </c>
      <c r="E77" s="17">
        <f t="shared" si="7"/>
        <v>0</v>
      </c>
      <c r="F77" s="18">
        <f t="shared" si="10"/>
        <v>724615.80730226648</v>
      </c>
    </row>
    <row r="78" spans="1:6" x14ac:dyDescent="0.25">
      <c r="A78" s="8">
        <v>69</v>
      </c>
      <c r="B78" s="17">
        <f t="shared" si="6"/>
        <v>4294.5729840971126</v>
      </c>
      <c r="C78" s="10">
        <f t="shared" si="8"/>
        <v>3019.2325304261103</v>
      </c>
      <c r="D78" s="17">
        <f t="shared" si="9"/>
        <v>1275.3404536710023</v>
      </c>
      <c r="E78" s="17">
        <f t="shared" si="7"/>
        <v>0</v>
      </c>
      <c r="F78" s="18">
        <f t="shared" si="10"/>
        <v>723340.46684859542</v>
      </c>
    </row>
    <row r="79" spans="1:6" x14ac:dyDescent="0.25">
      <c r="A79" s="8">
        <v>70</v>
      </c>
      <c r="B79" s="17">
        <f t="shared" si="6"/>
        <v>4294.5729840971126</v>
      </c>
      <c r="C79" s="10">
        <f t="shared" si="8"/>
        <v>3013.9186118691478</v>
      </c>
      <c r="D79" s="17">
        <f t="shared" si="9"/>
        <v>1280.6543722279648</v>
      </c>
      <c r="E79" s="17">
        <f t="shared" si="7"/>
        <v>0</v>
      </c>
      <c r="F79" s="18">
        <f t="shared" si="10"/>
        <v>722059.81247636746</v>
      </c>
    </row>
    <row r="80" spans="1:6" x14ac:dyDescent="0.25">
      <c r="A80" s="8">
        <v>71</v>
      </c>
      <c r="B80" s="17">
        <f t="shared" si="6"/>
        <v>4294.5729840971126</v>
      </c>
      <c r="C80" s="10">
        <f t="shared" si="8"/>
        <v>3008.5825519848645</v>
      </c>
      <c r="D80" s="17">
        <f t="shared" si="9"/>
        <v>1285.9904321122481</v>
      </c>
      <c r="E80" s="17">
        <f t="shared" si="7"/>
        <v>0</v>
      </c>
      <c r="F80" s="18">
        <f t="shared" si="10"/>
        <v>720773.82204425521</v>
      </c>
    </row>
    <row r="81" spans="1:6" x14ac:dyDescent="0.25">
      <c r="A81" s="8">
        <v>72</v>
      </c>
      <c r="B81" s="17">
        <f t="shared" si="6"/>
        <v>4294.5729840971126</v>
      </c>
      <c r="C81" s="10">
        <f t="shared" si="8"/>
        <v>3003.22425851773</v>
      </c>
      <c r="D81" s="17">
        <f t="shared" si="9"/>
        <v>1291.3487255793825</v>
      </c>
      <c r="E81" s="17">
        <f t="shared" si="7"/>
        <v>0</v>
      </c>
      <c r="F81" s="18">
        <f t="shared" si="10"/>
        <v>719482.47331867588</v>
      </c>
    </row>
    <row r="82" spans="1:6" x14ac:dyDescent="0.25">
      <c r="A82" s="8">
        <v>73</v>
      </c>
      <c r="B82" s="17">
        <f t="shared" si="6"/>
        <v>4294.5729840971126</v>
      </c>
      <c r="C82" s="10">
        <f t="shared" si="8"/>
        <v>2997.843638827816</v>
      </c>
      <c r="D82" s="17">
        <f t="shared" si="9"/>
        <v>1296.7293452692966</v>
      </c>
      <c r="E82" s="17">
        <f t="shared" si="7"/>
        <v>0</v>
      </c>
      <c r="F82" s="18">
        <f t="shared" si="10"/>
        <v>718185.74397340661</v>
      </c>
    </row>
    <row r="83" spans="1:6" x14ac:dyDescent="0.25">
      <c r="A83" s="8">
        <v>74</v>
      </c>
      <c r="B83" s="17">
        <f t="shared" si="6"/>
        <v>4294.5729840971126</v>
      </c>
      <c r="C83" s="10">
        <f t="shared" si="8"/>
        <v>2992.4405998891943</v>
      </c>
      <c r="D83" s="17">
        <f t="shared" si="9"/>
        <v>1302.1323842079182</v>
      </c>
      <c r="E83" s="17">
        <f t="shared" si="7"/>
        <v>0</v>
      </c>
      <c r="F83" s="18">
        <f t="shared" si="10"/>
        <v>716883.6115891987</v>
      </c>
    </row>
    <row r="84" spans="1:6" x14ac:dyDescent="0.25">
      <c r="A84" s="8">
        <v>75</v>
      </c>
      <c r="B84" s="17">
        <f t="shared" si="6"/>
        <v>4294.5729840971126</v>
      </c>
      <c r="C84" s="10">
        <f t="shared" si="8"/>
        <v>2987.0150482883278</v>
      </c>
      <c r="D84" s="17">
        <f t="shared" si="9"/>
        <v>1307.5579358087848</v>
      </c>
      <c r="E84" s="17">
        <f t="shared" si="7"/>
        <v>0</v>
      </c>
      <c r="F84" s="18">
        <f t="shared" si="10"/>
        <v>715576.05365338991</v>
      </c>
    </row>
    <row r="85" spans="1:6" x14ac:dyDescent="0.25">
      <c r="A85" s="8">
        <v>76</v>
      </c>
      <c r="B85" s="17">
        <f t="shared" si="6"/>
        <v>4294.5729840971126</v>
      </c>
      <c r="C85" s="10">
        <f t="shared" si="8"/>
        <v>2981.5668902224579</v>
      </c>
      <c r="D85" s="17">
        <f t="shared" si="9"/>
        <v>1313.0060938746547</v>
      </c>
      <c r="E85" s="17">
        <f t="shared" si="7"/>
        <v>0</v>
      </c>
      <c r="F85" s="18">
        <f t="shared" si="10"/>
        <v>714263.04755951522</v>
      </c>
    </row>
    <row r="86" spans="1:6" x14ac:dyDescent="0.25">
      <c r="A86" s="8">
        <v>77</v>
      </c>
      <c r="B86" s="17">
        <f t="shared" si="6"/>
        <v>4294.5729840971126</v>
      </c>
      <c r="C86" s="10">
        <f t="shared" si="8"/>
        <v>2976.0960314979802</v>
      </c>
      <c r="D86" s="17">
        <f t="shared" si="9"/>
        <v>1318.4769525991323</v>
      </c>
      <c r="E86" s="17">
        <f t="shared" si="7"/>
        <v>0</v>
      </c>
      <c r="F86" s="18">
        <f t="shared" si="10"/>
        <v>712944.5706069161</v>
      </c>
    </row>
    <row r="87" spans="1:6" x14ac:dyDescent="0.25">
      <c r="A87" s="8">
        <v>78</v>
      </c>
      <c r="B87" s="17">
        <f t="shared" si="6"/>
        <v>4294.5729840971126</v>
      </c>
      <c r="C87" s="10">
        <f t="shared" si="8"/>
        <v>2970.6023775288172</v>
      </c>
      <c r="D87" s="17">
        <f t="shared" si="9"/>
        <v>1323.9706065682954</v>
      </c>
      <c r="E87" s="17">
        <f t="shared" si="7"/>
        <v>0</v>
      </c>
      <c r="F87" s="18">
        <f t="shared" si="10"/>
        <v>711620.60000034783</v>
      </c>
    </row>
    <row r="88" spans="1:6" x14ac:dyDescent="0.25">
      <c r="A88" s="8">
        <v>79</v>
      </c>
      <c r="B88" s="17">
        <f t="shared" si="6"/>
        <v>4294.5729840971126</v>
      </c>
      <c r="C88" s="10">
        <f t="shared" si="8"/>
        <v>2965.0858333347824</v>
      </c>
      <c r="D88" s="17">
        <f t="shared" si="9"/>
        <v>1329.4871507623302</v>
      </c>
      <c r="E88" s="17">
        <f t="shared" si="7"/>
        <v>0</v>
      </c>
      <c r="F88" s="18">
        <f t="shared" si="10"/>
        <v>710291.11284958548</v>
      </c>
    </row>
    <row r="89" spans="1:6" x14ac:dyDescent="0.25">
      <c r="A89" s="8">
        <v>80</v>
      </c>
      <c r="B89" s="17">
        <f t="shared" si="6"/>
        <v>4294.5729840971126</v>
      </c>
      <c r="C89" s="10">
        <f t="shared" si="8"/>
        <v>2959.5463035399393</v>
      </c>
      <c r="D89" s="17">
        <f t="shared" si="9"/>
        <v>1335.0266805571732</v>
      </c>
      <c r="E89" s="17">
        <f t="shared" si="7"/>
        <v>0</v>
      </c>
      <c r="F89" s="18">
        <f t="shared" si="10"/>
        <v>708956.08616902831</v>
      </c>
    </row>
    <row r="90" spans="1:6" x14ac:dyDescent="0.25">
      <c r="A90" s="8">
        <v>81</v>
      </c>
      <c r="B90" s="17">
        <f t="shared" si="6"/>
        <v>4294.5729840971126</v>
      </c>
      <c r="C90" s="10">
        <f t="shared" si="8"/>
        <v>2953.9836923709513</v>
      </c>
      <c r="D90" s="17">
        <f t="shared" si="9"/>
        <v>1340.5892917261613</v>
      </c>
      <c r="E90" s="17">
        <f t="shared" si="7"/>
        <v>0</v>
      </c>
      <c r="F90" s="18">
        <f t="shared" si="10"/>
        <v>707615.49687730218</v>
      </c>
    </row>
    <row r="91" spans="1:6" x14ac:dyDescent="0.25">
      <c r="A91" s="8">
        <v>82</v>
      </c>
      <c r="B91" s="17">
        <f t="shared" si="6"/>
        <v>4294.5729840971126</v>
      </c>
      <c r="C91" s="10">
        <f t="shared" si="8"/>
        <v>2948.3979036554256</v>
      </c>
      <c r="D91" s="17">
        <f t="shared" si="9"/>
        <v>1346.175080441687</v>
      </c>
      <c r="E91" s="17">
        <f t="shared" si="7"/>
        <v>0</v>
      </c>
      <c r="F91" s="18">
        <f t="shared" si="10"/>
        <v>706269.32179686055</v>
      </c>
    </row>
    <row r="92" spans="1:6" x14ac:dyDescent="0.25">
      <c r="A92" s="8">
        <v>83</v>
      </c>
      <c r="B92" s="17">
        <f t="shared" si="6"/>
        <v>4294.5729840971126</v>
      </c>
      <c r="C92" s="10">
        <f t="shared" si="8"/>
        <v>2942.7888408202521</v>
      </c>
      <c r="D92" s="17">
        <f t="shared" si="9"/>
        <v>1351.7841432768605</v>
      </c>
      <c r="E92" s="17">
        <f t="shared" si="7"/>
        <v>0</v>
      </c>
      <c r="F92" s="18">
        <f t="shared" si="10"/>
        <v>704917.53765358368</v>
      </c>
    </row>
    <row r="93" spans="1:6" x14ac:dyDescent="0.25">
      <c r="A93" s="8">
        <v>84</v>
      </c>
      <c r="B93" s="17">
        <f t="shared" si="6"/>
        <v>4294.5729840971126</v>
      </c>
      <c r="C93" s="10">
        <f t="shared" si="8"/>
        <v>2937.156406889932</v>
      </c>
      <c r="D93" s="17">
        <f t="shared" si="9"/>
        <v>1357.4165772071806</v>
      </c>
      <c r="E93" s="17">
        <f t="shared" si="7"/>
        <v>0</v>
      </c>
      <c r="F93" s="18">
        <f t="shared" si="10"/>
        <v>703560.12107637653</v>
      </c>
    </row>
    <row r="94" spans="1:6" x14ac:dyDescent="0.25">
      <c r="A94" s="8">
        <v>85</v>
      </c>
      <c r="B94" s="17">
        <f t="shared" si="6"/>
        <v>4294.5729840971126</v>
      </c>
      <c r="C94" s="10">
        <f t="shared" si="8"/>
        <v>2931.5005044849022</v>
      </c>
      <c r="D94" s="17">
        <f t="shared" si="9"/>
        <v>1363.0724796122104</v>
      </c>
      <c r="E94" s="17">
        <f t="shared" si="7"/>
        <v>0</v>
      </c>
      <c r="F94" s="18">
        <f t="shared" si="10"/>
        <v>702197.04859676433</v>
      </c>
    </row>
    <row r="95" spans="1:6" x14ac:dyDescent="0.25">
      <c r="A95" s="8">
        <v>86</v>
      </c>
      <c r="B95" s="17">
        <f t="shared" si="6"/>
        <v>4294.5729840971126</v>
      </c>
      <c r="C95" s="10">
        <f t="shared" si="8"/>
        <v>2925.8210358198512</v>
      </c>
      <c r="D95" s="17">
        <f t="shared" si="9"/>
        <v>1368.7519482772614</v>
      </c>
      <c r="E95" s="17">
        <f t="shared" si="7"/>
        <v>0</v>
      </c>
      <c r="F95" s="18">
        <f t="shared" si="10"/>
        <v>700828.2966484871</v>
      </c>
    </row>
    <row r="96" spans="1:6" x14ac:dyDescent="0.25">
      <c r="A96" s="8">
        <v>87</v>
      </c>
      <c r="B96" s="17">
        <f t="shared" si="6"/>
        <v>4294.5729840971126</v>
      </c>
      <c r="C96" s="10">
        <f t="shared" si="8"/>
        <v>2920.1179027020294</v>
      </c>
      <c r="D96" s="17">
        <f t="shared" si="9"/>
        <v>1374.4550813950832</v>
      </c>
      <c r="E96" s="17">
        <f t="shared" si="7"/>
        <v>0</v>
      </c>
      <c r="F96" s="18">
        <f t="shared" si="10"/>
        <v>699453.84156709199</v>
      </c>
    </row>
    <row r="97" spans="1:6" x14ac:dyDescent="0.25">
      <c r="A97" s="8">
        <v>88</v>
      </c>
      <c r="B97" s="17">
        <f t="shared" si="6"/>
        <v>4294.5729840971126</v>
      </c>
      <c r="C97" s="10">
        <f t="shared" si="8"/>
        <v>2914.3910065295499</v>
      </c>
      <c r="D97" s="17">
        <f t="shared" si="9"/>
        <v>1380.1819775675626</v>
      </c>
      <c r="E97" s="17">
        <f t="shared" si="7"/>
        <v>0</v>
      </c>
      <c r="F97" s="18">
        <f t="shared" si="10"/>
        <v>698073.65958952438</v>
      </c>
    </row>
    <row r="98" spans="1:6" x14ac:dyDescent="0.25">
      <c r="A98" s="8">
        <v>89</v>
      </c>
      <c r="B98" s="17">
        <f t="shared" si="6"/>
        <v>4294.5729840971126</v>
      </c>
      <c r="C98" s="10">
        <f t="shared" si="8"/>
        <v>2908.6402482896847</v>
      </c>
      <c r="D98" s="17">
        <f t="shared" si="9"/>
        <v>1385.9327358074279</v>
      </c>
      <c r="E98" s="17">
        <f t="shared" si="7"/>
        <v>0</v>
      </c>
      <c r="F98" s="18">
        <f t="shared" si="10"/>
        <v>696687.726853717</v>
      </c>
    </row>
    <row r="99" spans="1:6" x14ac:dyDescent="0.25">
      <c r="A99" s="8">
        <v>90</v>
      </c>
      <c r="B99" s="17">
        <f t="shared" si="6"/>
        <v>4294.5729840971126</v>
      </c>
      <c r="C99" s="10">
        <f t="shared" si="8"/>
        <v>2902.865528557154</v>
      </c>
      <c r="D99" s="17">
        <f t="shared" si="9"/>
        <v>1391.7074555399586</v>
      </c>
      <c r="E99" s="17">
        <f t="shared" si="7"/>
        <v>0</v>
      </c>
      <c r="F99" s="18">
        <f t="shared" si="10"/>
        <v>695296.01939817704</v>
      </c>
    </row>
    <row r="100" spans="1:6" x14ac:dyDescent="0.25">
      <c r="A100" s="8">
        <v>91</v>
      </c>
      <c r="B100" s="17">
        <f t="shared" si="6"/>
        <v>4294.5729840971126</v>
      </c>
      <c r="C100" s="10">
        <f t="shared" si="8"/>
        <v>2897.0667474924044</v>
      </c>
      <c r="D100" s="17">
        <f t="shared" si="9"/>
        <v>1397.5062366047082</v>
      </c>
      <c r="E100" s="17">
        <f t="shared" si="7"/>
        <v>0</v>
      </c>
      <c r="F100" s="18">
        <f t="shared" si="10"/>
        <v>693898.51316157228</v>
      </c>
    </row>
    <row r="101" spans="1:6" x14ac:dyDescent="0.25">
      <c r="A101" s="8">
        <v>92</v>
      </c>
      <c r="B101" s="17">
        <f t="shared" si="6"/>
        <v>4294.5729840971126</v>
      </c>
      <c r="C101" s="10">
        <f t="shared" si="8"/>
        <v>2891.2438048398844</v>
      </c>
      <c r="D101" s="17">
        <f t="shared" si="9"/>
        <v>1403.3291792572281</v>
      </c>
      <c r="E101" s="17">
        <f t="shared" si="7"/>
        <v>0</v>
      </c>
      <c r="F101" s="18">
        <f t="shared" si="10"/>
        <v>692495.18398231501</v>
      </c>
    </row>
    <row r="102" spans="1:6" x14ac:dyDescent="0.25">
      <c r="A102" s="8">
        <v>93</v>
      </c>
      <c r="B102" s="17">
        <f t="shared" si="6"/>
        <v>4294.5729840971126</v>
      </c>
      <c r="C102" s="10">
        <f t="shared" si="8"/>
        <v>2885.3965999263123</v>
      </c>
      <c r="D102" s="17">
        <f t="shared" si="9"/>
        <v>1409.1763841708002</v>
      </c>
      <c r="E102" s="17">
        <f t="shared" si="7"/>
        <v>0</v>
      </c>
      <c r="F102" s="18">
        <f t="shared" si="10"/>
        <v>691086.00759814424</v>
      </c>
    </row>
    <row r="103" spans="1:6" x14ac:dyDescent="0.25">
      <c r="A103" s="8">
        <v>94</v>
      </c>
      <c r="B103" s="17">
        <f t="shared" si="6"/>
        <v>4294.5729840971126</v>
      </c>
      <c r="C103" s="10">
        <f t="shared" si="8"/>
        <v>2879.5250316589345</v>
      </c>
      <c r="D103" s="17">
        <f t="shared" si="9"/>
        <v>1415.0479524381781</v>
      </c>
      <c r="E103" s="17">
        <f t="shared" si="7"/>
        <v>0</v>
      </c>
      <c r="F103" s="18">
        <f t="shared" si="10"/>
        <v>689670.95964570611</v>
      </c>
    </row>
    <row r="104" spans="1:6" x14ac:dyDescent="0.25">
      <c r="A104" s="8">
        <v>95</v>
      </c>
      <c r="B104" s="17">
        <f t="shared" si="6"/>
        <v>4294.5729840971126</v>
      </c>
      <c r="C104" s="10">
        <f t="shared" si="8"/>
        <v>2873.6289985237754</v>
      </c>
      <c r="D104" s="17">
        <f t="shared" si="9"/>
        <v>1420.9439855733372</v>
      </c>
      <c r="E104" s="17">
        <f t="shared" si="7"/>
        <v>0</v>
      </c>
      <c r="F104" s="18">
        <f t="shared" si="10"/>
        <v>688250.01566013275</v>
      </c>
    </row>
    <row r="105" spans="1:6" x14ac:dyDescent="0.25">
      <c r="A105" s="8">
        <v>96</v>
      </c>
      <c r="B105" s="17">
        <f t="shared" si="6"/>
        <v>4294.5729840971126</v>
      </c>
      <c r="C105" s="10">
        <f t="shared" si="8"/>
        <v>2867.7083985838863</v>
      </c>
      <c r="D105" s="17">
        <f t="shared" si="9"/>
        <v>1426.8645855132263</v>
      </c>
      <c r="E105" s="17">
        <f t="shared" si="7"/>
        <v>0</v>
      </c>
      <c r="F105" s="18">
        <f t="shared" si="10"/>
        <v>686823.1510746195</v>
      </c>
    </row>
    <row r="106" spans="1:6" x14ac:dyDescent="0.25">
      <c r="A106" s="8">
        <v>97</v>
      </c>
      <c r="B106" s="17">
        <f t="shared" si="6"/>
        <v>4294.5729840971126</v>
      </c>
      <c r="C106" s="10">
        <f t="shared" si="8"/>
        <v>2861.7631294775811</v>
      </c>
      <c r="D106" s="17">
        <f t="shared" si="9"/>
        <v>1432.8098546195315</v>
      </c>
      <c r="E106" s="17">
        <f t="shared" si="7"/>
        <v>0</v>
      </c>
      <c r="F106" s="18">
        <f t="shared" si="10"/>
        <v>685390.34121999994</v>
      </c>
    </row>
    <row r="107" spans="1:6" x14ac:dyDescent="0.25">
      <c r="A107" s="8">
        <v>98</v>
      </c>
      <c r="B107" s="17">
        <f t="shared" si="6"/>
        <v>4294.5729840971126</v>
      </c>
      <c r="C107" s="10">
        <f t="shared" si="8"/>
        <v>2855.7930884166663</v>
      </c>
      <c r="D107" s="17">
        <f t="shared" si="9"/>
        <v>1438.7798956804463</v>
      </c>
      <c r="E107" s="17">
        <f t="shared" si="7"/>
        <v>0</v>
      </c>
      <c r="F107" s="18">
        <f t="shared" si="10"/>
        <v>683951.56132431945</v>
      </c>
    </row>
    <row r="108" spans="1:6" x14ac:dyDescent="0.25">
      <c r="A108" s="8">
        <v>99</v>
      </c>
      <c r="B108" s="17">
        <f t="shared" si="6"/>
        <v>4294.5729840971126</v>
      </c>
      <c r="C108" s="10">
        <f t="shared" si="8"/>
        <v>2849.7981721846645</v>
      </c>
      <c r="D108" s="17">
        <f t="shared" si="9"/>
        <v>1444.7748119124481</v>
      </c>
      <c r="E108" s="17">
        <f t="shared" si="7"/>
        <v>0</v>
      </c>
      <c r="F108" s="18">
        <f t="shared" si="10"/>
        <v>682506.78651240701</v>
      </c>
    </row>
    <row r="109" spans="1:6" x14ac:dyDescent="0.25">
      <c r="A109" s="8">
        <v>100</v>
      </c>
      <c r="B109" s="17">
        <f t="shared" si="6"/>
        <v>4294.5729840971126</v>
      </c>
      <c r="C109" s="10">
        <f t="shared" si="8"/>
        <v>2843.7782771350294</v>
      </c>
      <c r="D109" s="17">
        <f t="shared" si="9"/>
        <v>1450.7947069620832</v>
      </c>
      <c r="E109" s="17">
        <f t="shared" si="7"/>
        <v>0</v>
      </c>
      <c r="F109" s="18">
        <f t="shared" si="10"/>
        <v>681055.99180544494</v>
      </c>
    </row>
    <row r="110" spans="1:6" x14ac:dyDescent="0.25">
      <c r="A110" s="8">
        <v>101</v>
      </c>
      <c r="B110" s="17">
        <f t="shared" si="6"/>
        <v>4294.5729840971126</v>
      </c>
      <c r="C110" s="10">
        <f t="shared" si="8"/>
        <v>2837.7332991893541</v>
      </c>
      <c r="D110" s="17">
        <f t="shared" si="9"/>
        <v>1456.8396849077585</v>
      </c>
      <c r="E110" s="17">
        <f t="shared" si="7"/>
        <v>0</v>
      </c>
      <c r="F110" s="18">
        <f t="shared" si="10"/>
        <v>679599.15212053712</v>
      </c>
    </row>
    <row r="111" spans="1:6" x14ac:dyDescent="0.25">
      <c r="A111" s="8">
        <v>102</v>
      </c>
      <c r="B111" s="17">
        <f t="shared" si="6"/>
        <v>4294.5729840971126</v>
      </c>
      <c r="C111" s="10">
        <f t="shared" si="8"/>
        <v>2831.6631338355714</v>
      </c>
      <c r="D111" s="17">
        <f t="shared" si="9"/>
        <v>1462.9098502615411</v>
      </c>
      <c r="E111" s="17">
        <f t="shared" si="7"/>
        <v>0</v>
      </c>
      <c r="F111" s="18">
        <f t="shared" si="10"/>
        <v>678136.2422702756</v>
      </c>
    </row>
    <row r="112" spans="1:6" x14ac:dyDescent="0.25">
      <c r="A112" s="8">
        <v>103</v>
      </c>
      <c r="B112" s="17">
        <f t="shared" si="6"/>
        <v>4294.5729840971126</v>
      </c>
      <c r="C112" s="10">
        <f t="shared" si="8"/>
        <v>2825.5676761261484</v>
      </c>
      <c r="D112" s="17">
        <f t="shared" si="9"/>
        <v>1469.0053079709642</v>
      </c>
      <c r="E112" s="17">
        <f t="shared" si="7"/>
        <v>0</v>
      </c>
      <c r="F112" s="18">
        <f t="shared" si="10"/>
        <v>676667.23696230468</v>
      </c>
    </row>
    <row r="113" spans="1:6" x14ac:dyDescent="0.25">
      <c r="A113" s="8">
        <v>104</v>
      </c>
      <c r="B113" s="17">
        <f t="shared" si="6"/>
        <v>4294.5729840971126</v>
      </c>
      <c r="C113" s="10">
        <f t="shared" si="8"/>
        <v>2819.4468206762695</v>
      </c>
      <c r="D113" s="17">
        <f t="shared" si="9"/>
        <v>1475.1261634208431</v>
      </c>
      <c r="E113" s="17">
        <f t="shared" si="7"/>
        <v>0</v>
      </c>
      <c r="F113" s="18">
        <f t="shared" si="10"/>
        <v>675192.11079888383</v>
      </c>
    </row>
    <row r="114" spans="1:6" x14ac:dyDescent="0.25">
      <c r="A114" s="8">
        <v>105</v>
      </c>
      <c r="B114" s="17">
        <f t="shared" si="6"/>
        <v>4294.5729840971126</v>
      </c>
      <c r="C114" s="10">
        <f t="shared" si="8"/>
        <v>2813.300461662016</v>
      </c>
      <c r="D114" s="17">
        <f t="shared" si="9"/>
        <v>1481.2725224350966</v>
      </c>
      <c r="E114" s="17">
        <f t="shared" si="7"/>
        <v>0</v>
      </c>
      <c r="F114" s="18">
        <f t="shared" si="10"/>
        <v>673710.83827644878</v>
      </c>
    </row>
    <row r="115" spans="1:6" x14ac:dyDescent="0.25">
      <c r="A115" s="8">
        <v>106</v>
      </c>
      <c r="B115" s="17">
        <f t="shared" si="6"/>
        <v>4294.5729840971126</v>
      </c>
      <c r="C115" s="10">
        <f t="shared" si="8"/>
        <v>2807.1284928185364</v>
      </c>
      <c r="D115" s="17">
        <f t="shared" si="9"/>
        <v>1487.4444912785762</v>
      </c>
      <c r="E115" s="17">
        <f t="shared" si="7"/>
        <v>0</v>
      </c>
      <c r="F115" s="18">
        <f t="shared" si="10"/>
        <v>672223.39378517016</v>
      </c>
    </row>
    <row r="116" spans="1:6" x14ac:dyDescent="0.25">
      <c r="A116" s="8">
        <v>107</v>
      </c>
      <c r="B116" s="17">
        <f t="shared" si="6"/>
        <v>4294.5729840971126</v>
      </c>
      <c r="C116" s="10">
        <f t="shared" si="8"/>
        <v>2800.9308074382088</v>
      </c>
      <c r="D116" s="17">
        <f t="shared" si="9"/>
        <v>1493.6421766589037</v>
      </c>
      <c r="E116" s="17">
        <f t="shared" si="7"/>
        <v>0</v>
      </c>
      <c r="F116" s="18">
        <f t="shared" si="10"/>
        <v>670729.75160851132</v>
      </c>
    </row>
    <row r="117" spans="1:6" x14ac:dyDescent="0.25">
      <c r="A117" s="8">
        <v>108</v>
      </c>
      <c r="B117" s="17">
        <f t="shared" si="6"/>
        <v>4294.5729840971126</v>
      </c>
      <c r="C117" s="10">
        <f t="shared" si="8"/>
        <v>2794.7072983687972</v>
      </c>
      <c r="D117" s="17">
        <f t="shared" si="9"/>
        <v>1499.8656857283154</v>
      </c>
      <c r="E117" s="17">
        <f t="shared" si="7"/>
        <v>0</v>
      </c>
      <c r="F117" s="18">
        <f t="shared" si="10"/>
        <v>669229.88592278305</v>
      </c>
    </row>
    <row r="118" spans="1:6" x14ac:dyDescent="0.25">
      <c r="A118" s="8">
        <v>109</v>
      </c>
      <c r="B118" s="17">
        <f t="shared" si="6"/>
        <v>4294.5729840971126</v>
      </c>
      <c r="C118" s="10">
        <f t="shared" si="8"/>
        <v>2788.4578580115958</v>
      </c>
      <c r="D118" s="17">
        <f t="shared" si="9"/>
        <v>1506.1151260855167</v>
      </c>
      <c r="E118" s="17">
        <f t="shared" si="7"/>
        <v>0</v>
      </c>
      <c r="F118" s="18">
        <f t="shared" si="10"/>
        <v>667723.77079669759</v>
      </c>
    </row>
    <row r="119" spans="1:6" x14ac:dyDescent="0.25">
      <c r="A119" s="8">
        <v>110</v>
      </c>
      <c r="B119" s="17">
        <f t="shared" si="6"/>
        <v>4294.5729840971126</v>
      </c>
      <c r="C119" s="10">
        <f t="shared" si="8"/>
        <v>2782.1823783195732</v>
      </c>
      <c r="D119" s="17">
        <f t="shared" si="9"/>
        <v>1512.3906057775393</v>
      </c>
      <c r="E119" s="17">
        <f t="shared" si="7"/>
        <v>0</v>
      </c>
      <c r="F119" s="18">
        <f t="shared" si="10"/>
        <v>666211.38019092008</v>
      </c>
    </row>
    <row r="120" spans="1:6" x14ac:dyDescent="0.25">
      <c r="A120" s="8">
        <v>111</v>
      </c>
      <c r="B120" s="17">
        <f t="shared" si="6"/>
        <v>4294.5729840971126</v>
      </c>
      <c r="C120" s="10">
        <f t="shared" si="8"/>
        <v>2775.8807507955003</v>
      </c>
      <c r="D120" s="17">
        <f t="shared" si="9"/>
        <v>1518.6922333016123</v>
      </c>
      <c r="E120" s="17">
        <f t="shared" si="7"/>
        <v>0</v>
      </c>
      <c r="F120" s="18">
        <f t="shared" si="10"/>
        <v>664692.6879576185</v>
      </c>
    </row>
    <row r="121" spans="1:6" x14ac:dyDescent="0.25">
      <c r="A121" s="8">
        <v>112</v>
      </c>
      <c r="B121" s="17">
        <f t="shared" si="6"/>
        <v>4294.5729840971126</v>
      </c>
      <c r="C121" s="10">
        <f t="shared" si="8"/>
        <v>2769.5528664900771</v>
      </c>
      <c r="D121" s="17">
        <f t="shared" si="9"/>
        <v>1525.0201176070354</v>
      </c>
      <c r="E121" s="17">
        <f t="shared" si="7"/>
        <v>0</v>
      </c>
      <c r="F121" s="18">
        <f t="shared" si="10"/>
        <v>663167.66784001142</v>
      </c>
    </row>
    <row r="122" spans="1:6" x14ac:dyDescent="0.25">
      <c r="A122" s="8">
        <v>113</v>
      </c>
      <c r="B122" s="17">
        <f t="shared" si="6"/>
        <v>4294.5729840971126</v>
      </c>
      <c r="C122" s="10">
        <f t="shared" si="8"/>
        <v>2763.1986160000474</v>
      </c>
      <c r="D122" s="17">
        <f t="shared" si="9"/>
        <v>1531.3743680970651</v>
      </c>
      <c r="E122" s="17">
        <f t="shared" si="7"/>
        <v>0</v>
      </c>
      <c r="F122" s="18">
        <f t="shared" si="10"/>
        <v>661636.29347191437</v>
      </c>
    </row>
    <row r="123" spans="1:6" x14ac:dyDescent="0.25">
      <c r="A123" s="8">
        <v>114</v>
      </c>
      <c r="B123" s="17">
        <f t="shared" si="6"/>
        <v>4294.5729840971126</v>
      </c>
      <c r="C123" s="10">
        <f t="shared" si="8"/>
        <v>2756.8178894663097</v>
      </c>
      <c r="D123" s="17">
        <f t="shared" si="9"/>
        <v>1537.7550946308029</v>
      </c>
      <c r="E123" s="17">
        <f t="shared" si="7"/>
        <v>0</v>
      </c>
      <c r="F123" s="18">
        <f t="shared" si="10"/>
        <v>660098.53837728361</v>
      </c>
    </row>
    <row r="124" spans="1:6" x14ac:dyDescent="0.25">
      <c r="A124" s="8">
        <v>115</v>
      </c>
      <c r="B124" s="17">
        <f t="shared" si="6"/>
        <v>4294.5729840971126</v>
      </c>
      <c r="C124" s="10">
        <f t="shared" si="8"/>
        <v>2750.4105765720151</v>
      </c>
      <c r="D124" s="17">
        <f t="shared" si="9"/>
        <v>1544.1624075250975</v>
      </c>
      <c r="E124" s="17">
        <f t="shared" si="7"/>
        <v>0</v>
      </c>
      <c r="F124" s="18">
        <f t="shared" si="10"/>
        <v>658554.37596975849</v>
      </c>
    </row>
    <row r="125" spans="1:6" x14ac:dyDescent="0.25">
      <c r="A125" s="8">
        <v>116</v>
      </c>
      <c r="B125" s="17">
        <f t="shared" si="6"/>
        <v>4294.5729840971126</v>
      </c>
      <c r="C125" s="10">
        <f t="shared" si="8"/>
        <v>2743.9765665406603</v>
      </c>
      <c r="D125" s="17">
        <f t="shared" si="9"/>
        <v>1550.5964175564523</v>
      </c>
      <c r="E125" s="17">
        <f t="shared" si="7"/>
        <v>0</v>
      </c>
      <c r="F125" s="18">
        <f t="shared" si="10"/>
        <v>657003.77955220209</v>
      </c>
    </row>
    <row r="126" spans="1:6" x14ac:dyDescent="0.25">
      <c r="A126" s="8">
        <v>117</v>
      </c>
      <c r="B126" s="17">
        <f t="shared" si="6"/>
        <v>4294.5729840971126</v>
      </c>
      <c r="C126" s="10">
        <f t="shared" si="8"/>
        <v>2737.5157481341753</v>
      </c>
      <c r="D126" s="17">
        <f t="shared" si="9"/>
        <v>1557.0572359629373</v>
      </c>
      <c r="E126" s="17">
        <f t="shared" si="7"/>
        <v>0</v>
      </c>
      <c r="F126" s="18">
        <f t="shared" si="10"/>
        <v>655446.72231623915</v>
      </c>
    </row>
    <row r="127" spans="1:6" x14ac:dyDescent="0.25">
      <c r="A127" s="8">
        <v>118</v>
      </c>
      <c r="B127" s="17">
        <f t="shared" si="6"/>
        <v>4294.5729840971126</v>
      </c>
      <c r="C127" s="10">
        <f t="shared" si="8"/>
        <v>2731.0280096509964</v>
      </c>
      <c r="D127" s="17">
        <f t="shared" si="9"/>
        <v>1563.5449744461162</v>
      </c>
      <c r="E127" s="17">
        <f t="shared" si="7"/>
        <v>0</v>
      </c>
      <c r="F127" s="18">
        <f t="shared" si="10"/>
        <v>653883.17734179308</v>
      </c>
    </row>
    <row r="128" spans="1:6" x14ac:dyDescent="0.25">
      <c r="A128" s="8">
        <v>119</v>
      </c>
      <c r="B128" s="17">
        <f t="shared" si="6"/>
        <v>4294.5729840971126</v>
      </c>
      <c r="C128" s="10">
        <f t="shared" si="8"/>
        <v>2724.513238924138</v>
      </c>
      <c r="D128" s="17">
        <f t="shared" si="9"/>
        <v>1570.0597451729745</v>
      </c>
      <c r="E128" s="17">
        <f t="shared" si="7"/>
        <v>0</v>
      </c>
      <c r="F128" s="18">
        <f t="shared" si="10"/>
        <v>652313.11759662011</v>
      </c>
    </row>
    <row r="129" spans="1:6" x14ac:dyDescent="0.25">
      <c r="A129" s="8">
        <v>120</v>
      </c>
      <c r="B129" s="17">
        <f t="shared" si="6"/>
        <v>4294.5729840971126</v>
      </c>
      <c r="C129" s="10">
        <f t="shared" si="8"/>
        <v>2717.9713233192506</v>
      </c>
      <c r="D129" s="17">
        <f t="shared" si="9"/>
        <v>1576.601660777862</v>
      </c>
      <c r="E129" s="17">
        <f t="shared" si="7"/>
        <v>0</v>
      </c>
      <c r="F129" s="18">
        <f t="shared" si="10"/>
        <v>650736.5159358423</v>
      </c>
    </row>
    <row r="130" spans="1:6" x14ac:dyDescent="0.25">
      <c r="A130" s="8">
        <v>121</v>
      </c>
      <c r="B130" s="17">
        <f t="shared" si="6"/>
        <v>4294.5729840971126</v>
      </c>
      <c r="C130" s="10">
        <f t="shared" si="8"/>
        <v>2711.4021497326762</v>
      </c>
      <c r="D130" s="17">
        <f t="shared" si="9"/>
        <v>1583.1708343644364</v>
      </c>
      <c r="E130" s="17">
        <f t="shared" si="7"/>
        <v>0</v>
      </c>
      <c r="F130" s="18">
        <f t="shared" si="10"/>
        <v>649153.34510147781</v>
      </c>
    </row>
    <row r="131" spans="1:6" x14ac:dyDescent="0.25">
      <c r="A131" s="8">
        <v>122</v>
      </c>
      <c r="B131" s="17">
        <f t="shared" si="6"/>
        <v>4294.5729840971126</v>
      </c>
      <c r="C131" s="10">
        <f t="shared" si="8"/>
        <v>2704.8056045894909</v>
      </c>
      <c r="D131" s="17">
        <f t="shared" si="9"/>
        <v>1589.7673795076216</v>
      </c>
      <c r="E131" s="17">
        <f t="shared" si="7"/>
        <v>0</v>
      </c>
      <c r="F131" s="18">
        <f t="shared" si="10"/>
        <v>647563.57772197016</v>
      </c>
    </row>
    <row r="132" spans="1:6" x14ac:dyDescent="0.25">
      <c r="A132" s="8">
        <v>123</v>
      </c>
      <c r="B132" s="17">
        <f t="shared" si="6"/>
        <v>4294.5729840971126</v>
      </c>
      <c r="C132" s="10">
        <f t="shared" si="8"/>
        <v>2698.1815738415421</v>
      </c>
      <c r="D132" s="17">
        <f t="shared" si="9"/>
        <v>1596.3914102555705</v>
      </c>
      <c r="E132" s="17">
        <f t="shared" si="7"/>
        <v>0</v>
      </c>
      <c r="F132" s="18">
        <f t="shared" si="10"/>
        <v>645967.18631171458</v>
      </c>
    </row>
    <row r="133" spans="1:6" x14ac:dyDescent="0.25">
      <c r="A133" s="8">
        <v>124</v>
      </c>
      <c r="B133" s="17">
        <f t="shared" si="6"/>
        <v>4294.5729840971126</v>
      </c>
      <c r="C133" s="10">
        <f t="shared" si="8"/>
        <v>2691.5299429654774</v>
      </c>
      <c r="D133" s="17">
        <f t="shared" si="9"/>
        <v>1603.0430411316352</v>
      </c>
      <c r="E133" s="17">
        <f t="shared" si="7"/>
        <v>0</v>
      </c>
      <c r="F133" s="18">
        <f t="shared" si="10"/>
        <v>644364.14327058289</v>
      </c>
    </row>
    <row r="134" spans="1:6" x14ac:dyDescent="0.25">
      <c r="A134" s="8">
        <v>125</v>
      </c>
      <c r="B134" s="17">
        <f t="shared" si="6"/>
        <v>4294.5729840971126</v>
      </c>
      <c r="C134" s="10">
        <f t="shared" si="8"/>
        <v>2684.8505969607622</v>
      </c>
      <c r="D134" s="17">
        <f t="shared" si="9"/>
        <v>1609.7223871363503</v>
      </c>
      <c r="E134" s="17">
        <f t="shared" si="7"/>
        <v>0</v>
      </c>
      <c r="F134" s="18">
        <f t="shared" si="10"/>
        <v>642754.42088344658</v>
      </c>
    </row>
    <row r="135" spans="1:6" x14ac:dyDescent="0.25">
      <c r="A135" s="8">
        <v>126</v>
      </c>
      <c r="B135" s="17">
        <f t="shared" si="6"/>
        <v>4294.5729840971126</v>
      </c>
      <c r="C135" s="10">
        <f t="shared" si="8"/>
        <v>2678.1434203476942</v>
      </c>
      <c r="D135" s="17">
        <f t="shared" si="9"/>
        <v>1616.4295637494183</v>
      </c>
      <c r="E135" s="17">
        <f t="shared" si="7"/>
        <v>0</v>
      </c>
      <c r="F135" s="18">
        <f t="shared" si="10"/>
        <v>641137.99131969712</v>
      </c>
    </row>
    <row r="136" spans="1:6" x14ac:dyDescent="0.25">
      <c r="A136" s="8">
        <v>127</v>
      </c>
      <c r="B136" s="17">
        <f t="shared" si="6"/>
        <v>4294.5729840971126</v>
      </c>
      <c r="C136" s="10">
        <f t="shared" si="8"/>
        <v>2671.4082971654047</v>
      </c>
      <c r="D136" s="17">
        <f t="shared" si="9"/>
        <v>1623.1646869317078</v>
      </c>
      <c r="E136" s="17">
        <f t="shared" si="7"/>
        <v>0</v>
      </c>
      <c r="F136" s="18">
        <f t="shared" si="10"/>
        <v>639514.82663276535</v>
      </c>
    </row>
    <row r="137" spans="1:6" x14ac:dyDescent="0.25">
      <c r="A137" s="8">
        <v>128</v>
      </c>
      <c r="B137" s="17">
        <f t="shared" si="6"/>
        <v>4294.5729840971126</v>
      </c>
      <c r="C137" s="10">
        <f t="shared" si="8"/>
        <v>2664.6451109698555</v>
      </c>
      <c r="D137" s="17">
        <f t="shared" si="9"/>
        <v>1629.927873127257</v>
      </c>
      <c r="E137" s="17">
        <f t="shared" si="7"/>
        <v>0</v>
      </c>
      <c r="F137" s="18">
        <f t="shared" si="10"/>
        <v>637884.89875963808</v>
      </c>
    </row>
    <row r="138" spans="1:6" x14ac:dyDescent="0.25">
      <c r="A138" s="8">
        <v>129</v>
      </c>
      <c r="B138" s="17">
        <f t="shared" ref="B138:B201" si="11">PMT(($D$4/12),$D$5,-$D$3)</f>
        <v>4294.5729840971126</v>
      </c>
      <c r="C138" s="10">
        <f t="shared" si="8"/>
        <v>2657.8537448318252</v>
      </c>
      <c r="D138" s="17">
        <f t="shared" si="9"/>
        <v>1636.7192392652873</v>
      </c>
      <c r="E138" s="17">
        <f t="shared" ref="E138:E201" si="12">$G$3</f>
        <v>0</v>
      </c>
      <c r="F138" s="18">
        <f t="shared" si="10"/>
        <v>636248.17952037277</v>
      </c>
    </row>
    <row r="139" spans="1:6" x14ac:dyDescent="0.25">
      <c r="A139" s="8">
        <v>130</v>
      </c>
      <c r="B139" s="17">
        <f t="shared" si="11"/>
        <v>4294.5729840971126</v>
      </c>
      <c r="C139" s="10">
        <f t="shared" ref="C139:C202" si="13">F138*($D$4/12)</f>
        <v>2651.0340813348867</v>
      </c>
      <c r="D139" s="17">
        <f t="shared" ref="D139:D202" si="14">B139-C139</f>
        <v>1643.5389027622259</v>
      </c>
      <c r="E139" s="17">
        <f t="shared" si="12"/>
        <v>0</v>
      </c>
      <c r="F139" s="18">
        <f t="shared" ref="F139:F202" si="15">F138-D139-E139</f>
        <v>634604.64061761054</v>
      </c>
    </row>
    <row r="140" spans="1:6" x14ac:dyDescent="0.25">
      <c r="A140" s="8">
        <v>131</v>
      </c>
      <c r="B140" s="17">
        <f t="shared" si="11"/>
        <v>4294.5729840971126</v>
      </c>
      <c r="C140" s="10">
        <f t="shared" si="13"/>
        <v>2644.1860025733772</v>
      </c>
      <c r="D140" s="17">
        <f t="shared" si="14"/>
        <v>1650.3869815237354</v>
      </c>
      <c r="E140" s="17">
        <f t="shared" si="12"/>
        <v>0</v>
      </c>
      <c r="F140" s="18">
        <f t="shared" si="15"/>
        <v>632954.25363608683</v>
      </c>
    </row>
    <row r="141" spans="1:6" x14ac:dyDescent="0.25">
      <c r="A141" s="8">
        <v>132</v>
      </c>
      <c r="B141" s="17">
        <f t="shared" si="11"/>
        <v>4294.5729840971126</v>
      </c>
      <c r="C141" s="10">
        <f t="shared" si="13"/>
        <v>2637.3093901503617</v>
      </c>
      <c r="D141" s="17">
        <f t="shared" si="14"/>
        <v>1657.2635939467509</v>
      </c>
      <c r="E141" s="17">
        <f t="shared" si="12"/>
        <v>0</v>
      </c>
      <c r="F141" s="18">
        <f t="shared" si="15"/>
        <v>631296.99004214013</v>
      </c>
    </row>
    <row r="142" spans="1:6" x14ac:dyDescent="0.25">
      <c r="A142" s="8">
        <v>133</v>
      </c>
      <c r="B142" s="17">
        <f t="shared" si="11"/>
        <v>4294.5729840971126</v>
      </c>
      <c r="C142" s="10">
        <f t="shared" si="13"/>
        <v>2630.4041251755839</v>
      </c>
      <c r="D142" s="17">
        <f t="shared" si="14"/>
        <v>1664.1688589215287</v>
      </c>
      <c r="E142" s="17">
        <f t="shared" si="12"/>
        <v>0</v>
      </c>
      <c r="F142" s="18">
        <f t="shared" si="15"/>
        <v>629632.82118321862</v>
      </c>
    </row>
    <row r="143" spans="1:6" x14ac:dyDescent="0.25">
      <c r="A143" s="8">
        <v>134</v>
      </c>
      <c r="B143" s="17">
        <f t="shared" si="11"/>
        <v>4294.5729840971126</v>
      </c>
      <c r="C143" s="10">
        <f t="shared" si="13"/>
        <v>2623.4700882634111</v>
      </c>
      <c r="D143" s="17">
        <f t="shared" si="14"/>
        <v>1671.1028958337015</v>
      </c>
      <c r="E143" s="17">
        <f t="shared" si="12"/>
        <v>0</v>
      </c>
      <c r="F143" s="18">
        <f t="shared" si="15"/>
        <v>627961.71828738495</v>
      </c>
    </row>
    <row r="144" spans="1:6" x14ac:dyDescent="0.25">
      <c r="A144" s="8">
        <v>135</v>
      </c>
      <c r="B144" s="17">
        <f t="shared" si="11"/>
        <v>4294.5729840971126</v>
      </c>
      <c r="C144" s="10">
        <f t="shared" si="13"/>
        <v>2616.5071595307704</v>
      </c>
      <c r="D144" s="17">
        <f t="shared" si="14"/>
        <v>1678.0658245663421</v>
      </c>
      <c r="E144" s="17">
        <f t="shared" si="12"/>
        <v>0</v>
      </c>
      <c r="F144" s="18">
        <f t="shared" si="15"/>
        <v>626283.65246281866</v>
      </c>
    </row>
    <row r="145" spans="1:6" x14ac:dyDescent="0.25">
      <c r="A145" s="8">
        <v>136</v>
      </c>
      <c r="B145" s="17">
        <f t="shared" si="11"/>
        <v>4294.5729840971126</v>
      </c>
      <c r="C145" s="10">
        <f t="shared" si="13"/>
        <v>2609.5152185950778</v>
      </c>
      <c r="D145" s="17">
        <f t="shared" si="14"/>
        <v>1685.0577655020347</v>
      </c>
      <c r="E145" s="17">
        <f t="shared" si="12"/>
        <v>0</v>
      </c>
      <c r="F145" s="18">
        <f t="shared" si="15"/>
        <v>624598.59469731664</v>
      </c>
    </row>
    <row r="146" spans="1:6" x14ac:dyDescent="0.25">
      <c r="A146" s="8">
        <v>137</v>
      </c>
      <c r="B146" s="17">
        <f t="shared" si="11"/>
        <v>4294.5729840971126</v>
      </c>
      <c r="C146" s="10">
        <f t="shared" si="13"/>
        <v>2602.4941445721524</v>
      </c>
      <c r="D146" s="17">
        <f t="shared" si="14"/>
        <v>1692.0788395249601</v>
      </c>
      <c r="E146" s="17">
        <f t="shared" si="12"/>
        <v>0</v>
      </c>
      <c r="F146" s="18">
        <f t="shared" si="15"/>
        <v>622906.51585779164</v>
      </c>
    </row>
    <row r="147" spans="1:6" x14ac:dyDescent="0.25">
      <c r="A147" s="8">
        <v>138</v>
      </c>
      <c r="B147" s="17">
        <f t="shared" si="11"/>
        <v>4294.5729840971126</v>
      </c>
      <c r="C147" s="10">
        <f t="shared" si="13"/>
        <v>2595.443816074132</v>
      </c>
      <c r="D147" s="17">
        <f t="shared" si="14"/>
        <v>1699.1291680229806</v>
      </c>
      <c r="E147" s="17">
        <f t="shared" si="12"/>
        <v>0</v>
      </c>
      <c r="F147" s="18">
        <f t="shared" si="15"/>
        <v>621207.38668976864</v>
      </c>
    </row>
    <row r="148" spans="1:6" x14ac:dyDescent="0.25">
      <c r="A148" s="8">
        <v>139</v>
      </c>
      <c r="B148" s="17">
        <f t="shared" si="11"/>
        <v>4294.5729840971126</v>
      </c>
      <c r="C148" s="10">
        <f t="shared" si="13"/>
        <v>2588.3641112073692</v>
      </c>
      <c r="D148" s="17">
        <f t="shared" si="14"/>
        <v>1706.2088728897434</v>
      </c>
      <c r="E148" s="17">
        <f t="shared" si="12"/>
        <v>0</v>
      </c>
      <c r="F148" s="18">
        <f t="shared" si="15"/>
        <v>619501.17781687889</v>
      </c>
    </row>
    <row r="149" spans="1:6" x14ac:dyDescent="0.25">
      <c r="A149" s="8">
        <v>140</v>
      </c>
      <c r="B149" s="17">
        <f t="shared" si="11"/>
        <v>4294.5729840971126</v>
      </c>
      <c r="C149" s="10">
        <f t="shared" si="13"/>
        <v>2581.2549075703287</v>
      </c>
      <c r="D149" s="17">
        <f t="shared" si="14"/>
        <v>1713.3180765267839</v>
      </c>
      <c r="E149" s="17">
        <f t="shared" si="12"/>
        <v>0</v>
      </c>
      <c r="F149" s="18">
        <f t="shared" si="15"/>
        <v>617787.85974035214</v>
      </c>
    </row>
    <row r="150" spans="1:6" x14ac:dyDescent="0.25">
      <c r="A150" s="8">
        <v>141</v>
      </c>
      <c r="B150" s="17">
        <f t="shared" si="11"/>
        <v>4294.5729840971126</v>
      </c>
      <c r="C150" s="10">
        <f t="shared" si="13"/>
        <v>2574.1160822514671</v>
      </c>
      <c r="D150" s="17">
        <f t="shared" si="14"/>
        <v>1720.4569018456455</v>
      </c>
      <c r="E150" s="17">
        <f t="shared" si="12"/>
        <v>0</v>
      </c>
      <c r="F150" s="18">
        <f t="shared" si="15"/>
        <v>616067.4028385065</v>
      </c>
    </row>
    <row r="151" spans="1:6" x14ac:dyDescent="0.25">
      <c r="A151" s="8">
        <v>142</v>
      </c>
      <c r="B151" s="17">
        <f t="shared" si="11"/>
        <v>4294.5729840971126</v>
      </c>
      <c r="C151" s="10">
        <f t="shared" si="13"/>
        <v>2566.9475118271102</v>
      </c>
      <c r="D151" s="17">
        <f t="shared" si="14"/>
        <v>1727.6254722700023</v>
      </c>
      <c r="E151" s="17">
        <f t="shared" si="12"/>
        <v>0</v>
      </c>
      <c r="F151" s="18">
        <f t="shared" si="15"/>
        <v>614339.77736623655</v>
      </c>
    </row>
    <row r="152" spans="1:6" x14ac:dyDescent="0.25">
      <c r="A152" s="8">
        <v>143</v>
      </c>
      <c r="B152" s="17">
        <f t="shared" si="11"/>
        <v>4294.5729840971126</v>
      </c>
      <c r="C152" s="10">
        <f t="shared" si="13"/>
        <v>2559.7490723593191</v>
      </c>
      <c r="D152" s="17">
        <f t="shared" si="14"/>
        <v>1734.8239117377934</v>
      </c>
      <c r="E152" s="17">
        <f t="shared" si="12"/>
        <v>0</v>
      </c>
      <c r="F152" s="18">
        <f t="shared" si="15"/>
        <v>612604.95345449878</v>
      </c>
    </row>
    <row r="153" spans="1:6" x14ac:dyDescent="0.25">
      <c r="A153" s="8">
        <v>144</v>
      </c>
      <c r="B153" s="17">
        <f t="shared" si="11"/>
        <v>4294.5729840971126</v>
      </c>
      <c r="C153" s="10">
        <f t="shared" si="13"/>
        <v>2552.5206393937451</v>
      </c>
      <c r="D153" s="17">
        <f t="shared" si="14"/>
        <v>1742.0523447033675</v>
      </c>
      <c r="E153" s="17">
        <f t="shared" si="12"/>
        <v>0</v>
      </c>
      <c r="F153" s="18">
        <f t="shared" si="15"/>
        <v>610862.90110979544</v>
      </c>
    </row>
    <row r="154" spans="1:6" x14ac:dyDescent="0.25">
      <c r="A154" s="8">
        <v>145</v>
      </c>
      <c r="B154" s="17">
        <f t="shared" si="11"/>
        <v>4294.5729840971126</v>
      </c>
      <c r="C154" s="10">
        <f t="shared" si="13"/>
        <v>2545.2620879574811</v>
      </c>
      <c r="D154" s="17">
        <f t="shared" si="14"/>
        <v>1749.3108961396315</v>
      </c>
      <c r="E154" s="17">
        <f t="shared" si="12"/>
        <v>0</v>
      </c>
      <c r="F154" s="18">
        <f t="shared" si="15"/>
        <v>609113.59021365584</v>
      </c>
    </row>
    <row r="155" spans="1:6" x14ac:dyDescent="0.25">
      <c r="A155" s="8">
        <v>146</v>
      </c>
      <c r="B155" s="17">
        <f t="shared" si="11"/>
        <v>4294.5729840971126</v>
      </c>
      <c r="C155" s="10">
        <f t="shared" si="13"/>
        <v>2537.9732925568992</v>
      </c>
      <c r="D155" s="17">
        <f t="shared" si="14"/>
        <v>1756.5996915402134</v>
      </c>
      <c r="E155" s="17">
        <f t="shared" si="12"/>
        <v>0</v>
      </c>
      <c r="F155" s="18">
        <f t="shared" si="15"/>
        <v>607356.99052211561</v>
      </c>
    </row>
    <row r="156" spans="1:6" x14ac:dyDescent="0.25">
      <c r="A156" s="8">
        <v>147</v>
      </c>
      <c r="B156" s="17">
        <f t="shared" si="11"/>
        <v>4294.5729840971126</v>
      </c>
      <c r="C156" s="10">
        <f t="shared" si="13"/>
        <v>2530.6541271754818</v>
      </c>
      <c r="D156" s="17">
        <f t="shared" si="14"/>
        <v>1763.9188569216308</v>
      </c>
      <c r="E156" s="17">
        <f t="shared" si="12"/>
        <v>0</v>
      </c>
      <c r="F156" s="18">
        <f t="shared" si="15"/>
        <v>605593.071665194</v>
      </c>
    </row>
    <row r="157" spans="1:6" x14ac:dyDescent="0.25">
      <c r="A157" s="8">
        <v>148</v>
      </c>
      <c r="B157" s="17">
        <f t="shared" si="11"/>
        <v>4294.5729840971126</v>
      </c>
      <c r="C157" s="10">
        <f t="shared" si="13"/>
        <v>2523.3044652716417</v>
      </c>
      <c r="D157" s="17">
        <f t="shared" si="14"/>
        <v>1771.2685188254709</v>
      </c>
      <c r="E157" s="17">
        <f t="shared" si="12"/>
        <v>0</v>
      </c>
      <c r="F157" s="18">
        <f t="shared" si="15"/>
        <v>603821.80314636847</v>
      </c>
    </row>
    <row r="158" spans="1:6" x14ac:dyDescent="0.25">
      <c r="A158" s="8">
        <v>149</v>
      </c>
      <c r="B158" s="17">
        <f t="shared" si="11"/>
        <v>4294.5729840971126</v>
      </c>
      <c r="C158" s="10">
        <f t="shared" si="13"/>
        <v>2515.9241797765353</v>
      </c>
      <c r="D158" s="17">
        <f t="shared" si="14"/>
        <v>1778.6488043205773</v>
      </c>
      <c r="E158" s="17">
        <f t="shared" si="12"/>
        <v>0</v>
      </c>
      <c r="F158" s="18">
        <f t="shared" si="15"/>
        <v>602043.15434204787</v>
      </c>
    </row>
    <row r="159" spans="1:6" x14ac:dyDescent="0.25">
      <c r="A159" s="8">
        <v>150</v>
      </c>
      <c r="B159" s="17">
        <f t="shared" si="11"/>
        <v>4294.5729840971126</v>
      </c>
      <c r="C159" s="10">
        <f t="shared" si="13"/>
        <v>2508.5131430918659</v>
      </c>
      <c r="D159" s="17">
        <f t="shared" si="14"/>
        <v>1786.0598410052467</v>
      </c>
      <c r="E159" s="17">
        <f t="shared" si="12"/>
        <v>0</v>
      </c>
      <c r="F159" s="18">
        <f t="shared" si="15"/>
        <v>600257.09450104262</v>
      </c>
    </row>
    <row r="160" spans="1:6" x14ac:dyDescent="0.25">
      <c r="A160" s="8">
        <v>151</v>
      </c>
      <c r="B160" s="17">
        <f t="shared" si="11"/>
        <v>4294.5729840971126</v>
      </c>
      <c r="C160" s="10">
        <f t="shared" si="13"/>
        <v>2501.0712270876775</v>
      </c>
      <c r="D160" s="17">
        <f t="shared" si="14"/>
        <v>1793.5017570094351</v>
      </c>
      <c r="E160" s="17">
        <f t="shared" si="12"/>
        <v>0</v>
      </c>
      <c r="F160" s="18">
        <f t="shared" si="15"/>
        <v>598463.5927440332</v>
      </c>
    </row>
    <row r="161" spans="1:6" x14ac:dyDescent="0.25">
      <c r="A161" s="8">
        <v>152</v>
      </c>
      <c r="B161" s="17">
        <f t="shared" si="11"/>
        <v>4294.5729840971126</v>
      </c>
      <c r="C161" s="10">
        <f t="shared" si="13"/>
        <v>2493.5983031001383</v>
      </c>
      <c r="D161" s="17">
        <f t="shared" si="14"/>
        <v>1800.9746809969743</v>
      </c>
      <c r="E161" s="17">
        <f t="shared" si="12"/>
        <v>0</v>
      </c>
      <c r="F161" s="18">
        <f t="shared" si="15"/>
        <v>596662.61806303624</v>
      </c>
    </row>
    <row r="162" spans="1:6" x14ac:dyDescent="0.25">
      <c r="A162" s="8">
        <v>153</v>
      </c>
      <c r="B162" s="17">
        <f t="shared" si="11"/>
        <v>4294.5729840971126</v>
      </c>
      <c r="C162" s="10">
        <f t="shared" si="13"/>
        <v>2486.0942419293178</v>
      </c>
      <c r="D162" s="17">
        <f t="shared" si="14"/>
        <v>1808.4787421677947</v>
      </c>
      <c r="E162" s="17">
        <f t="shared" si="12"/>
        <v>0</v>
      </c>
      <c r="F162" s="18">
        <f t="shared" si="15"/>
        <v>594854.13932086842</v>
      </c>
    </row>
    <row r="163" spans="1:6" x14ac:dyDescent="0.25">
      <c r="A163" s="8">
        <v>154</v>
      </c>
      <c r="B163" s="17">
        <f t="shared" si="11"/>
        <v>4294.5729840971126</v>
      </c>
      <c r="C163" s="10">
        <f t="shared" si="13"/>
        <v>2478.5589138369519</v>
      </c>
      <c r="D163" s="17">
        <f t="shared" si="14"/>
        <v>1816.0140702601607</v>
      </c>
      <c r="E163" s="17">
        <f t="shared" si="12"/>
        <v>0</v>
      </c>
      <c r="F163" s="18">
        <f t="shared" si="15"/>
        <v>593038.12525060831</v>
      </c>
    </row>
    <row r="164" spans="1:6" x14ac:dyDescent="0.25">
      <c r="A164" s="8">
        <v>155</v>
      </c>
      <c r="B164" s="17">
        <f t="shared" si="11"/>
        <v>4294.5729840971126</v>
      </c>
      <c r="C164" s="10">
        <f t="shared" si="13"/>
        <v>2470.9921885442013</v>
      </c>
      <c r="D164" s="17">
        <f t="shared" si="14"/>
        <v>1823.5807955529112</v>
      </c>
      <c r="E164" s="17">
        <f t="shared" si="12"/>
        <v>0</v>
      </c>
      <c r="F164" s="18">
        <f t="shared" si="15"/>
        <v>591214.54445505538</v>
      </c>
    </row>
    <row r="165" spans="1:6" x14ac:dyDescent="0.25">
      <c r="A165" s="8">
        <v>156</v>
      </c>
      <c r="B165" s="17">
        <f t="shared" si="11"/>
        <v>4294.5729840971126</v>
      </c>
      <c r="C165" s="10">
        <f t="shared" si="13"/>
        <v>2463.3939352293974</v>
      </c>
      <c r="D165" s="17">
        <f t="shared" si="14"/>
        <v>1831.1790488677152</v>
      </c>
      <c r="E165" s="17">
        <f t="shared" si="12"/>
        <v>0</v>
      </c>
      <c r="F165" s="18">
        <f t="shared" si="15"/>
        <v>589383.36540618772</v>
      </c>
    </row>
    <row r="166" spans="1:6" x14ac:dyDescent="0.25">
      <c r="A166" s="8">
        <v>157</v>
      </c>
      <c r="B166" s="17">
        <f t="shared" si="11"/>
        <v>4294.5729840971126</v>
      </c>
      <c r="C166" s="10">
        <f t="shared" si="13"/>
        <v>2455.7640225257819</v>
      </c>
      <c r="D166" s="17">
        <f t="shared" si="14"/>
        <v>1838.8089615713307</v>
      </c>
      <c r="E166" s="17">
        <f t="shared" si="12"/>
        <v>0</v>
      </c>
      <c r="F166" s="18">
        <f t="shared" si="15"/>
        <v>587544.55644461641</v>
      </c>
    </row>
    <row r="167" spans="1:6" x14ac:dyDescent="0.25">
      <c r="A167" s="8">
        <v>158</v>
      </c>
      <c r="B167" s="17">
        <f t="shared" si="11"/>
        <v>4294.5729840971126</v>
      </c>
      <c r="C167" s="10">
        <f t="shared" si="13"/>
        <v>2448.1023185192348</v>
      </c>
      <c r="D167" s="17">
        <f t="shared" si="14"/>
        <v>1846.4706655778778</v>
      </c>
      <c r="E167" s="17">
        <f t="shared" si="12"/>
        <v>0</v>
      </c>
      <c r="F167" s="18">
        <f t="shared" si="15"/>
        <v>585698.08577903849</v>
      </c>
    </row>
    <row r="168" spans="1:6" x14ac:dyDescent="0.25">
      <c r="A168" s="8">
        <v>159</v>
      </c>
      <c r="B168" s="17">
        <f t="shared" si="11"/>
        <v>4294.5729840971126</v>
      </c>
      <c r="C168" s="10">
        <f t="shared" si="13"/>
        <v>2440.4086907459937</v>
      </c>
      <c r="D168" s="17">
        <f t="shared" si="14"/>
        <v>1854.1642933511189</v>
      </c>
      <c r="E168" s="17">
        <f t="shared" si="12"/>
        <v>0</v>
      </c>
      <c r="F168" s="18">
        <f t="shared" si="15"/>
        <v>583843.92148568737</v>
      </c>
    </row>
    <row r="169" spans="1:6" x14ac:dyDescent="0.25">
      <c r="A169" s="8">
        <v>160</v>
      </c>
      <c r="B169" s="17">
        <f t="shared" si="11"/>
        <v>4294.5729840971126</v>
      </c>
      <c r="C169" s="10">
        <f t="shared" si="13"/>
        <v>2432.6830061903638</v>
      </c>
      <c r="D169" s="17">
        <f t="shared" si="14"/>
        <v>1861.8899779067488</v>
      </c>
      <c r="E169" s="17">
        <f t="shared" si="12"/>
        <v>0</v>
      </c>
      <c r="F169" s="18">
        <f t="shared" si="15"/>
        <v>581982.03150778066</v>
      </c>
    </row>
    <row r="170" spans="1:6" x14ac:dyDescent="0.25">
      <c r="A170" s="8">
        <v>161</v>
      </c>
      <c r="B170" s="17">
        <f t="shared" si="11"/>
        <v>4294.5729840971126</v>
      </c>
      <c r="C170" s="10">
        <f t="shared" si="13"/>
        <v>2424.9251312824194</v>
      </c>
      <c r="D170" s="17">
        <f t="shared" si="14"/>
        <v>1869.6478528146931</v>
      </c>
      <c r="E170" s="17">
        <f t="shared" si="12"/>
        <v>0</v>
      </c>
      <c r="F170" s="18">
        <f t="shared" si="15"/>
        <v>580112.38365496602</v>
      </c>
    </row>
    <row r="171" spans="1:6" x14ac:dyDescent="0.25">
      <c r="A171" s="8">
        <v>162</v>
      </c>
      <c r="B171" s="17">
        <f t="shared" si="11"/>
        <v>4294.5729840971126</v>
      </c>
      <c r="C171" s="10">
        <f t="shared" si="13"/>
        <v>2417.1349318956918</v>
      </c>
      <c r="D171" s="17">
        <f t="shared" si="14"/>
        <v>1877.4380522014208</v>
      </c>
      <c r="E171" s="17">
        <f t="shared" si="12"/>
        <v>0</v>
      </c>
      <c r="F171" s="18">
        <f t="shared" si="15"/>
        <v>578234.94560276461</v>
      </c>
    </row>
    <row r="172" spans="1:6" x14ac:dyDescent="0.25">
      <c r="A172" s="8">
        <v>163</v>
      </c>
      <c r="B172" s="17">
        <f t="shared" si="11"/>
        <v>4294.5729840971126</v>
      </c>
      <c r="C172" s="10">
        <f t="shared" si="13"/>
        <v>2409.3122733448527</v>
      </c>
      <c r="D172" s="17">
        <f t="shared" si="14"/>
        <v>1885.2607107522599</v>
      </c>
      <c r="E172" s="17">
        <f t="shared" si="12"/>
        <v>0</v>
      </c>
      <c r="F172" s="18">
        <f t="shared" si="15"/>
        <v>576349.68489201239</v>
      </c>
    </row>
    <row r="173" spans="1:6" x14ac:dyDescent="0.25">
      <c r="A173" s="8">
        <v>164</v>
      </c>
      <c r="B173" s="17">
        <f t="shared" si="11"/>
        <v>4294.5729840971126</v>
      </c>
      <c r="C173" s="10">
        <f t="shared" si="13"/>
        <v>2401.457020383385</v>
      </c>
      <c r="D173" s="17">
        <f t="shared" si="14"/>
        <v>1893.1159637137275</v>
      </c>
      <c r="E173" s="17">
        <f t="shared" si="12"/>
        <v>0</v>
      </c>
      <c r="F173" s="18">
        <f t="shared" si="15"/>
        <v>574456.56892829866</v>
      </c>
    </row>
    <row r="174" spans="1:6" x14ac:dyDescent="0.25">
      <c r="A174" s="8">
        <v>165</v>
      </c>
      <c r="B174" s="17">
        <f t="shared" si="11"/>
        <v>4294.5729840971126</v>
      </c>
      <c r="C174" s="10">
        <f t="shared" si="13"/>
        <v>2393.5690372012446</v>
      </c>
      <c r="D174" s="17">
        <f t="shared" si="14"/>
        <v>1901.003946895868</v>
      </c>
      <c r="E174" s="17">
        <f t="shared" si="12"/>
        <v>0</v>
      </c>
      <c r="F174" s="18">
        <f t="shared" si="15"/>
        <v>572555.56498140283</v>
      </c>
    </row>
    <row r="175" spans="1:6" x14ac:dyDescent="0.25">
      <c r="A175" s="8">
        <v>166</v>
      </c>
      <c r="B175" s="17">
        <f t="shared" si="11"/>
        <v>4294.5729840971126</v>
      </c>
      <c r="C175" s="10">
        <f t="shared" si="13"/>
        <v>2385.6481874225119</v>
      </c>
      <c r="D175" s="17">
        <f t="shared" si="14"/>
        <v>1908.9247966746007</v>
      </c>
      <c r="E175" s="17">
        <f t="shared" si="12"/>
        <v>0</v>
      </c>
      <c r="F175" s="18">
        <f t="shared" si="15"/>
        <v>570646.6401847282</v>
      </c>
    </row>
    <row r="176" spans="1:6" x14ac:dyDescent="0.25">
      <c r="A176" s="8">
        <v>167</v>
      </c>
      <c r="B176" s="17">
        <f t="shared" si="11"/>
        <v>4294.5729840971126</v>
      </c>
      <c r="C176" s="10">
        <f t="shared" si="13"/>
        <v>2377.6943341030342</v>
      </c>
      <c r="D176" s="17">
        <f t="shared" si="14"/>
        <v>1916.8786499940784</v>
      </c>
      <c r="E176" s="17">
        <f t="shared" si="12"/>
        <v>0</v>
      </c>
      <c r="F176" s="18">
        <f t="shared" si="15"/>
        <v>568729.76153473416</v>
      </c>
    </row>
    <row r="177" spans="1:6" x14ac:dyDescent="0.25">
      <c r="A177" s="8">
        <v>168</v>
      </c>
      <c r="B177" s="17">
        <f t="shared" si="11"/>
        <v>4294.5729840971126</v>
      </c>
      <c r="C177" s="10">
        <f t="shared" si="13"/>
        <v>2369.7073397280592</v>
      </c>
      <c r="D177" s="17">
        <f t="shared" si="14"/>
        <v>1924.8656443690534</v>
      </c>
      <c r="E177" s="17">
        <f t="shared" si="12"/>
        <v>0</v>
      </c>
      <c r="F177" s="18">
        <f t="shared" si="15"/>
        <v>566804.89589036512</v>
      </c>
    </row>
    <row r="178" spans="1:6" x14ac:dyDescent="0.25">
      <c r="A178" s="8">
        <v>169</v>
      </c>
      <c r="B178" s="17">
        <f t="shared" si="11"/>
        <v>4294.5729840971126</v>
      </c>
      <c r="C178" s="10">
        <f t="shared" si="13"/>
        <v>2361.6870662098545</v>
      </c>
      <c r="D178" s="17">
        <f t="shared" si="14"/>
        <v>1932.8859178872581</v>
      </c>
      <c r="E178" s="17">
        <f t="shared" si="12"/>
        <v>0</v>
      </c>
      <c r="F178" s="18">
        <f t="shared" si="15"/>
        <v>564872.00997247791</v>
      </c>
    </row>
    <row r="179" spans="1:6" x14ac:dyDescent="0.25">
      <c r="A179" s="8">
        <v>170</v>
      </c>
      <c r="B179" s="17">
        <f t="shared" si="11"/>
        <v>4294.5729840971126</v>
      </c>
      <c r="C179" s="10">
        <f t="shared" si="13"/>
        <v>2353.6333748853244</v>
      </c>
      <c r="D179" s="17">
        <f t="shared" si="14"/>
        <v>1940.9396092117881</v>
      </c>
      <c r="E179" s="17">
        <f t="shared" si="12"/>
        <v>0</v>
      </c>
      <c r="F179" s="18">
        <f t="shared" si="15"/>
        <v>562931.07036326616</v>
      </c>
    </row>
    <row r="180" spans="1:6" x14ac:dyDescent="0.25">
      <c r="A180" s="8">
        <v>171</v>
      </c>
      <c r="B180" s="17">
        <f t="shared" si="11"/>
        <v>4294.5729840971126</v>
      </c>
      <c r="C180" s="10">
        <f t="shared" si="13"/>
        <v>2345.5461265136091</v>
      </c>
      <c r="D180" s="17">
        <f t="shared" si="14"/>
        <v>1949.0268575835034</v>
      </c>
      <c r="E180" s="17">
        <f t="shared" si="12"/>
        <v>0</v>
      </c>
      <c r="F180" s="18">
        <f t="shared" si="15"/>
        <v>560982.04350568261</v>
      </c>
    </row>
    <row r="181" spans="1:6" x14ac:dyDescent="0.25">
      <c r="A181" s="8">
        <v>172</v>
      </c>
      <c r="B181" s="17">
        <f t="shared" si="11"/>
        <v>4294.5729840971126</v>
      </c>
      <c r="C181" s="10">
        <f t="shared" si="13"/>
        <v>2337.4251812736775</v>
      </c>
      <c r="D181" s="17">
        <f t="shared" si="14"/>
        <v>1957.1478028234351</v>
      </c>
      <c r="E181" s="17">
        <f t="shared" si="12"/>
        <v>0</v>
      </c>
      <c r="F181" s="18">
        <f t="shared" si="15"/>
        <v>559024.89570285915</v>
      </c>
    </row>
    <row r="182" spans="1:6" x14ac:dyDescent="0.25">
      <c r="A182" s="8">
        <v>173</v>
      </c>
      <c r="B182" s="17">
        <f t="shared" si="11"/>
        <v>4294.5729840971126</v>
      </c>
      <c r="C182" s="10">
        <f t="shared" si="13"/>
        <v>2329.2703987619129</v>
      </c>
      <c r="D182" s="17">
        <f t="shared" si="14"/>
        <v>1965.3025853351996</v>
      </c>
      <c r="E182" s="17">
        <f t="shared" si="12"/>
        <v>0</v>
      </c>
      <c r="F182" s="18">
        <f t="shared" si="15"/>
        <v>557059.59311752394</v>
      </c>
    </row>
    <row r="183" spans="1:6" x14ac:dyDescent="0.25">
      <c r="A183" s="8">
        <v>174</v>
      </c>
      <c r="B183" s="17">
        <f t="shared" si="11"/>
        <v>4294.5729840971126</v>
      </c>
      <c r="C183" s="10">
        <f t="shared" si="13"/>
        <v>2321.0816379896833</v>
      </c>
      <c r="D183" s="17">
        <f t="shared" si="14"/>
        <v>1973.4913461074293</v>
      </c>
      <c r="E183" s="17">
        <f t="shared" si="12"/>
        <v>0</v>
      </c>
      <c r="F183" s="18">
        <f t="shared" si="15"/>
        <v>555086.10177141649</v>
      </c>
    </row>
    <row r="184" spans="1:6" x14ac:dyDescent="0.25">
      <c r="A184" s="8">
        <v>175</v>
      </c>
      <c r="B184" s="17">
        <f t="shared" si="11"/>
        <v>4294.5729840971126</v>
      </c>
      <c r="C184" s="10">
        <f t="shared" si="13"/>
        <v>2312.8587573809018</v>
      </c>
      <c r="D184" s="17">
        <f t="shared" si="14"/>
        <v>1981.7142267162108</v>
      </c>
      <c r="E184" s="17">
        <f t="shared" si="12"/>
        <v>0</v>
      </c>
      <c r="F184" s="18">
        <f t="shared" si="15"/>
        <v>553104.38754470029</v>
      </c>
    </row>
    <row r="185" spans="1:6" x14ac:dyDescent="0.25">
      <c r="A185" s="8">
        <v>176</v>
      </c>
      <c r="B185" s="17">
        <f t="shared" si="11"/>
        <v>4294.5729840971126</v>
      </c>
      <c r="C185" s="10">
        <f t="shared" si="13"/>
        <v>2304.6016147695846</v>
      </c>
      <c r="D185" s="17">
        <f t="shared" si="14"/>
        <v>1989.971369327528</v>
      </c>
      <c r="E185" s="17">
        <f t="shared" si="12"/>
        <v>0</v>
      </c>
      <c r="F185" s="18">
        <f t="shared" si="15"/>
        <v>551114.41617537278</v>
      </c>
    </row>
    <row r="186" spans="1:6" x14ac:dyDescent="0.25">
      <c r="A186" s="8">
        <v>177</v>
      </c>
      <c r="B186" s="17">
        <f t="shared" si="11"/>
        <v>4294.5729840971126</v>
      </c>
      <c r="C186" s="10">
        <f t="shared" si="13"/>
        <v>2296.3100673973868</v>
      </c>
      <c r="D186" s="17">
        <f t="shared" si="14"/>
        <v>1998.2629166997258</v>
      </c>
      <c r="E186" s="17">
        <f t="shared" si="12"/>
        <v>0</v>
      </c>
      <c r="F186" s="18">
        <f t="shared" si="15"/>
        <v>549116.15325867303</v>
      </c>
    </row>
    <row r="187" spans="1:6" x14ac:dyDescent="0.25">
      <c r="A187" s="8">
        <v>178</v>
      </c>
      <c r="B187" s="17">
        <f t="shared" si="11"/>
        <v>4294.5729840971126</v>
      </c>
      <c r="C187" s="10">
        <f t="shared" si="13"/>
        <v>2287.9839719111378</v>
      </c>
      <c r="D187" s="17">
        <f t="shared" si="14"/>
        <v>2006.5890121859748</v>
      </c>
      <c r="E187" s="17">
        <f t="shared" si="12"/>
        <v>0</v>
      </c>
      <c r="F187" s="18">
        <f t="shared" si="15"/>
        <v>547109.56424648711</v>
      </c>
    </row>
    <row r="188" spans="1:6" x14ac:dyDescent="0.25">
      <c r="A188" s="8">
        <v>179</v>
      </c>
      <c r="B188" s="17">
        <f t="shared" si="11"/>
        <v>4294.5729840971126</v>
      </c>
      <c r="C188" s="10">
        <f t="shared" si="13"/>
        <v>2279.6231843603628</v>
      </c>
      <c r="D188" s="17">
        <f t="shared" si="14"/>
        <v>2014.9497997367498</v>
      </c>
      <c r="E188" s="17">
        <f t="shared" si="12"/>
        <v>0</v>
      </c>
      <c r="F188" s="18">
        <f t="shared" si="15"/>
        <v>545094.61444675038</v>
      </c>
    </row>
    <row r="189" spans="1:6" x14ac:dyDescent="0.25">
      <c r="A189" s="8">
        <v>180</v>
      </c>
      <c r="B189" s="17">
        <f t="shared" si="11"/>
        <v>4294.5729840971126</v>
      </c>
      <c r="C189" s="10">
        <f t="shared" si="13"/>
        <v>2271.2275601947931</v>
      </c>
      <c r="D189" s="17">
        <f t="shared" si="14"/>
        <v>2023.3454239023195</v>
      </c>
      <c r="E189" s="17">
        <f t="shared" si="12"/>
        <v>0</v>
      </c>
      <c r="F189" s="18">
        <f t="shared" si="15"/>
        <v>543071.26902284811</v>
      </c>
    </row>
    <row r="190" spans="1:6" x14ac:dyDescent="0.25">
      <c r="A190" s="8">
        <v>181</v>
      </c>
      <c r="B190" s="17">
        <f t="shared" si="11"/>
        <v>4294.5729840971126</v>
      </c>
      <c r="C190" s="10">
        <f t="shared" si="13"/>
        <v>2262.7969542618671</v>
      </c>
      <c r="D190" s="17">
        <f t="shared" si="14"/>
        <v>2031.7760298352455</v>
      </c>
      <c r="E190" s="17">
        <f t="shared" si="12"/>
        <v>0</v>
      </c>
      <c r="F190" s="18">
        <f t="shared" si="15"/>
        <v>541039.49299301289</v>
      </c>
    </row>
    <row r="191" spans="1:6" x14ac:dyDescent="0.25">
      <c r="A191" s="8">
        <v>182</v>
      </c>
      <c r="B191" s="17">
        <f t="shared" si="11"/>
        <v>4294.5729840971126</v>
      </c>
      <c r="C191" s="10">
        <f t="shared" si="13"/>
        <v>2254.3312208042203</v>
      </c>
      <c r="D191" s="17">
        <f t="shared" si="14"/>
        <v>2040.2417632928923</v>
      </c>
      <c r="E191" s="17">
        <f t="shared" si="12"/>
        <v>0</v>
      </c>
      <c r="F191" s="18">
        <f t="shared" si="15"/>
        <v>538999.25122971996</v>
      </c>
    </row>
    <row r="192" spans="1:6" x14ac:dyDescent="0.25">
      <c r="A192" s="8">
        <v>183</v>
      </c>
      <c r="B192" s="17">
        <f t="shared" si="11"/>
        <v>4294.5729840971126</v>
      </c>
      <c r="C192" s="10">
        <f t="shared" si="13"/>
        <v>2245.8302134571663</v>
      </c>
      <c r="D192" s="17">
        <f t="shared" si="14"/>
        <v>2048.7427706399462</v>
      </c>
      <c r="E192" s="17">
        <f t="shared" si="12"/>
        <v>0</v>
      </c>
      <c r="F192" s="18">
        <f t="shared" si="15"/>
        <v>536950.50845908001</v>
      </c>
    </row>
    <row r="193" spans="1:6" x14ac:dyDescent="0.25">
      <c r="A193" s="8">
        <v>184</v>
      </c>
      <c r="B193" s="17">
        <f t="shared" si="11"/>
        <v>4294.5729840971126</v>
      </c>
      <c r="C193" s="10">
        <f t="shared" si="13"/>
        <v>2237.2937852461669</v>
      </c>
      <c r="D193" s="17">
        <f t="shared" si="14"/>
        <v>2057.2791988509457</v>
      </c>
      <c r="E193" s="17">
        <f t="shared" si="12"/>
        <v>0</v>
      </c>
      <c r="F193" s="18">
        <f t="shared" si="15"/>
        <v>534893.22926022904</v>
      </c>
    </row>
    <row r="194" spans="1:6" x14ac:dyDescent="0.25">
      <c r="A194" s="8">
        <v>185</v>
      </c>
      <c r="B194" s="17">
        <f t="shared" si="11"/>
        <v>4294.5729840971126</v>
      </c>
      <c r="C194" s="10">
        <f t="shared" si="13"/>
        <v>2228.7217885842874</v>
      </c>
      <c r="D194" s="17">
        <f t="shared" si="14"/>
        <v>2065.8511955128251</v>
      </c>
      <c r="E194" s="17">
        <f t="shared" si="12"/>
        <v>0</v>
      </c>
      <c r="F194" s="18">
        <f t="shared" si="15"/>
        <v>532827.37806471623</v>
      </c>
    </row>
    <row r="195" spans="1:6" x14ac:dyDescent="0.25">
      <c r="A195" s="8">
        <v>186</v>
      </c>
      <c r="B195" s="17">
        <f t="shared" si="11"/>
        <v>4294.5729840971126</v>
      </c>
      <c r="C195" s="10">
        <f t="shared" si="13"/>
        <v>2220.114075269651</v>
      </c>
      <c r="D195" s="17">
        <f t="shared" si="14"/>
        <v>2074.4589088274615</v>
      </c>
      <c r="E195" s="17">
        <f t="shared" si="12"/>
        <v>0</v>
      </c>
      <c r="F195" s="18">
        <f t="shared" si="15"/>
        <v>530752.91915588873</v>
      </c>
    </row>
    <row r="196" spans="1:6" x14ac:dyDescent="0.25">
      <c r="A196" s="8">
        <v>187</v>
      </c>
      <c r="B196" s="17">
        <f t="shared" si="11"/>
        <v>4294.5729840971126</v>
      </c>
      <c r="C196" s="10">
        <f t="shared" si="13"/>
        <v>2211.4704964828697</v>
      </c>
      <c r="D196" s="17">
        <f t="shared" si="14"/>
        <v>2083.1024876142428</v>
      </c>
      <c r="E196" s="17">
        <f t="shared" si="12"/>
        <v>0</v>
      </c>
      <c r="F196" s="18">
        <f t="shared" si="15"/>
        <v>528669.81666827446</v>
      </c>
    </row>
    <row r="197" spans="1:6" x14ac:dyDescent="0.25">
      <c r="A197" s="8">
        <v>188</v>
      </c>
      <c r="B197" s="17">
        <f t="shared" si="11"/>
        <v>4294.5729840971126</v>
      </c>
      <c r="C197" s="10">
        <f t="shared" si="13"/>
        <v>2202.7909027844771</v>
      </c>
      <c r="D197" s="17">
        <f t="shared" si="14"/>
        <v>2091.7820813126355</v>
      </c>
      <c r="E197" s="17">
        <f t="shared" si="12"/>
        <v>0</v>
      </c>
      <c r="F197" s="18">
        <f t="shared" si="15"/>
        <v>526578.03458696185</v>
      </c>
    </row>
    <row r="198" spans="1:6" x14ac:dyDescent="0.25">
      <c r="A198" s="8">
        <v>189</v>
      </c>
      <c r="B198" s="17">
        <f t="shared" si="11"/>
        <v>4294.5729840971126</v>
      </c>
      <c r="C198" s="10">
        <f t="shared" si="13"/>
        <v>2194.0751441123411</v>
      </c>
      <c r="D198" s="17">
        <f t="shared" si="14"/>
        <v>2100.4978399847714</v>
      </c>
      <c r="E198" s="17">
        <f t="shared" si="12"/>
        <v>0</v>
      </c>
      <c r="F198" s="18">
        <f t="shared" si="15"/>
        <v>524477.53674697713</v>
      </c>
    </row>
    <row r="199" spans="1:6" x14ac:dyDescent="0.25">
      <c r="A199" s="8">
        <v>190</v>
      </c>
      <c r="B199" s="17">
        <f t="shared" si="11"/>
        <v>4294.5729840971126</v>
      </c>
      <c r="C199" s="10">
        <f t="shared" si="13"/>
        <v>2185.3230697790714</v>
      </c>
      <c r="D199" s="17">
        <f t="shared" si="14"/>
        <v>2109.2499143180412</v>
      </c>
      <c r="E199" s="17">
        <f t="shared" si="12"/>
        <v>0</v>
      </c>
      <c r="F199" s="18">
        <f t="shared" si="15"/>
        <v>522368.2868326591</v>
      </c>
    </row>
    <row r="200" spans="1:6" x14ac:dyDescent="0.25">
      <c r="A200" s="8">
        <v>191</v>
      </c>
      <c r="B200" s="17">
        <f t="shared" si="11"/>
        <v>4294.5729840971126</v>
      </c>
      <c r="C200" s="10">
        <f t="shared" si="13"/>
        <v>2176.5345284694131</v>
      </c>
      <c r="D200" s="17">
        <f t="shared" si="14"/>
        <v>2118.0384556276995</v>
      </c>
      <c r="E200" s="17">
        <f t="shared" si="12"/>
        <v>0</v>
      </c>
      <c r="F200" s="18">
        <f t="shared" si="15"/>
        <v>520250.24837703141</v>
      </c>
    </row>
    <row r="201" spans="1:6" x14ac:dyDescent="0.25">
      <c r="A201" s="8">
        <v>192</v>
      </c>
      <c r="B201" s="17">
        <f t="shared" si="11"/>
        <v>4294.5729840971126</v>
      </c>
      <c r="C201" s="10">
        <f t="shared" si="13"/>
        <v>2167.7093682376308</v>
      </c>
      <c r="D201" s="17">
        <f t="shared" si="14"/>
        <v>2126.8636158594818</v>
      </c>
      <c r="E201" s="17">
        <f t="shared" si="12"/>
        <v>0</v>
      </c>
      <c r="F201" s="18">
        <f t="shared" si="15"/>
        <v>518123.38476117194</v>
      </c>
    </row>
    <row r="202" spans="1:6" x14ac:dyDescent="0.25">
      <c r="A202" s="8">
        <v>193</v>
      </c>
      <c r="B202" s="17">
        <f t="shared" ref="B202:B265" si="16">PMT(($D$4/12),$D$5,-$D$3)</f>
        <v>4294.5729840971126</v>
      </c>
      <c r="C202" s="10">
        <f t="shared" si="13"/>
        <v>2158.8474365048833</v>
      </c>
      <c r="D202" s="17">
        <f t="shared" si="14"/>
        <v>2135.7255475922293</v>
      </c>
      <c r="E202" s="17">
        <f t="shared" ref="E202:E265" si="17">$G$3</f>
        <v>0</v>
      </c>
      <c r="F202" s="18">
        <f t="shared" si="15"/>
        <v>515987.65921357973</v>
      </c>
    </row>
    <row r="203" spans="1:6" x14ac:dyDescent="0.25">
      <c r="A203" s="8">
        <v>194</v>
      </c>
      <c r="B203" s="17">
        <f t="shared" si="16"/>
        <v>4294.5729840971126</v>
      </c>
      <c r="C203" s="10">
        <f t="shared" ref="C203:C266" si="18">F202*($D$4/12)</f>
        <v>2149.9485800565822</v>
      </c>
      <c r="D203" s="17">
        <f t="shared" ref="D203:D266" si="19">B203-C203</f>
        <v>2144.6244040405304</v>
      </c>
      <c r="E203" s="17">
        <f t="shared" si="17"/>
        <v>0</v>
      </c>
      <c r="F203" s="18">
        <f t="shared" ref="F203:F266" si="20">F202-D203-E203</f>
        <v>513843.03480953921</v>
      </c>
    </row>
    <row r="204" spans="1:6" x14ac:dyDescent="0.25">
      <c r="A204" s="8">
        <v>195</v>
      </c>
      <c r="B204" s="17">
        <f t="shared" si="16"/>
        <v>4294.5729840971126</v>
      </c>
      <c r="C204" s="10">
        <f t="shared" si="18"/>
        <v>2141.0126450397465</v>
      </c>
      <c r="D204" s="17">
        <f t="shared" si="19"/>
        <v>2153.560339057366</v>
      </c>
      <c r="E204" s="17">
        <f t="shared" si="17"/>
        <v>0</v>
      </c>
      <c r="F204" s="18">
        <f t="shared" si="20"/>
        <v>511689.47447048186</v>
      </c>
    </row>
    <row r="205" spans="1:6" x14ac:dyDescent="0.25">
      <c r="A205" s="8">
        <v>196</v>
      </c>
      <c r="B205" s="17">
        <f t="shared" si="16"/>
        <v>4294.5729840971126</v>
      </c>
      <c r="C205" s="10">
        <f t="shared" si="18"/>
        <v>2132.0394769603408</v>
      </c>
      <c r="D205" s="17">
        <f t="shared" si="19"/>
        <v>2162.5335071367717</v>
      </c>
      <c r="E205" s="17">
        <f t="shared" si="17"/>
        <v>0</v>
      </c>
      <c r="F205" s="18">
        <f t="shared" si="20"/>
        <v>509526.94096334511</v>
      </c>
    </row>
    <row r="206" spans="1:6" x14ac:dyDescent="0.25">
      <c r="A206" s="8">
        <v>197</v>
      </c>
      <c r="B206" s="17">
        <f t="shared" si="16"/>
        <v>4294.5729840971126</v>
      </c>
      <c r="C206" s="10">
        <f t="shared" si="18"/>
        <v>2123.0289206806046</v>
      </c>
      <c r="D206" s="17">
        <f t="shared" si="19"/>
        <v>2171.5440634165079</v>
      </c>
      <c r="E206" s="17">
        <f t="shared" si="17"/>
        <v>0</v>
      </c>
      <c r="F206" s="18">
        <f t="shared" si="20"/>
        <v>507355.39689992863</v>
      </c>
    </row>
    <row r="207" spans="1:6" x14ac:dyDescent="0.25">
      <c r="A207" s="8">
        <v>198</v>
      </c>
      <c r="B207" s="17">
        <f t="shared" si="16"/>
        <v>4294.5729840971126</v>
      </c>
      <c r="C207" s="10">
        <f t="shared" si="18"/>
        <v>2113.9808204163692</v>
      </c>
      <c r="D207" s="17">
        <f t="shared" si="19"/>
        <v>2180.5921636807434</v>
      </c>
      <c r="E207" s="17">
        <f t="shared" si="17"/>
        <v>0</v>
      </c>
      <c r="F207" s="18">
        <f t="shared" si="20"/>
        <v>505174.80473624787</v>
      </c>
    </row>
    <row r="208" spans="1:6" x14ac:dyDescent="0.25">
      <c r="A208" s="8">
        <v>199</v>
      </c>
      <c r="B208" s="17">
        <f t="shared" si="16"/>
        <v>4294.5729840971126</v>
      </c>
      <c r="C208" s="10">
        <f t="shared" si="18"/>
        <v>2104.8950197343661</v>
      </c>
      <c r="D208" s="17">
        <f t="shared" si="19"/>
        <v>2189.6779643627465</v>
      </c>
      <c r="E208" s="17">
        <f t="shared" si="17"/>
        <v>0</v>
      </c>
      <c r="F208" s="18">
        <f t="shared" si="20"/>
        <v>502985.12677188514</v>
      </c>
    </row>
    <row r="209" spans="1:6" x14ac:dyDescent="0.25">
      <c r="A209" s="8">
        <v>200</v>
      </c>
      <c r="B209" s="17">
        <f t="shared" si="16"/>
        <v>4294.5729840971126</v>
      </c>
      <c r="C209" s="10">
        <f t="shared" si="18"/>
        <v>2095.7713615495213</v>
      </c>
      <c r="D209" s="17">
        <f t="shared" si="19"/>
        <v>2198.8016225475913</v>
      </c>
      <c r="E209" s="17">
        <f t="shared" si="17"/>
        <v>0</v>
      </c>
      <c r="F209" s="18">
        <f t="shared" si="20"/>
        <v>500786.32514933753</v>
      </c>
    </row>
    <row r="210" spans="1:6" x14ac:dyDescent="0.25">
      <c r="A210" s="8">
        <v>201</v>
      </c>
      <c r="B210" s="17">
        <f t="shared" si="16"/>
        <v>4294.5729840971126</v>
      </c>
      <c r="C210" s="10">
        <f t="shared" si="18"/>
        <v>2086.6096881222397</v>
      </c>
      <c r="D210" s="17">
        <f t="shared" si="19"/>
        <v>2207.9632959748728</v>
      </c>
      <c r="E210" s="17">
        <f t="shared" si="17"/>
        <v>0</v>
      </c>
      <c r="F210" s="18">
        <f t="shared" si="20"/>
        <v>498578.36185336264</v>
      </c>
    </row>
    <row r="211" spans="1:6" x14ac:dyDescent="0.25">
      <c r="A211" s="8">
        <v>202</v>
      </c>
      <c r="B211" s="17">
        <f t="shared" si="16"/>
        <v>4294.5729840971126</v>
      </c>
      <c r="C211" s="10">
        <f t="shared" si="18"/>
        <v>2077.4098410556776</v>
      </c>
      <c r="D211" s="17">
        <f t="shared" si="19"/>
        <v>2217.163143041435</v>
      </c>
      <c r="E211" s="17">
        <f t="shared" si="17"/>
        <v>0</v>
      </c>
      <c r="F211" s="18">
        <f t="shared" si="20"/>
        <v>496361.19871032122</v>
      </c>
    </row>
    <row r="212" spans="1:6" x14ac:dyDescent="0.25">
      <c r="A212" s="8">
        <v>203</v>
      </c>
      <c r="B212" s="17">
        <f t="shared" si="16"/>
        <v>4294.5729840971126</v>
      </c>
      <c r="C212" s="10">
        <f t="shared" si="18"/>
        <v>2068.1716612930049</v>
      </c>
      <c r="D212" s="17">
        <f t="shared" si="19"/>
        <v>2226.4013228041076</v>
      </c>
      <c r="E212" s="17">
        <f t="shared" si="17"/>
        <v>0</v>
      </c>
      <c r="F212" s="18">
        <f t="shared" si="20"/>
        <v>494134.79738751712</v>
      </c>
    </row>
    <row r="213" spans="1:6" x14ac:dyDescent="0.25">
      <c r="A213" s="8">
        <v>204</v>
      </c>
      <c r="B213" s="17">
        <f t="shared" si="16"/>
        <v>4294.5729840971126</v>
      </c>
      <c r="C213" s="10">
        <f t="shared" si="18"/>
        <v>2058.8949891146544</v>
      </c>
      <c r="D213" s="17">
        <f t="shared" si="19"/>
        <v>2235.6779949824581</v>
      </c>
      <c r="E213" s="17">
        <f t="shared" si="17"/>
        <v>0</v>
      </c>
      <c r="F213" s="18">
        <f t="shared" si="20"/>
        <v>491899.11939253466</v>
      </c>
    </row>
    <row r="214" spans="1:6" x14ac:dyDescent="0.25">
      <c r="A214" s="8">
        <v>205</v>
      </c>
      <c r="B214" s="17">
        <f t="shared" si="16"/>
        <v>4294.5729840971126</v>
      </c>
      <c r="C214" s="10">
        <f t="shared" si="18"/>
        <v>2049.579664135561</v>
      </c>
      <c r="D214" s="17">
        <f t="shared" si="19"/>
        <v>2244.9933199615516</v>
      </c>
      <c r="E214" s="17">
        <f t="shared" si="17"/>
        <v>0</v>
      </c>
      <c r="F214" s="18">
        <f t="shared" si="20"/>
        <v>489654.12607257313</v>
      </c>
    </row>
    <row r="215" spans="1:6" x14ac:dyDescent="0.25">
      <c r="A215" s="8">
        <v>206</v>
      </c>
      <c r="B215" s="17">
        <f t="shared" si="16"/>
        <v>4294.5729840971126</v>
      </c>
      <c r="C215" s="10">
        <f t="shared" si="18"/>
        <v>2040.225525302388</v>
      </c>
      <c r="D215" s="17">
        <f t="shared" si="19"/>
        <v>2254.3474587947248</v>
      </c>
      <c r="E215" s="17">
        <f t="shared" si="17"/>
        <v>0</v>
      </c>
      <c r="F215" s="18">
        <f t="shared" si="20"/>
        <v>487399.77861377841</v>
      </c>
    </row>
    <row r="216" spans="1:6" x14ac:dyDescent="0.25">
      <c r="A216" s="8">
        <v>207</v>
      </c>
      <c r="B216" s="17">
        <f t="shared" si="16"/>
        <v>4294.5729840971126</v>
      </c>
      <c r="C216" s="10">
        <f t="shared" si="18"/>
        <v>2030.8324108907434</v>
      </c>
      <c r="D216" s="17">
        <f t="shared" si="19"/>
        <v>2263.7405732063689</v>
      </c>
      <c r="E216" s="17">
        <f t="shared" si="17"/>
        <v>0</v>
      </c>
      <c r="F216" s="18">
        <f t="shared" si="20"/>
        <v>485136.03804057202</v>
      </c>
    </row>
    <row r="217" spans="1:6" x14ac:dyDescent="0.25">
      <c r="A217" s="8">
        <v>208</v>
      </c>
      <c r="B217" s="17">
        <f t="shared" si="16"/>
        <v>4294.5729840971126</v>
      </c>
      <c r="C217" s="10">
        <f t="shared" si="18"/>
        <v>2021.4001585023834</v>
      </c>
      <c r="D217" s="17">
        <f t="shared" si="19"/>
        <v>2273.1728255947291</v>
      </c>
      <c r="E217" s="17">
        <f t="shared" si="17"/>
        <v>0</v>
      </c>
      <c r="F217" s="18">
        <f t="shared" si="20"/>
        <v>482862.8652149773</v>
      </c>
    </row>
    <row r="218" spans="1:6" x14ac:dyDescent="0.25">
      <c r="A218" s="8">
        <v>209</v>
      </c>
      <c r="B218" s="17">
        <f t="shared" si="16"/>
        <v>4294.5729840971126</v>
      </c>
      <c r="C218" s="10">
        <f t="shared" si="18"/>
        <v>2011.9286050624053</v>
      </c>
      <c r="D218" s="17">
        <f t="shared" si="19"/>
        <v>2282.6443790347075</v>
      </c>
      <c r="E218" s="17">
        <f t="shared" si="17"/>
        <v>0</v>
      </c>
      <c r="F218" s="18">
        <f t="shared" si="20"/>
        <v>480580.2208359426</v>
      </c>
    </row>
    <row r="219" spans="1:6" x14ac:dyDescent="0.25">
      <c r="A219" s="8">
        <v>210</v>
      </c>
      <c r="B219" s="17">
        <f t="shared" si="16"/>
        <v>4294.5729840971126</v>
      </c>
      <c r="C219" s="10">
        <f t="shared" si="18"/>
        <v>2002.4175868164275</v>
      </c>
      <c r="D219" s="17">
        <f t="shared" si="19"/>
        <v>2292.1553972806851</v>
      </c>
      <c r="E219" s="17">
        <f t="shared" si="17"/>
        <v>0</v>
      </c>
      <c r="F219" s="18">
        <f t="shared" si="20"/>
        <v>478288.0654386619</v>
      </c>
    </row>
    <row r="220" spans="1:6" x14ac:dyDescent="0.25">
      <c r="A220" s="8">
        <v>211</v>
      </c>
      <c r="B220" s="17">
        <f t="shared" si="16"/>
        <v>4294.5729840971126</v>
      </c>
      <c r="C220" s="10">
        <f t="shared" si="18"/>
        <v>1992.8669393277578</v>
      </c>
      <c r="D220" s="17">
        <f t="shared" si="19"/>
        <v>2301.7060447693548</v>
      </c>
      <c r="E220" s="17">
        <f t="shared" si="17"/>
        <v>0</v>
      </c>
      <c r="F220" s="18">
        <f t="shared" si="20"/>
        <v>475986.35939389252</v>
      </c>
    </row>
    <row r="221" spans="1:6" x14ac:dyDescent="0.25">
      <c r="A221" s="8">
        <v>212</v>
      </c>
      <c r="B221" s="17">
        <f t="shared" si="16"/>
        <v>4294.5729840971126</v>
      </c>
      <c r="C221" s="10">
        <f t="shared" si="18"/>
        <v>1983.2764974745521</v>
      </c>
      <c r="D221" s="17">
        <f t="shared" si="19"/>
        <v>2311.2964866225602</v>
      </c>
      <c r="E221" s="17">
        <f t="shared" si="17"/>
        <v>0</v>
      </c>
      <c r="F221" s="18">
        <f t="shared" si="20"/>
        <v>473675.06290726998</v>
      </c>
    </row>
    <row r="222" spans="1:6" x14ac:dyDescent="0.25">
      <c r="A222" s="8">
        <v>213</v>
      </c>
      <c r="B222" s="17">
        <f t="shared" si="16"/>
        <v>4294.5729840971126</v>
      </c>
      <c r="C222" s="10">
        <f t="shared" si="18"/>
        <v>1973.6460954469583</v>
      </c>
      <c r="D222" s="17">
        <f t="shared" si="19"/>
        <v>2320.9268886501541</v>
      </c>
      <c r="E222" s="17">
        <f t="shared" si="17"/>
        <v>0</v>
      </c>
      <c r="F222" s="18">
        <f t="shared" si="20"/>
        <v>471354.13601861981</v>
      </c>
    </row>
    <row r="223" spans="1:6" x14ac:dyDescent="0.25">
      <c r="A223" s="8">
        <v>214</v>
      </c>
      <c r="B223" s="17">
        <f t="shared" si="16"/>
        <v>4294.5729840971126</v>
      </c>
      <c r="C223" s="10">
        <f t="shared" si="18"/>
        <v>1963.9755667442491</v>
      </c>
      <c r="D223" s="17">
        <f t="shared" si="19"/>
        <v>2330.5974173528634</v>
      </c>
      <c r="E223" s="17">
        <f t="shared" si="17"/>
        <v>0</v>
      </c>
      <c r="F223" s="18">
        <f t="shared" si="20"/>
        <v>469023.53860126698</v>
      </c>
    </row>
    <row r="224" spans="1:6" x14ac:dyDescent="0.25">
      <c r="A224" s="8">
        <v>215</v>
      </c>
      <c r="B224" s="17">
        <f t="shared" si="16"/>
        <v>4294.5729840971126</v>
      </c>
      <c r="C224" s="10">
        <f t="shared" si="18"/>
        <v>1954.2647441719457</v>
      </c>
      <c r="D224" s="17">
        <f t="shared" si="19"/>
        <v>2340.3082399251671</v>
      </c>
      <c r="E224" s="17">
        <f t="shared" si="17"/>
        <v>0</v>
      </c>
      <c r="F224" s="18">
        <f t="shared" si="20"/>
        <v>466683.23036134179</v>
      </c>
    </row>
    <row r="225" spans="1:6" x14ac:dyDescent="0.25">
      <c r="A225" s="8">
        <v>216</v>
      </c>
      <c r="B225" s="17">
        <f t="shared" si="16"/>
        <v>4294.5729840971126</v>
      </c>
      <c r="C225" s="10">
        <f t="shared" si="18"/>
        <v>1944.5134598389241</v>
      </c>
      <c r="D225" s="17">
        <f t="shared" si="19"/>
        <v>2350.0595242581885</v>
      </c>
      <c r="E225" s="17">
        <f t="shared" si="17"/>
        <v>0</v>
      </c>
      <c r="F225" s="18">
        <f t="shared" si="20"/>
        <v>464333.1708370836</v>
      </c>
    </row>
    <row r="226" spans="1:6" x14ac:dyDescent="0.25">
      <c r="A226" s="8">
        <v>217</v>
      </c>
      <c r="B226" s="17">
        <f t="shared" si="16"/>
        <v>4294.5729840971126</v>
      </c>
      <c r="C226" s="10">
        <f t="shared" si="18"/>
        <v>1934.7215451545151</v>
      </c>
      <c r="D226" s="17">
        <f t="shared" si="19"/>
        <v>2359.8514389425973</v>
      </c>
      <c r="E226" s="17">
        <f t="shared" si="17"/>
        <v>0</v>
      </c>
      <c r="F226" s="18">
        <f t="shared" si="20"/>
        <v>461973.319398141</v>
      </c>
    </row>
    <row r="227" spans="1:6" x14ac:dyDescent="0.25">
      <c r="A227" s="8">
        <v>218</v>
      </c>
      <c r="B227" s="17">
        <f t="shared" si="16"/>
        <v>4294.5729840971126</v>
      </c>
      <c r="C227" s="10">
        <f t="shared" si="18"/>
        <v>1924.8888308255875</v>
      </c>
      <c r="D227" s="17">
        <f t="shared" si="19"/>
        <v>2369.6841532715252</v>
      </c>
      <c r="E227" s="17">
        <f t="shared" si="17"/>
        <v>0</v>
      </c>
      <c r="F227" s="18">
        <f t="shared" si="20"/>
        <v>459603.63524486945</v>
      </c>
    </row>
    <row r="228" spans="1:6" x14ac:dyDescent="0.25">
      <c r="A228" s="8">
        <v>219</v>
      </c>
      <c r="B228" s="17">
        <f t="shared" si="16"/>
        <v>4294.5729840971126</v>
      </c>
      <c r="C228" s="10">
        <f t="shared" si="18"/>
        <v>1915.0151468536226</v>
      </c>
      <c r="D228" s="17">
        <f t="shared" si="19"/>
        <v>2379.5578372434902</v>
      </c>
      <c r="E228" s="17">
        <f t="shared" si="17"/>
        <v>0</v>
      </c>
      <c r="F228" s="18">
        <f t="shared" si="20"/>
        <v>457224.07740762597</v>
      </c>
    </row>
    <row r="229" spans="1:6" x14ac:dyDescent="0.25">
      <c r="A229" s="8">
        <v>220</v>
      </c>
      <c r="B229" s="17">
        <f t="shared" si="16"/>
        <v>4294.5729840971126</v>
      </c>
      <c r="C229" s="10">
        <f t="shared" si="18"/>
        <v>1905.1003225317747</v>
      </c>
      <c r="D229" s="17">
        <f t="shared" si="19"/>
        <v>2389.4726615653381</v>
      </c>
      <c r="E229" s="17">
        <f t="shared" si="17"/>
        <v>0</v>
      </c>
      <c r="F229" s="18">
        <f t="shared" si="20"/>
        <v>454834.60474606062</v>
      </c>
    </row>
    <row r="230" spans="1:6" x14ac:dyDescent="0.25">
      <c r="A230" s="8">
        <v>221</v>
      </c>
      <c r="B230" s="17">
        <f t="shared" si="16"/>
        <v>4294.5729840971126</v>
      </c>
      <c r="C230" s="10">
        <f t="shared" si="18"/>
        <v>1895.1441864419191</v>
      </c>
      <c r="D230" s="17">
        <f t="shared" si="19"/>
        <v>2399.4287976551932</v>
      </c>
      <c r="E230" s="17">
        <f t="shared" si="17"/>
        <v>0</v>
      </c>
      <c r="F230" s="18">
        <f t="shared" si="20"/>
        <v>452435.17594840541</v>
      </c>
    </row>
    <row r="231" spans="1:6" x14ac:dyDescent="0.25">
      <c r="A231" s="8">
        <v>222</v>
      </c>
      <c r="B231" s="17">
        <f t="shared" si="16"/>
        <v>4294.5729840971126</v>
      </c>
      <c r="C231" s="10">
        <f t="shared" si="18"/>
        <v>1885.1465664516891</v>
      </c>
      <c r="D231" s="17">
        <f t="shared" si="19"/>
        <v>2409.4264176454235</v>
      </c>
      <c r="E231" s="17">
        <f t="shared" si="17"/>
        <v>0</v>
      </c>
      <c r="F231" s="18">
        <f t="shared" si="20"/>
        <v>450025.74953075999</v>
      </c>
    </row>
    <row r="232" spans="1:6" x14ac:dyDescent="0.25">
      <c r="A232" s="8">
        <v>223</v>
      </c>
      <c r="B232" s="17">
        <f t="shared" si="16"/>
        <v>4294.5729840971126</v>
      </c>
      <c r="C232" s="10">
        <f t="shared" si="18"/>
        <v>1875.1072897115</v>
      </c>
      <c r="D232" s="17">
        <f t="shared" si="19"/>
        <v>2419.4656943856126</v>
      </c>
      <c r="E232" s="17">
        <f t="shared" si="17"/>
        <v>0</v>
      </c>
      <c r="F232" s="18">
        <f t="shared" si="20"/>
        <v>447606.28383637435</v>
      </c>
    </row>
    <row r="233" spans="1:6" x14ac:dyDescent="0.25">
      <c r="A233" s="8">
        <v>224</v>
      </c>
      <c r="B233" s="17">
        <f t="shared" si="16"/>
        <v>4294.5729840971126</v>
      </c>
      <c r="C233" s="10">
        <f t="shared" si="18"/>
        <v>1865.0261826515598</v>
      </c>
      <c r="D233" s="17">
        <f t="shared" si="19"/>
        <v>2429.5468014455528</v>
      </c>
      <c r="E233" s="17">
        <f t="shared" si="17"/>
        <v>0</v>
      </c>
      <c r="F233" s="18">
        <f t="shared" si="20"/>
        <v>445176.73703492881</v>
      </c>
    </row>
    <row r="234" spans="1:6" x14ac:dyDescent="0.25">
      <c r="A234" s="8">
        <v>225</v>
      </c>
      <c r="B234" s="17">
        <f t="shared" si="16"/>
        <v>4294.5729840971126</v>
      </c>
      <c r="C234" s="10">
        <f t="shared" si="18"/>
        <v>1854.9030709788701</v>
      </c>
      <c r="D234" s="17">
        <f t="shared" si="19"/>
        <v>2439.6699131182422</v>
      </c>
      <c r="E234" s="17">
        <f t="shared" si="17"/>
        <v>0</v>
      </c>
      <c r="F234" s="18">
        <f t="shared" si="20"/>
        <v>442737.06712181057</v>
      </c>
    </row>
    <row r="235" spans="1:6" x14ac:dyDescent="0.25">
      <c r="A235" s="8">
        <v>226</v>
      </c>
      <c r="B235" s="17">
        <f t="shared" si="16"/>
        <v>4294.5729840971126</v>
      </c>
      <c r="C235" s="10">
        <f t="shared" si="18"/>
        <v>1844.7377796742107</v>
      </c>
      <c r="D235" s="17">
        <f t="shared" si="19"/>
        <v>2449.8352044229018</v>
      </c>
      <c r="E235" s="17">
        <f t="shared" si="17"/>
        <v>0</v>
      </c>
      <c r="F235" s="18">
        <f t="shared" si="20"/>
        <v>440287.23191738769</v>
      </c>
    </row>
    <row r="236" spans="1:6" x14ac:dyDescent="0.25">
      <c r="A236" s="8">
        <v>227</v>
      </c>
      <c r="B236" s="17">
        <f t="shared" si="16"/>
        <v>4294.5729840971126</v>
      </c>
      <c r="C236" s="10">
        <f t="shared" si="18"/>
        <v>1834.5301329891154</v>
      </c>
      <c r="D236" s="17">
        <f t="shared" si="19"/>
        <v>2460.0428511079972</v>
      </c>
      <c r="E236" s="17">
        <f t="shared" si="17"/>
        <v>0</v>
      </c>
      <c r="F236" s="18">
        <f t="shared" si="20"/>
        <v>437827.18906627968</v>
      </c>
    </row>
    <row r="237" spans="1:6" x14ac:dyDescent="0.25">
      <c r="A237" s="8">
        <v>228</v>
      </c>
      <c r="B237" s="17">
        <f t="shared" si="16"/>
        <v>4294.5729840971126</v>
      </c>
      <c r="C237" s="10">
        <f t="shared" si="18"/>
        <v>1824.2799544428319</v>
      </c>
      <c r="D237" s="17">
        <f t="shared" si="19"/>
        <v>2470.2930296542809</v>
      </c>
      <c r="E237" s="17">
        <f t="shared" si="17"/>
        <v>0</v>
      </c>
      <c r="F237" s="18">
        <f t="shared" si="20"/>
        <v>435356.89603662537</v>
      </c>
    </row>
    <row r="238" spans="1:6" x14ac:dyDescent="0.25">
      <c r="A238" s="8">
        <v>229</v>
      </c>
      <c r="B238" s="17">
        <f t="shared" si="16"/>
        <v>4294.5729840971126</v>
      </c>
      <c r="C238" s="10">
        <f t="shared" si="18"/>
        <v>1813.9870668192723</v>
      </c>
      <c r="D238" s="17">
        <f t="shared" si="19"/>
        <v>2480.5859172778401</v>
      </c>
      <c r="E238" s="17">
        <f t="shared" si="17"/>
        <v>0</v>
      </c>
      <c r="F238" s="18">
        <f t="shared" si="20"/>
        <v>432876.31011934753</v>
      </c>
    </row>
    <row r="239" spans="1:6" x14ac:dyDescent="0.25">
      <c r="A239" s="8">
        <v>230</v>
      </c>
      <c r="B239" s="17">
        <f t="shared" si="16"/>
        <v>4294.5729840971126</v>
      </c>
      <c r="C239" s="10">
        <f t="shared" si="18"/>
        <v>1803.651292163948</v>
      </c>
      <c r="D239" s="17">
        <f t="shared" si="19"/>
        <v>2490.9216919331648</v>
      </c>
      <c r="E239" s="17">
        <f t="shared" si="17"/>
        <v>0</v>
      </c>
      <c r="F239" s="18">
        <f t="shared" si="20"/>
        <v>430385.38842741435</v>
      </c>
    </row>
    <row r="240" spans="1:6" x14ac:dyDescent="0.25">
      <c r="A240" s="8">
        <v>231</v>
      </c>
      <c r="B240" s="17">
        <f t="shared" si="16"/>
        <v>4294.5729840971126</v>
      </c>
      <c r="C240" s="10">
        <f t="shared" si="18"/>
        <v>1793.2724517808931</v>
      </c>
      <c r="D240" s="17">
        <f t="shared" si="19"/>
        <v>2501.3005323162197</v>
      </c>
      <c r="E240" s="17">
        <f t="shared" si="17"/>
        <v>0</v>
      </c>
      <c r="F240" s="18">
        <f t="shared" si="20"/>
        <v>427884.08789509814</v>
      </c>
    </row>
    <row r="241" spans="1:6" x14ac:dyDescent="0.25">
      <c r="A241" s="8">
        <v>232</v>
      </c>
      <c r="B241" s="17">
        <f t="shared" si="16"/>
        <v>4294.5729840971126</v>
      </c>
      <c r="C241" s="10">
        <f t="shared" si="18"/>
        <v>1782.8503662295755</v>
      </c>
      <c r="D241" s="17">
        <f t="shared" si="19"/>
        <v>2511.7226178675373</v>
      </c>
      <c r="E241" s="17">
        <f t="shared" si="17"/>
        <v>0</v>
      </c>
      <c r="F241" s="18">
        <f t="shared" si="20"/>
        <v>425372.36527723062</v>
      </c>
    </row>
    <row r="242" spans="1:6" x14ac:dyDescent="0.25">
      <c r="A242" s="8">
        <v>233</v>
      </c>
      <c r="B242" s="17">
        <f t="shared" si="16"/>
        <v>4294.5729840971126</v>
      </c>
      <c r="C242" s="10">
        <f t="shared" si="18"/>
        <v>1772.3848553217942</v>
      </c>
      <c r="D242" s="17">
        <f t="shared" si="19"/>
        <v>2522.1881287753185</v>
      </c>
      <c r="E242" s="17">
        <f t="shared" si="17"/>
        <v>0</v>
      </c>
      <c r="F242" s="18">
        <f t="shared" si="20"/>
        <v>422850.17714845529</v>
      </c>
    </row>
    <row r="243" spans="1:6" x14ac:dyDescent="0.25">
      <c r="A243" s="8">
        <v>234</v>
      </c>
      <c r="B243" s="17">
        <f t="shared" si="16"/>
        <v>4294.5729840971126</v>
      </c>
      <c r="C243" s="10">
        <f t="shared" si="18"/>
        <v>1761.8757381185637</v>
      </c>
      <c r="D243" s="17">
        <f t="shared" si="19"/>
        <v>2532.6972459785488</v>
      </c>
      <c r="E243" s="17">
        <f t="shared" si="17"/>
        <v>0</v>
      </c>
      <c r="F243" s="18">
        <f t="shared" si="20"/>
        <v>420317.47990247671</v>
      </c>
    </row>
    <row r="244" spans="1:6" x14ac:dyDescent="0.25">
      <c r="A244" s="8">
        <v>235</v>
      </c>
      <c r="B244" s="17">
        <f t="shared" si="16"/>
        <v>4294.5729840971126</v>
      </c>
      <c r="C244" s="10">
        <f t="shared" si="18"/>
        <v>1751.3228329269862</v>
      </c>
      <c r="D244" s="17">
        <f t="shared" si="19"/>
        <v>2543.2501511701266</v>
      </c>
      <c r="E244" s="17">
        <f t="shared" si="17"/>
        <v>0</v>
      </c>
      <c r="F244" s="18">
        <f t="shared" si="20"/>
        <v>417774.22975130659</v>
      </c>
    </row>
    <row r="245" spans="1:6" x14ac:dyDescent="0.25">
      <c r="A245" s="8">
        <v>236</v>
      </c>
      <c r="B245" s="17">
        <f t="shared" si="16"/>
        <v>4294.5729840971126</v>
      </c>
      <c r="C245" s="10">
        <f t="shared" si="18"/>
        <v>1740.7259572971107</v>
      </c>
      <c r="D245" s="17">
        <f t="shared" si="19"/>
        <v>2553.8470268000019</v>
      </c>
      <c r="E245" s="17">
        <f t="shared" si="17"/>
        <v>0</v>
      </c>
      <c r="F245" s="18">
        <f t="shared" si="20"/>
        <v>415220.38272450661</v>
      </c>
    </row>
    <row r="246" spans="1:6" x14ac:dyDescent="0.25">
      <c r="A246" s="8">
        <v>237</v>
      </c>
      <c r="B246" s="17">
        <f t="shared" si="16"/>
        <v>4294.5729840971126</v>
      </c>
      <c r="C246" s="10">
        <f t="shared" si="18"/>
        <v>1730.0849280187774</v>
      </c>
      <c r="D246" s="17">
        <f t="shared" si="19"/>
        <v>2564.4880560783349</v>
      </c>
      <c r="E246" s="17">
        <f t="shared" si="17"/>
        <v>0</v>
      </c>
      <c r="F246" s="18">
        <f t="shared" si="20"/>
        <v>412655.89466842829</v>
      </c>
    </row>
    <row r="247" spans="1:6" x14ac:dyDescent="0.25">
      <c r="A247" s="8">
        <v>238</v>
      </c>
      <c r="B247" s="17">
        <f t="shared" si="16"/>
        <v>4294.5729840971126</v>
      </c>
      <c r="C247" s="10">
        <f t="shared" si="18"/>
        <v>1719.3995611184512</v>
      </c>
      <c r="D247" s="17">
        <f t="shared" si="19"/>
        <v>2575.1734229786616</v>
      </c>
      <c r="E247" s="17">
        <f t="shared" si="17"/>
        <v>0</v>
      </c>
      <c r="F247" s="18">
        <f t="shared" si="20"/>
        <v>410080.72124544962</v>
      </c>
    </row>
    <row r="248" spans="1:6" x14ac:dyDescent="0.25">
      <c r="A248" s="8">
        <v>239</v>
      </c>
      <c r="B248" s="17">
        <f t="shared" si="16"/>
        <v>4294.5729840971126</v>
      </c>
      <c r="C248" s="10">
        <f t="shared" si="18"/>
        <v>1708.6696718560399</v>
      </c>
      <c r="D248" s="17">
        <f t="shared" si="19"/>
        <v>2585.9033122410729</v>
      </c>
      <c r="E248" s="17">
        <f t="shared" si="17"/>
        <v>0</v>
      </c>
      <c r="F248" s="18">
        <f t="shared" si="20"/>
        <v>407494.81793320854</v>
      </c>
    </row>
    <row r="249" spans="1:6" x14ac:dyDescent="0.25">
      <c r="A249" s="8">
        <v>240</v>
      </c>
      <c r="B249" s="17">
        <f t="shared" si="16"/>
        <v>4294.5729840971126</v>
      </c>
      <c r="C249" s="10">
        <f t="shared" si="18"/>
        <v>1697.8950747217023</v>
      </c>
      <c r="D249" s="17">
        <f t="shared" si="19"/>
        <v>2596.6779093754103</v>
      </c>
      <c r="E249" s="17">
        <f t="shared" si="17"/>
        <v>0</v>
      </c>
      <c r="F249" s="18">
        <f t="shared" si="20"/>
        <v>404898.14002383314</v>
      </c>
    </row>
    <row r="250" spans="1:6" x14ac:dyDescent="0.25">
      <c r="A250" s="8">
        <v>241</v>
      </c>
      <c r="B250" s="17">
        <f t="shared" si="16"/>
        <v>4294.5729840971126</v>
      </c>
      <c r="C250" s="10">
        <f t="shared" si="18"/>
        <v>1687.075583432638</v>
      </c>
      <c r="D250" s="17">
        <f t="shared" si="19"/>
        <v>2607.4974006644743</v>
      </c>
      <c r="E250" s="17">
        <f t="shared" si="17"/>
        <v>0</v>
      </c>
      <c r="F250" s="18">
        <f t="shared" si="20"/>
        <v>402290.64262316865</v>
      </c>
    </row>
    <row r="251" spans="1:6" x14ac:dyDescent="0.25">
      <c r="A251" s="8">
        <v>242</v>
      </c>
      <c r="B251" s="17">
        <f t="shared" si="16"/>
        <v>4294.5729840971126</v>
      </c>
      <c r="C251" s="10">
        <f t="shared" si="18"/>
        <v>1676.2110109298694</v>
      </c>
      <c r="D251" s="17">
        <f t="shared" si="19"/>
        <v>2618.3619731672434</v>
      </c>
      <c r="E251" s="17">
        <f t="shared" si="17"/>
        <v>0</v>
      </c>
      <c r="F251" s="18">
        <f t="shared" si="20"/>
        <v>399672.28065000143</v>
      </c>
    </row>
    <row r="252" spans="1:6" x14ac:dyDescent="0.25">
      <c r="A252" s="8">
        <v>243</v>
      </c>
      <c r="B252" s="17">
        <f t="shared" si="16"/>
        <v>4294.5729840971126</v>
      </c>
      <c r="C252" s="10">
        <f t="shared" si="18"/>
        <v>1665.3011693750059</v>
      </c>
      <c r="D252" s="17">
        <f t="shared" si="19"/>
        <v>2629.2718147221067</v>
      </c>
      <c r="E252" s="17">
        <f t="shared" si="17"/>
        <v>0</v>
      </c>
      <c r="F252" s="18">
        <f t="shared" si="20"/>
        <v>397043.00883527932</v>
      </c>
    </row>
    <row r="253" spans="1:6" x14ac:dyDescent="0.25">
      <c r="A253" s="8">
        <v>244</v>
      </c>
      <c r="B253" s="17">
        <f t="shared" si="16"/>
        <v>4294.5729840971126</v>
      </c>
      <c r="C253" s="10">
        <f t="shared" si="18"/>
        <v>1654.3458701469972</v>
      </c>
      <c r="D253" s="17">
        <f t="shared" si="19"/>
        <v>2640.2271139501154</v>
      </c>
      <c r="E253" s="17">
        <f t="shared" si="17"/>
        <v>0</v>
      </c>
      <c r="F253" s="18">
        <f t="shared" si="20"/>
        <v>394402.7817213292</v>
      </c>
    </row>
    <row r="254" spans="1:6" x14ac:dyDescent="0.25">
      <c r="A254" s="8">
        <v>245</v>
      </c>
      <c r="B254" s="17">
        <f t="shared" si="16"/>
        <v>4294.5729840971126</v>
      </c>
      <c r="C254" s="10">
        <f t="shared" si="18"/>
        <v>1643.3449238388716</v>
      </c>
      <c r="D254" s="17">
        <f t="shared" si="19"/>
        <v>2651.2280602582409</v>
      </c>
      <c r="E254" s="17">
        <f t="shared" si="17"/>
        <v>0</v>
      </c>
      <c r="F254" s="18">
        <f t="shared" si="20"/>
        <v>391751.55366107094</v>
      </c>
    </row>
    <row r="255" spans="1:6" x14ac:dyDescent="0.25">
      <c r="A255" s="8">
        <v>246</v>
      </c>
      <c r="B255" s="17">
        <f t="shared" si="16"/>
        <v>4294.5729840971126</v>
      </c>
      <c r="C255" s="10">
        <f t="shared" si="18"/>
        <v>1632.2981402544622</v>
      </c>
      <c r="D255" s="17">
        <f t="shared" si="19"/>
        <v>2662.2748438426506</v>
      </c>
      <c r="E255" s="17">
        <f t="shared" si="17"/>
        <v>0</v>
      </c>
      <c r="F255" s="18">
        <f t="shared" si="20"/>
        <v>389089.27881722827</v>
      </c>
    </row>
    <row r="256" spans="1:6" x14ac:dyDescent="0.25">
      <c r="A256" s="8">
        <v>247</v>
      </c>
      <c r="B256" s="17">
        <f t="shared" si="16"/>
        <v>4294.5729840971126</v>
      </c>
      <c r="C256" s="10">
        <f t="shared" si="18"/>
        <v>1621.2053284051178</v>
      </c>
      <c r="D256" s="17">
        <f t="shared" si="19"/>
        <v>2673.3676556919945</v>
      </c>
      <c r="E256" s="17">
        <f t="shared" si="17"/>
        <v>0</v>
      </c>
      <c r="F256" s="18">
        <f t="shared" si="20"/>
        <v>386415.91116153629</v>
      </c>
    </row>
    <row r="257" spans="1:6" x14ac:dyDescent="0.25">
      <c r="A257" s="8">
        <v>248</v>
      </c>
      <c r="B257" s="17">
        <f t="shared" si="16"/>
        <v>4294.5729840971126</v>
      </c>
      <c r="C257" s="10">
        <f t="shared" si="18"/>
        <v>1610.0662965064012</v>
      </c>
      <c r="D257" s="17">
        <f t="shared" si="19"/>
        <v>2684.5066875907114</v>
      </c>
      <c r="E257" s="17">
        <f t="shared" si="17"/>
        <v>0</v>
      </c>
      <c r="F257" s="18">
        <f t="shared" si="20"/>
        <v>383731.40447394556</v>
      </c>
    </row>
    <row r="258" spans="1:6" x14ac:dyDescent="0.25">
      <c r="A258" s="8">
        <v>249</v>
      </c>
      <c r="B258" s="17">
        <f t="shared" si="16"/>
        <v>4294.5729840971126</v>
      </c>
      <c r="C258" s="10">
        <f t="shared" si="18"/>
        <v>1598.8808519747731</v>
      </c>
      <c r="D258" s="17">
        <f t="shared" si="19"/>
        <v>2695.6921321223394</v>
      </c>
      <c r="E258" s="17">
        <f t="shared" si="17"/>
        <v>0</v>
      </c>
      <c r="F258" s="18">
        <f t="shared" si="20"/>
        <v>381035.71234182321</v>
      </c>
    </row>
    <row r="259" spans="1:6" x14ac:dyDescent="0.25">
      <c r="A259" s="8">
        <v>250</v>
      </c>
      <c r="B259" s="17">
        <f t="shared" si="16"/>
        <v>4294.5729840971126</v>
      </c>
      <c r="C259" s="10">
        <f t="shared" si="18"/>
        <v>1587.6488014242634</v>
      </c>
      <c r="D259" s="17">
        <f t="shared" si="19"/>
        <v>2706.9241826728494</v>
      </c>
      <c r="E259" s="17">
        <f t="shared" si="17"/>
        <v>0</v>
      </c>
      <c r="F259" s="18">
        <f t="shared" si="20"/>
        <v>378328.78815915034</v>
      </c>
    </row>
    <row r="260" spans="1:6" x14ac:dyDescent="0.25">
      <c r="A260" s="8">
        <v>251</v>
      </c>
      <c r="B260" s="17">
        <f t="shared" si="16"/>
        <v>4294.5729840971126</v>
      </c>
      <c r="C260" s="10">
        <f t="shared" si="18"/>
        <v>1576.3699506631265</v>
      </c>
      <c r="D260" s="17">
        <f t="shared" si="19"/>
        <v>2718.2030334339861</v>
      </c>
      <c r="E260" s="17">
        <f t="shared" si="17"/>
        <v>0</v>
      </c>
      <c r="F260" s="18">
        <f t="shared" si="20"/>
        <v>375610.58512571634</v>
      </c>
    </row>
    <row r="261" spans="1:6" x14ac:dyDescent="0.25">
      <c r="A261" s="8">
        <v>252</v>
      </c>
      <c r="B261" s="17">
        <f t="shared" si="16"/>
        <v>4294.5729840971126</v>
      </c>
      <c r="C261" s="10">
        <f t="shared" si="18"/>
        <v>1565.0441046904848</v>
      </c>
      <c r="D261" s="17">
        <f t="shared" si="19"/>
        <v>2729.5288794066278</v>
      </c>
      <c r="E261" s="17">
        <f t="shared" si="17"/>
        <v>0</v>
      </c>
      <c r="F261" s="18">
        <f t="shared" si="20"/>
        <v>372881.05624630972</v>
      </c>
    </row>
    <row r="262" spans="1:6" x14ac:dyDescent="0.25">
      <c r="A262" s="8">
        <v>253</v>
      </c>
      <c r="B262" s="17">
        <f t="shared" si="16"/>
        <v>4294.5729840971126</v>
      </c>
      <c r="C262" s="10">
        <f t="shared" si="18"/>
        <v>1553.6710676929572</v>
      </c>
      <c r="D262" s="17">
        <f t="shared" si="19"/>
        <v>2740.9019164041556</v>
      </c>
      <c r="E262" s="17">
        <f t="shared" si="17"/>
        <v>0</v>
      </c>
      <c r="F262" s="18">
        <f t="shared" si="20"/>
        <v>370140.15432990558</v>
      </c>
    </row>
    <row r="263" spans="1:6" x14ac:dyDescent="0.25">
      <c r="A263" s="8">
        <v>254</v>
      </c>
      <c r="B263" s="17">
        <f t="shared" si="16"/>
        <v>4294.5729840971126</v>
      </c>
      <c r="C263" s="10">
        <f t="shared" si="18"/>
        <v>1542.2506430412732</v>
      </c>
      <c r="D263" s="17">
        <f t="shared" si="19"/>
        <v>2752.3223410558394</v>
      </c>
      <c r="E263" s="17">
        <f t="shared" si="17"/>
        <v>0</v>
      </c>
      <c r="F263" s="18">
        <f t="shared" si="20"/>
        <v>367387.83198884974</v>
      </c>
    </row>
    <row r="264" spans="1:6" x14ac:dyDescent="0.25">
      <c r="A264" s="8">
        <v>255</v>
      </c>
      <c r="B264" s="17">
        <f t="shared" si="16"/>
        <v>4294.5729840971126</v>
      </c>
      <c r="C264" s="10">
        <f t="shared" si="18"/>
        <v>1530.782633286874</v>
      </c>
      <c r="D264" s="17">
        <f t="shared" si="19"/>
        <v>2763.7903508102386</v>
      </c>
      <c r="E264" s="17">
        <f t="shared" si="17"/>
        <v>0</v>
      </c>
      <c r="F264" s="18">
        <f t="shared" si="20"/>
        <v>364624.04163803952</v>
      </c>
    </row>
    <row r="265" spans="1:6" x14ac:dyDescent="0.25">
      <c r="A265" s="8">
        <v>256</v>
      </c>
      <c r="B265" s="17">
        <f t="shared" si="16"/>
        <v>4294.5729840971126</v>
      </c>
      <c r="C265" s="10">
        <f t="shared" si="18"/>
        <v>1519.2668401584979</v>
      </c>
      <c r="D265" s="17">
        <f t="shared" si="19"/>
        <v>2775.3061439386147</v>
      </c>
      <c r="E265" s="17">
        <f t="shared" si="17"/>
        <v>0</v>
      </c>
      <c r="F265" s="18">
        <f t="shared" si="20"/>
        <v>361848.7354941009</v>
      </c>
    </row>
    <row r="266" spans="1:6" x14ac:dyDescent="0.25">
      <c r="A266" s="8">
        <v>257</v>
      </c>
      <c r="B266" s="17">
        <f t="shared" ref="B266:B329" si="21">PMT(($D$4/12),$D$5,-$D$3)</f>
        <v>4294.5729840971126</v>
      </c>
      <c r="C266" s="10">
        <f t="shared" si="18"/>
        <v>1507.7030645587538</v>
      </c>
      <c r="D266" s="17">
        <f t="shared" si="19"/>
        <v>2786.8699195383588</v>
      </c>
      <c r="E266" s="17">
        <f t="shared" ref="E266:E329" si="22">$G$3</f>
        <v>0</v>
      </c>
      <c r="F266" s="18">
        <f t="shared" si="20"/>
        <v>359061.86557456251</v>
      </c>
    </row>
    <row r="267" spans="1:6" x14ac:dyDescent="0.25">
      <c r="A267" s="8">
        <v>258</v>
      </c>
      <c r="B267" s="17">
        <f t="shared" si="21"/>
        <v>4294.5729840971126</v>
      </c>
      <c r="C267" s="10">
        <f t="shared" ref="C267:C330" si="23">F266*($D$4/12)</f>
        <v>1496.0911065606772</v>
      </c>
      <c r="D267" s="17">
        <f t="shared" ref="D267:D330" si="24">B267-C267</f>
        <v>2798.4818775364356</v>
      </c>
      <c r="E267" s="17">
        <f t="shared" si="22"/>
        <v>0</v>
      </c>
      <c r="F267" s="18">
        <f t="shared" ref="F267:F330" si="25">F266-D267-E267</f>
        <v>356263.38369702606</v>
      </c>
    </row>
    <row r="268" spans="1:6" x14ac:dyDescent="0.25">
      <c r="A268" s="8">
        <v>259</v>
      </c>
      <c r="B268" s="17">
        <f t="shared" si="21"/>
        <v>4294.5729840971126</v>
      </c>
      <c r="C268" s="10">
        <f t="shared" si="23"/>
        <v>1484.4307654042752</v>
      </c>
      <c r="D268" s="17">
        <f t="shared" si="24"/>
        <v>2810.1422186928376</v>
      </c>
      <c r="E268" s="17">
        <f t="shared" si="22"/>
        <v>0</v>
      </c>
      <c r="F268" s="18">
        <f t="shared" si="25"/>
        <v>353453.24147833325</v>
      </c>
    </row>
    <row r="269" spans="1:6" x14ac:dyDescent="0.25">
      <c r="A269" s="8">
        <v>260</v>
      </c>
      <c r="B269" s="17">
        <f t="shared" si="21"/>
        <v>4294.5729840971126</v>
      </c>
      <c r="C269" s="10">
        <f t="shared" si="23"/>
        <v>1472.7218394930551</v>
      </c>
      <c r="D269" s="17">
        <f t="shared" si="24"/>
        <v>2821.8511446040575</v>
      </c>
      <c r="E269" s="17">
        <f t="shared" si="22"/>
        <v>0</v>
      </c>
      <c r="F269" s="18">
        <f t="shared" si="25"/>
        <v>350631.39033372921</v>
      </c>
    </row>
    <row r="270" spans="1:6" x14ac:dyDescent="0.25">
      <c r="A270" s="8">
        <v>261</v>
      </c>
      <c r="B270" s="17">
        <f t="shared" si="21"/>
        <v>4294.5729840971126</v>
      </c>
      <c r="C270" s="10">
        <f t="shared" si="23"/>
        <v>1460.9641263905385</v>
      </c>
      <c r="D270" s="17">
        <f t="shared" si="24"/>
        <v>2833.6088577065739</v>
      </c>
      <c r="E270" s="17">
        <f t="shared" si="22"/>
        <v>0</v>
      </c>
      <c r="F270" s="18">
        <f t="shared" si="25"/>
        <v>347797.78147602262</v>
      </c>
    </row>
    <row r="271" spans="1:6" x14ac:dyDescent="0.25">
      <c r="A271" s="8">
        <v>262</v>
      </c>
      <c r="B271" s="17">
        <f t="shared" si="21"/>
        <v>4294.5729840971126</v>
      </c>
      <c r="C271" s="10">
        <f t="shared" si="23"/>
        <v>1449.1574228167608</v>
      </c>
      <c r="D271" s="17">
        <f t="shared" si="24"/>
        <v>2845.4155612803515</v>
      </c>
      <c r="E271" s="17">
        <f t="shared" si="22"/>
        <v>0</v>
      </c>
      <c r="F271" s="18">
        <f t="shared" si="25"/>
        <v>344952.36591474229</v>
      </c>
    </row>
    <row r="272" spans="1:6" x14ac:dyDescent="0.25">
      <c r="A272" s="8">
        <v>263</v>
      </c>
      <c r="B272" s="17">
        <f t="shared" si="21"/>
        <v>4294.5729840971126</v>
      </c>
      <c r="C272" s="10">
        <f t="shared" si="23"/>
        <v>1437.3015246447594</v>
      </c>
      <c r="D272" s="17">
        <f t="shared" si="24"/>
        <v>2857.2714594523532</v>
      </c>
      <c r="E272" s="17">
        <f t="shared" si="22"/>
        <v>0</v>
      </c>
      <c r="F272" s="18">
        <f t="shared" si="25"/>
        <v>342095.09445528995</v>
      </c>
    </row>
    <row r="273" spans="1:6" x14ac:dyDescent="0.25">
      <c r="A273" s="8">
        <v>264</v>
      </c>
      <c r="B273" s="17">
        <f t="shared" si="21"/>
        <v>4294.5729840971126</v>
      </c>
      <c r="C273" s="10">
        <f t="shared" si="23"/>
        <v>1425.3962268970415</v>
      </c>
      <c r="D273" s="17">
        <f t="shared" si="24"/>
        <v>2869.1767572000708</v>
      </c>
      <c r="E273" s="17">
        <f t="shared" si="22"/>
        <v>0</v>
      </c>
      <c r="F273" s="18">
        <f t="shared" si="25"/>
        <v>339225.91769808985</v>
      </c>
    </row>
    <row r="274" spans="1:6" x14ac:dyDescent="0.25">
      <c r="A274" s="8">
        <v>265</v>
      </c>
      <c r="B274" s="17">
        <f t="shared" si="21"/>
        <v>4294.5729840971126</v>
      </c>
      <c r="C274" s="10">
        <f t="shared" si="23"/>
        <v>1413.441323742041</v>
      </c>
      <c r="D274" s="17">
        <f t="shared" si="24"/>
        <v>2881.1316603550713</v>
      </c>
      <c r="E274" s="17">
        <f t="shared" si="22"/>
        <v>0</v>
      </c>
      <c r="F274" s="18">
        <f t="shared" si="25"/>
        <v>336344.78603773477</v>
      </c>
    </row>
    <row r="275" spans="1:6" x14ac:dyDescent="0.25">
      <c r="A275" s="8">
        <v>266</v>
      </c>
      <c r="B275" s="17">
        <f t="shared" si="21"/>
        <v>4294.5729840971126</v>
      </c>
      <c r="C275" s="10">
        <f t="shared" si="23"/>
        <v>1401.4366084905614</v>
      </c>
      <c r="D275" s="17">
        <f t="shared" si="24"/>
        <v>2893.1363756065512</v>
      </c>
      <c r="E275" s="17">
        <f t="shared" si="22"/>
        <v>0</v>
      </c>
      <c r="F275" s="18">
        <f t="shared" si="25"/>
        <v>333451.64966212824</v>
      </c>
    </row>
    <row r="276" spans="1:6" x14ac:dyDescent="0.25">
      <c r="A276" s="8">
        <v>267</v>
      </c>
      <c r="B276" s="17">
        <f t="shared" si="21"/>
        <v>4294.5729840971126</v>
      </c>
      <c r="C276" s="10">
        <f t="shared" si="23"/>
        <v>1389.3818735922009</v>
      </c>
      <c r="D276" s="17">
        <f t="shared" si="24"/>
        <v>2905.1911105049116</v>
      </c>
      <c r="E276" s="17">
        <f t="shared" si="22"/>
        <v>0</v>
      </c>
      <c r="F276" s="18">
        <f t="shared" si="25"/>
        <v>330546.45855162333</v>
      </c>
    </row>
    <row r="277" spans="1:6" x14ac:dyDescent="0.25">
      <c r="A277" s="8">
        <v>268</v>
      </c>
      <c r="B277" s="17">
        <f t="shared" si="21"/>
        <v>4294.5729840971126</v>
      </c>
      <c r="C277" s="10">
        <f t="shared" si="23"/>
        <v>1377.2769106317639</v>
      </c>
      <c r="D277" s="17">
        <f t="shared" si="24"/>
        <v>2917.2960734653489</v>
      </c>
      <c r="E277" s="17">
        <f t="shared" si="22"/>
        <v>0</v>
      </c>
      <c r="F277" s="18">
        <f t="shared" si="25"/>
        <v>327629.16247815796</v>
      </c>
    </row>
    <row r="278" spans="1:6" x14ac:dyDescent="0.25">
      <c r="A278" s="8">
        <v>269</v>
      </c>
      <c r="B278" s="17">
        <f t="shared" si="21"/>
        <v>4294.5729840971126</v>
      </c>
      <c r="C278" s="10">
        <f t="shared" si="23"/>
        <v>1365.1215103256582</v>
      </c>
      <c r="D278" s="17">
        <f t="shared" si="24"/>
        <v>2929.4514737714544</v>
      </c>
      <c r="E278" s="17">
        <f t="shared" si="22"/>
        <v>0</v>
      </c>
      <c r="F278" s="18">
        <f t="shared" si="25"/>
        <v>324699.71100438648</v>
      </c>
    </row>
    <row r="279" spans="1:6" x14ac:dyDescent="0.25">
      <c r="A279" s="8">
        <v>270</v>
      </c>
      <c r="B279" s="17">
        <f t="shared" si="21"/>
        <v>4294.5729840971126</v>
      </c>
      <c r="C279" s="10">
        <f t="shared" si="23"/>
        <v>1352.9154625182771</v>
      </c>
      <c r="D279" s="17">
        <f t="shared" si="24"/>
        <v>2941.6575215788353</v>
      </c>
      <c r="E279" s="17">
        <f t="shared" si="22"/>
        <v>0</v>
      </c>
      <c r="F279" s="18">
        <f t="shared" si="25"/>
        <v>321758.05348280765</v>
      </c>
    </row>
    <row r="280" spans="1:6" x14ac:dyDescent="0.25">
      <c r="A280" s="8">
        <v>271</v>
      </c>
      <c r="B280" s="17">
        <f t="shared" si="21"/>
        <v>4294.5729840971126</v>
      </c>
      <c r="C280" s="10">
        <f t="shared" si="23"/>
        <v>1340.6585561783652</v>
      </c>
      <c r="D280" s="17">
        <f t="shared" si="24"/>
        <v>2953.9144279187476</v>
      </c>
      <c r="E280" s="17">
        <f t="shared" si="22"/>
        <v>0</v>
      </c>
      <c r="F280" s="18">
        <f t="shared" si="25"/>
        <v>318804.13905488892</v>
      </c>
    </row>
    <row r="281" spans="1:6" x14ac:dyDescent="0.25">
      <c r="A281" s="8">
        <v>272</v>
      </c>
      <c r="B281" s="17">
        <f t="shared" si="21"/>
        <v>4294.5729840971126</v>
      </c>
      <c r="C281" s="10">
        <f t="shared" si="23"/>
        <v>1328.3505793953705</v>
      </c>
      <c r="D281" s="17">
        <f t="shared" si="24"/>
        <v>2966.2224047017421</v>
      </c>
      <c r="E281" s="17">
        <f t="shared" si="22"/>
        <v>0</v>
      </c>
      <c r="F281" s="18">
        <f t="shared" si="25"/>
        <v>315837.91665018717</v>
      </c>
    </row>
    <row r="282" spans="1:6" x14ac:dyDescent="0.25">
      <c r="A282" s="8">
        <v>273</v>
      </c>
      <c r="B282" s="17">
        <f t="shared" si="21"/>
        <v>4294.5729840971126</v>
      </c>
      <c r="C282" s="10">
        <f t="shared" si="23"/>
        <v>1315.9913193757798</v>
      </c>
      <c r="D282" s="17">
        <f t="shared" si="24"/>
        <v>2978.5816647213328</v>
      </c>
      <c r="E282" s="17">
        <f t="shared" si="22"/>
        <v>0</v>
      </c>
      <c r="F282" s="18">
        <f t="shared" si="25"/>
        <v>312859.33498546586</v>
      </c>
    </row>
    <row r="283" spans="1:6" x14ac:dyDescent="0.25">
      <c r="A283" s="8">
        <v>274</v>
      </c>
      <c r="B283" s="17">
        <f t="shared" si="21"/>
        <v>4294.5729840971126</v>
      </c>
      <c r="C283" s="10">
        <f t="shared" si="23"/>
        <v>1303.5805624394411</v>
      </c>
      <c r="D283" s="17">
        <f t="shared" si="24"/>
        <v>2990.9924216576715</v>
      </c>
      <c r="E283" s="17">
        <f t="shared" si="22"/>
        <v>0</v>
      </c>
      <c r="F283" s="18">
        <f t="shared" si="25"/>
        <v>309868.3425638082</v>
      </c>
    </row>
    <row r="284" spans="1:6" x14ac:dyDescent="0.25">
      <c r="A284" s="8">
        <v>275</v>
      </c>
      <c r="B284" s="17">
        <f t="shared" si="21"/>
        <v>4294.5729840971126</v>
      </c>
      <c r="C284" s="10">
        <f t="shared" si="23"/>
        <v>1291.1180940158674</v>
      </c>
      <c r="D284" s="17">
        <f t="shared" si="24"/>
        <v>3003.4548900812451</v>
      </c>
      <c r="E284" s="17">
        <f t="shared" si="22"/>
        <v>0</v>
      </c>
      <c r="F284" s="18">
        <f t="shared" si="25"/>
        <v>306864.88767372695</v>
      </c>
    </row>
    <row r="285" spans="1:6" x14ac:dyDescent="0.25">
      <c r="A285" s="8">
        <v>276</v>
      </c>
      <c r="B285" s="17">
        <f t="shared" si="21"/>
        <v>4294.5729840971126</v>
      </c>
      <c r="C285" s="10">
        <f t="shared" si="23"/>
        <v>1278.6036986405288</v>
      </c>
      <c r="D285" s="17">
        <f t="shared" si="24"/>
        <v>3015.9692854565837</v>
      </c>
      <c r="E285" s="17">
        <f t="shared" si="22"/>
        <v>0</v>
      </c>
      <c r="F285" s="18">
        <f t="shared" si="25"/>
        <v>303848.91838827037</v>
      </c>
    </row>
    <row r="286" spans="1:6" x14ac:dyDescent="0.25">
      <c r="A286" s="8">
        <v>277</v>
      </c>
      <c r="B286" s="17">
        <f t="shared" si="21"/>
        <v>4294.5729840971126</v>
      </c>
      <c r="C286" s="10">
        <f t="shared" si="23"/>
        <v>1266.0371599511266</v>
      </c>
      <c r="D286" s="17">
        <f t="shared" si="24"/>
        <v>3028.5358241459862</v>
      </c>
      <c r="E286" s="17">
        <f t="shared" si="22"/>
        <v>0</v>
      </c>
      <c r="F286" s="18">
        <f t="shared" si="25"/>
        <v>300820.38256412436</v>
      </c>
    </row>
    <row r="287" spans="1:6" x14ac:dyDescent="0.25">
      <c r="A287" s="8">
        <v>278</v>
      </c>
      <c r="B287" s="17">
        <f t="shared" si="21"/>
        <v>4294.5729840971126</v>
      </c>
      <c r="C287" s="10">
        <f t="shared" si="23"/>
        <v>1253.4182606838515</v>
      </c>
      <c r="D287" s="17">
        <f t="shared" si="24"/>
        <v>3041.1547234132613</v>
      </c>
      <c r="E287" s="17">
        <f t="shared" si="22"/>
        <v>0</v>
      </c>
      <c r="F287" s="18">
        <f t="shared" si="25"/>
        <v>297779.22784071107</v>
      </c>
    </row>
    <row r="288" spans="1:6" x14ac:dyDescent="0.25">
      <c r="A288" s="8">
        <v>279</v>
      </c>
      <c r="B288" s="17">
        <f t="shared" si="21"/>
        <v>4294.5729840971126</v>
      </c>
      <c r="C288" s="10">
        <f t="shared" si="23"/>
        <v>1240.7467826696295</v>
      </c>
      <c r="D288" s="17">
        <f t="shared" si="24"/>
        <v>3053.8262014274833</v>
      </c>
      <c r="E288" s="17">
        <f t="shared" si="22"/>
        <v>0</v>
      </c>
      <c r="F288" s="18">
        <f t="shared" si="25"/>
        <v>294725.40163928358</v>
      </c>
    </row>
    <row r="289" spans="1:6" x14ac:dyDescent="0.25">
      <c r="A289" s="8">
        <v>280</v>
      </c>
      <c r="B289" s="17">
        <f t="shared" si="21"/>
        <v>4294.5729840971126</v>
      </c>
      <c r="C289" s="10">
        <f t="shared" si="23"/>
        <v>1228.0225068303482</v>
      </c>
      <c r="D289" s="17">
        <f t="shared" si="24"/>
        <v>3066.5504772667646</v>
      </c>
      <c r="E289" s="17">
        <f t="shared" si="22"/>
        <v>0</v>
      </c>
      <c r="F289" s="18">
        <f t="shared" si="25"/>
        <v>291658.8511620168</v>
      </c>
    </row>
    <row r="290" spans="1:6" x14ac:dyDescent="0.25">
      <c r="A290" s="8">
        <v>281</v>
      </c>
      <c r="B290" s="17">
        <f t="shared" si="21"/>
        <v>4294.5729840971126</v>
      </c>
      <c r="C290" s="10">
        <f t="shared" si="23"/>
        <v>1215.2452131750699</v>
      </c>
      <c r="D290" s="17">
        <f t="shared" si="24"/>
        <v>3079.3277709220429</v>
      </c>
      <c r="E290" s="17">
        <f t="shared" si="22"/>
        <v>0</v>
      </c>
      <c r="F290" s="18">
        <f t="shared" si="25"/>
        <v>288579.52339109476</v>
      </c>
    </row>
    <row r="291" spans="1:6" x14ac:dyDescent="0.25">
      <c r="A291" s="8">
        <v>282</v>
      </c>
      <c r="B291" s="17">
        <f t="shared" si="21"/>
        <v>4294.5729840971126</v>
      </c>
      <c r="C291" s="10">
        <f t="shared" si="23"/>
        <v>1202.4146807962281</v>
      </c>
      <c r="D291" s="17">
        <f t="shared" si="24"/>
        <v>3092.1583033008847</v>
      </c>
      <c r="E291" s="17">
        <f t="shared" si="22"/>
        <v>0</v>
      </c>
      <c r="F291" s="18">
        <f t="shared" si="25"/>
        <v>285487.36508779385</v>
      </c>
    </row>
    <row r="292" spans="1:6" x14ac:dyDescent="0.25">
      <c r="A292" s="8">
        <v>283</v>
      </c>
      <c r="B292" s="17">
        <f t="shared" si="21"/>
        <v>4294.5729840971126</v>
      </c>
      <c r="C292" s="10">
        <f t="shared" si="23"/>
        <v>1189.5306878658077</v>
      </c>
      <c r="D292" s="17">
        <f t="shared" si="24"/>
        <v>3105.042296231305</v>
      </c>
      <c r="E292" s="17">
        <f t="shared" si="22"/>
        <v>0</v>
      </c>
      <c r="F292" s="18">
        <f t="shared" si="25"/>
        <v>282382.32279156253</v>
      </c>
    </row>
    <row r="293" spans="1:6" x14ac:dyDescent="0.25">
      <c r="A293" s="8">
        <v>284</v>
      </c>
      <c r="B293" s="17">
        <f t="shared" si="21"/>
        <v>4294.5729840971126</v>
      </c>
      <c r="C293" s="10">
        <f t="shared" si="23"/>
        <v>1176.5930116315105</v>
      </c>
      <c r="D293" s="17">
        <f t="shared" si="24"/>
        <v>3117.9799724656023</v>
      </c>
      <c r="E293" s="17">
        <f t="shared" si="22"/>
        <v>0</v>
      </c>
      <c r="F293" s="18">
        <f t="shared" si="25"/>
        <v>279264.34281909693</v>
      </c>
    </row>
    <row r="294" spans="1:6" x14ac:dyDescent="0.25">
      <c r="A294" s="8">
        <v>285</v>
      </c>
      <c r="B294" s="17">
        <f t="shared" si="21"/>
        <v>4294.5729840971126</v>
      </c>
      <c r="C294" s="10">
        <f t="shared" si="23"/>
        <v>1163.6014284129039</v>
      </c>
      <c r="D294" s="17">
        <f t="shared" si="24"/>
        <v>3130.9715556842084</v>
      </c>
      <c r="E294" s="17">
        <f t="shared" si="22"/>
        <v>0</v>
      </c>
      <c r="F294" s="18">
        <f t="shared" si="25"/>
        <v>276133.3712634127</v>
      </c>
    </row>
    <row r="295" spans="1:6" x14ac:dyDescent="0.25">
      <c r="A295" s="8">
        <v>286</v>
      </c>
      <c r="B295" s="17">
        <f t="shared" si="21"/>
        <v>4294.5729840971126</v>
      </c>
      <c r="C295" s="10">
        <f t="shared" si="23"/>
        <v>1150.555713597553</v>
      </c>
      <c r="D295" s="17">
        <f t="shared" si="24"/>
        <v>3144.0172704995593</v>
      </c>
      <c r="E295" s="17">
        <f t="shared" si="22"/>
        <v>0</v>
      </c>
      <c r="F295" s="18">
        <f t="shared" si="25"/>
        <v>272989.35399291315</v>
      </c>
    </row>
    <row r="296" spans="1:6" x14ac:dyDescent="0.25">
      <c r="A296" s="8">
        <v>287</v>
      </c>
      <c r="B296" s="17">
        <f t="shared" si="21"/>
        <v>4294.5729840971126</v>
      </c>
      <c r="C296" s="10">
        <f t="shared" si="23"/>
        <v>1137.4556416371381</v>
      </c>
      <c r="D296" s="17">
        <f t="shared" si="24"/>
        <v>3157.1173424599747</v>
      </c>
      <c r="E296" s="17">
        <f t="shared" si="22"/>
        <v>0</v>
      </c>
      <c r="F296" s="18">
        <f t="shared" si="25"/>
        <v>269832.23665045318</v>
      </c>
    </row>
    <row r="297" spans="1:6" x14ac:dyDescent="0.25">
      <c r="A297" s="8">
        <v>288</v>
      </c>
      <c r="B297" s="17">
        <f t="shared" si="21"/>
        <v>4294.5729840971126</v>
      </c>
      <c r="C297" s="10">
        <f t="shared" si="23"/>
        <v>1124.300986043555</v>
      </c>
      <c r="D297" s="17">
        <f t="shared" si="24"/>
        <v>3170.2719980535576</v>
      </c>
      <c r="E297" s="17">
        <f t="shared" si="22"/>
        <v>0</v>
      </c>
      <c r="F297" s="18">
        <f t="shared" si="25"/>
        <v>266661.96465239965</v>
      </c>
    </row>
    <row r="298" spans="1:6" x14ac:dyDescent="0.25">
      <c r="A298" s="8">
        <v>289</v>
      </c>
      <c r="B298" s="17">
        <f t="shared" si="21"/>
        <v>4294.5729840971126</v>
      </c>
      <c r="C298" s="10">
        <f t="shared" si="23"/>
        <v>1111.0915193849985</v>
      </c>
      <c r="D298" s="17">
        <f t="shared" si="24"/>
        <v>3183.4814647121138</v>
      </c>
      <c r="E298" s="17">
        <f t="shared" si="22"/>
        <v>0</v>
      </c>
      <c r="F298" s="18">
        <f t="shared" si="25"/>
        <v>263478.48318768753</v>
      </c>
    </row>
    <row r="299" spans="1:6" x14ac:dyDescent="0.25">
      <c r="A299" s="8">
        <v>290</v>
      </c>
      <c r="B299" s="17">
        <f t="shared" si="21"/>
        <v>4294.5729840971126</v>
      </c>
      <c r="C299" s="10">
        <f t="shared" si="23"/>
        <v>1097.8270132820314</v>
      </c>
      <c r="D299" s="17">
        <f t="shared" si="24"/>
        <v>3196.7459708150809</v>
      </c>
      <c r="E299" s="17">
        <f t="shared" si="22"/>
        <v>0</v>
      </c>
      <c r="F299" s="18">
        <f t="shared" si="25"/>
        <v>260281.73721687245</v>
      </c>
    </row>
    <row r="300" spans="1:6" x14ac:dyDescent="0.25">
      <c r="A300" s="8">
        <v>291</v>
      </c>
      <c r="B300" s="17">
        <f t="shared" si="21"/>
        <v>4294.5729840971126</v>
      </c>
      <c r="C300" s="10">
        <f t="shared" si="23"/>
        <v>1084.5072384036353</v>
      </c>
      <c r="D300" s="17">
        <f t="shared" si="24"/>
        <v>3210.0657456934773</v>
      </c>
      <c r="E300" s="17">
        <f t="shared" si="22"/>
        <v>0</v>
      </c>
      <c r="F300" s="18">
        <f t="shared" si="25"/>
        <v>257071.67147117897</v>
      </c>
    </row>
    <row r="301" spans="1:6" x14ac:dyDescent="0.25">
      <c r="A301" s="8">
        <v>292</v>
      </c>
      <c r="B301" s="17">
        <f t="shared" si="21"/>
        <v>4294.5729840971126</v>
      </c>
      <c r="C301" s="10">
        <f t="shared" si="23"/>
        <v>1071.1319644632456</v>
      </c>
      <c r="D301" s="17">
        <f t="shared" si="24"/>
        <v>3223.4410196338667</v>
      </c>
      <c r="E301" s="17">
        <f t="shared" si="22"/>
        <v>0</v>
      </c>
      <c r="F301" s="18">
        <f t="shared" si="25"/>
        <v>253848.2304515451</v>
      </c>
    </row>
    <row r="302" spans="1:6" x14ac:dyDescent="0.25">
      <c r="A302" s="8">
        <v>293</v>
      </c>
      <c r="B302" s="17">
        <f t="shared" si="21"/>
        <v>4294.5729840971126</v>
      </c>
      <c r="C302" s="10">
        <f t="shared" si="23"/>
        <v>1057.7009602147712</v>
      </c>
      <c r="D302" s="17">
        <f t="shared" si="24"/>
        <v>3236.8720238823416</v>
      </c>
      <c r="E302" s="17">
        <f t="shared" si="22"/>
        <v>0</v>
      </c>
      <c r="F302" s="18">
        <f t="shared" si="25"/>
        <v>250611.35842766275</v>
      </c>
    </row>
    <row r="303" spans="1:6" x14ac:dyDescent="0.25">
      <c r="A303" s="8">
        <v>294</v>
      </c>
      <c r="B303" s="17">
        <f t="shared" si="21"/>
        <v>4294.5729840971126</v>
      </c>
      <c r="C303" s="10">
        <f t="shared" si="23"/>
        <v>1044.2139934485947</v>
      </c>
      <c r="D303" s="17">
        <f t="shared" si="24"/>
        <v>3250.3589906485176</v>
      </c>
      <c r="E303" s="17">
        <f t="shared" si="22"/>
        <v>0</v>
      </c>
      <c r="F303" s="18">
        <f t="shared" si="25"/>
        <v>247360.99943701422</v>
      </c>
    </row>
    <row r="304" spans="1:6" x14ac:dyDescent="0.25">
      <c r="A304" s="8">
        <v>295</v>
      </c>
      <c r="B304" s="17">
        <f t="shared" si="21"/>
        <v>4294.5729840971126</v>
      </c>
      <c r="C304" s="10">
        <f t="shared" si="23"/>
        <v>1030.6708309875592</v>
      </c>
      <c r="D304" s="17">
        <f t="shared" si="24"/>
        <v>3263.9021531095532</v>
      </c>
      <c r="E304" s="17">
        <f t="shared" si="22"/>
        <v>0</v>
      </c>
      <c r="F304" s="18">
        <f t="shared" si="25"/>
        <v>244097.09728390467</v>
      </c>
    </row>
    <row r="305" spans="1:6" x14ac:dyDescent="0.25">
      <c r="A305" s="8">
        <v>296</v>
      </c>
      <c r="B305" s="17">
        <f t="shared" si="21"/>
        <v>4294.5729840971126</v>
      </c>
      <c r="C305" s="10">
        <f t="shared" si="23"/>
        <v>1017.0712386829362</v>
      </c>
      <c r="D305" s="17">
        <f t="shared" si="24"/>
        <v>3277.5017454141762</v>
      </c>
      <c r="E305" s="17">
        <f t="shared" si="22"/>
        <v>0</v>
      </c>
      <c r="F305" s="18">
        <f t="shared" si="25"/>
        <v>240819.59553849051</v>
      </c>
    </row>
    <row r="306" spans="1:6" x14ac:dyDescent="0.25">
      <c r="A306" s="8">
        <v>297</v>
      </c>
      <c r="B306" s="17">
        <f t="shared" si="21"/>
        <v>4294.5729840971126</v>
      </c>
      <c r="C306" s="10">
        <f t="shared" si="23"/>
        <v>1003.4149814103771</v>
      </c>
      <c r="D306" s="17">
        <f t="shared" si="24"/>
        <v>3291.1580026867355</v>
      </c>
      <c r="E306" s="17">
        <f t="shared" si="22"/>
        <v>0</v>
      </c>
      <c r="F306" s="18">
        <f t="shared" si="25"/>
        <v>237528.43753580377</v>
      </c>
    </row>
    <row r="307" spans="1:6" x14ac:dyDescent="0.25">
      <c r="A307" s="8">
        <v>298</v>
      </c>
      <c r="B307" s="17">
        <f t="shared" si="21"/>
        <v>4294.5729840971126</v>
      </c>
      <c r="C307" s="10">
        <f t="shared" si="23"/>
        <v>989.701823065849</v>
      </c>
      <c r="D307" s="17">
        <f t="shared" si="24"/>
        <v>3304.8711610312635</v>
      </c>
      <c r="E307" s="17">
        <f t="shared" si="22"/>
        <v>0</v>
      </c>
      <c r="F307" s="18">
        <f t="shared" si="25"/>
        <v>234223.56637477249</v>
      </c>
    </row>
    <row r="308" spans="1:6" x14ac:dyDescent="0.25">
      <c r="A308" s="8">
        <v>299</v>
      </c>
      <c r="B308" s="17">
        <f t="shared" si="21"/>
        <v>4294.5729840971126</v>
      </c>
      <c r="C308" s="10">
        <f t="shared" si="23"/>
        <v>975.931526561552</v>
      </c>
      <c r="D308" s="17">
        <f t="shared" si="24"/>
        <v>3318.6414575355607</v>
      </c>
      <c r="E308" s="17">
        <f t="shared" si="22"/>
        <v>0</v>
      </c>
      <c r="F308" s="18">
        <f t="shared" si="25"/>
        <v>230904.92491723693</v>
      </c>
    </row>
    <row r="309" spans="1:6" x14ac:dyDescent="0.25">
      <c r="A309" s="8">
        <v>300</v>
      </c>
      <c r="B309" s="17">
        <f t="shared" si="21"/>
        <v>4294.5729840971126</v>
      </c>
      <c r="C309" s="10">
        <f t="shared" si="23"/>
        <v>962.10385382182051</v>
      </c>
      <c r="D309" s="17">
        <f t="shared" si="24"/>
        <v>3332.4691302752922</v>
      </c>
      <c r="E309" s="17">
        <f t="shared" si="22"/>
        <v>0</v>
      </c>
      <c r="F309" s="18">
        <f t="shared" si="25"/>
        <v>227572.45578696163</v>
      </c>
    </row>
    <row r="310" spans="1:6" x14ac:dyDescent="0.25">
      <c r="A310" s="8">
        <v>301</v>
      </c>
      <c r="B310" s="17">
        <f t="shared" si="21"/>
        <v>4294.5729840971126</v>
      </c>
      <c r="C310" s="10">
        <f t="shared" si="23"/>
        <v>948.21856577900678</v>
      </c>
      <c r="D310" s="17">
        <f t="shared" si="24"/>
        <v>3346.3544183181057</v>
      </c>
      <c r="E310" s="17">
        <f t="shared" si="22"/>
        <v>0</v>
      </c>
      <c r="F310" s="18">
        <f t="shared" si="25"/>
        <v>224226.10136864352</v>
      </c>
    </row>
    <row r="311" spans="1:6" x14ac:dyDescent="0.25">
      <c r="A311" s="8">
        <v>302</v>
      </c>
      <c r="B311" s="17">
        <f t="shared" si="21"/>
        <v>4294.5729840971126</v>
      </c>
      <c r="C311" s="10">
        <f t="shared" si="23"/>
        <v>934.27542236934801</v>
      </c>
      <c r="D311" s="17">
        <f t="shared" si="24"/>
        <v>3360.2975617277643</v>
      </c>
      <c r="E311" s="17">
        <f t="shared" si="22"/>
        <v>0</v>
      </c>
      <c r="F311" s="18">
        <f t="shared" si="25"/>
        <v>220865.80380691576</v>
      </c>
    </row>
    <row r="312" spans="1:6" x14ac:dyDescent="0.25">
      <c r="A312" s="8">
        <v>303</v>
      </c>
      <c r="B312" s="17">
        <f t="shared" si="21"/>
        <v>4294.5729840971126</v>
      </c>
      <c r="C312" s="10">
        <f t="shared" si="23"/>
        <v>920.27418252881569</v>
      </c>
      <c r="D312" s="17">
        <f t="shared" si="24"/>
        <v>3374.2988015682968</v>
      </c>
      <c r="E312" s="17">
        <f t="shared" si="22"/>
        <v>0</v>
      </c>
      <c r="F312" s="18">
        <f t="shared" si="25"/>
        <v>217491.50500534746</v>
      </c>
    </row>
    <row r="313" spans="1:6" x14ac:dyDescent="0.25">
      <c r="A313" s="8">
        <v>304</v>
      </c>
      <c r="B313" s="17">
        <f t="shared" si="21"/>
        <v>4294.5729840971126</v>
      </c>
      <c r="C313" s="10">
        <f t="shared" si="23"/>
        <v>906.21460418894776</v>
      </c>
      <c r="D313" s="17">
        <f t="shared" si="24"/>
        <v>3388.3583799081648</v>
      </c>
      <c r="E313" s="17">
        <f t="shared" si="22"/>
        <v>0</v>
      </c>
      <c r="F313" s="18">
        <f t="shared" si="25"/>
        <v>214103.14662543929</v>
      </c>
    </row>
    <row r="314" spans="1:6" x14ac:dyDescent="0.25">
      <c r="A314" s="8">
        <v>305</v>
      </c>
      <c r="B314" s="17">
        <f t="shared" si="21"/>
        <v>4294.5729840971126</v>
      </c>
      <c r="C314" s="10">
        <f t="shared" si="23"/>
        <v>892.09644427266369</v>
      </c>
      <c r="D314" s="17">
        <f t="shared" si="24"/>
        <v>3402.476539824449</v>
      </c>
      <c r="E314" s="17">
        <f t="shared" si="22"/>
        <v>0</v>
      </c>
      <c r="F314" s="18">
        <f t="shared" si="25"/>
        <v>210700.67008561484</v>
      </c>
    </row>
    <row r="315" spans="1:6" x14ac:dyDescent="0.25">
      <c r="A315" s="8">
        <v>306</v>
      </c>
      <c r="B315" s="17">
        <f t="shared" si="21"/>
        <v>4294.5729840971126</v>
      </c>
      <c r="C315" s="10">
        <f t="shared" si="23"/>
        <v>877.91945869006179</v>
      </c>
      <c r="D315" s="17">
        <f t="shared" si="24"/>
        <v>3416.6535254070509</v>
      </c>
      <c r="E315" s="17">
        <f t="shared" si="22"/>
        <v>0</v>
      </c>
      <c r="F315" s="18">
        <f t="shared" si="25"/>
        <v>207284.01656020779</v>
      </c>
    </row>
    <row r="316" spans="1:6" x14ac:dyDescent="0.25">
      <c r="A316" s="8">
        <v>307</v>
      </c>
      <c r="B316" s="17">
        <f t="shared" si="21"/>
        <v>4294.5729840971126</v>
      </c>
      <c r="C316" s="10">
        <f t="shared" si="23"/>
        <v>863.68340233419906</v>
      </c>
      <c r="D316" s="17">
        <f t="shared" si="24"/>
        <v>3430.8895817629136</v>
      </c>
      <c r="E316" s="17">
        <f t="shared" si="22"/>
        <v>0</v>
      </c>
      <c r="F316" s="18">
        <f t="shared" si="25"/>
        <v>203853.12697844487</v>
      </c>
    </row>
    <row r="317" spans="1:6" x14ac:dyDescent="0.25">
      <c r="A317" s="8">
        <v>308</v>
      </c>
      <c r="B317" s="17">
        <f t="shared" si="21"/>
        <v>4294.5729840971126</v>
      </c>
      <c r="C317" s="10">
        <f t="shared" si="23"/>
        <v>849.38802907685363</v>
      </c>
      <c r="D317" s="17">
        <f t="shared" si="24"/>
        <v>3445.1849550202587</v>
      </c>
      <c r="E317" s="17">
        <f t="shared" si="22"/>
        <v>0</v>
      </c>
      <c r="F317" s="18">
        <f t="shared" si="25"/>
        <v>200407.94202342461</v>
      </c>
    </row>
    <row r="318" spans="1:6" x14ac:dyDescent="0.25">
      <c r="A318" s="8">
        <v>309</v>
      </c>
      <c r="B318" s="17">
        <f t="shared" si="21"/>
        <v>4294.5729840971126</v>
      </c>
      <c r="C318" s="10">
        <f t="shared" si="23"/>
        <v>835.03309176426922</v>
      </c>
      <c r="D318" s="17">
        <f t="shared" si="24"/>
        <v>3459.5398923328435</v>
      </c>
      <c r="E318" s="17">
        <f t="shared" si="22"/>
        <v>0</v>
      </c>
      <c r="F318" s="18">
        <f t="shared" si="25"/>
        <v>196948.40213109177</v>
      </c>
    </row>
    <row r="319" spans="1:6" x14ac:dyDescent="0.25">
      <c r="A319" s="8">
        <v>310</v>
      </c>
      <c r="B319" s="17">
        <f t="shared" si="21"/>
        <v>4294.5729840971126</v>
      </c>
      <c r="C319" s="10">
        <f t="shared" si="23"/>
        <v>820.61834221288234</v>
      </c>
      <c r="D319" s="17">
        <f t="shared" si="24"/>
        <v>3473.9546418842301</v>
      </c>
      <c r="E319" s="17">
        <f t="shared" si="22"/>
        <v>0</v>
      </c>
      <c r="F319" s="18">
        <f t="shared" si="25"/>
        <v>193474.44748920755</v>
      </c>
    </row>
    <row r="320" spans="1:6" x14ac:dyDescent="0.25">
      <c r="A320" s="8">
        <v>311</v>
      </c>
      <c r="B320" s="17">
        <f t="shared" si="21"/>
        <v>4294.5729840971126</v>
      </c>
      <c r="C320" s="10">
        <f t="shared" si="23"/>
        <v>806.14353120503142</v>
      </c>
      <c r="D320" s="17">
        <f t="shared" si="24"/>
        <v>3488.4294528920809</v>
      </c>
      <c r="E320" s="17">
        <f t="shared" si="22"/>
        <v>0</v>
      </c>
      <c r="F320" s="18">
        <f t="shared" si="25"/>
        <v>189986.01803631548</v>
      </c>
    </row>
    <row r="321" spans="1:6" x14ac:dyDescent="0.25">
      <c r="A321" s="8">
        <v>312</v>
      </c>
      <c r="B321" s="17">
        <f t="shared" si="21"/>
        <v>4294.5729840971126</v>
      </c>
      <c r="C321" s="10">
        <f t="shared" si="23"/>
        <v>791.60840848464784</v>
      </c>
      <c r="D321" s="17">
        <f t="shared" si="24"/>
        <v>3502.9645756124646</v>
      </c>
      <c r="E321" s="17">
        <f t="shared" si="22"/>
        <v>0</v>
      </c>
      <c r="F321" s="18">
        <f t="shared" si="25"/>
        <v>186483.05346070303</v>
      </c>
    </row>
    <row r="322" spans="1:6" x14ac:dyDescent="0.25">
      <c r="A322" s="8">
        <v>313</v>
      </c>
      <c r="B322" s="17">
        <f t="shared" si="21"/>
        <v>4294.5729840971126</v>
      </c>
      <c r="C322" s="10">
        <f t="shared" si="23"/>
        <v>777.01272275292922</v>
      </c>
      <c r="D322" s="17">
        <f t="shared" si="24"/>
        <v>3517.5602613441833</v>
      </c>
      <c r="E322" s="17">
        <f t="shared" si="22"/>
        <v>0</v>
      </c>
      <c r="F322" s="18">
        <f t="shared" si="25"/>
        <v>182965.49319935884</v>
      </c>
    </row>
    <row r="323" spans="1:6" x14ac:dyDescent="0.25">
      <c r="A323" s="8">
        <v>314</v>
      </c>
      <c r="B323" s="17">
        <f t="shared" si="21"/>
        <v>4294.5729840971126</v>
      </c>
      <c r="C323" s="10">
        <f t="shared" si="23"/>
        <v>762.35622166399514</v>
      </c>
      <c r="D323" s="17">
        <f t="shared" si="24"/>
        <v>3532.2167624331173</v>
      </c>
      <c r="E323" s="17">
        <f t="shared" si="22"/>
        <v>0</v>
      </c>
      <c r="F323" s="18">
        <f t="shared" si="25"/>
        <v>179433.27643692572</v>
      </c>
    </row>
    <row r="324" spans="1:6" x14ac:dyDescent="0.25">
      <c r="A324" s="8">
        <v>315</v>
      </c>
      <c r="B324" s="17">
        <f t="shared" si="21"/>
        <v>4294.5729840971126</v>
      </c>
      <c r="C324" s="10">
        <f t="shared" si="23"/>
        <v>747.63865182052382</v>
      </c>
      <c r="D324" s="17">
        <f t="shared" si="24"/>
        <v>3546.934332276589</v>
      </c>
      <c r="E324" s="17">
        <f t="shared" si="22"/>
        <v>0</v>
      </c>
      <c r="F324" s="18">
        <f t="shared" si="25"/>
        <v>175886.34210464914</v>
      </c>
    </row>
    <row r="325" spans="1:6" x14ac:dyDescent="0.25">
      <c r="A325" s="8">
        <v>316</v>
      </c>
      <c r="B325" s="17">
        <f t="shared" si="21"/>
        <v>4294.5729840971126</v>
      </c>
      <c r="C325" s="10">
        <f t="shared" si="23"/>
        <v>732.85975876937141</v>
      </c>
      <c r="D325" s="17">
        <f t="shared" si="24"/>
        <v>3561.7132253277414</v>
      </c>
      <c r="E325" s="17">
        <f t="shared" si="22"/>
        <v>0</v>
      </c>
      <c r="F325" s="18">
        <f t="shared" si="25"/>
        <v>172324.62887932139</v>
      </c>
    </row>
    <row r="326" spans="1:6" x14ac:dyDescent="0.25">
      <c r="A326" s="8">
        <v>317</v>
      </c>
      <c r="B326" s="17">
        <f t="shared" si="21"/>
        <v>4294.5729840971126</v>
      </c>
      <c r="C326" s="10">
        <f t="shared" si="23"/>
        <v>718.01928699717246</v>
      </c>
      <c r="D326" s="17">
        <f t="shared" si="24"/>
        <v>3576.5536970999401</v>
      </c>
      <c r="E326" s="17">
        <f t="shared" si="22"/>
        <v>0</v>
      </c>
      <c r="F326" s="18">
        <f t="shared" si="25"/>
        <v>168748.07518222145</v>
      </c>
    </row>
    <row r="327" spans="1:6" x14ac:dyDescent="0.25">
      <c r="A327" s="8">
        <v>318</v>
      </c>
      <c r="B327" s="17">
        <f t="shared" si="21"/>
        <v>4294.5729840971126</v>
      </c>
      <c r="C327" s="10">
        <f t="shared" si="23"/>
        <v>703.11697992592269</v>
      </c>
      <c r="D327" s="17">
        <f t="shared" si="24"/>
        <v>3591.4560041711898</v>
      </c>
      <c r="E327" s="17">
        <f t="shared" si="22"/>
        <v>0</v>
      </c>
      <c r="F327" s="18">
        <f t="shared" si="25"/>
        <v>165156.61917805026</v>
      </c>
    </row>
    <row r="328" spans="1:6" x14ac:dyDescent="0.25">
      <c r="A328" s="8">
        <v>319</v>
      </c>
      <c r="B328" s="17">
        <f t="shared" si="21"/>
        <v>4294.5729840971126</v>
      </c>
      <c r="C328" s="10">
        <f t="shared" si="23"/>
        <v>688.15257990854275</v>
      </c>
      <c r="D328" s="17">
        <f t="shared" si="24"/>
        <v>3606.4204041885696</v>
      </c>
      <c r="E328" s="17">
        <f t="shared" si="22"/>
        <v>0</v>
      </c>
      <c r="F328" s="18">
        <f t="shared" si="25"/>
        <v>161550.19877386169</v>
      </c>
    </row>
    <row r="329" spans="1:6" x14ac:dyDescent="0.25">
      <c r="A329" s="8">
        <v>320</v>
      </c>
      <c r="B329" s="17">
        <f t="shared" si="21"/>
        <v>4294.5729840971126</v>
      </c>
      <c r="C329" s="10">
        <f t="shared" si="23"/>
        <v>673.12582822442369</v>
      </c>
      <c r="D329" s="17">
        <f t="shared" si="24"/>
        <v>3621.4471558726891</v>
      </c>
      <c r="E329" s="17">
        <f t="shared" si="22"/>
        <v>0</v>
      </c>
      <c r="F329" s="18">
        <f t="shared" si="25"/>
        <v>157928.75161798901</v>
      </c>
    </row>
    <row r="330" spans="1:6" x14ac:dyDescent="0.25">
      <c r="A330" s="8">
        <v>321</v>
      </c>
      <c r="B330" s="17">
        <f t="shared" ref="B330:B369" si="26">PMT(($D$4/12),$D$5,-$D$3)</f>
        <v>4294.5729840971126</v>
      </c>
      <c r="C330" s="10">
        <f t="shared" si="23"/>
        <v>658.03646507495421</v>
      </c>
      <c r="D330" s="17">
        <f t="shared" si="24"/>
        <v>3636.5365190221582</v>
      </c>
      <c r="E330" s="17">
        <f t="shared" ref="E330:E369" si="27">$G$3</f>
        <v>0</v>
      </c>
      <c r="F330" s="18">
        <f t="shared" si="25"/>
        <v>154292.21509896684</v>
      </c>
    </row>
    <row r="331" spans="1:6" x14ac:dyDescent="0.25">
      <c r="A331" s="8">
        <v>322</v>
      </c>
      <c r="B331" s="17">
        <f t="shared" si="26"/>
        <v>4294.5729840971126</v>
      </c>
      <c r="C331" s="10">
        <f t="shared" ref="C331:C369" si="28">F330*($D$4/12)</f>
        <v>642.88422957902856</v>
      </c>
      <c r="D331" s="17">
        <f t="shared" ref="D331:D369" si="29">B331-C331</f>
        <v>3651.6887545180839</v>
      </c>
      <c r="E331" s="17">
        <f t="shared" si="27"/>
        <v>0</v>
      </c>
      <c r="F331" s="18">
        <f t="shared" ref="F331:F369" si="30">F330-D331-E331</f>
        <v>150640.52634444876</v>
      </c>
    </row>
    <row r="332" spans="1:6" x14ac:dyDescent="0.25">
      <c r="A332" s="8">
        <v>323</v>
      </c>
      <c r="B332" s="17">
        <f t="shared" si="26"/>
        <v>4294.5729840971126</v>
      </c>
      <c r="C332" s="10">
        <f t="shared" si="28"/>
        <v>627.66885976853655</v>
      </c>
      <c r="D332" s="17">
        <f t="shared" si="29"/>
        <v>3666.904124328576</v>
      </c>
      <c r="E332" s="17">
        <f t="shared" si="27"/>
        <v>0</v>
      </c>
      <c r="F332" s="18">
        <f t="shared" si="30"/>
        <v>146973.62222012019</v>
      </c>
    </row>
    <row r="333" spans="1:6" x14ac:dyDescent="0.25">
      <c r="A333" s="8">
        <v>324</v>
      </c>
      <c r="B333" s="17">
        <f t="shared" si="26"/>
        <v>4294.5729840971126</v>
      </c>
      <c r="C333" s="10">
        <f t="shared" si="28"/>
        <v>612.39009258383408</v>
      </c>
      <c r="D333" s="17">
        <f t="shared" si="29"/>
        <v>3682.1828915132783</v>
      </c>
      <c r="E333" s="17">
        <f t="shared" si="27"/>
        <v>0</v>
      </c>
      <c r="F333" s="18">
        <f t="shared" si="30"/>
        <v>143291.43932860691</v>
      </c>
    </row>
    <row r="334" spans="1:6" x14ac:dyDescent="0.25">
      <c r="A334" s="8">
        <v>325</v>
      </c>
      <c r="B334" s="17">
        <f t="shared" si="26"/>
        <v>4294.5729840971126</v>
      </c>
      <c r="C334" s="10">
        <f t="shared" si="28"/>
        <v>597.0476638691955</v>
      </c>
      <c r="D334" s="17">
        <f t="shared" si="29"/>
        <v>3697.5253202279173</v>
      </c>
      <c r="E334" s="17">
        <f t="shared" si="27"/>
        <v>0</v>
      </c>
      <c r="F334" s="18">
        <f t="shared" si="30"/>
        <v>139593.91400837898</v>
      </c>
    </row>
    <row r="335" spans="1:6" x14ac:dyDescent="0.25">
      <c r="A335" s="8">
        <v>326</v>
      </c>
      <c r="B335" s="17">
        <f t="shared" si="26"/>
        <v>4294.5729840971126</v>
      </c>
      <c r="C335" s="10">
        <f t="shared" si="28"/>
        <v>581.64130836824575</v>
      </c>
      <c r="D335" s="17">
        <f t="shared" si="29"/>
        <v>3712.931675728867</v>
      </c>
      <c r="E335" s="17">
        <f t="shared" si="27"/>
        <v>0</v>
      </c>
      <c r="F335" s="18">
        <f t="shared" si="30"/>
        <v>135880.98233265011</v>
      </c>
    </row>
    <row r="336" spans="1:6" x14ac:dyDescent="0.25">
      <c r="A336" s="8">
        <v>327</v>
      </c>
      <c r="B336" s="17">
        <f t="shared" si="26"/>
        <v>4294.5729840971126</v>
      </c>
      <c r="C336" s="10">
        <f t="shared" si="28"/>
        <v>566.17075971937538</v>
      </c>
      <c r="D336" s="17">
        <f t="shared" si="29"/>
        <v>3728.4022243777372</v>
      </c>
      <c r="E336" s="17">
        <f t="shared" si="27"/>
        <v>0</v>
      </c>
      <c r="F336" s="18">
        <f t="shared" si="30"/>
        <v>132152.58010827238</v>
      </c>
    </row>
    <row r="337" spans="1:6" x14ac:dyDescent="0.25">
      <c r="A337" s="8">
        <v>328</v>
      </c>
      <c r="B337" s="17">
        <f t="shared" si="26"/>
        <v>4294.5729840971126</v>
      </c>
      <c r="C337" s="10">
        <f t="shared" si="28"/>
        <v>550.63575045113487</v>
      </c>
      <c r="D337" s="17">
        <f t="shared" si="29"/>
        <v>3743.9372336459778</v>
      </c>
      <c r="E337" s="17">
        <f t="shared" si="27"/>
        <v>0</v>
      </c>
      <c r="F337" s="18">
        <f t="shared" si="30"/>
        <v>128408.6428746264</v>
      </c>
    </row>
    <row r="338" spans="1:6" x14ac:dyDescent="0.25">
      <c r="A338" s="8">
        <v>329</v>
      </c>
      <c r="B338" s="17">
        <f t="shared" si="26"/>
        <v>4294.5729840971126</v>
      </c>
      <c r="C338" s="10">
        <f t="shared" si="28"/>
        <v>535.03601197760997</v>
      </c>
      <c r="D338" s="17">
        <f t="shared" si="29"/>
        <v>3759.5369721195025</v>
      </c>
      <c r="E338" s="17">
        <f t="shared" si="27"/>
        <v>0</v>
      </c>
      <c r="F338" s="18">
        <f t="shared" si="30"/>
        <v>124649.1059025069</v>
      </c>
    </row>
    <row r="339" spans="1:6" x14ac:dyDescent="0.25">
      <c r="A339" s="8">
        <v>330</v>
      </c>
      <c r="B339" s="17">
        <f t="shared" si="26"/>
        <v>4294.5729840971126</v>
      </c>
      <c r="C339" s="10">
        <f t="shared" si="28"/>
        <v>519.37127459377871</v>
      </c>
      <c r="D339" s="17">
        <f t="shared" si="29"/>
        <v>3775.2017095033339</v>
      </c>
      <c r="E339" s="17">
        <f t="shared" si="27"/>
        <v>0</v>
      </c>
      <c r="F339" s="18">
        <f t="shared" si="30"/>
        <v>120873.90419300356</v>
      </c>
    </row>
    <row r="340" spans="1:6" x14ac:dyDescent="0.25">
      <c r="A340" s="8">
        <v>331</v>
      </c>
      <c r="B340" s="17">
        <f t="shared" si="26"/>
        <v>4294.5729840971126</v>
      </c>
      <c r="C340" s="10">
        <f t="shared" si="28"/>
        <v>503.64126747084816</v>
      </c>
      <c r="D340" s="17">
        <f t="shared" si="29"/>
        <v>3790.9317166262645</v>
      </c>
      <c r="E340" s="17">
        <f t="shared" si="27"/>
        <v>0</v>
      </c>
      <c r="F340" s="18">
        <f t="shared" si="30"/>
        <v>117082.9724763773</v>
      </c>
    </row>
    <row r="341" spans="1:6" x14ac:dyDescent="0.25">
      <c r="A341" s="8">
        <v>332</v>
      </c>
      <c r="B341" s="17">
        <f t="shared" si="26"/>
        <v>4294.5729840971126</v>
      </c>
      <c r="C341" s="10">
        <f t="shared" si="28"/>
        <v>487.84571865157204</v>
      </c>
      <c r="D341" s="17">
        <f t="shared" si="29"/>
        <v>3806.7272654455405</v>
      </c>
      <c r="E341" s="17">
        <f t="shared" si="27"/>
        <v>0</v>
      </c>
      <c r="F341" s="18">
        <f t="shared" si="30"/>
        <v>113276.24521093175</v>
      </c>
    </row>
    <row r="342" spans="1:6" x14ac:dyDescent="0.25">
      <c r="A342" s="8">
        <v>333</v>
      </c>
      <c r="B342" s="17">
        <f t="shared" si="26"/>
        <v>4294.5729840971126</v>
      </c>
      <c r="C342" s="10">
        <f t="shared" si="28"/>
        <v>471.98435504554897</v>
      </c>
      <c r="D342" s="17">
        <f t="shared" si="29"/>
        <v>3822.5886290515637</v>
      </c>
      <c r="E342" s="17">
        <f t="shared" si="27"/>
        <v>0</v>
      </c>
      <c r="F342" s="18">
        <f t="shared" si="30"/>
        <v>109453.65658188019</v>
      </c>
    </row>
    <row r="343" spans="1:6" x14ac:dyDescent="0.25">
      <c r="A343" s="8">
        <v>334</v>
      </c>
      <c r="B343" s="17">
        <f t="shared" si="26"/>
        <v>4294.5729840971126</v>
      </c>
      <c r="C343" s="10">
        <f t="shared" si="28"/>
        <v>456.05690242450078</v>
      </c>
      <c r="D343" s="17">
        <f t="shared" si="29"/>
        <v>3838.516081672612</v>
      </c>
      <c r="E343" s="17">
        <f t="shared" si="27"/>
        <v>0</v>
      </c>
      <c r="F343" s="18">
        <f t="shared" si="30"/>
        <v>105615.14050020758</v>
      </c>
    </row>
    <row r="344" spans="1:6" x14ac:dyDescent="0.25">
      <c r="A344" s="8">
        <v>335</v>
      </c>
      <c r="B344" s="17">
        <f t="shared" si="26"/>
        <v>4294.5729840971126</v>
      </c>
      <c r="C344" s="10">
        <f t="shared" si="28"/>
        <v>440.06308541753157</v>
      </c>
      <c r="D344" s="17">
        <f t="shared" si="29"/>
        <v>3854.5098986795811</v>
      </c>
      <c r="E344" s="17">
        <f t="shared" si="27"/>
        <v>0</v>
      </c>
      <c r="F344" s="18">
        <f t="shared" si="30"/>
        <v>101760.630601528</v>
      </c>
    </row>
    <row r="345" spans="1:6" x14ac:dyDescent="0.25">
      <c r="A345" s="8">
        <v>336</v>
      </c>
      <c r="B345" s="17">
        <f t="shared" si="26"/>
        <v>4294.5729840971126</v>
      </c>
      <c r="C345" s="10">
        <f t="shared" si="28"/>
        <v>424.00262750636665</v>
      </c>
      <c r="D345" s="17">
        <f t="shared" si="29"/>
        <v>3870.5703565907461</v>
      </c>
      <c r="E345" s="17">
        <f t="shared" si="27"/>
        <v>0</v>
      </c>
      <c r="F345" s="18">
        <f t="shared" si="30"/>
        <v>97890.060244937253</v>
      </c>
    </row>
    <row r="346" spans="1:6" x14ac:dyDescent="0.25">
      <c r="A346" s="8">
        <v>337</v>
      </c>
      <c r="B346" s="17">
        <f t="shared" si="26"/>
        <v>4294.5729840971126</v>
      </c>
      <c r="C346" s="10">
        <f t="shared" si="28"/>
        <v>407.87525102057191</v>
      </c>
      <c r="D346" s="17">
        <f t="shared" si="29"/>
        <v>3886.6977330765408</v>
      </c>
      <c r="E346" s="17">
        <f t="shared" si="27"/>
        <v>0</v>
      </c>
      <c r="F346" s="18">
        <f t="shared" si="30"/>
        <v>94003.362511860716</v>
      </c>
    </row>
    <row r="347" spans="1:6" x14ac:dyDescent="0.25">
      <c r="A347" s="8">
        <v>338</v>
      </c>
      <c r="B347" s="17">
        <f t="shared" si="26"/>
        <v>4294.5729840971126</v>
      </c>
      <c r="C347" s="10">
        <f t="shared" si="28"/>
        <v>391.68067713275298</v>
      </c>
      <c r="D347" s="17">
        <f t="shared" si="29"/>
        <v>3902.8923069643597</v>
      </c>
      <c r="E347" s="17">
        <f t="shared" si="27"/>
        <v>0</v>
      </c>
      <c r="F347" s="18">
        <f t="shared" si="30"/>
        <v>90100.470204896352</v>
      </c>
    </row>
    <row r="348" spans="1:6" x14ac:dyDescent="0.25">
      <c r="A348" s="8">
        <v>339</v>
      </c>
      <c r="B348" s="17">
        <f t="shared" si="26"/>
        <v>4294.5729840971126</v>
      </c>
      <c r="C348" s="10">
        <f t="shared" si="28"/>
        <v>375.4186258537348</v>
      </c>
      <c r="D348" s="17">
        <f t="shared" si="29"/>
        <v>3919.1543582433778</v>
      </c>
      <c r="E348" s="17">
        <f t="shared" si="27"/>
        <v>0</v>
      </c>
      <c r="F348" s="18">
        <f t="shared" si="30"/>
        <v>86181.315846652971</v>
      </c>
    </row>
    <row r="349" spans="1:6" x14ac:dyDescent="0.25">
      <c r="A349" s="8">
        <v>340</v>
      </c>
      <c r="B349" s="17">
        <f t="shared" si="26"/>
        <v>4294.5729840971126</v>
      </c>
      <c r="C349" s="10">
        <f t="shared" si="28"/>
        <v>359.08881602772072</v>
      </c>
      <c r="D349" s="17">
        <f t="shared" si="29"/>
        <v>3935.4841680693917</v>
      </c>
      <c r="E349" s="17">
        <f t="shared" si="27"/>
        <v>0</v>
      </c>
      <c r="F349" s="18">
        <f t="shared" si="30"/>
        <v>82245.831678583578</v>
      </c>
    </row>
    <row r="350" spans="1:6" x14ac:dyDescent="0.25">
      <c r="A350" s="8">
        <v>341</v>
      </c>
      <c r="B350" s="17">
        <f t="shared" si="26"/>
        <v>4294.5729840971126</v>
      </c>
      <c r="C350" s="10">
        <f t="shared" si="28"/>
        <v>342.69096532743157</v>
      </c>
      <c r="D350" s="17">
        <f t="shared" si="29"/>
        <v>3951.8820187696811</v>
      </c>
      <c r="E350" s="17">
        <f t="shared" si="27"/>
        <v>0</v>
      </c>
      <c r="F350" s="18">
        <f t="shared" si="30"/>
        <v>78293.949659813894</v>
      </c>
    </row>
    <row r="351" spans="1:6" x14ac:dyDescent="0.25">
      <c r="A351" s="8">
        <v>342</v>
      </c>
      <c r="B351" s="17">
        <f t="shared" si="26"/>
        <v>4294.5729840971126</v>
      </c>
      <c r="C351" s="10">
        <f t="shared" si="28"/>
        <v>326.22479024922455</v>
      </c>
      <c r="D351" s="17">
        <f t="shared" si="29"/>
        <v>3968.3481938478881</v>
      </c>
      <c r="E351" s="17">
        <f t="shared" si="27"/>
        <v>0</v>
      </c>
      <c r="F351" s="18">
        <f t="shared" si="30"/>
        <v>74325.601465966</v>
      </c>
    </row>
    <row r="352" spans="1:6" x14ac:dyDescent="0.25">
      <c r="A352" s="8">
        <v>343</v>
      </c>
      <c r="B352" s="17">
        <f t="shared" si="26"/>
        <v>4294.5729840971126</v>
      </c>
      <c r="C352" s="10">
        <f t="shared" si="28"/>
        <v>309.69000610819165</v>
      </c>
      <c r="D352" s="17">
        <f t="shared" si="29"/>
        <v>3984.8829779889211</v>
      </c>
      <c r="E352" s="17">
        <f t="shared" si="27"/>
        <v>0</v>
      </c>
      <c r="F352" s="18">
        <f t="shared" si="30"/>
        <v>70340.718487977079</v>
      </c>
    </row>
    <row r="353" spans="1:6" x14ac:dyDescent="0.25">
      <c r="A353" s="8">
        <v>344</v>
      </c>
      <c r="B353" s="17">
        <f t="shared" si="26"/>
        <v>4294.5729840971126</v>
      </c>
      <c r="C353" s="10">
        <f t="shared" si="28"/>
        <v>293.08632703323781</v>
      </c>
      <c r="D353" s="17">
        <f t="shared" si="29"/>
        <v>4001.4866570638746</v>
      </c>
      <c r="E353" s="17">
        <f t="shared" si="27"/>
        <v>0</v>
      </c>
      <c r="F353" s="18">
        <f t="shared" si="30"/>
        <v>66339.23183091321</v>
      </c>
    </row>
    <row r="354" spans="1:6" x14ac:dyDescent="0.25">
      <c r="A354" s="8">
        <v>345</v>
      </c>
      <c r="B354" s="17">
        <f t="shared" si="26"/>
        <v>4294.5729840971126</v>
      </c>
      <c r="C354" s="10">
        <f t="shared" si="28"/>
        <v>276.41346596213839</v>
      </c>
      <c r="D354" s="17">
        <f t="shared" si="29"/>
        <v>4018.159518134974</v>
      </c>
      <c r="E354" s="17">
        <f t="shared" si="27"/>
        <v>0</v>
      </c>
      <c r="F354" s="18">
        <f t="shared" si="30"/>
        <v>62321.072312778233</v>
      </c>
    </row>
    <row r="355" spans="1:6" x14ac:dyDescent="0.25">
      <c r="A355" s="8">
        <v>346</v>
      </c>
      <c r="B355" s="17">
        <f t="shared" si="26"/>
        <v>4294.5729840971126</v>
      </c>
      <c r="C355" s="10">
        <f t="shared" si="28"/>
        <v>259.67113463657597</v>
      </c>
      <c r="D355" s="17">
        <f t="shared" si="29"/>
        <v>4034.9018494605366</v>
      </c>
      <c r="E355" s="17">
        <f t="shared" si="27"/>
        <v>0</v>
      </c>
      <c r="F355" s="18">
        <f t="shared" si="30"/>
        <v>58286.1704633177</v>
      </c>
    </row>
    <row r="356" spans="1:6" x14ac:dyDescent="0.25">
      <c r="A356" s="8">
        <v>347</v>
      </c>
      <c r="B356" s="17">
        <f t="shared" si="26"/>
        <v>4294.5729840971126</v>
      </c>
      <c r="C356" s="10">
        <f t="shared" si="28"/>
        <v>242.85904359715707</v>
      </c>
      <c r="D356" s="17">
        <f t="shared" si="29"/>
        <v>4051.7139404999557</v>
      </c>
      <c r="E356" s="17">
        <f t="shared" si="27"/>
        <v>0</v>
      </c>
      <c r="F356" s="18">
        <f t="shared" si="30"/>
        <v>54234.456522817745</v>
      </c>
    </row>
    <row r="357" spans="1:6" x14ac:dyDescent="0.25">
      <c r="A357" s="8">
        <v>348</v>
      </c>
      <c r="B357" s="17">
        <f t="shared" si="26"/>
        <v>4294.5729840971126</v>
      </c>
      <c r="C357" s="10">
        <f t="shared" si="28"/>
        <v>225.97690217840727</v>
      </c>
      <c r="D357" s="17">
        <f t="shared" si="29"/>
        <v>4068.5960819187053</v>
      </c>
      <c r="E357" s="17">
        <f t="shared" si="27"/>
        <v>0</v>
      </c>
      <c r="F357" s="18">
        <f t="shared" si="30"/>
        <v>50165.860440899043</v>
      </c>
    </row>
    <row r="358" spans="1:6" x14ac:dyDescent="0.25">
      <c r="A358" s="8">
        <v>349</v>
      </c>
      <c r="B358" s="17">
        <f t="shared" si="26"/>
        <v>4294.5729840971126</v>
      </c>
      <c r="C358" s="10">
        <f t="shared" si="28"/>
        <v>209.02441850374601</v>
      </c>
      <c r="D358" s="17">
        <f t="shared" si="29"/>
        <v>4085.5485655933667</v>
      </c>
      <c r="E358" s="17">
        <f t="shared" si="27"/>
        <v>0</v>
      </c>
      <c r="F358" s="18">
        <f t="shared" si="30"/>
        <v>46080.311875305677</v>
      </c>
    </row>
    <row r="359" spans="1:6" x14ac:dyDescent="0.25">
      <c r="A359" s="8">
        <v>350</v>
      </c>
      <c r="B359" s="17">
        <f t="shared" si="26"/>
        <v>4294.5729840971126</v>
      </c>
      <c r="C359" s="10">
        <f t="shared" si="28"/>
        <v>192.00129948044031</v>
      </c>
      <c r="D359" s="17">
        <f t="shared" si="29"/>
        <v>4102.5716846166724</v>
      </c>
      <c r="E359" s="17">
        <f t="shared" si="27"/>
        <v>0</v>
      </c>
      <c r="F359" s="18">
        <f t="shared" si="30"/>
        <v>41977.740190689001</v>
      </c>
    </row>
    <row r="360" spans="1:6" x14ac:dyDescent="0.25">
      <c r="A360" s="8">
        <v>351</v>
      </c>
      <c r="B360" s="17">
        <f t="shared" si="26"/>
        <v>4294.5729840971126</v>
      </c>
      <c r="C360" s="10">
        <f t="shared" si="28"/>
        <v>174.9072507945375</v>
      </c>
      <c r="D360" s="17">
        <f t="shared" si="29"/>
        <v>4119.6657333025751</v>
      </c>
      <c r="E360" s="17">
        <f t="shared" si="27"/>
        <v>0</v>
      </c>
      <c r="F360" s="18">
        <f t="shared" si="30"/>
        <v>37858.074457386429</v>
      </c>
    </row>
    <row r="361" spans="1:6" x14ac:dyDescent="0.25">
      <c r="A361" s="8">
        <v>352</v>
      </c>
      <c r="B361" s="17">
        <f t="shared" si="26"/>
        <v>4294.5729840971126</v>
      </c>
      <c r="C361" s="10">
        <f t="shared" si="28"/>
        <v>157.7419769057768</v>
      </c>
      <c r="D361" s="17">
        <f t="shared" si="29"/>
        <v>4136.8310071913356</v>
      </c>
      <c r="E361" s="17">
        <f t="shared" si="27"/>
        <v>0</v>
      </c>
      <c r="F361" s="18">
        <f t="shared" si="30"/>
        <v>33721.243450195092</v>
      </c>
    </row>
    <row r="362" spans="1:6" x14ac:dyDescent="0.25">
      <c r="A362" s="8">
        <v>353</v>
      </c>
      <c r="B362" s="17">
        <f t="shared" si="26"/>
        <v>4294.5729840971126</v>
      </c>
      <c r="C362" s="10">
        <f t="shared" si="28"/>
        <v>140.50518104247953</v>
      </c>
      <c r="D362" s="17">
        <f t="shared" si="29"/>
        <v>4154.0678030546333</v>
      </c>
      <c r="E362" s="17">
        <f t="shared" si="27"/>
        <v>0</v>
      </c>
      <c r="F362" s="18">
        <f t="shared" si="30"/>
        <v>29567.175647140459</v>
      </c>
    </row>
    <row r="363" spans="1:6" x14ac:dyDescent="0.25">
      <c r="A363" s="8">
        <v>354</v>
      </c>
      <c r="B363" s="17">
        <f t="shared" si="26"/>
        <v>4294.5729840971126</v>
      </c>
      <c r="C363" s="10">
        <f t="shared" si="28"/>
        <v>123.19656519641858</v>
      </c>
      <c r="D363" s="17">
        <f t="shared" si="29"/>
        <v>4171.3764189006943</v>
      </c>
      <c r="E363" s="17">
        <f t="shared" si="27"/>
        <v>0</v>
      </c>
      <c r="F363" s="18">
        <f t="shared" si="30"/>
        <v>25395.799228239764</v>
      </c>
    </row>
    <row r="364" spans="1:6" x14ac:dyDescent="0.25">
      <c r="A364" s="8">
        <v>355</v>
      </c>
      <c r="B364" s="17">
        <f t="shared" si="26"/>
        <v>4294.5729840971126</v>
      </c>
      <c r="C364" s="10">
        <f t="shared" si="28"/>
        <v>105.81583011766568</v>
      </c>
      <c r="D364" s="17">
        <f t="shared" si="29"/>
        <v>4188.7571539794471</v>
      </c>
      <c r="E364" s="17">
        <f t="shared" si="27"/>
        <v>0</v>
      </c>
      <c r="F364" s="18">
        <f t="shared" si="30"/>
        <v>21207.042074260316</v>
      </c>
    </row>
    <row r="365" spans="1:6" x14ac:dyDescent="0.25">
      <c r="A365" s="8">
        <v>356</v>
      </c>
      <c r="B365" s="17">
        <f t="shared" si="26"/>
        <v>4294.5729840971126</v>
      </c>
      <c r="C365" s="10">
        <f t="shared" si="28"/>
        <v>88.36267530941798</v>
      </c>
      <c r="D365" s="17">
        <f t="shared" si="29"/>
        <v>4206.2103087876949</v>
      </c>
      <c r="E365" s="17">
        <f t="shared" si="27"/>
        <v>0</v>
      </c>
      <c r="F365" s="18">
        <f t="shared" si="30"/>
        <v>17000.83176547262</v>
      </c>
    </row>
    <row r="366" spans="1:6" x14ac:dyDescent="0.25">
      <c r="A366" s="8">
        <v>357</v>
      </c>
      <c r="B366" s="17">
        <f t="shared" si="26"/>
        <v>4294.5729840971126</v>
      </c>
      <c r="C366" s="10">
        <f t="shared" si="28"/>
        <v>70.83679902280258</v>
      </c>
      <c r="D366" s="17">
        <f t="shared" si="29"/>
        <v>4223.73618507431</v>
      </c>
      <c r="E366" s="17">
        <f t="shared" si="27"/>
        <v>0</v>
      </c>
      <c r="F366" s="18">
        <f t="shared" si="30"/>
        <v>12777.095580398309</v>
      </c>
    </row>
    <row r="367" spans="1:6" x14ac:dyDescent="0.25">
      <c r="A367" s="8">
        <v>358</v>
      </c>
      <c r="B367" s="17">
        <f t="shared" si="26"/>
        <v>4294.5729840971126</v>
      </c>
      <c r="C367" s="10">
        <f t="shared" si="28"/>
        <v>53.237898251659622</v>
      </c>
      <c r="D367" s="17">
        <f t="shared" si="29"/>
        <v>4241.3350858454532</v>
      </c>
      <c r="E367" s="17">
        <f t="shared" si="27"/>
        <v>0</v>
      </c>
      <c r="F367" s="18">
        <f t="shared" si="30"/>
        <v>8535.7604945528547</v>
      </c>
    </row>
    <row r="368" spans="1:6" x14ac:dyDescent="0.25">
      <c r="A368" s="8">
        <v>359</v>
      </c>
      <c r="B368" s="17">
        <f t="shared" si="26"/>
        <v>4294.5729840971126</v>
      </c>
      <c r="C368" s="10">
        <f t="shared" si="28"/>
        <v>35.56566872730356</v>
      </c>
      <c r="D368" s="17">
        <f t="shared" si="29"/>
        <v>4259.0073153698086</v>
      </c>
      <c r="E368" s="17">
        <f t="shared" si="27"/>
        <v>0</v>
      </c>
      <c r="F368" s="18">
        <f t="shared" si="30"/>
        <v>4276.7531791830461</v>
      </c>
    </row>
    <row r="369" spans="1:6" x14ac:dyDescent="0.25">
      <c r="A369" s="8">
        <v>360</v>
      </c>
      <c r="B369" s="17">
        <f t="shared" si="26"/>
        <v>4294.5729840971126</v>
      </c>
      <c r="C369" s="10">
        <f t="shared" si="28"/>
        <v>17.819804913262693</v>
      </c>
      <c r="D369" s="17">
        <f t="shared" si="29"/>
        <v>4276.7531791838501</v>
      </c>
      <c r="E369" s="17">
        <f t="shared" si="27"/>
        <v>0</v>
      </c>
      <c r="F369" s="18">
        <f t="shared" si="30"/>
        <v>-8.0399331636726856E-10</v>
      </c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Movie Theater</vt:lpstr>
      <vt:lpstr>Income Statement</vt:lpstr>
      <vt:lpstr>Balance Sheet</vt:lpstr>
      <vt:lpstr>WACC</vt:lpstr>
      <vt:lpstr>Cash Flow</vt:lpstr>
      <vt:lpstr>Probability Options</vt:lpstr>
      <vt:lpstr>Mortgage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2019-07-25T21:40:33Z</dcterms:created>
  <dcterms:modified xsi:type="dcterms:W3CDTF">2019-08-14T21:50:59Z</dcterms:modified>
</cp:coreProperties>
</file>