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autoCompressPictures="0" defaultThemeVersion="124226"/>
  <bookViews>
    <workbookView xWindow="0" yWindow="120" windowWidth="20730" windowHeight="11640" firstSheet="1" activeTab="1"/>
  </bookViews>
  <sheets>
    <sheet name="Financial Statements" sheetId="11" r:id="rId1"/>
    <sheet name="Assumptions" sheetId="12" r:id="rId2"/>
    <sheet name="Depreciation" sheetId="13" r:id="rId3"/>
    <sheet name="Commercial Loan" sheetId="14" r:id="rId4"/>
    <sheet name="WACC" sheetId="15" r:id="rId5"/>
    <sheet name="Good Year" sheetId="16" r:id="rId6"/>
    <sheet name="Bad Year" sheetId="17" r:id="rId7"/>
    <sheet name="Decision tree" sheetId="18" r:id="rId8"/>
  </sheets>
  <externalReferences>
    <externalReference r:id="rId9"/>
  </externalReferences>
  <calcPr calcId="145621" iterateDelta="1E-4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3" i="18" l="1"/>
  <c r="K23" i="18" s="1"/>
  <c r="L23" i="18" s="1"/>
  <c r="M23" i="18" s="1"/>
  <c r="I23" i="18"/>
  <c r="I24" i="18" s="1"/>
  <c r="F29" i="18"/>
  <c r="D29" i="18"/>
  <c r="C29" i="18"/>
  <c r="H24" i="18" l="1"/>
  <c r="J24" i="18"/>
  <c r="L52" i="12" l="1"/>
  <c r="K52" i="12"/>
  <c r="J52" i="12"/>
  <c r="I52" i="12"/>
  <c r="H52" i="12"/>
  <c r="G52" i="12"/>
  <c r="F52" i="12"/>
  <c r="E52" i="12"/>
  <c r="D52" i="12"/>
  <c r="C52" i="12"/>
  <c r="L51" i="12"/>
  <c r="K51" i="12"/>
  <c r="J51" i="12"/>
  <c r="I51" i="12"/>
  <c r="H51" i="12"/>
  <c r="G51" i="12"/>
  <c r="F51" i="12"/>
  <c r="E51" i="12"/>
  <c r="D51" i="12"/>
  <c r="C51" i="12"/>
  <c r="L50" i="12"/>
  <c r="K50" i="12"/>
  <c r="J50" i="12"/>
  <c r="I50" i="12"/>
  <c r="H50" i="12"/>
  <c r="G50" i="12"/>
  <c r="F50" i="12"/>
  <c r="E50" i="12"/>
  <c r="D50" i="12"/>
  <c r="C50" i="12"/>
  <c r="D34" i="12"/>
  <c r="E34" i="12" s="1"/>
  <c r="F34" i="12" s="1"/>
  <c r="G34" i="12" s="1"/>
  <c r="H34" i="12" s="1"/>
  <c r="I34" i="12" s="1"/>
  <c r="J34" i="12" s="1"/>
  <c r="K34" i="12" s="1"/>
  <c r="L34" i="12" s="1"/>
  <c r="L33" i="12"/>
  <c r="K33" i="12"/>
  <c r="J33" i="12"/>
  <c r="I33" i="12"/>
  <c r="H33" i="12"/>
  <c r="G33" i="12"/>
  <c r="F33" i="12"/>
  <c r="E33" i="12"/>
  <c r="D33" i="12"/>
  <c r="C33" i="12"/>
  <c r="L32" i="12"/>
  <c r="K32" i="12"/>
  <c r="J32" i="12"/>
  <c r="I32" i="12"/>
  <c r="H32" i="12"/>
  <c r="G32" i="12"/>
  <c r="F32" i="12"/>
  <c r="E32" i="12"/>
  <c r="D32" i="12"/>
  <c r="C32" i="12"/>
  <c r="L31" i="12"/>
  <c r="K31" i="12"/>
  <c r="J31" i="12"/>
  <c r="I31" i="12"/>
  <c r="H31" i="12"/>
  <c r="G31" i="12"/>
  <c r="F31" i="12"/>
  <c r="E31" i="12"/>
  <c r="D31" i="12"/>
  <c r="C31" i="12"/>
  <c r="L30" i="12"/>
  <c r="K30" i="12"/>
  <c r="J30" i="12"/>
  <c r="I30" i="12"/>
  <c r="H30" i="12"/>
  <c r="G30" i="12"/>
  <c r="F30" i="12"/>
  <c r="E30" i="12"/>
  <c r="D30" i="12"/>
  <c r="C30" i="12"/>
  <c r="L29" i="12"/>
  <c r="K29" i="12"/>
  <c r="J29" i="12"/>
  <c r="I29" i="12"/>
  <c r="H29" i="12"/>
  <c r="G29" i="12"/>
  <c r="F29" i="12"/>
  <c r="E29" i="12"/>
  <c r="D29" i="12"/>
  <c r="C29" i="12"/>
  <c r="L28" i="12"/>
  <c r="K28" i="12"/>
  <c r="J28" i="12"/>
  <c r="I28" i="12"/>
  <c r="H28" i="12"/>
  <c r="G28" i="12"/>
  <c r="F28" i="12"/>
  <c r="E28" i="12"/>
  <c r="D28" i="12"/>
  <c r="C28" i="12"/>
  <c r="E27" i="12"/>
  <c r="F27" i="12" s="1"/>
  <c r="G27" i="12" s="1"/>
  <c r="H27" i="12" s="1"/>
  <c r="I27" i="12" s="1"/>
  <c r="J27" i="12" s="1"/>
  <c r="K27" i="12" s="1"/>
  <c r="L27" i="12" s="1"/>
  <c r="D27" i="12"/>
  <c r="D26" i="12"/>
  <c r="E26" i="12" s="1"/>
  <c r="F26" i="12" s="1"/>
  <c r="G26" i="12" s="1"/>
  <c r="H26" i="12" s="1"/>
  <c r="I26" i="12" s="1"/>
  <c r="J26" i="12" s="1"/>
  <c r="K26" i="12" s="1"/>
  <c r="L26" i="12" s="1"/>
  <c r="E25" i="12"/>
  <c r="F25" i="12" s="1"/>
  <c r="G25" i="12" s="1"/>
  <c r="H25" i="12" s="1"/>
  <c r="I25" i="12" s="1"/>
  <c r="J25" i="12" s="1"/>
  <c r="K25" i="12" s="1"/>
  <c r="L25" i="12" s="1"/>
  <c r="D25" i="12"/>
  <c r="D24" i="12"/>
  <c r="E24" i="12" s="1"/>
  <c r="F24" i="12" s="1"/>
  <c r="G24" i="12" s="1"/>
  <c r="H24" i="12" s="1"/>
  <c r="I24" i="12" s="1"/>
  <c r="J24" i="12" s="1"/>
  <c r="K24" i="12" s="1"/>
  <c r="L24" i="12" s="1"/>
  <c r="C23" i="12"/>
  <c r="L21" i="12"/>
  <c r="K21" i="12"/>
  <c r="J21" i="12"/>
  <c r="I21" i="12"/>
  <c r="H21" i="12"/>
  <c r="G21" i="12"/>
  <c r="F21" i="12"/>
  <c r="E21" i="12"/>
  <c r="D21" i="12"/>
  <c r="C21" i="12"/>
  <c r="E19" i="12"/>
  <c r="F19" i="12" s="1"/>
  <c r="D19" i="12"/>
  <c r="D23" i="12" s="1"/>
  <c r="D15" i="12"/>
  <c r="E15" i="12" s="1"/>
  <c r="F15" i="12" s="1"/>
  <c r="G15" i="12" s="1"/>
  <c r="H15" i="12" s="1"/>
  <c r="I15" i="12" s="1"/>
  <c r="J15" i="12" s="1"/>
  <c r="K15" i="12" s="1"/>
  <c r="L15" i="12" s="1"/>
  <c r="E14" i="12"/>
  <c r="F14" i="12" s="1"/>
  <c r="G14" i="12" s="1"/>
  <c r="H14" i="12" s="1"/>
  <c r="I14" i="12" s="1"/>
  <c r="J14" i="12" s="1"/>
  <c r="K14" i="12" s="1"/>
  <c r="L14" i="12" s="1"/>
  <c r="D14" i="12"/>
  <c r="D13" i="12"/>
  <c r="E13" i="12" s="1"/>
  <c r="F13" i="12" s="1"/>
  <c r="G13" i="12" s="1"/>
  <c r="H13" i="12" s="1"/>
  <c r="I13" i="12" s="1"/>
  <c r="J13" i="12" s="1"/>
  <c r="K13" i="12" s="1"/>
  <c r="L13" i="12" s="1"/>
  <c r="E12" i="12"/>
  <c r="F12" i="12" s="1"/>
  <c r="G12" i="12" s="1"/>
  <c r="H12" i="12" s="1"/>
  <c r="I12" i="12" s="1"/>
  <c r="J12" i="12" s="1"/>
  <c r="K12" i="12" s="1"/>
  <c r="L12" i="12" s="1"/>
  <c r="D12" i="12"/>
  <c r="L7" i="12"/>
  <c r="K7" i="12"/>
  <c r="J7" i="12"/>
  <c r="I7" i="12"/>
  <c r="H7" i="12"/>
  <c r="G7" i="12"/>
  <c r="F7" i="12"/>
  <c r="E7" i="12"/>
  <c r="D7" i="12"/>
  <c r="C7" i="12"/>
  <c r="D5" i="12"/>
  <c r="E5" i="12" s="1"/>
  <c r="F5" i="12" s="1"/>
  <c r="G5" i="12" s="1"/>
  <c r="H5" i="12" s="1"/>
  <c r="I5" i="12" s="1"/>
  <c r="J5" i="12" s="1"/>
  <c r="K5" i="12" s="1"/>
  <c r="L5" i="12" s="1"/>
  <c r="K24" i="18" l="1"/>
  <c r="F23" i="12"/>
  <c r="G19" i="12"/>
  <c r="E23" i="12"/>
  <c r="M24" i="18" l="1"/>
  <c r="C26" i="18" s="1"/>
  <c r="B29" i="18" s="1"/>
  <c r="L24" i="18"/>
  <c r="H19" i="12"/>
  <c r="G23" i="12"/>
  <c r="G29" i="18" l="1"/>
  <c r="C31" i="18" s="1"/>
  <c r="H23" i="12"/>
  <c r="I19" i="12"/>
  <c r="J19" i="12" l="1"/>
  <c r="I23" i="12"/>
  <c r="J23" i="12" l="1"/>
  <c r="K19" i="12"/>
  <c r="L19" i="12" l="1"/>
  <c r="L23" i="12" s="1"/>
  <c r="K23" i="12"/>
  <c r="C20" i="18" l="1"/>
  <c r="C121" i="17"/>
  <c r="C4" i="15" l="1"/>
  <c r="K4" i="14"/>
  <c r="C13" i="15" l="1"/>
  <c r="E91" i="11"/>
  <c r="F91" i="11"/>
  <c r="G91" i="11" s="1"/>
  <c r="H91" i="11" s="1"/>
  <c r="I91" i="11" s="1"/>
  <c r="J91" i="11" s="1"/>
  <c r="K91" i="11" s="1"/>
  <c r="L91" i="11" s="1"/>
  <c r="M91" i="11" s="1"/>
  <c r="D91" i="11"/>
  <c r="H11" i="15" l="1"/>
  <c r="C11" i="15"/>
  <c r="F11" i="15" s="1"/>
  <c r="C10" i="15"/>
  <c r="H10" i="15" s="1"/>
  <c r="C3" i="15"/>
  <c r="B123" i="14"/>
  <c r="B111" i="14"/>
  <c r="B99" i="14"/>
  <c r="B87" i="14"/>
  <c r="B75" i="14"/>
  <c r="B63" i="14"/>
  <c r="B51" i="14"/>
  <c r="B39" i="14"/>
  <c r="B27" i="14"/>
  <c r="B15" i="14"/>
  <c r="K3" i="14"/>
  <c r="D11" i="11"/>
  <c r="D24" i="11" s="1"/>
  <c r="D12" i="11"/>
  <c r="D25" i="11" s="1"/>
  <c r="D13" i="11"/>
  <c r="D26" i="11" s="1"/>
  <c r="E11" i="11"/>
  <c r="E24" i="11" s="1"/>
  <c r="E12" i="11"/>
  <c r="E25" i="11" s="1"/>
  <c r="E13" i="11"/>
  <c r="E26" i="11" s="1"/>
  <c r="F11" i="11"/>
  <c r="F24" i="11" s="1"/>
  <c r="F12" i="11"/>
  <c r="G11" i="11"/>
  <c r="D31" i="11"/>
  <c r="D20" i="11"/>
  <c r="D21" i="11"/>
  <c r="D22" i="11"/>
  <c r="C5" i="13"/>
  <c r="C7" i="13" s="1"/>
  <c r="F5" i="13"/>
  <c r="F7" i="13"/>
  <c r="F13" i="13"/>
  <c r="F15" i="13"/>
  <c r="C13" i="13"/>
  <c r="C15" i="13" s="1"/>
  <c r="I5" i="13"/>
  <c r="I7" i="13"/>
  <c r="D29" i="11"/>
  <c r="D6" i="11"/>
  <c r="D8" i="11"/>
  <c r="D9" i="11"/>
  <c r="D15" i="11"/>
  <c r="D37" i="11"/>
  <c r="E31" i="11"/>
  <c r="E21" i="11"/>
  <c r="F22" i="11"/>
  <c r="E22" i="11"/>
  <c r="E29" i="11"/>
  <c r="F6" i="11"/>
  <c r="E8" i="11"/>
  <c r="E9" i="11"/>
  <c r="E15" i="11"/>
  <c r="E37" i="11"/>
  <c r="F31" i="11"/>
  <c r="F21" i="11"/>
  <c r="F20" i="11"/>
  <c r="F8" i="11"/>
  <c r="F9" i="11"/>
  <c r="F15" i="11"/>
  <c r="F37" i="11"/>
  <c r="G31" i="11"/>
  <c r="G22" i="11"/>
  <c r="G8" i="11"/>
  <c r="G9" i="11"/>
  <c r="G15" i="11"/>
  <c r="G37" i="11"/>
  <c r="H31" i="11"/>
  <c r="I22" i="11"/>
  <c r="H22" i="11"/>
  <c r="H8" i="11"/>
  <c r="H9" i="11"/>
  <c r="H15" i="11"/>
  <c r="H37" i="11"/>
  <c r="I31" i="11"/>
  <c r="I8" i="11"/>
  <c r="I9" i="11"/>
  <c r="I37" i="11"/>
  <c r="J31" i="11"/>
  <c r="J8" i="11"/>
  <c r="J9" i="11"/>
  <c r="J37" i="11"/>
  <c r="K31" i="11"/>
  <c r="K8" i="11"/>
  <c r="K9" i="11"/>
  <c r="K37" i="11"/>
  <c r="L31" i="11"/>
  <c r="L8" i="11"/>
  <c r="L9" i="11"/>
  <c r="L37" i="11"/>
  <c r="M31" i="11"/>
  <c r="M27" i="11"/>
  <c r="M93" i="11" s="1"/>
  <c r="M8" i="11"/>
  <c r="M9" i="11"/>
  <c r="M37" i="11"/>
  <c r="M46" i="11"/>
  <c r="L46" i="11"/>
  <c r="K46" i="11"/>
  <c r="J46" i="11"/>
  <c r="I46" i="11"/>
  <c r="H46" i="11"/>
  <c r="G46" i="11"/>
  <c r="F46" i="11"/>
  <c r="E46" i="11"/>
  <c r="M62" i="11"/>
  <c r="L62" i="11"/>
  <c r="K62" i="11"/>
  <c r="J62" i="11"/>
  <c r="I62" i="11"/>
  <c r="H62" i="11"/>
  <c r="G62" i="11"/>
  <c r="F62" i="11"/>
  <c r="M60" i="11"/>
  <c r="L60" i="11"/>
  <c r="K60" i="11"/>
  <c r="J60" i="11"/>
  <c r="I60" i="11"/>
  <c r="H60" i="11"/>
  <c r="G60" i="11"/>
  <c r="F60" i="11"/>
  <c r="M58" i="11"/>
  <c r="L58" i="11"/>
  <c r="K58" i="11"/>
  <c r="J58" i="11"/>
  <c r="I58" i="11"/>
  <c r="H58" i="11"/>
  <c r="G58" i="11"/>
  <c r="F58" i="11"/>
  <c r="M56" i="11"/>
  <c r="L56" i="11"/>
  <c r="K56" i="11"/>
  <c r="J56" i="11"/>
  <c r="I56" i="11"/>
  <c r="H56" i="11"/>
  <c r="G56" i="11"/>
  <c r="F56" i="11"/>
  <c r="M54" i="11"/>
  <c r="L54" i="11"/>
  <c r="K54" i="11"/>
  <c r="J54" i="11"/>
  <c r="I54" i="11"/>
  <c r="H54" i="11"/>
  <c r="G54" i="11"/>
  <c r="F54" i="11"/>
  <c r="M53" i="11"/>
  <c r="M101" i="11" s="1"/>
  <c r="M102" i="11" s="1"/>
  <c r="L53" i="11"/>
  <c r="K53" i="11"/>
  <c r="J53" i="11"/>
  <c r="I53" i="11"/>
  <c r="H53" i="11"/>
  <c r="G53" i="11"/>
  <c r="F53" i="11"/>
  <c r="D63" i="11"/>
  <c r="E63" i="11" s="1"/>
  <c r="F63" i="11" s="1"/>
  <c r="G63" i="11" s="1"/>
  <c r="H63" i="11" s="1"/>
  <c r="I63" i="11" s="1"/>
  <c r="J63" i="11" s="1"/>
  <c r="K63" i="11" s="1"/>
  <c r="L63" i="11" s="1"/>
  <c r="M63" i="11" s="1"/>
  <c r="D61" i="11"/>
  <c r="E61" i="11" s="1"/>
  <c r="F61" i="11" s="1"/>
  <c r="G61" i="11" s="1"/>
  <c r="H61" i="11" s="1"/>
  <c r="I61" i="11" s="1"/>
  <c r="J61" i="11" s="1"/>
  <c r="K61" i="11" s="1"/>
  <c r="L61" i="11" s="1"/>
  <c r="M61" i="11" s="1"/>
  <c r="D59" i="11"/>
  <c r="E59" i="11" s="1"/>
  <c r="F59" i="11" s="1"/>
  <c r="G59" i="11" s="1"/>
  <c r="H59" i="11" s="1"/>
  <c r="I59" i="11" s="1"/>
  <c r="J59" i="11" s="1"/>
  <c r="K59" i="11" s="1"/>
  <c r="L59" i="11" s="1"/>
  <c r="M59" i="11" s="1"/>
  <c r="D57" i="11"/>
  <c r="E57" i="11" s="1"/>
  <c r="F57" i="11" s="1"/>
  <c r="G57" i="11" s="1"/>
  <c r="H57" i="11" s="1"/>
  <c r="I57" i="11" s="1"/>
  <c r="J57" i="11" s="1"/>
  <c r="K57" i="11" s="1"/>
  <c r="L57" i="11" s="1"/>
  <c r="M57" i="11" s="1"/>
  <c r="D55" i="11"/>
  <c r="E55" i="11" s="1"/>
  <c r="F55" i="11" s="1"/>
  <c r="G55" i="11" s="1"/>
  <c r="H55" i="11" s="1"/>
  <c r="I55" i="11" s="1"/>
  <c r="J55" i="11" s="1"/>
  <c r="K55" i="11" s="1"/>
  <c r="L55" i="11" s="1"/>
  <c r="M55" i="11" s="1"/>
  <c r="E62" i="11"/>
  <c r="E60" i="11"/>
  <c r="E58" i="11"/>
  <c r="E56" i="11"/>
  <c r="E54" i="11"/>
  <c r="E53" i="11"/>
  <c r="D53" i="11"/>
  <c r="C100" i="11" s="1"/>
  <c r="C116" i="11" s="1"/>
  <c r="D60" i="11"/>
  <c r="D58" i="11"/>
  <c r="D56" i="11"/>
  <c r="D54" i="11"/>
  <c r="D62" i="11"/>
  <c r="D46" i="11"/>
  <c r="G20" i="11" l="1"/>
  <c r="E20" i="11"/>
  <c r="G12" i="11"/>
  <c r="H11" i="11"/>
  <c r="H24" i="11" s="1"/>
  <c r="E6" i="11"/>
  <c r="E17" i="11" s="1"/>
  <c r="E32" i="11" s="1"/>
  <c r="E50" i="11" s="1"/>
  <c r="E49" i="11"/>
  <c r="D17" i="11"/>
  <c r="D69" i="11"/>
  <c r="D108" i="11" s="1"/>
  <c r="I15" i="11"/>
  <c r="K27" i="11"/>
  <c r="K93" i="11" s="1"/>
  <c r="K10" i="14"/>
  <c r="L27" i="11"/>
  <c r="L93" i="11" s="1"/>
  <c r="D30" i="11"/>
  <c r="D49" i="11"/>
  <c r="G6" i="11"/>
  <c r="F29" i="11"/>
  <c r="D27" i="11"/>
  <c r="D93" i="11" s="1"/>
  <c r="E27" i="11"/>
  <c r="E93" i="11" s="1"/>
  <c r="J27" i="11"/>
  <c r="J93" i="11" s="1"/>
  <c r="F27" i="11"/>
  <c r="F93" i="11" s="1"/>
  <c r="I27" i="11"/>
  <c r="I93" i="11" s="1"/>
  <c r="E69" i="11"/>
  <c r="E108" i="11" s="1"/>
  <c r="F25" i="11"/>
  <c r="G24" i="11"/>
  <c r="G21" i="11" l="1"/>
  <c r="F13" i="11"/>
  <c r="E48" i="11"/>
  <c r="E105" i="11" s="1"/>
  <c r="E30" i="11"/>
  <c r="E92" i="11" s="1"/>
  <c r="D32" i="11"/>
  <c r="D50" i="11" s="1"/>
  <c r="D65" i="11" s="1"/>
  <c r="D48" i="11"/>
  <c r="D105" i="11" s="1"/>
  <c r="G25" i="11"/>
  <c r="H6" i="11"/>
  <c r="I11" i="11"/>
  <c r="I24" i="11" s="1"/>
  <c r="H20" i="11"/>
  <c r="H21" i="11"/>
  <c r="H27" i="11"/>
  <c r="H93" i="11" s="1"/>
  <c r="G29" i="11"/>
  <c r="H12" i="11"/>
  <c r="J15" i="11"/>
  <c r="J22" i="11"/>
  <c r="G27" i="11"/>
  <c r="G93" i="11" s="1"/>
  <c r="K11" i="14"/>
  <c r="K5" i="14" s="1"/>
  <c r="E106" i="11" l="1"/>
  <c r="D92" i="11"/>
  <c r="D106" i="11"/>
  <c r="F17" i="11"/>
  <c r="F26" i="11"/>
  <c r="G13" i="11"/>
  <c r="E94" i="11"/>
  <c r="D94" i="11"/>
  <c r="K12" i="14"/>
  <c r="I81" i="11" s="1"/>
  <c r="E81" i="11"/>
  <c r="K81" i="11"/>
  <c r="K22" i="11"/>
  <c r="J11" i="11"/>
  <c r="J24" i="11" s="1"/>
  <c r="I6" i="11"/>
  <c r="K15" i="11"/>
  <c r="H29" i="11"/>
  <c r="I20" i="11"/>
  <c r="I21" i="11"/>
  <c r="H25" i="11"/>
  <c r="K6" i="14"/>
  <c r="G3" i="14"/>
  <c r="I12" i="11"/>
  <c r="D81" i="11" l="1"/>
  <c r="J81" i="11"/>
  <c r="L81" i="11"/>
  <c r="H13" i="11"/>
  <c r="F32" i="11"/>
  <c r="F50" i="11" s="1"/>
  <c r="F30" i="11"/>
  <c r="F48" i="11"/>
  <c r="G17" i="11"/>
  <c r="G26" i="11"/>
  <c r="F69" i="11"/>
  <c r="F108" i="11" s="1"/>
  <c r="F49" i="11"/>
  <c r="E96" i="11"/>
  <c r="D96" i="11"/>
  <c r="G81" i="11"/>
  <c r="M81" i="11"/>
  <c r="H81" i="11"/>
  <c r="F81" i="11"/>
  <c r="J21" i="11"/>
  <c r="J20" i="11"/>
  <c r="M22" i="11"/>
  <c r="L22" i="11"/>
  <c r="J12" i="11"/>
  <c r="F4" i="14"/>
  <c r="M15" i="11"/>
  <c r="L15" i="11"/>
  <c r="J6" i="11"/>
  <c r="D27" i="14"/>
  <c r="D28" i="14"/>
  <c r="D29" i="14"/>
  <c r="D30" i="14"/>
  <c r="D31" i="14"/>
  <c r="D32" i="14"/>
  <c r="D33" i="14"/>
  <c r="D34" i="14"/>
  <c r="D35" i="14"/>
  <c r="D36" i="14"/>
  <c r="D37" i="14"/>
  <c r="D38" i="14"/>
  <c r="D4" i="14"/>
  <c r="D8" i="14"/>
  <c r="D12" i="14"/>
  <c r="D15" i="14"/>
  <c r="D19" i="14"/>
  <c r="D23" i="14"/>
  <c r="D5" i="14"/>
  <c r="D7" i="14"/>
  <c r="D14" i="14"/>
  <c r="D20" i="14"/>
  <c r="D22" i="14"/>
  <c r="D41" i="14"/>
  <c r="D45" i="14"/>
  <c r="D49" i="14"/>
  <c r="D51" i="14"/>
  <c r="D55" i="14"/>
  <c r="D56" i="14"/>
  <c r="D57" i="14"/>
  <c r="D58" i="14"/>
  <c r="D59" i="14"/>
  <c r="D60" i="14"/>
  <c r="D61" i="14"/>
  <c r="D62" i="14"/>
  <c r="D99" i="14"/>
  <c r="D100" i="14"/>
  <c r="D101" i="14"/>
  <c r="D102" i="14"/>
  <c r="D103" i="14"/>
  <c r="D104" i="14"/>
  <c r="D105" i="14"/>
  <c r="D106" i="14"/>
  <c r="D107" i="14"/>
  <c r="D108" i="14"/>
  <c r="D109" i="14"/>
  <c r="D110" i="14"/>
  <c r="D9" i="14"/>
  <c r="D11" i="14"/>
  <c r="D17" i="14"/>
  <c r="D24" i="14"/>
  <c r="D26" i="14"/>
  <c r="D40" i="14"/>
  <c r="D44" i="14"/>
  <c r="D48" i="14"/>
  <c r="D54" i="14"/>
  <c r="D18" i="14"/>
  <c r="D25" i="14"/>
  <c r="D46" i="14"/>
  <c r="D52" i="14"/>
  <c r="D64" i="14"/>
  <c r="D66" i="14"/>
  <c r="D68" i="14"/>
  <c r="D70" i="14"/>
  <c r="D74" i="14"/>
  <c r="D75" i="14"/>
  <c r="D79" i="14"/>
  <c r="D83" i="14"/>
  <c r="D90" i="14"/>
  <c r="D94" i="14"/>
  <c r="D98" i="14"/>
  <c r="D111" i="14"/>
  <c r="D115" i="14"/>
  <c r="D119" i="14"/>
  <c r="D123" i="14"/>
  <c r="D6" i="14"/>
  <c r="D13" i="14"/>
  <c r="D39" i="14"/>
  <c r="D47" i="14"/>
  <c r="D53" i="14"/>
  <c r="D73" i="14"/>
  <c r="D78" i="14"/>
  <c r="D82" i="14"/>
  <c r="D86" i="14"/>
  <c r="D89" i="14"/>
  <c r="D93" i="14"/>
  <c r="D97" i="14"/>
  <c r="D114" i="14"/>
  <c r="D118" i="14"/>
  <c r="D122" i="14"/>
  <c r="D10" i="14"/>
  <c r="D16" i="14"/>
  <c r="D42" i="14"/>
  <c r="D50" i="14"/>
  <c r="D71" i="14"/>
  <c r="D77" i="14"/>
  <c r="D85" i="14"/>
  <c r="D88" i="14"/>
  <c r="D96" i="14"/>
  <c r="D116" i="14"/>
  <c r="D21" i="14"/>
  <c r="D43" i="14"/>
  <c r="D65" i="14"/>
  <c r="D69" i="14"/>
  <c r="D72" i="14"/>
  <c r="D80" i="14"/>
  <c r="D91" i="14"/>
  <c r="D117" i="14"/>
  <c r="D81" i="14"/>
  <c r="D92" i="14"/>
  <c r="D112" i="14"/>
  <c r="D120" i="14"/>
  <c r="D63" i="14"/>
  <c r="D67" i="14"/>
  <c r="D76" i="14"/>
  <c r="D84" i="14"/>
  <c r="D87" i="14"/>
  <c r="D95" i="14"/>
  <c r="D113" i="14"/>
  <c r="D121" i="14"/>
  <c r="C7" i="15"/>
  <c r="F4" i="15" s="1"/>
  <c r="I25" i="11"/>
  <c r="I29" i="11"/>
  <c r="K11" i="11"/>
  <c r="K24" i="11" s="1"/>
  <c r="D107" i="11" l="1"/>
  <c r="D97" i="11"/>
  <c r="D116" i="11" s="1"/>
  <c r="E107" i="11"/>
  <c r="F92" i="11"/>
  <c r="F94" i="11" s="1"/>
  <c r="F96" i="11" s="1"/>
  <c r="F97" i="11" s="1"/>
  <c r="H26" i="11"/>
  <c r="H17" i="11"/>
  <c r="G32" i="11"/>
  <c r="G50" i="11" s="1"/>
  <c r="G48" i="11"/>
  <c r="G105" i="11" s="1"/>
  <c r="G30" i="11"/>
  <c r="G92" i="11" s="1"/>
  <c r="G94" i="11" s="1"/>
  <c r="G49" i="11"/>
  <c r="G69" i="11"/>
  <c r="G108" i="11" s="1"/>
  <c r="F105" i="11"/>
  <c r="F65" i="11"/>
  <c r="F106" i="11"/>
  <c r="I13" i="11"/>
  <c r="E97" i="11"/>
  <c r="E4" i="14"/>
  <c r="L11" i="11"/>
  <c r="L24" i="11" s="1"/>
  <c r="M11" i="11"/>
  <c r="M24" i="11" s="1"/>
  <c r="K6" i="11"/>
  <c r="G4" i="14"/>
  <c r="K20" i="11"/>
  <c r="K21" i="11"/>
  <c r="J29" i="11"/>
  <c r="J25" i="11"/>
  <c r="K12" i="11"/>
  <c r="E116" i="11" l="1"/>
  <c r="F107" i="11"/>
  <c r="F116" i="11" s="1"/>
  <c r="G96" i="11"/>
  <c r="G107" i="11" s="1"/>
  <c r="G65" i="11"/>
  <c r="G106" i="11"/>
  <c r="H49" i="11"/>
  <c r="H69" i="11"/>
  <c r="H108" i="11" s="1"/>
  <c r="I17" i="11"/>
  <c r="I26" i="11"/>
  <c r="H30" i="11"/>
  <c r="H48" i="11"/>
  <c r="H32" i="11"/>
  <c r="H50" i="11" s="1"/>
  <c r="J13" i="11"/>
  <c r="K25" i="11"/>
  <c r="K29" i="11"/>
  <c r="L21" i="11"/>
  <c r="L20" i="11"/>
  <c r="F5" i="14"/>
  <c r="L12" i="11"/>
  <c r="M12" i="11"/>
  <c r="M6" i="11"/>
  <c r="L6" i="11"/>
  <c r="J26" i="11" l="1"/>
  <c r="J17" i="11"/>
  <c r="H105" i="11"/>
  <c r="H65" i="11"/>
  <c r="I69" i="11"/>
  <c r="I108" i="11" s="1"/>
  <c r="I49" i="11"/>
  <c r="K13" i="11"/>
  <c r="H106" i="11"/>
  <c r="H92" i="11"/>
  <c r="H94" i="11" s="1"/>
  <c r="I32" i="11"/>
  <c r="I50" i="11" s="1"/>
  <c r="I30" i="11"/>
  <c r="I48" i="11"/>
  <c r="G97" i="11"/>
  <c r="G116" i="11" s="1"/>
  <c r="E5" i="14"/>
  <c r="L29" i="11"/>
  <c r="M29" i="11"/>
  <c r="M20" i="11"/>
  <c r="M21" i="11"/>
  <c r="L25" i="11"/>
  <c r="M25" i="11"/>
  <c r="I106" i="11" l="1"/>
  <c r="I92" i="11"/>
  <c r="I94" i="11" s="1"/>
  <c r="H96" i="11"/>
  <c r="H107" i="11" s="1"/>
  <c r="K26" i="11"/>
  <c r="K17" i="11"/>
  <c r="J30" i="11"/>
  <c r="J32" i="11"/>
  <c r="J50" i="11" s="1"/>
  <c r="J48" i="11"/>
  <c r="I105" i="11"/>
  <c r="I65" i="11"/>
  <c r="L13" i="11"/>
  <c r="M13" i="11"/>
  <c r="M17" i="11" s="1"/>
  <c r="M30" i="11" s="1"/>
  <c r="J69" i="11"/>
  <c r="J108" i="11" s="1"/>
  <c r="J49" i="11"/>
  <c r="G5" i="14"/>
  <c r="H97" i="11" l="1"/>
  <c r="H116" i="11" s="1"/>
  <c r="L26" i="11"/>
  <c r="L17" i="11"/>
  <c r="J106" i="11"/>
  <c r="K48" i="11"/>
  <c r="K30" i="11"/>
  <c r="K32" i="11"/>
  <c r="K50" i="11" s="1"/>
  <c r="I96" i="11"/>
  <c r="I107" i="11" s="1"/>
  <c r="M48" i="11"/>
  <c r="M32" i="11"/>
  <c r="M50" i="11" s="1"/>
  <c r="J105" i="11"/>
  <c r="J65" i="11"/>
  <c r="J92" i="11"/>
  <c r="J94" i="11" s="1"/>
  <c r="J96" i="11" s="1"/>
  <c r="J97" i="11" s="1"/>
  <c r="K49" i="11"/>
  <c r="K106" i="11" s="1"/>
  <c r="K69" i="11"/>
  <c r="K108" i="11" s="1"/>
  <c r="M26" i="11"/>
  <c r="F6" i="14"/>
  <c r="K92" i="11" l="1"/>
  <c r="K94" i="11" s="1"/>
  <c r="K96" i="11" s="1"/>
  <c r="K107" i="11" s="1"/>
  <c r="M69" i="11"/>
  <c r="M49" i="11"/>
  <c r="M92" i="11"/>
  <c r="M94" i="11" s="1"/>
  <c r="M96" i="11" s="1"/>
  <c r="M113" i="11" s="1"/>
  <c r="L49" i="11"/>
  <c r="L69" i="11"/>
  <c r="L108" i="11" s="1"/>
  <c r="J107" i="11"/>
  <c r="J116" i="11" s="1"/>
  <c r="M111" i="11"/>
  <c r="M65" i="11"/>
  <c r="I97" i="11"/>
  <c r="I116" i="11" s="1"/>
  <c r="K65" i="11"/>
  <c r="K105" i="11"/>
  <c r="L48" i="11"/>
  <c r="L105" i="11" s="1"/>
  <c r="L32" i="11"/>
  <c r="L50" i="11" s="1"/>
  <c r="L30" i="11"/>
  <c r="E6" i="14"/>
  <c r="L92" i="11" l="1"/>
  <c r="L94" i="11" s="1"/>
  <c r="L96" i="11" s="1"/>
  <c r="L107" i="11" s="1"/>
  <c r="K97" i="11"/>
  <c r="K116" i="11" s="1"/>
  <c r="M97" i="11"/>
  <c r="L97" i="11"/>
  <c r="M108" i="11"/>
  <c r="M105" i="11"/>
  <c r="L65" i="11"/>
  <c r="L106" i="11"/>
  <c r="M112" i="11"/>
  <c r="M106" i="11"/>
  <c r="G6" i="14"/>
  <c r="M107" i="11" l="1"/>
  <c r="L116" i="11"/>
  <c r="F7" i="14"/>
  <c r="E7" i="14" l="1"/>
  <c r="G7" i="14" l="1"/>
  <c r="F8" i="14" l="1"/>
  <c r="E8" i="14" s="1"/>
  <c r="G8" i="14" s="1"/>
  <c r="F9" i="14" l="1"/>
  <c r="E9" i="14" s="1"/>
  <c r="G9" i="14" s="1"/>
  <c r="F10" i="14" l="1"/>
  <c r="E10" i="14" s="1"/>
  <c r="G10" i="14" s="1"/>
  <c r="F11" i="14" l="1"/>
  <c r="E11" i="14" s="1"/>
  <c r="G11" i="14" s="1"/>
  <c r="F12" i="14" l="1"/>
  <c r="E12" i="14" s="1"/>
  <c r="G12" i="14" s="1"/>
  <c r="F13" i="14" l="1"/>
  <c r="E13" i="14" s="1"/>
  <c r="G13" i="14" s="1"/>
  <c r="F14" i="14" l="1"/>
  <c r="E14" i="14" s="1"/>
  <c r="G14" i="14" s="1"/>
  <c r="F15" i="14" l="1"/>
  <c r="E15" i="14" l="1"/>
  <c r="H15" i="14"/>
  <c r="D28" i="11" s="1"/>
  <c r="D72" i="11" l="1"/>
  <c r="D34" i="11"/>
  <c r="D36" i="11" s="1"/>
  <c r="I15" i="14"/>
  <c r="D71" i="11" s="1"/>
  <c r="G15" i="14"/>
  <c r="D38" i="11" l="1"/>
  <c r="D70" i="11" s="1"/>
  <c r="F16" i="14"/>
  <c r="D75" i="11"/>
  <c r="D40" i="11" l="1"/>
  <c r="D82" i="11" s="1"/>
  <c r="E16" i="14"/>
  <c r="D84" i="11"/>
  <c r="D78" i="11"/>
  <c r="D86" i="11" l="1"/>
  <c r="D88" i="11" s="1"/>
  <c r="G16" i="14"/>
  <c r="F17" i="14" l="1"/>
  <c r="E17" i="14" l="1"/>
  <c r="G17" i="14" l="1"/>
  <c r="F18" i="14" l="1"/>
  <c r="E18" i="14" l="1"/>
  <c r="G18" i="14" l="1"/>
  <c r="F19" i="14" l="1"/>
  <c r="E19" i="14" l="1"/>
  <c r="G19" i="14" l="1"/>
  <c r="F20" i="14" l="1"/>
  <c r="E20" i="14" l="1"/>
  <c r="G20" i="14" l="1"/>
  <c r="F21" i="14" l="1"/>
  <c r="E21" i="14" s="1"/>
  <c r="G21" i="14" s="1"/>
  <c r="F22" i="14" l="1"/>
  <c r="E22" i="14" s="1"/>
  <c r="G22" i="14" s="1"/>
  <c r="F23" i="14" l="1"/>
  <c r="E23" i="14" s="1"/>
  <c r="G23" i="14" s="1"/>
  <c r="F24" i="14" l="1"/>
  <c r="E24" i="14" s="1"/>
  <c r="G24" i="14" s="1"/>
  <c r="F25" i="14" l="1"/>
  <c r="E25" i="14" s="1"/>
  <c r="G25" i="14" s="1"/>
  <c r="F26" i="14" l="1"/>
  <c r="E26" i="14" s="1"/>
  <c r="G26" i="14" s="1"/>
  <c r="F27" i="14" l="1"/>
  <c r="E27" i="14" l="1"/>
  <c r="H27" i="14"/>
  <c r="E28" i="11" s="1"/>
  <c r="I27" i="14" l="1"/>
  <c r="E71" i="11" s="1"/>
  <c r="G27" i="14"/>
  <c r="E72" i="11"/>
  <c r="E34" i="11"/>
  <c r="E36" i="11" s="1"/>
  <c r="E38" i="11" l="1"/>
  <c r="E70" i="11" s="1"/>
  <c r="F28" i="14"/>
  <c r="E75" i="11"/>
  <c r="E78" i="11" l="1"/>
  <c r="E28" i="14"/>
  <c r="E40" i="11"/>
  <c r="E82" i="11" s="1"/>
  <c r="E84" i="11" l="1"/>
  <c r="E86" i="11" s="1"/>
  <c r="G28" i="14"/>
  <c r="F29" i="14" l="1"/>
  <c r="E29" i="14" l="1"/>
  <c r="G29" i="14" l="1"/>
  <c r="F30" i="14" l="1"/>
  <c r="E30" i="14" l="1"/>
  <c r="G30" i="14" l="1"/>
  <c r="F31" i="14" l="1"/>
  <c r="E31" i="14" l="1"/>
  <c r="G31" i="14" l="1"/>
  <c r="F32" i="14" l="1"/>
  <c r="E32" i="14" l="1"/>
  <c r="G32" i="14" l="1"/>
  <c r="F33" i="14" l="1"/>
  <c r="E33" i="14" s="1"/>
  <c r="G33" i="14" s="1"/>
  <c r="F34" i="14" l="1"/>
  <c r="E34" i="14" s="1"/>
  <c r="G34" i="14" s="1"/>
  <c r="F35" i="14" l="1"/>
  <c r="E35" i="14" s="1"/>
  <c r="G35" i="14" s="1"/>
  <c r="F36" i="14" l="1"/>
  <c r="E36" i="14" s="1"/>
  <c r="G36" i="14" s="1"/>
  <c r="F37" i="14" l="1"/>
  <c r="E37" i="14" s="1"/>
  <c r="G37" i="14" s="1"/>
  <c r="F38" i="14" l="1"/>
  <c r="E38" i="14" s="1"/>
  <c r="G38" i="14" s="1"/>
  <c r="F39" i="14" l="1"/>
  <c r="E39" i="14" l="1"/>
  <c r="H39" i="14"/>
  <c r="F28" i="11" s="1"/>
  <c r="I39" i="14" l="1"/>
  <c r="F71" i="11" s="1"/>
  <c r="G39" i="14"/>
  <c r="F72" i="11"/>
  <c r="F34" i="11"/>
  <c r="F36" i="11" s="1"/>
  <c r="F38" i="11" l="1"/>
  <c r="F70" i="11" s="1"/>
  <c r="F40" i="14"/>
  <c r="F75" i="11"/>
  <c r="F78" i="11" l="1"/>
  <c r="E40" i="14"/>
  <c r="F40" i="11"/>
  <c r="F82" i="11" s="1"/>
  <c r="F84" i="11" l="1"/>
  <c r="F86" i="11" s="1"/>
  <c r="F88" i="11" s="1"/>
  <c r="G40" i="14"/>
  <c r="F41" i="14" l="1"/>
  <c r="E41" i="14" l="1"/>
  <c r="G41" i="14" l="1"/>
  <c r="F42" i="14" l="1"/>
  <c r="E42" i="14" l="1"/>
  <c r="G42" i="14" l="1"/>
  <c r="F43" i="14" l="1"/>
  <c r="E43" i="14" l="1"/>
  <c r="G43" i="14" l="1"/>
  <c r="F44" i="14" l="1"/>
  <c r="E44" i="14" l="1"/>
  <c r="G44" i="14" l="1"/>
  <c r="F45" i="14" l="1"/>
  <c r="E45" i="14" s="1"/>
  <c r="G45" i="14" s="1"/>
  <c r="F46" i="14" l="1"/>
  <c r="E46" i="14" s="1"/>
  <c r="G46" i="14" s="1"/>
  <c r="F47" i="14" l="1"/>
  <c r="E47" i="14" s="1"/>
  <c r="G47" i="14" s="1"/>
  <c r="F48" i="14" l="1"/>
  <c r="E48" i="14" s="1"/>
  <c r="G48" i="14" s="1"/>
  <c r="F49" i="14" l="1"/>
  <c r="E49" i="14" s="1"/>
  <c r="G49" i="14" s="1"/>
  <c r="F50" i="14" l="1"/>
  <c r="E50" i="14" s="1"/>
  <c r="G50" i="14" s="1"/>
  <c r="F51" i="14" l="1"/>
  <c r="E51" i="14" l="1"/>
  <c r="H51" i="14"/>
  <c r="G28" i="11" s="1"/>
  <c r="I51" i="14" l="1"/>
  <c r="G71" i="11" s="1"/>
  <c r="G51" i="14"/>
  <c r="G72" i="11"/>
  <c r="G34" i="11"/>
  <c r="G36" i="11" s="1"/>
  <c r="G38" i="11" l="1"/>
  <c r="G70" i="11" s="1"/>
  <c r="F52" i="14"/>
  <c r="G75" i="11"/>
  <c r="G78" i="11" l="1"/>
  <c r="E52" i="14"/>
  <c r="G40" i="11"/>
  <c r="G82" i="11" s="1"/>
  <c r="G84" i="11" l="1"/>
  <c r="G86" i="11" s="1"/>
  <c r="G88" i="11" s="1"/>
  <c r="G52" i="14"/>
  <c r="F53" i="14" l="1"/>
  <c r="E53" i="14" l="1"/>
  <c r="G53" i="14" l="1"/>
  <c r="F54" i="14" l="1"/>
  <c r="E54" i="14" l="1"/>
  <c r="G54" i="14" l="1"/>
  <c r="F55" i="14" l="1"/>
  <c r="E55" i="14" l="1"/>
  <c r="G55" i="14" l="1"/>
  <c r="F56" i="14" l="1"/>
  <c r="E56" i="14" l="1"/>
  <c r="G56" i="14" l="1"/>
  <c r="F57" i="14" l="1"/>
  <c r="E57" i="14" s="1"/>
  <c r="G57" i="14" s="1"/>
  <c r="F58" i="14" l="1"/>
  <c r="E58" i="14" s="1"/>
  <c r="G58" i="14" s="1"/>
  <c r="F59" i="14" l="1"/>
  <c r="E59" i="14" s="1"/>
  <c r="G59" i="14" s="1"/>
  <c r="F60" i="14" l="1"/>
  <c r="E60" i="14" s="1"/>
  <c r="G60" i="14" s="1"/>
  <c r="F61" i="14" l="1"/>
  <c r="E61" i="14" s="1"/>
  <c r="G61" i="14" s="1"/>
  <c r="F62" i="14" l="1"/>
  <c r="E62" i="14" s="1"/>
  <c r="G62" i="14" s="1"/>
  <c r="F63" i="14" l="1"/>
  <c r="E63" i="14" l="1"/>
  <c r="H63" i="14"/>
  <c r="H28" i="11" s="1"/>
  <c r="I63" i="14" l="1"/>
  <c r="H71" i="11" s="1"/>
  <c r="G63" i="14"/>
  <c r="H72" i="11"/>
  <c r="H34" i="11"/>
  <c r="H36" i="11" s="1"/>
  <c r="H38" i="11" l="1"/>
  <c r="H70" i="11" s="1"/>
  <c r="H75" i="11"/>
  <c r="F64" i="14"/>
  <c r="H78" i="11" l="1"/>
  <c r="E64" i="14"/>
  <c r="H40" i="11"/>
  <c r="H82" i="11" s="1"/>
  <c r="H84" i="11" l="1"/>
  <c r="H86" i="11" s="1"/>
  <c r="H88" i="11" s="1"/>
  <c r="G64" i="14"/>
  <c r="F65" i="14" l="1"/>
  <c r="E65" i="14" l="1"/>
  <c r="G65" i="14" l="1"/>
  <c r="F66" i="14" l="1"/>
  <c r="E66" i="14" l="1"/>
  <c r="G66" i="14" l="1"/>
  <c r="F67" i="14" l="1"/>
  <c r="E67" i="14" l="1"/>
  <c r="G67" i="14" l="1"/>
  <c r="F68" i="14" l="1"/>
  <c r="E68" i="14" l="1"/>
  <c r="G68" i="14" l="1"/>
  <c r="F69" i="14" l="1"/>
  <c r="E69" i="14" s="1"/>
  <c r="G69" i="14" s="1"/>
  <c r="F70" i="14" l="1"/>
  <c r="E70" i="14" s="1"/>
  <c r="G70" i="14" s="1"/>
  <c r="F71" i="14" l="1"/>
  <c r="E71" i="14" s="1"/>
  <c r="G71" i="14" s="1"/>
  <c r="F72" i="14" l="1"/>
  <c r="E72" i="14" s="1"/>
  <c r="G72" i="14" s="1"/>
  <c r="F73" i="14" l="1"/>
  <c r="E73" i="14" s="1"/>
  <c r="G73" i="14" s="1"/>
  <c r="F74" i="14" l="1"/>
  <c r="E74" i="14" s="1"/>
  <c r="G74" i="14" s="1"/>
  <c r="F75" i="14" l="1"/>
  <c r="E75" i="14" l="1"/>
  <c r="H75" i="14"/>
  <c r="I28" i="11" s="1"/>
  <c r="I75" i="14" l="1"/>
  <c r="I71" i="11" s="1"/>
  <c r="G75" i="14"/>
  <c r="I72" i="11"/>
  <c r="I34" i="11"/>
  <c r="I36" i="11" s="1"/>
  <c r="I38" i="11" l="1"/>
  <c r="I70" i="11" s="1"/>
  <c r="I75" i="11"/>
  <c r="F76" i="14"/>
  <c r="I40" i="11" l="1"/>
  <c r="I82" i="11" s="1"/>
  <c r="I84" i="11" s="1"/>
  <c r="E76" i="14"/>
  <c r="I78" i="11"/>
  <c r="G76" i="14" l="1"/>
  <c r="I86" i="11"/>
  <c r="I88" i="11" s="1"/>
  <c r="F77" i="14" l="1"/>
  <c r="E77" i="14" l="1"/>
  <c r="G77" i="14" l="1"/>
  <c r="F78" i="14" l="1"/>
  <c r="E78" i="14" l="1"/>
  <c r="G78" i="14" l="1"/>
  <c r="F79" i="14" l="1"/>
  <c r="E79" i="14" l="1"/>
  <c r="G79" i="14" l="1"/>
  <c r="F80" i="14" l="1"/>
  <c r="E80" i="14" l="1"/>
  <c r="G80" i="14" l="1"/>
  <c r="F81" i="14" l="1"/>
  <c r="E81" i="14" s="1"/>
  <c r="G81" i="14" s="1"/>
  <c r="F82" i="14" l="1"/>
  <c r="E82" i="14" s="1"/>
  <c r="G82" i="14" s="1"/>
  <c r="F83" i="14" l="1"/>
  <c r="E83" i="14" s="1"/>
  <c r="G83" i="14" s="1"/>
  <c r="F84" i="14" l="1"/>
  <c r="E84" i="14" s="1"/>
  <c r="G84" i="14" s="1"/>
  <c r="F85" i="14" l="1"/>
  <c r="E85" i="14" s="1"/>
  <c r="G85" i="14" s="1"/>
  <c r="F86" i="14" l="1"/>
  <c r="E86" i="14" s="1"/>
  <c r="G86" i="14" s="1"/>
  <c r="F87" i="14" l="1"/>
  <c r="E87" i="14" l="1"/>
  <c r="H87" i="14"/>
  <c r="J28" i="11" s="1"/>
  <c r="I87" i="14" l="1"/>
  <c r="J71" i="11" s="1"/>
  <c r="G87" i="14"/>
  <c r="J72" i="11"/>
  <c r="J34" i="11"/>
  <c r="J36" i="11" s="1"/>
  <c r="J38" i="11" l="1"/>
  <c r="J70" i="11" s="1"/>
  <c r="F88" i="14"/>
  <c r="J75" i="11"/>
  <c r="J78" i="11" l="1"/>
  <c r="E88" i="14"/>
  <c r="J40" i="11"/>
  <c r="J82" i="11" s="1"/>
  <c r="J84" i="11" l="1"/>
  <c r="J86" i="11" s="1"/>
  <c r="J88" i="11" s="1"/>
  <c r="G88" i="14"/>
  <c r="F89" i="14" l="1"/>
  <c r="E89" i="14" l="1"/>
  <c r="G89" i="14" l="1"/>
  <c r="F90" i="14" l="1"/>
  <c r="E90" i="14" l="1"/>
  <c r="G90" i="14" l="1"/>
  <c r="F91" i="14" l="1"/>
  <c r="E91" i="14" l="1"/>
  <c r="G91" i="14" l="1"/>
  <c r="F92" i="14" l="1"/>
  <c r="E92" i="14" l="1"/>
  <c r="G92" i="14" l="1"/>
  <c r="F93" i="14" l="1"/>
  <c r="E93" i="14" s="1"/>
  <c r="G93" i="14" s="1"/>
  <c r="F94" i="14" l="1"/>
  <c r="E94" i="14" s="1"/>
  <c r="G94" i="14" s="1"/>
  <c r="F95" i="14" l="1"/>
  <c r="E95" i="14" s="1"/>
  <c r="G95" i="14" s="1"/>
  <c r="F96" i="14" l="1"/>
  <c r="E96" i="14" s="1"/>
  <c r="G96" i="14" s="1"/>
  <c r="F97" i="14" l="1"/>
  <c r="E97" i="14" s="1"/>
  <c r="G97" i="14" s="1"/>
  <c r="F98" i="14" l="1"/>
  <c r="E98" i="14" s="1"/>
  <c r="G98" i="14" s="1"/>
  <c r="F99" i="14" l="1"/>
  <c r="E99" i="14" l="1"/>
  <c r="H99" i="14"/>
  <c r="K28" i="11" s="1"/>
  <c r="I99" i="14" l="1"/>
  <c r="K71" i="11" s="1"/>
  <c r="G99" i="14"/>
  <c r="K72" i="11"/>
  <c r="K34" i="11"/>
  <c r="K36" i="11" s="1"/>
  <c r="K38" i="11" l="1"/>
  <c r="K70" i="11" s="1"/>
  <c r="F100" i="14"/>
  <c r="K75" i="11"/>
  <c r="K40" i="11" l="1"/>
  <c r="K82" i="11" s="1"/>
  <c r="K84" i="11" s="1"/>
  <c r="E100" i="14"/>
  <c r="K78" i="11"/>
  <c r="G100" i="14" l="1"/>
  <c r="K86" i="11"/>
  <c r="K88" i="11" s="1"/>
  <c r="F101" i="14" l="1"/>
  <c r="E101" i="14" l="1"/>
  <c r="G101" i="14" l="1"/>
  <c r="F102" i="14" l="1"/>
  <c r="E102" i="14" l="1"/>
  <c r="G102" i="14" l="1"/>
  <c r="F103" i="14" l="1"/>
  <c r="E103" i="14" l="1"/>
  <c r="G103" i="14" l="1"/>
  <c r="F104" i="14" l="1"/>
  <c r="E104" i="14" l="1"/>
  <c r="G104" i="14" l="1"/>
  <c r="F105" i="14" l="1"/>
  <c r="E105" i="14" s="1"/>
  <c r="G105" i="14" s="1"/>
  <c r="F106" i="14" l="1"/>
  <c r="E106" i="14" s="1"/>
  <c r="G106" i="14" s="1"/>
  <c r="F107" i="14" l="1"/>
  <c r="E107" i="14" s="1"/>
  <c r="G107" i="14" s="1"/>
  <c r="F108" i="14" l="1"/>
  <c r="E108" i="14" s="1"/>
  <c r="G108" i="14" s="1"/>
  <c r="F109" i="14" l="1"/>
  <c r="E109" i="14" s="1"/>
  <c r="G109" i="14" s="1"/>
  <c r="F110" i="14" l="1"/>
  <c r="E110" i="14" s="1"/>
  <c r="G110" i="14" s="1"/>
  <c r="F111" i="14" l="1"/>
  <c r="E111" i="14" l="1"/>
  <c r="H111" i="14"/>
  <c r="L28" i="11" s="1"/>
  <c r="I111" i="14" l="1"/>
  <c r="L71" i="11" s="1"/>
  <c r="G111" i="14"/>
  <c r="L72" i="11"/>
  <c r="L34" i="11"/>
  <c r="L36" i="11" s="1"/>
  <c r="L38" i="11" l="1"/>
  <c r="L70" i="11" s="1"/>
  <c r="L75" i="11"/>
  <c r="F112" i="14"/>
  <c r="L40" i="11" l="1"/>
  <c r="L82" i="11" s="1"/>
  <c r="L84" i="11" s="1"/>
  <c r="E112" i="14"/>
  <c r="L78" i="11"/>
  <c r="L86" i="11" l="1"/>
  <c r="L88" i="11" s="1"/>
  <c r="G112" i="14"/>
  <c r="F113" i="14" l="1"/>
  <c r="E113" i="14" l="1"/>
  <c r="G113" i="14" l="1"/>
  <c r="F114" i="14" l="1"/>
  <c r="E114" i="14" l="1"/>
  <c r="G114" i="14" l="1"/>
  <c r="F115" i="14" l="1"/>
  <c r="E115" i="14" l="1"/>
  <c r="G115" i="14" l="1"/>
  <c r="F116" i="14" l="1"/>
  <c r="E116" i="14" l="1"/>
  <c r="G116" i="14" l="1"/>
  <c r="F117" i="14" l="1"/>
  <c r="E117" i="14" s="1"/>
  <c r="G117" i="14" s="1"/>
  <c r="F118" i="14" l="1"/>
  <c r="E118" i="14" s="1"/>
  <c r="G118" i="14" s="1"/>
  <c r="F119" i="14" l="1"/>
  <c r="E119" i="14" s="1"/>
  <c r="G119" i="14" s="1"/>
  <c r="F120" i="14" l="1"/>
  <c r="E120" i="14" s="1"/>
  <c r="G120" i="14" s="1"/>
  <c r="F121" i="14" l="1"/>
  <c r="E121" i="14" s="1"/>
  <c r="G121" i="14" s="1"/>
  <c r="F122" i="14" l="1"/>
  <c r="E122" i="14" s="1"/>
  <c r="G122" i="14" s="1"/>
  <c r="F123" i="14" l="1"/>
  <c r="E123" i="14" l="1"/>
  <c r="H123" i="14"/>
  <c r="M28" i="11" s="1"/>
  <c r="I123" i="14" l="1"/>
  <c r="M71" i="11" s="1"/>
  <c r="G123" i="14"/>
  <c r="M75" i="11" s="1"/>
  <c r="C9" i="15" s="1"/>
  <c r="F10" i="15" s="1"/>
  <c r="M72" i="11"/>
  <c r="M34" i="11"/>
  <c r="M36" i="11" s="1"/>
  <c r="M38" i="11" l="1"/>
  <c r="M70" i="11" s="1"/>
  <c r="F12" i="15"/>
  <c r="G10" i="15"/>
  <c r="I10" i="15" s="1"/>
  <c r="M78" i="11" l="1"/>
  <c r="M114" i="11"/>
  <c r="M116" i="11" s="1"/>
  <c r="C120" i="11" s="1"/>
  <c r="M40" i="11"/>
  <c r="M82" i="11" s="1"/>
  <c r="M84" i="11" s="1"/>
  <c r="M86" i="11" s="1"/>
  <c r="M88" i="11" s="1"/>
  <c r="F18" i="15"/>
  <c r="G11" i="15"/>
  <c r="I11" i="15" s="1"/>
  <c r="I12" i="15" s="1"/>
  <c r="I13" i="15" s="1"/>
  <c r="H17" i="15" s="1"/>
  <c r="C8" i="15" l="1"/>
  <c r="F5" i="15" s="1"/>
  <c r="F6" i="15" s="1"/>
  <c r="F17" i="15" s="1"/>
  <c r="F19" i="15" l="1"/>
  <c r="G18" i="15" s="1"/>
  <c r="C23" i="15" s="1"/>
  <c r="G17" i="15" l="1"/>
  <c r="I17" i="15" l="1"/>
  <c r="C22" i="15"/>
  <c r="I22" i="15" s="1"/>
  <c r="G4" i="15" s="1"/>
  <c r="H18" i="15" s="1"/>
  <c r="I18" i="15" s="1"/>
  <c r="I19" i="15" l="1"/>
  <c r="F117" i="11" s="1"/>
  <c r="H117" i="11" l="1"/>
  <c r="K117" i="11"/>
  <c r="G117" i="11"/>
  <c r="C117" i="11"/>
  <c r="D117" i="11"/>
  <c r="E117" i="11"/>
  <c r="J117" i="11"/>
  <c r="M117" i="11"/>
  <c r="I117" i="11"/>
  <c r="L117" i="11"/>
  <c r="E65" i="11"/>
  <c r="E88" i="11" s="1"/>
  <c r="C119" i="11" l="1"/>
</calcChain>
</file>

<file path=xl/sharedStrings.xml><?xml version="1.0" encoding="utf-8"?>
<sst xmlns="http://schemas.openxmlformats.org/spreadsheetml/2006/main" count="488" uniqueCount="214">
  <si>
    <t>Inventory</t>
  </si>
  <si>
    <t>DFN</t>
  </si>
  <si>
    <t>Expenses:</t>
  </si>
  <si>
    <t>Land</t>
  </si>
  <si>
    <t>Assets:</t>
  </si>
  <si>
    <t>Liabilities:</t>
  </si>
  <si>
    <t>PMT</t>
  </si>
  <si>
    <t>Interest</t>
  </si>
  <si>
    <t>Principle</t>
  </si>
  <si>
    <t>Capital expenditures</t>
  </si>
  <si>
    <t>NPER</t>
  </si>
  <si>
    <t>RATE</t>
  </si>
  <si>
    <t>PV</t>
  </si>
  <si>
    <t>FV</t>
  </si>
  <si>
    <t>Type</t>
  </si>
  <si>
    <t>Payment</t>
  </si>
  <si>
    <t>Commissions</t>
  </si>
  <si>
    <t>Golf pros</t>
  </si>
  <si>
    <t>Tennis pros</t>
  </si>
  <si>
    <t>Sales</t>
  </si>
  <si>
    <t>Pro shop</t>
  </si>
  <si>
    <t>Grill</t>
  </si>
  <si>
    <t>Dining</t>
  </si>
  <si>
    <t>Services</t>
  </si>
  <si>
    <t>Special events</t>
  </si>
  <si>
    <t>Fees</t>
  </si>
  <si>
    <t>Membership</t>
  </si>
  <si>
    <t>Salaries and wages</t>
  </si>
  <si>
    <t>Utilities</t>
  </si>
  <si>
    <t>Depreciation</t>
  </si>
  <si>
    <t>Taxable income</t>
  </si>
  <si>
    <t>Tax rate</t>
  </si>
  <si>
    <t>Federal income tax</t>
  </si>
  <si>
    <t>Current assets</t>
  </si>
  <si>
    <t>Current liabilities</t>
  </si>
  <si>
    <t>Long-term liabilities</t>
  </si>
  <si>
    <t>Maintenance &amp; repairs</t>
  </si>
  <si>
    <t>Miscellaneous</t>
  </si>
  <si>
    <t>Revenues:</t>
  </si>
  <si>
    <t>Common stock</t>
  </si>
  <si>
    <t>Retained earnings</t>
  </si>
  <si>
    <t>Accounts receivable</t>
  </si>
  <si>
    <t>Supplies</t>
  </si>
  <si>
    <t>Equipment, lawn care</t>
  </si>
  <si>
    <t>Equipment, golf course</t>
  </si>
  <si>
    <t>Equipment, furniture</t>
  </si>
  <si>
    <t>Equipment, fitness</t>
  </si>
  <si>
    <t>Clubhouse</t>
  </si>
  <si>
    <t>Property, Plant, Equipment</t>
  </si>
  <si>
    <t>Accounts payable</t>
  </si>
  <si>
    <t>Employee benefits</t>
  </si>
  <si>
    <t>FIT payable</t>
  </si>
  <si>
    <t>Mortgage payable</t>
  </si>
  <si>
    <t>Interest payable</t>
  </si>
  <si>
    <t>A/D, fitness</t>
  </si>
  <si>
    <t>A/D, furniture</t>
  </si>
  <si>
    <t>A/D, golf course</t>
  </si>
  <si>
    <t>A/D, lawn care</t>
  </si>
  <si>
    <t>Average membership price</t>
  </si>
  <si>
    <t>Number of members</t>
  </si>
  <si>
    <t>Average pro lesson rate, golf</t>
  </si>
  <si>
    <t>Average number of lessons, golf</t>
  </si>
  <si>
    <t>Commission, golf lessons</t>
  </si>
  <si>
    <t>Average pro lesson rate, tennis</t>
  </si>
  <si>
    <t>Average number of lessons, tennis</t>
  </si>
  <si>
    <t>Commission, tennis lessons</t>
  </si>
  <si>
    <t>Cost of goods sold, pro shop</t>
  </si>
  <si>
    <t>Cost of goods sold, grill</t>
  </si>
  <si>
    <t>Cost of goods sold, dining</t>
  </si>
  <si>
    <t>Sales, pro shop</t>
  </si>
  <si>
    <t>Sales, grill</t>
  </si>
  <si>
    <t>Sales, dining</t>
  </si>
  <si>
    <t>Sales, special events</t>
  </si>
  <si>
    <t>Total revenues</t>
  </si>
  <si>
    <t>Full-time employees</t>
  </si>
  <si>
    <t>Average salary</t>
  </si>
  <si>
    <t>Part-time employees</t>
  </si>
  <si>
    <t>Average hours</t>
  </si>
  <si>
    <t>Average wage rate</t>
  </si>
  <si>
    <t>Landscaping</t>
  </si>
  <si>
    <t>Minimum cash balance</t>
  </si>
  <si>
    <t>Cash in excess of minimum balance</t>
  </si>
  <si>
    <t>Days of receivables</t>
  </si>
  <si>
    <t>Days of inventory</t>
  </si>
  <si>
    <t>A/D, clubhouse</t>
  </si>
  <si>
    <t>Days of payables</t>
  </si>
  <si>
    <t>Growth rate</t>
  </si>
  <si>
    <t>Depreciation, clubhouse, straight line</t>
  </si>
  <si>
    <t>Depreciation, equipment lawn care, straight line</t>
  </si>
  <si>
    <t>Depreciation, equipment furniture, straight line</t>
  </si>
  <si>
    <t>Depreciation, equipment fitness, straight line</t>
  </si>
  <si>
    <t>Depreciation, equipment golf course, straight line</t>
  </si>
  <si>
    <t>Cost</t>
  </si>
  <si>
    <t>Salvage value</t>
  </si>
  <si>
    <t>Depreciable base</t>
  </si>
  <si>
    <t>Economic life</t>
  </si>
  <si>
    <t>Depreciation expense</t>
  </si>
  <si>
    <t>N/A</t>
  </si>
  <si>
    <t>Utilities (water, sewage, electricity)</t>
  </si>
  <si>
    <t>Services (satellite, Internet, phone)</t>
  </si>
  <si>
    <t>Operating expenses</t>
  </si>
  <si>
    <t>Total liabilities</t>
  </si>
  <si>
    <t>Mortgage payable, current portion</t>
  </si>
  <si>
    <t>Other interest expense</t>
  </si>
  <si>
    <t>Other note payable</t>
  </si>
  <si>
    <t>INCOME STATEMENT</t>
  </si>
  <si>
    <t>BALANCE SHEET</t>
  </si>
  <si>
    <t>of compensation</t>
  </si>
  <si>
    <t>REVENUE ASSUMPTIONS</t>
  </si>
  <si>
    <t>EXPENSE ASSUMPTIONS</t>
  </si>
  <si>
    <t>ASSET ASSUMPTIONS</t>
  </si>
  <si>
    <t>LIABILITY ASSUMPTIONS</t>
  </si>
  <si>
    <t>Interest Payable</t>
  </si>
  <si>
    <t>Mortgage Payable</t>
  </si>
  <si>
    <t>Carrying Value</t>
  </si>
  <si>
    <t>Loan Calculations</t>
  </si>
  <si>
    <t>NET INCOME</t>
  </si>
  <si>
    <t>TOTAL ASSETS</t>
  </si>
  <si>
    <t>TOTAL LIABILITIES &amp; EQUITY</t>
  </si>
  <si>
    <t>Total equity</t>
  </si>
  <si>
    <t>Equity:</t>
  </si>
  <si>
    <t>EQUITY ASSUMPTIONS</t>
  </si>
  <si>
    <t>Investor 1</t>
  </si>
  <si>
    <t>Investor 2</t>
  </si>
  <si>
    <t>Investor 3</t>
  </si>
  <si>
    <t>Investor 4</t>
  </si>
  <si>
    <t>Investor 5</t>
  </si>
  <si>
    <t>Investor 6</t>
  </si>
  <si>
    <t xml:space="preserve">Purchase Price </t>
  </si>
  <si>
    <t>Debt Captial</t>
  </si>
  <si>
    <t>Equity Capital</t>
  </si>
  <si>
    <t>Don't hardwire the rate</t>
  </si>
  <si>
    <t>Only applies to membership fees</t>
  </si>
  <si>
    <t>Shouldn't be attached to an asset</t>
  </si>
  <si>
    <t>Optional, prefers not to break this out of the overall mortgage</t>
  </si>
  <si>
    <t>Consider hardwiring this in, and include some short-term assets</t>
  </si>
  <si>
    <t>CLUBHOUSE</t>
  </si>
  <si>
    <t>LAWNCARE EQUIPMENT</t>
  </si>
  <si>
    <t>FITNESS EQUIPMENT</t>
  </si>
  <si>
    <t>GOLF COURSE EQUIPMENT</t>
  </si>
  <si>
    <t>FURNITURE</t>
  </si>
  <si>
    <t>Annual Rate</t>
  </si>
  <si>
    <t>Year to Maturity</t>
  </si>
  <si>
    <t>Year</t>
  </si>
  <si>
    <t>Months</t>
  </si>
  <si>
    <t>ASSUMPTIONS</t>
  </si>
  <si>
    <t>WACC - EQUITY</t>
  </si>
  <si>
    <t>Cap Stock</t>
  </si>
  <si>
    <t>CAPM</t>
  </si>
  <si>
    <t>Beta</t>
  </si>
  <si>
    <t>T-Bill Rate</t>
  </si>
  <si>
    <t>Retain Earn</t>
  </si>
  <si>
    <t>S&amp;P 500</t>
  </si>
  <si>
    <t>Total Equity</t>
  </si>
  <si>
    <t>WACC-DEBT</t>
  </si>
  <si>
    <t>Mortgage</t>
  </si>
  <si>
    <t>Total</t>
  </si>
  <si>
    <t>Proportion</t>
  </si>
  <si>
    <t>Int Rate</t>
  </si>
  <si>
    <t>WA Rate</t>
  </si>
  <si>
    <t>Mortgage Rate</t>
  </si>
  <si>
    <t>Mortagage</t>
  </si>
  <si>
    <t>Extra Debt</t>
  </si>
  <si>
    <t>Debt Rate</t>
  </si>
  <si>
    <t>Total Debt</t>
  </si>
  <si>
    <t>Blended Debt Rate</t>
  </si>
  <si>
    <t>Income Tax</t>
  </si>
  <si>
    <t>Debt - CC</t>
  </si>
  <si>
    <t>WACC TOTAL</t>
  </si>
  <si>
    <t>Blend Rate</t>
  </si>
  <si>
    <t>Equity</t>
  </si>
  <si>
    <t>Debt</t>
  </si>
  <si>
    <t>WACC</t>
  </si>
  <si>
    <t>RELEVERAGING</t>
  </si>
  <si>
    <t>Expected Debt</t>
  </si>
  <si>
    <t>Unlevered Beta</t>
  </si>
  <si>
    <t>Relevered Beta</t>
  </si>
  <si>
    <t>Common Stock</t>
  </si>
  <si>
    <t>Expected Equity</t>
  </si>
  <si>
    <t>Taxable Operating Income</t>
  </si>
  <si>
    <t>Tax Rate</t>
  </si>
  <si>
    <t>FCF, NPV, IRR</t>
  </si>
  <si>
    <t>Cash from Operations</t>
  </si>
  <si>
    <t>Operating Income</t>
  </si>
  <si>
    <t>Less: Depreciation</t>
  </si>
  <si>
    <t>Taxes on Operations ONLY</t>
  </si>
  <si>
    <t>CASH FROM OPERATIONS</t>
  </si>
  <si>
    <t>Cash in/out from Capital Expenditures</t>
  </si>
  <si>
    <t>SALE</t>
  </si>
  <si>
    <t>Capital Gains Tax Rate</t>
  </si>
  <si>
    <t>Buy Assets</t>
  </si>
  <si>
    <t>Sale of Assets</t>
  </si>
  <si>
    <t>Taxes on sale of Assets</t>
  </si>
  <si>
    <t>Cash from Changes in working capital</t>
  </si>
  <si>
    <t>Accounts Receivable</t>
  </si>
  <si>
    <t>Income Tax Payable</t>
  </si>
  <si>
    <t>Accounts Payable</t>
  </si>
  <si>
    <t>Inventory/ Supplies</t>
  </si>
  <si>
    <t>Cash from Liquidating Working Capital</t>
  </si>
  <si>
    <t>Total FCF</t>
  </si>
  <si>
    <t>PV of FCF</t>
  </si>
  <si>
    <t>NPV</t>
  </si>
  <si>
    <t>IRR</t>
  </si>
  <si>
    <t>Probability of occurrence</t>
  </si>
  <si>
    <t>Good Year</t>
  </si>
  <si>
    <t>Bad Year</t>
  </si>
  <si>
    <t>Expected value</t>
  </si>
  <si>
    <t>Option</t>
  </si>
  <si>
    <t>S</t>
  </si>
  <si>
    <t>X</t>
  </si>
  <si>
    <t>t</t>
  </si>
  <si>
    <t>STDEV(%)</t>
  </si>
  <si>
    <t>r</t>
  </si>
  <si>
    <t>Option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</si>
</sst>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_);_(* \(#,##0\);_(* \-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15">
    <xf numFmtId="0" fontId="0" fillId="0" borderId="0" xfId="0"/>
    <xf numFmtId="164" fontId="0" fillId="0" borderId="0" xfId="2" applyNumberFormat="1" applyFont="1"/>
    <xf numFmtId="0" fontId="2" fillId="0" borderId="0" xfId="0" applyFont="1"/>
    <xf numFmtId="164" fontId="2" fillId="0" borderId="0" xfId="2" applyNumberFormat="1" applyFont="1"/>
    <xf numFmtId="164" fontId="2" fillId="0" borderId="1" xfId="2" applyNumberFormat="1" applyFont="1" applyBorder="1"/>
    <xf numFmtId="9" fontId="2" fillId="0" borderId="0" xfId="1" applyFont="1"/>
    <xf numFmtId="164" fontId="2" fillId="0" borderId="0" xfId="2" applyNumberFormat="1" applyFont="1" applyAlignment="1">
      <alignment horizontal="left" indent="1"/>
    </xf>
    <xf numFmtId="43" fontId="2" fillId="0" borderId="0" xfId="2" applyFont="1"/>
    <xf numFmtId="164" fontId="2" fillId="0" borderId="0" xfId="2" applyNumberFormat="1" applyFont="1" applyAlignment="1">
      <alignment horizontal="left"/>
    </xf>
    <xf numFmtId="10" fontId="0" fillId="0" borderId="0" xfId="1" applyNumberFormat="1" applyFont="1"/>
    <xf numFmtId="9" fontId="2" fillId="0" borderId="0" xfId="1" applyNumberFormat="1" applyFont="1"/>
    <xf numFmtId="166" fontId="2" fillId="0" borderId="0" xfId="2" applyNumberFormat="1" applyFont="1"/>
    <xf numFmtId="164" fontId="0" fillId="0" borderId="0" xfId="2" applyNumberFormat="1" applyFont="1" applyFill="1"/>
    <xf numFmtId="164" fontId="3" fillId="0" borderId="0" xfId="2" applyNumberFormat="1" applyFont="1"/>
    <xf numFmtId="164" fontId="1" fillId="0" borderId="0" xfId="2" applyNumberFormat="1" applyFont="1"/>
    <xf numFmtId="164" fontId="1" fillId="0" borderId="1" xfId="2" applyNumberFormat="1" applyFont="1" applyBorder="1"/>
    <xf numFmtId="9" fontId="1" fillId="0" borderId="0" xfId="1" applyFont="1"/>
    <xf numFmtId="43" fontId="1" fillId="0" borderId="0" xfId="2" applyFont="1"/>
    <xf numFmtId="43" fontId="0" fillId="0" borderId="0" xfId="2" applyFont="1"/>
    <xf numFmtId="43" fontId="1" fillId="0" borderId="1" xfId="2" applyFont="1" applyBorder="1"/>
    <xf numFmtId="164" fontId="2" fillId="2" borderId="4" xfId="2" applyNumberFormat="1" applyFont="1" applyFill="1" applyBorder="1"/>
    <xf numFmtId="164" fontId="0" fillId="2" borderId="5" xfId="2" applyNumberFormat="1" applyFont="1" applyFill="1" applyBorder="1"/>
    <xf numFmtId="164" fontId="2" fillId="2" borderId="4" xfId="2" applyNumberFormat="1" applyFont="1" applyFill="1" applyBorder="1" applyAlignment="1">
      <alignment horizontal="left"/>
    </xf>
    <xf numFmtId="164" fontId="1" fillId="2" borderId="5" xfId="2" applyNumberFormat="1" applyFont="1" applyFill="1" applyBorder="1"/>
    <xf numFmtId="9" fontId="1" fillId="2" borderId="5" xfId="1" applyFont="1" applyFill="1" applyBorder="1"/>
    <xf numFmtId="164" fontId="1" fillId="2" borderId="6" xfId="2" applyNumberFormat="1" applyFont="1" applyFill="1" applyBorder="1"/>
    <xf numFmtId="164" fontId="4" fillId="4" borderId="6" xfId="0" applyNumberFormat="1" applyFont="1" applyFill="1" applyBorder="1"/>
    <xf numFmtId="0" fontId="2" fillId="0" borderId="0" xfId="0" applyFont="1" applyAlignment="1">
      <alignment horizontal="center"/>
    </xf>
    <xf numFmtId="0" fontId="4" fillId="0" borderId="0" xfId="0" applyFont="1" applyBorder="1"/>
    <xf numFmtId="0" fontId="0" fillId="0" borderId="0" xfId="0" applyFont="1"/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Continuous" vertical="center"/>
    </xf>
    <xf numFmtId="0" fontId="0" fillId="0" borderId="0" xfId="0" applyFont="1" applyAlignment="1">
      <alignment horizontal="center"/>
    </xf>
    <xf numFmtId="8" fontId="0" fillId="0" borderId="0" xfId="0" applyNumberFormat="1" applyFont="1"/>
    <xf numFmtId="43" fontId="0" fillId="0" borderId="0" xfId="0" applyNumberFormat="1" applyFont="1"/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164" fontId="0" fillId="2" borderId="5" xfId="0" applyNumberFormat="1" applyFont="1" applyFill="1" applyBorder="1"/>
    <xf numFmtId="0" fontId="1" fillId="0" borderId="0" xfId="2" applyNumberFormat="1" applyFont="1"/>
    <xf numFmtId="0" fontId="4" fillId="3" borderId="7" xfId="2" applyNumberFormat="1" applyFont="1" applyFill="1" applyBorder="1" applyAlignment="1">
      <alignment horizontal="center"/>
    </xf>
    <xf numFmtId="0" fontId="4" fillId="3" borderId="4" xfId="2" applyNumberFormat="1" applyFont="1" applyFill="1" applyBorder="1" applyAlignment="1">
      <alignment horizontal="center"/>
    </xf>
    <xf numFmtId="9" fontId="4" fillId="3" borderId="4" xfId="1" applyFont="1" applyFill="1" applyBorder="1" applyAlignment="1">
      <alignment horizontal="centerContinuous" vertical="center"/>
    </xf>
    <xf numFmtId="0" fontId="4" fillId="3" borderId="6" xfId="2" applyNumberFormat="1" applyFont="1" applyFill="1" applyBorder="1" applyAlignment="1">
      <alignment horizontal="centerContinuous" vertical="center"/>
    </xf>
    <xf numFmtId="9" fontId="1" fillId="0" borderId="0" xfId="1" applyFont="1" applyAlignment="1">
      <alignment horizontal="right"/>
    </xf>
    <xf numFmtId="165" fontId="1" fillId="0" borderId="0" xfId="1" applyNumberFormat="1" applyFont="1"/>
    <xf numFmtId="164" fontId="2" fillId="2" borderId="5" xfId="2" applyNumberFormat="1" applyFont="1" applyFill="1" applyBorder="1"/>
    <xf numFmtId="0" fontId="1" fillId="0" borderId="0" xfId="2" applyNumberFormat="1" applyFont="1" applyAlignment="1">
      <alignment horizontal="center"/>
    </xf>
    <xf numFmtId="0" fontId="7" fillId="0" borderId="0" xfId="0" applyFont="1" applyFill="1" applyBorder="1" applyAlignment="1"/>
    <xf numFmtId="0" fontId="7" fillId="0" borderId="0" xfId="0" applyFont="1"/>
    <xf numFmtId="0" fontId="7" fillId="0" borderId="0" xfId="0" applyNumberFormat="1" applyFont="1"/>
    <xf numFmtId="40" fontId="7" fillId="0" borderId="0" xfId="0" applyNumberFormat="1" applyFont="1" applyFill="1" applyBorder="1"/>
    <xf numFmtId="0" fontId="7" fillId="0" borderId="0" xfId="0" applyFont="1" applyBorder="1"/>
    <xf numFmtId="43" fontId="8" fillId="0" borderId="0" xfId="2" applyFont="1" applyFill="1" applyBorder="1"/>
    <xf numFmtId="10" fontId="7" fillId="0" borderId="0" xfId="1" applyNumberFormat="1" applyFont="1" applyFill="1" applyBorder="1"/>
    <xf numFmtId="10" fontId="8" fillId="0" borderId="0" xfId="1" applyNumberFormat="1" applyFont="1" applyFill="1" applyBorder="1"/>
    <xf numFmtId="10" fontId="7" fillId="0" borderId="0" xfId="1" applyNumberFormat="1" applyFont="1" applyBorder="1"/>
    <xf numFmtId="44" fontId="7" fillId="0" borderId="0" xfId="3" applyFont="1" applyFill="1" applyBorder="1"/>
    <xf numFmtId="0" fontId="7" fillId="0" borderId="3" xfId="0" applyFont="1" applyBorder="1"/>
    <xf numFmtId="43" fontId="7" fillId="0" borderId="0" xfId="2" applyFont="1" applyBorder="1"/>
    <xf numFmtId="10" fontId="7" fillId="0" borderId="3" xfId="0" applyNumberFormat="1" applyFont="1" applyBorder="1"/>
    <xf numFmtId="10" fontId="7" fillId="0" borderId="3" xfId="0" applyNumberFormat="1" applyFont="1" applyBorder="1" applyAlignment="1">
      <alignment horizontal="right"/>
    </xf>
    <xf numFmtId="10" fontId="7" fillId="0" borderId="3" xfId="1" applyNumberFormat="1" applyFont="1" applyBorder="1"/>
    <xf numFmtId="0" fontId="7" fillId="0" borderId="0" xfId="0" applyFont="1" applyBorder="1" applyAlignment="1">
      <alignment horizontal="right"/>
    </xf>
    <xf numFmtId="9" fontId="7" fillId="0" borderId="0" xfId="1" applyFont="1" applyBorder="1"/>
    <xf numFmtId="44" fontId="7" fillId="0" borderId="0" xfId="3" applyFont="1" applyBorder="1"/>
    <xf numFmtId="0" fontId="7" fillId="0" borderId="0" xfId="0" applyFont="1" applyFill="1" applyBorder="1"/>
    <xf numFmtId="0" fontId="9" fillId="0" borderId="3" xfId="0" applyFont="1" applyBorder="1" applyAlignment="1">
      <alignment horizontal="right"/>
    </xf>
    <xf numFmtId="10" fontId="9" fillId="0" borderId="3" xfId="1" applyNumberFormat="1" applyFont="1" applyBorder="1"/>
    <xf numFmtId="0" fontId="9" fillId="0" borderId="0" xfId="0" applyFont="1" applyBorder="1" applyAlignment="1">
      <alignment horizontal="right"/>
    </xf>
    <xf numFmtId="10" fontId="9" fillId="0" borderId="0" xfId="1" applyNumberFormat="1" applyFont="1" applyBorder="1"/>
    <xf numFmtId="43" fontId="9" fillId="0" borderId="0" xfId="2" applyFont="1" applyBorder="1"/>
    <xf numFmtId="0" fontId="7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vertical="center"/>
    </xf>
    <xf numFmtId="0" fontId="4" fillId="3" borderId="4" xfId="0" applyFont="1" applyFill="1" applyBorder="1"/>
    <xf numFmtId="165" fontId="4" fillId="3" borderId="5" xfId="1" applyNumberFormat="1" applyFont="1" applyFill="1" applyBorder="1"/>
    <xf numFmtId="0" fontId="4" fillId="3" borderId="5" xfId="0" applyFont="1" applyFill="1" applyBorder="1"/>
    <xf numFmtId="0" fontId="4" fillId="3" borderId="6" xfId="0" applyFont="1" applyFill="1" applyBorder="1"/>
    <xf numFmtId="0" fontId="4" fillId="3" borderId="4" xfId="0" applyFont="1" applyFill="1" applyBorder="1" applyAlignment="1"/>
    <xf numFmtId="0" fontId="4" fillId="3" borderId="6" xfId="0" applyFont="1" applyFill="1" applyBorder="1" applyAlignment="1"/>
    <xf numFmtId="0" fontId="4" fillId="3" borderId="5" xfId="0" applyFont="1" applyFill="1" applyBorder="1" applyAlignment="1"/>
    <xf numFmtId="164" fontId="4" fillId="3" borderId="4" xfId="2" applyNumberFormat="1" applyFont="1" applyFill="1" applyBorder="1" applyAlignment="1">
      <alignment horizontal="left" vertical="center"/>
    </xf>
    <xf numFmtId="164" fontId="4" fillId="3" borderId="6" xfId="2" applyNumberFormat="1" applyFont="1" applyFill="1" applyBorder="1" applyAlignment="1">
      <alignment horizontal="centerContinuous" vertical="center"/>
    </xf>
    <xf numFmtId="165" fontId="8" fillId="0" borderId="0" xfId="1" applyNumberFormat="1" applyFont="1" applyFill="1" applyBorder="1"/>
    <xf numFmtId="10" fontId="8" fillId="0" borderId="0" xfId="2" applyNumberFormat="1" applyFont="1" applyFill="1" applyBorder="1"/>
    <xf numFmtId="10" fontId="8" fillId="0" borderId="0" xfId="2" applyNumberFormat="1" applyFont="1"/>
    <xf numFmtId="164" fontId="10" fillId="0" borderId="0" xfId="2" applyNumberFormat="1" applyFont="1"/>
    <xf numFmtId="9" fontId="1" fillId="5" borderId="0" xfId="1" applyFont="1" applyFill="1"/>
    <xf numFmtId="164" fontId="7" fillId="0" borderId="0" xfId="2" applyNumberFormat="1" applyFont="1" applyBorder="1"/>
    <xf numFmtId="164" fontId="7" fillId="0" borderId="0" xfId="2" applyNumberFormat="1" applyFont="1" applyFill="1" applyBorder="1"/>
    <xf numFmtId="164" fontId="7" fillId="0" borderId="3" xfId="2" applyNumberFormat="1" applyFont="1" applyFill="1" applyBorder="1"/>
    <xf numFmtId="164" fontId="7" fillId="0" borderId="3" xfId="2" applyNumberFormat="1" applyFont="1" applyBorder="1"/>
    <xf numFmtId="43" fontId="1" fillId="5" borderId="0" xfId="2" applyFont="1" applyFill="1"/>
    <xf numFmtId="164" fontId="1" fillId="0" borderId="3" xfId="2" applyNumberFormat="1" applyFont="1" applyBorder="1"/>
    <xf numFmtId="164" fontId="1" fillId="0" borderId="2" xfId="2" applyNumberFormat="1" applyFont="1" applyBorder="1"/>
    <xf numFmtId="164" fontId="1" fillId="0" borderId="0" xfId="2" applyNumberFormat="1" applyFont="1" applyBorder="1"/>
    <xf numFmtId="164" fontId="2" fillId="0" borderId="2" xfId="2" applyNumberFormat="1" applyFont="1" applyBorder="1"/>
    <xf numFmtId="164" fontId="1" fillId="5" borderId="0" xfId="2" applyNumberFormat="1" applyFont="1" applyFill="1"/>
    <xf numFmtId="0" fontId="2" fillId="0" borderId="0" xfId="2" applyNumberFormat="1" applyFont="1" applyAlignment="1">
      <alignment horizontal="center"/>
    </xf>
    <xf numFmtId="164" fontId="2" fillId="5" borderId="0" xfId="2" applyNumberFormat="1" applyFont="1" applyFill="1"/>
    <xf numFmtId="9" fontId="2" fillId="5" borderId="0" xfId="1" applyFont="1" applyFill="1"/>
    <xf numFmtId="0" fontId="0" fillId="0" borderId="0" xfId="2" applyNumberFormat="1" applyFont="1"/>
    <xf numFmtId="43" fontId="2" fillId="5" borderId="0" xfId="2" applyFont="1" applyFill="1"/>
    <xf numFmtId="9" fontId="0" fillId="0" borderId="0" xfId="1" applyFont="1"/>
    <xf numFmtId="164" fontId="0" fillId="5" borderId="0" xfId="2" applyNumberFormat="1" applyFont="1" applyFill="1"/>
    <xf numFmtId="9" fontId="0" fillId="5" borderId="0" xfId="1" applyFont="1" applyFill="1"/>
    <xf numFmtId="0" fontId="0" fillId="6" borderId="7" xfId="0" applyFill="1" applyBorder="1"/>
    <xf numFmtId="0" fontId="0" fillId="5" borderId="7" xfId="0" applyFill="1" applyBorder="1"/>
    <xf numFmtId="0" fontId="0" fillId="0" borderId="7" xfId="0" applyBorder="1"/>
    <xf numFmtId="0" fontId="0" fillId="0" borderId="7" xfId="0" applyFill="1" applyBorder="1"/>
    <xf numFmtId="9" fontId="0" fillId="0" borderId="7" xfId="1" applyNumberFormat="1" applyFont="1" applyBorder="1"/>
    <xf numFmtId="44" fontId="11" fillId="0" borderId="7" xfId="3" applyFont="1" applyBorder="1"/>
    <xf numFmtId="164" fontId="0" fillId="0" borderId="7" xfId="2" applyNumberFormat="1" applyFont="1" applyFill="1" applyBorder="1"/>
    <xf numFmtId="164" fontId="0" fillId="0" borderId="7" xfId="2" applyNumberFormat="1" applyFont="1" applyBorder="1"/>
    <xf numFmtId="9" fontId="2" fillId="0" borderId="7" xfId="1" applyNumberFormat="1" applyFont="1" applyBorder="1"/>
    <xf numFmtId="164" fontId="0" fillId="6" borderId="0" xfId="2" applyNumberFormat="1" applyFont="1" applyFill="1"/>
  </cellXfs>
  <cellStyles count="10">
    <cellStyle name="Comma" xfId="2" builtinId="3"/>
    <cellStyle name="Currency" xfId="3" builtinId="4"/>
    <cellStyle name="Followed Hyperlink" xfId="5" builtinId="9" hidden="1"/>
    <cellStyle name="Followed Hyperlink" xfId="7" builtinId="9" hidden="1"/>
    <cellStyle name="Followed Hyperlink" xfId="9" builtinId="9" hidden="1"/>
    <cellStyle name="Hyperlink" xfId="4" builtinId="8" hidden="1"/>
    <cellStyle name="Hyperlink" xfId="6" builtinId="8" hidden="1"/>
    <cellStyle name="Hyperlink" xfId="8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mon/AppData/Local/Temp/B401%20Consulting%20ProjectIRR2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Statements"/>
      <sheetName val="Assumptions"/>
      <sheetName val="Depreciation"/>
      <sheetName val="Commercial Loan"/>
      <sheetName val="WACC"/>
    </sheetNames>
    <sheetDataSet>
      <sheetData sheetId="0">
        <row r="28">
          <cell r="D28">
            <v>145072.03651713216</v>
          </cell>
          <cell r="E28">
            <v>141971.72011090608</v>
          </cell>
          <cell r="F28">
            <v>138777.10461444996</v>
          </cell>
          <cell r="G28">
            <v>135485.32183069849</v>
          </cell>
          <cell r="H28">
            <v>132093.41632362775</v>
          </cell>
          <cell r="I28">
            <v>128598.34276479926</v>
          </cell>
          <cell r="J28">
            <v>124996.9631991959</v>
          </cell>
          <cell r="K28">
            <v>121286.04422789597</v>
          </cell>
          <cell r="L28">
            <v>117462.2541050555</v>
          </cell>
          <cell r="M28">
            <v>113522.15974659241</v>
          </cell>
        </row>
        <row r="38">
          <cell r="D38">
            <v>319630.90721900383</v>
          </cell>
          <cell r="E38">
            <v>320952.10462784953</v>
          </cell>
          <cell r="F38">
            <v>341973.36438494257</v>
          </cell>
          <cell r="G38">
            <v>363652.8475659223</v>
          </cell>
          <cell r="H38">
            <v>396551.9075862302</v>
          </cell>
          <cell r="I38">
            <v>455865.60156884242</v>
          </cell>
          <cell r="J38">
            <v>494711.30276776437</v>
          </cell>
          <cell r="K38">
            <v>522573.33047477592</v>
          </cell>
          <cell r="L38">
            <v>551303.80274018145</v>
          </cell>
          <cell r="M38">
            <v>580929.1041707769</v>
          </cell>
        </row>
      </sheetData>
      <sheetData sheetId="1"/>
      <sheetData sheetId="2">
        <row r="7">
          <cell r="C7">
            <v>150000</v>
          </cell>
          <cell r="F7">
            <v>8000</v>
          </cell>
          <cell r="I7">
            <v>833.33333333333337</v>
          </cell>
        </row>
        <row r="15">
          <cell r="C15">
            <v>3000</v>
          </cell>
          <cell r="F15">
            <v>1700</v>
          </cell>
        </row>
      </sheetData>
      <sheetData sheetId="3">
        <row r="15">
          <cell r="H15">
            <v>145072.03651713216</v>
          </cell>
          <cell r="I15">
            <v>101930.5890997386</v>
          </cell>
        </row>
        <row r="27">
          <cell r="H27">
            <v>141971.72011090608</v>
          </cell>
          <cell r="I27">
            <v>105030.90550596471</v>
          </cell>
        </row>
        <row r="39">
          <cell r="H39">
            <v>138777.10461444996</v>
          </cell>
          <cell r="I39">
            <v>108225.52100242082</v>
          </cell>
        </row>
        <row r="51">
          <cell r="H51">
            <v>135485.32183069849</v>
          </cell>
          <cell r="I51">
            <v>111517.30378617228</v>
          </cell>
        </row>
        <row r="63">
          <cell r="H63">
            <v>132093.41632362775</v>
          </cell>
          <cell r="I63">
            <v>114909.20929324301</v>
          </cell>
        </row>
        <row r="75">
          <cell r="H75">
            <v>128598.34276479926</v>
          </cell>
          <cell r="I75">
            <v>118404.28285207151</v>
          </cell>
        </row>
        <row r="87">
          <cell r="H87">
            <v>124996.9631991959</v>
          </cell>
          <cell r="I87">
            <v>122005.66241767487</v>
          </cell>
        </row>
        <row r="99">
          <cell r="H99">
            <v>121286.04422789597</v>
          </cell>
          <cell r="I99">
            <v>125716.58138897478</v>
          </cell>
        </row>
        <row r="111">
          <cell r="H111">
            <v>117462.2541050555</v>
          </cell>
          <cell r="I111">
            <v>129540.37151181529</v>
          </cell>
        </row>
        <row r="123">
          <cell r="H123">
            <v>113522.15974659241</v>
          </cell>
          <cell r="I123">
            <v>133480.46587027839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/>
  <dimension ref="A2:O120"/>
  <sheetViews>
    <sheetView showGridLines="0" zoomScale="70" zoomScaleNormal="70" workbookViewId="0">
      <pane ySplit="2" topLeftCell="A51" activePane="bottomLeft" state="frozen"/>
      <selection pane="bottomLeft" activeCell="F74" sqref="F74"/>
    </sheetView>
  </sheetViews>
  <sheetFormatPr defaultColWidth="8.85546875" defaultRowHeight="15" x14ac:dyDescent="0.25"/>
  <cols>
    <col min="1" max="1" width="2.85546875" style="14" customWidth="1"/>
    <col min="2" max="2" width="39.85546875" style="14" customWidth="1"/>
    <col min="3" max="3" width="12.42578125" style="14" customWidth="1"/>
    <col min="4" max="5" width="15.42578125" style="14" bestFit="1" customWidth="1"/>
    <col min="6" max="6" width="16.42578125" style="14" bestFit="1" customWidth="1"/>
    <col min="7" max="8" width="15.85546875" style="14" bestFit="1" customWidth="1"/>
    <col min="9" max="9" width="16.42578125" style="14" bestFit="1" customWidth="1"/>
    <col min="10" max="10" width="15.7109375" style="14" bestFit="1" customWidth="1"/>
    <col min="11" max="11" width="15.85546875" style="14" bestFit="1" customWidth="1"/>
    <col min="12" max="12" width="16.42578125" style="14" bestFit="1" customWidth="1"/>
    <col min="13" max="13" width="15.85546875" style="14" bestFit="1" customWidth="1"/>
    <col min="14" max="14" width="12.42578125" style="14" bestFit="1" customWidth="1"/>
    <col min="15" max="15" width="9.85546875" style="14" bestFit="1" customWidth="1"/>
    <col min="16" max="16384" width="8.85546875" style="14"/>
  </cols>
  <sheetData>
    <row r="2" spans="2:14" s="46" customFormat="1" x14ac:dyDescent="0.25">
      <c r="D2" s="39">
        <v>2013</v>
      </c>
      <c r="E2" s="39">
        <v>2014</v>
      </c>
      <c r="F2" s="39">
        <v>2015</v>
      </c>
      <c r="G2" s="39">
        <v>2016</v>
      </c>
      <c r="H2" s="39">
        <v>2017</v>
      </c>
      <c r="I2" s="39">
        <v>2018</v>
      </c>
      <c r="J2" s="39">
        <v>2019</v>
      </c>
      <c r="K2" s="39">
        <v>2020</v>
      </c>
      <c r="L2" s="39">
        <v>2021</v>
      </c>
      <c r="M2" s="39">
        <v>2022</v>
      </c>
      <c r="N2" s="97"/>
    </row>
    <row r="3" spans="2:14" x14ac:dyDescent="0.25">
      <c r="B3" s="20" t="s">
        <v>105</v>
      </c>
      <c r="C3" s="45"/>
      <c r="D3" s="23"/>
      <c r="E3" s="23"/>
      <c r="F3" s="23"/>
      <c r="G3" s="23"/>
      <c r="H3" s="23"/>
      <c r="I3" s="23"/>
      <c r="J3" s="23"/>
      <c r="K3" s="23"/>
      <c r="L3" s="23"/>
      <c r="M3" s="25"/>
    </row>
    <row r="4" spans="2:14" x14ac:dyDescent="0.25">
      <c r="B4" s="13" t="s">
        <v>38</v>
      </c>
      <c r="C4" s="13"/>
    </row>
    <row r="5" spans="2:14" x14ac:dyDescent="0.25">
      <c r="B5" s="3" t="s">
        <v>25</v>
      </c>
      <c r="C5" s="3"/>
    </row>
    <row r="6" spans="2:14" x14ac:dyDescent="0.25">
      <c r="B6" s="6" t="s">
        <v>26</v>
      </c>
      <c r="C6" s="6"/>
      <c r="D6" s="14">
        <f>Assumptions!C4*Assumptions!C5</f>
        <v>2000000</v>
      </c>
      <c r="E6" s="14">
        <f>Assumptions!D4*Assumptions!D5</f>
        <v>2060000</v>
      </c>
      <c r="F6" s="14">
        <f>Assumptions!E4*Assumptions!E5</f>
        <v>2121800</v>
      </c>
      <c r="G6" s="14">
        <f>Assumptions!F4*Assumptions!F5</f>
        <v>2185454</v>
      </c>
      <c r="H6" s="14">
        <f>Assumptions!G4*Assumptions!G5</f>
        <v>2251017.62</v>
      </c>
      <c r="I6" s="14">
        <f>Assumptions!H4*Assumptions!H5</f>
        <v>2608366.6671750005</v>
      </c>
      <c r="J6" s="14">
        <f>Assumptions!I4*Assumptions!I5</f>
        <v>2686617.6671902505</v>
      </c>
      <c r="K6" s="14">
        <f>Assumptions!J4*Assumptions!J5</f>
        <v>2767216.197205958</v>
      </c>
      <c r="L6" s="14">
        <f>Assumptions!K4*Assumptions!K5</f>
        <v>2850232.6831221366</v>
      </c>
      <c r="M6" s="14">
        <f>Assumptions!L4*Assumptions!L5</f>
        <v>2935739.6636158009</v>
      </c>
    </row>
    <row r="7" spans="2:14" x14ac:dyDescent="0.25">
      <c r="B7" s="3" t="s">
        <v>16</v>
      </c>
      <c r="C7" s="3"/>
    </row>
    <row r="8" spans="2:14" x14ac:dyDescent="0.25">
      <c r="B8" s="6" t="s">
        <v>17</v>
      </c>
      <c r="C8" s="6"/>
      <c r="D8" s="14">
        <f>Assumptions!C6*Assumptions!C7*Assumptions!C8</f>
        <v>14400</v>
      </c>
      <c r="E8" s="14">
        <f>Assumptions!D6*Assumptions!D7*Assumptions!D8</f>
        <v>14400</v>
      </c>
      <c r="F8" s="14">
        <f>Assumptions!E6*Assumptions!E7*Assumptions!E8</f>
        <v>14400</v>
      </c>
      <c r="G8" s="14">
        <f>Assumptions!F6*Assumptions!F7*Assumptions!F8</f>
        <v>14400</v>
      </c>
      <c r="H8" s="14">
        <f>Assumptions!G6*Assumptions!G7*Assumptions!G8</f>
        <v>14400</v>
      </c>
      <c r="I8" s="14">
        <f>Assumptions!H6*Assumptions!H7*Assumptions!H8</f>
        <v>14400</v>
      </c>
      <c r="J8" s="14">
        <f>Assumptions!I6*Assumptions!I7*Assumptions!I8</f>
        <v>14400</v>
      </c>
      <c r="K8" s="14">
        <f>Assumptions!J6*Assumptions!J7*Assumptions!J8</f>
        <v>14400</v>
      </c>
      <c r="L8" s="14">
        <f>Assumptions!K6*Assumptions!K7*Assumptions!K8</f>
        <v>14400</v>
      </c>
      <c r="M8" s="14">
        <f>Assumptions!L6*Assumptions!L7*Assumptions!L8</f>
        <v>14400</v>
      </c>
    </row>
    <row r="9" spans="2:14" x14ac:dyDescent="0.25">
      <c r="B9" s="6" t="s">
        <v>18</v>
      </c>
      <c r="C9" s="6"/>
      <c r="D9" s="14">
        <f>Assumptions!C9*Assumptions!C10*Assumptions!C11</f>
        <v>8640</v>
      </c>
      <c r="E9" s="14">
        <f>Assumptions!D9*Assumptions!D10*Assumptions!D11</f>
        <v>8640</v>
      </c>
      <c r="F9" s="14">
        <f>Assumptions!E9*Assumptions!E10*Assumptions!E11</f>
        <v>8640</v>
      </c>
      <c r="G9" s="14">
        <f>Assumptions!F9*Assumptions!F10*Assumptions!F11</f>
        <v>8640</v>
      </c>
      <c r="H9" s="14">
        <f>Assumptions!G9*Assumptions!G10*Assumptions!G11</f>
        <v>8640</v>
      </c>
      <c r="I9" s="14">
        <f>Assumptions!H9*Assumptions!H10*Assumptions!H11</f>
        <v>8640</v>
      </c>
      <c r="J9" s="14">
        <f>Assumptions!I9*Assumptions!I10*Assumptions!I11</f>
        <v>8640</v>
      </c>
      <c r="K9" s="14">
        <f>Assumptions!J9*Assumptions!J10*Assumptions!J11</f>
        <v>8640</v>
      </c>
      <c r="L9" s="14">
        <f>Assumptions!K9*Assumptions!K10*Assumptions!K11</f>
        <v>8640</v>
      </c>
      <c r="M9" s="14">
        <f>Assumptions!L9*Assumptions!L10*Assumptions!L11</f>
        <v>8640</v>
      </c>
    </row>
    <row r="10" spans="2:14" x14ac:dyDescent="0.25">
      <c r="B10" s="3" t="s">
        <v>19</v>
      </c>
      <c r="C10" s="3"/>
    </row>
    <row r="11" spans="2:14" x14ac:dyDescent="0.25">
      <c r="B11" s="6" t="s">
        <v>20</v>
      </c>
      <c r="C11" s="6"/>
      <c r="D11" s="14">
        <f>Assumptions!C12</f>
        <v>500000</v>
      </c>
      <c r="E11" s="14">
        <f>Assumptions!D12</f>
        <v>505000</v>
      </c>
      <c r="F11" s="14">
        <f>Assumptions!E12</f>
        <v>510050</v>
      </c>
      <c r="G11" s="14">
        <f>Assumptions!F12</f>
        <v>515150.5</v>
      </c>
      <c r="H11" s="14">
        <f>Assumptions!G12</f>
        <v>520302.005</v>
      </c>
      <c r="I11" s="14">
        <f>Assumptions!H12</f>
        <v>525505.02505000005</v>
      </c>
      <c r="J11" s="14">
        <f>Assumptions!I12</f>
        <v>530760.07530050003</v>
      </c>
      <c r="K11" s="14">
        <f>Assumptions!J12</f>
        <v>536067.67605350504</v>
      </c>
      <c r="L11" s="14">
        <f>Assumptions!K12</f>
        <v>541428.35281404015</v>
      </c>
      <c r="M11" s="14">
        <f>Assumptions!L12</f>
        <v>546842.63634218054</v>
      </c>
    </row>
    <row r="12" spans="2:14" x14ac:dyDescent="0.25">
      <c r="B12" s="6" t="s">
        <v>21</v>
      </c>
      <c r="C12" s="6"/>
      <c r="D12" s="14">
        <f>Assumptions!C13</f>
        <v>20000</v>
      </c>
      <c r="E12" s="14">
        <f>Assumptions!D13</f>
        <v>20400</v>
      </c>
      <c r="F12" s="14">
        <f>Assumptions!E13</f>
        <v>20808</v>
      </c>
      <c r="G12" s="14">
        <f>Assumptions!F13</f>
        <v>21224.16</v>
      </c>
      <c r="H12" s="14">
        <f>Assumptions!G13</f>
        <v>21648.643199999999</v>
      </c>
      <c r="I12" s="14">
        <f>Assumptions!H13</f>
        <v>22081.616063999998</v>
      </c>
      <c r="J12" s="14">
        <f>Assumptions!I13</f>
        <v>22523.24838528</v>
      </c>
      <c r="K12" s="14">
        <f>Assumptions!J13</f>
        <v>22973.7133529856</v>
      </c>
      <c r="L12" s="14">
        <f>Assumptions!K13</f>
        <v>23433.187620045312</v>
      </c>
      <c r="M12" s="14">
        <f>Assumptions!L13</f>
        <v>23901.851372446217</v>
      </c>
    </row>
    <row r="13" spans="2:14" x14ac:dyDescent="0.25">
      <c r="B13" s="6" t="s">
        <v>22</v>
      </c>
      <c r="C13" s="6"/>
      <c r="D13" s="14">
        <f>Assumptions!C14</f>
        <v>80000</v>
      </c>
      <c r="E13" s="14">
        <f>Assumptions!D14</f>
        <v>80800</v>
      </c>
      <c r="F13" s="14">
        <f>Assumptions!E14</f>
        <v>81608</v>
      </c>
      <c r="G13" s="14">
        <f>Assumptions!F14</f>
        <v>82424.08</v>
      </c>
      <c r="H13" s="14">
        <f>Assumptions!G14</f>
        <v>83248.320800000001</v>
      </c>
      <c r="I13" s="14">
        <f>Assumptions!H14</f>
        <v>84080.804008000006</v>
      </c>
      <c r="J13" s="14">
        <f>Assumptions!I14</f>
        <v>84921.612048080002</v>
      </c>
      <c r="K13" s="14">
        <f>Assumptions!J14</f>
        <v>85770.828168560809</v>
      </c>
      <c r="L13" s="14">
        <f>Assumptions!K14</f>
        <v>86628.536450246422</v>
      </c>
      <c r="M13" s="14">
        <f>Assumptions!L14</f>
        <v>87494.821814748881</v>
      </c>
    </row>
    <row r="14" spans="2:14" x14ac:dyDescent="0.25">
      <c r="B14" s="3" t="s">
        <v>23</v>
      </c>
      <c r="C14" s="3"/>
    </row>
    <row r="15" spans="2:14" x14ac:dyDescent="0.25">
      <c r="B15" s="6" t="s">
        <v>24</v>
      </c>
      <c r="C15" s="6"/>
      <c r="D15" s="14">
        <f>Assumptions!C15</f>
        <v>100000</v>
      </c>
      <c r="E15" s="14">
        <f>Assumptions!D15</f>
        <v>103000</v>
      </c>
      <c r="F15" s="14">
        <f>Assumptions!E15</f>
        <v>106090</v>
      </c>
      <c r="G15" s="14">
        <f>Assumptions!F15</f>
        <v>109272.7</v>
      </c>
      <c r="H15" s="14">
        <f>Assumptions!G15</f>
        <v>112550.88099999999</v>
      </c>
      <c r="I15" s="14">
        <f>Assumptions!H15</f>
        <v>115927.40742999999</v>
      </c>
      <c r="J15" s="14">
        <f>Assumptions!I15</f>
        <v>119405.2296529</v>
      </c>
      <c r="K15" s="14">
        <f>Assumptions!J15</f>
        <v>122987.386542487</v>
      </c>
      <c r="L15" s="14">
        <f>Assumptions!K15</f>
        <v>126677.00813876161</v>
      </c>
      <c r="M15" s="14">
        <f>Assumptions!L15</f>
        <v>130477.31838292447</v>
      </c>
    </row>
    <row r="16" spans="2:14" x14ac:dyDescent="0.25">
      <c r="B16" s="6"/>
      <c r="C16" s="6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2:14" x14ac:dyDescent="0.25">
      <c r="B17" s="8" t="s">
        <v>73</v>
      </c>
      <c r="C17" s="8"/>
      <c r="D17" s="14">
        <f>SUM(D6:D15)</f>
        <v>2723040</v>
      </c>
      <c r="E17" s="14">
        <f t="shared" ref="E17:M17" si="0">SUM(E6:E15)</f>
        <v>2792240</v>
      </c>
      <c r="F17" s="14">
        <f t="shared" si="0"/>
        <v>2863396</v>
      </c>
      <c r="G17" s="14">
        <f t="shared" si="0"/>
        <v>2936565.4400000004</v>
      </c>
      <c r="H17" s="14">
        <f t="shared" si="0"/>
        <v>3011807.4699999997</v>
      </c>
      <c r="I17" s="14">
        <f t="shared" si="0"/>
        <v>3379001.519727001</v>
      </c>
      <c r="J17" s="14">
        <f t="shared" si="0"/>
        <v>3467267.8325770106</v>
      </c>
      <c r="K17" s="14">
        <f t="shared" si="0"/>
        <v>3558055.8013234963</v>
      </c>
      <c r="L17" s="14">
        <f t="shared" si="0"/>
        <v>3651439.7681452297</v>
      </c>
      <c r="M17" s="14">
        <f t="shared" si="0"/>
        <v>3747496.2915281011</v>
      </c>
    </row>
    <row r="19" spans="2:14" x14ac:dyDescent="0.25">
      <c r="B19" s="13" t="s">
        <v>2</v>
      </c>
      <c r="C19" s="13"/>
    </row>
    <row r="20" spans="2:14" x14ac:dyDescent="0.25">
      <c r="B20" s="6" t="s">
        <v>27</v>
      </c>
      <c r="C20" s="6"/>
      <c r="D20" s="14">
        <f>Assumptions!C18*Assumptions!C19+Assumptions!C20*Assumptions!C21*Assumptions!C22</f>
        <v>1032000</v>
      </c>
      <c r="E20" s="14">
        <f>Assumptions!D18*Assumptions!D19+Assumptions!D20*Assumptions!D21*Assumptions!D22</f>
        <v>1038000</v>
      </c>
      <c r="F20" s="14">
        <f>Assumptions!E18*Assumptions!E19+Assumptions!E20*Assumptions!E21*Assumptions!E22</f>
        <v>1044060</v>
      </c>
      <c r="G20" s="14">
        <f>Assumptions!F18*Assumptions!F19+Assumptions!F20*Assumptions!F21*Assumptions!F22</f>
        <v>1050180.6000000001</v>
      </c>
      <c r="H20" s="14">
        <f>Assumptions!G18*Assumptions!G19+Assumptions!G20*Assumptions!G21*Assumptions!G22</f>
        <v>1056362.406</v>
      </c>
      <c r="I20" s="14">
        <f>Assumptions!H18*Assumptions!H19+Assumptions!H20*Assumptions!H21*Assumptions!H22</f>
        <v>1233666.633066</v>
      </c>
      <c r="J20" s="14">
        <f>Assumptions!I18*Assumptions!I19+Assumptions!I20*Assumptions!I21*Assumptions!I22</f>
        <v>1240603.2993966599</v>
      </c>
      <c r="K20" s="14">
        <f>Assumptions!J18*Assumptions!J19+Assumptions!J20*Assumptions!J21*Assumptions!J22</f>
        <v>1247609.3323906264</v>
      </c>
      <c r="L20" s="14">
        <f>Assumptions!K18*Assumptions!K19+Assumptions!K20*Assumptions!K21*Assumptions!K22</f>
        <v>1254685.4257145328</v>
      </c>
      <c r="M20" s="14">
        <f>Assumptions!L18*Assumptions!L19+Assumptions!L20*Assumptions!L21*Assumptions!L22</f>
        <v>1261832.2799716783</v>
      </c>
    </row>
    <row r="21" spans="2:14" x14ac:dyDescent="0.25">
      <c r="B21" s="6" t="s">
        <v>50</v>
      </c>
      <c r="C21" s="6"/>
      <c r="D21" s="3">
        <f>Assumptions!C23</f>
        <v>6666.6666666666679</v>
      </c>
      <c r="E21" s="3">
        <f>Assumptions!D23</f>
        <v>6733.333333333333</v>
      </c>
      <c r="F21" s="3">
        <f>Assumptions!E23</f>
        <v>6800.6666666666679</v>
      </c>
      <c r="G21" s="3">
        <f>Assumptions!F23</f>
        <v>6868.6733333333323</v>
      </c>
      <c r="H21" s="3">
        <f>Assumptions!G23</f>
        <v>6937.3600666666671</v>
      </c>
      <c r="I21" s="3">
        <f>Assumptions!H23</f>
        <v>7006.733667333333</v>
      </c>
      <c r="J21" s="3">
        <f>Assumptions!I23</f>
        <v>7076.8010040066656</v>
      </c>
      <c r="K21" s="3">
        <f>Assumptions!J23</f>
        <v>7147.5690140467332</v>
      </c>
      <c r="L21" s="3">
        <f>Assumptions!K23</f>
        <v>7219.0447041872003</v>
      </c>
      <c r="M21" s="3">
        <f>Assumptions!L23</f>
        <v>7291.2351512290734</v>
      </c>
    </row>
    <row r="22" spans="2:14" x14ac:dyDescent="0.25">
      <c r="B22" s="6" t="s">
        <v>98</v>
      </c>
      <c r="C22" s="6"/>
      <c r="D22" s="3">
        <f>Assumptions!C24</f>
        <v>4000</v>
      </c>
      <c r="E22" s="3">
        <f>Assumptions!D24</f>
        <v>4040</v>
      </c>
      <c r="F22" s="3">
        <f>Assumptions!E24</f>
        <v>4080.4</v>
      </c>
      <c r="G22" s="3">
        <f>Assumptions!F24</f>
        <v>4121.2039999999997</v>
      </c>
      <c r="H22" s="3">
        <f>Assumptions!G24</f>
        <v>4162.4160400000001</v>
      </c>
      <c r="I22" s="3">
        <f>Assumptions!H24</f>
        <v>4204.0402003999998</v>
      </c>
      <c r="J22" s="3">
        <f>Assumptions!I24</f>
        <v>4246.0806024039994</v>
      </c>
      <c r="K22" s="3">
        <f>Assumptions!J24</f>
        <v>4288.5414084280392</v>
      </c>
      <c r="L22" s="3">
        <f>Assumptions!K24</f>
        <v>4331.4268225123196</v>
      </c>
      <c r="M22" s="3">
        <f>Assumptions!L24</f>
        <v>4374.7410907374433</v>
      </c>
    </row>
    <row r="23" spans="2:14" x14ac:dyDescent="0.25">
      <c r="B23" s="6" t="s">
        <v>99</v>
      </c>
      <c r="C23" s="6"/>
      <c r="D23" s="3">
        <v>2000</v>
      </c>
      <c r="E23" s="3">
        <v>2000</v>
      </c>
      <c r="F23" s="3">
        <v>2000</v>
      </c>
      <c r="G23" s="3">
        <v>2000</v>
      </c>
      <c r="H23" s="3">
        <v>2000</v>
      </c>
      <c r="I23" s="3">
        <v>2000</v>
      </c>
      <c r="J23" s="3">
        <v>2000</v>
      </c>
      <c r="K23" s="3">
        <v>2000</v>
      </c>
      <c r="L23" s="3">
        <v>2000</v>
      </c>
      <c r="M23" s="3">
        <v>2000</v>
      </c>
    </row>
    <row r="24" spans="2:14" x14ac:dyDescent="0.25">
      <c r="B24" s="6" t="s">
        <v>66</v>
      </c>
      <c r="C24" s="6"/>
      <c r="D24" s="3">
        <f>Assumptions!C25*'Financial Statements'!D11</f>
        <v>250000</v>
      </c>
      <c r="E24" s="3">
        <f>Assumptions!D25*'Financial Statements'!E11</f>
        <v>252500</v>
      </c>
      <c r="F24" s="3">
        <f>Assumptions!E25*'Financial Statements'!F11</f>
        <v>255025</v>
      </c>
      <c r="G24" s="3">
        <f>Assumptions!F25*'Financial Statements'!G11</f>
        <v>257575.25</v>
      </c>
      <c r="H24" s="3">
        <f>Assumptions!G25*'Financial Statements'!H11</f>
        <v>260151.0025</v>
      </c>
      <c r="I24" s="3">
        <f>Assumptions!H25*'Financial Statements'!I11</f>
        <v>262752.51252500003</v>
      </c>
      <c r="J24" s="3">
        <f>Assumptions!I25*'Financial Statements'!J11</f>
        <v>265380.03765025001</v>
      </c>
      <c r="K24" s="3">
        <f>Assumptions!J25*'Financial Statements'!K11</f>
        <v>268033.83802675252</v>
      </c>
      <c r="L24" s="3">
        <f>Assumptions!K25*'Financial Statements'!L11</f>
        <v>270714.17640702007</v>
      </c>
      <c r="M24" s="3">
        <f>Assumptions!L25*'Financial Statements'!M11</f>
        <v>273421.31817109027</v>
      </c>
    </row>
    <row r="25" spans="2:14" x14ac:dyDescent="0.25">
      <c r="B25" s="6" t="s">
        <v>67</v>
      </c>
      <c r="C25" s="6"/>
      <c r="D25" s="3">
        <f>Assumptions!C26*'Financial Statements'!D12</f>
        <v>12000</v>
      </c>
      <c r="E25" s="3">
        <f>Assumptions!D26*'Financial Statements'!E12</f>
        <v>12240</v>
      </c>
      <c r="F25" s="3">
        <f>Assumptions!E26*'Financial Statements'!F12</f>
        <v>12484.8</v>
      </c>
      <c r="G25" s="3">
        <f>Assumptions!F26*'Financial Statements'!G12</f>
        <v>12734.495999999999</v>
      </c>
      <c r="H25" s="3">
        <f>Assumptions!G26*'Financial Statements'!H12</f>
        <v>12989.185919999998</v>
      </c>
      <c r="I25" s="3">
        <f>Assumptions!H26*'Financial Statements'!I12</f>
        <v>13248.969638399998</v>
      </c>
      <c r="J25" s="3">
        <f>Assumptions!I26*'Financial Statements'!J12</f>
        <v>13513.949031168</v>
      </c>
      <c r="K25" s="3">
        <f>Assumptions!J26*'Financial Statements'!K12</f>
        <v>13784.22801179136</v>
      </c>
      <c r="L25" s="3">
        <f>Assumptions!K26*'Financial Statements'!L12</f>
        <v>14059.912572027186</v>
      </c>
      <c r="M25" s="3">
        <f>Assumptions!L26*'Financial Statements'!M12</f>
        <v>14341.11082346773</v>
      </c>
    </row>
    <row r="26" spans="2:14" x14ac:dyDescent="0.25">
      <c r="B26" s="6" t="s">
        <v>68</v>
      </c>
      <c r="C26" s="6"/>
      <c r="D26" s="3">
        <f>Assumptions!C27*'Financial Statements'!D13</f>
        <v>60000</v>
      </c>
      <c r="E26" s="3">
        <f>Assumptions!D27*'Financial Statements'!E13</f>
        <v>60600</v>
      </c>
      <c r="F26" s="3">
        <f>Assumptions!E27*'Financial Statements'!F13</f>
        <v>61206</v>
      </c>
      <c r="G26" s="3">
        <f>Assumptions!F27*'Financial Statements'!G13</f>
        <v>61818.06</v>
      </c>
      <c r="H26" s="3">
        <f>Assumptions!G27*'Financial Statements'!H13</f>
        <v>62436.240600000005</v>
      </c>
      <c r="I26" s="3">
        <f>Assumptions!H27*'Financial Statements'!I13</f>
        <v>63060.603006000005</v>
      </c>
      <c r="J26" s="3">
        <f>Assumptions!I27*'Financial Statements'!J13</f>
        <v>63691.209036059998</v>
      </c>
      <c r="K26" s="3">
        <f>Assumptions!J27*'Financial Statements'!K13</f>
        <v>64328.121126420607</v>
      </c>
      <c r="L26" s="3">
        <f>Assumptions!K27*'Financial Statements'!L13</f>
        <v>64971.40233768482</v>
      </c>
      <c r="M26" s="3">
        <f>Assumptions!L27*'Financial Statements'!M13</f>
        <v>65621.116361061664</v>
      </c>
    </row>
    <row r="27" spans="2:14" x14ac:dyDescent="0.25">
      <c r="B27" s="6" t="s">
        <v>29</v>
      </c>
      <c r="C27" s="6"/>
      <c r="D27" s="14">
        <f>SUM(Assumptions!C28:C32)</f>
        <v>163533.33333333334</v>
      </c>
      <c r="E27" s="14">
        <f>SUM(Assumptions!D28:D32)</f>
        <v>163533.33333333334</v>
      </c>
      <c r="F27" s="14">
        <f>SUM(Assumptions!E28:E32)</f>
        <v>163533.33333333334</v>
      </c>
      <c r="G27" s="14">
        <f>SUM(Assumptions!F28:F32)</f>
        <v>163533.33333333334</v>
      </c>
      <c r="H27" s="14">
        <f>SUM(Assumptions!G28:G32)</f>
        <v>163533.33333333334</v>
      </c>
      <c r="I27" s="14">
        <f>SUM(Assumptions!H28:H32)</f>
        <v>163533.33333333334</v>
      </c>
      <c r="J27" s="14">
        <f>SUM(Assumptions!I28:I32)</f>
        <v>163533.33333333334</v>
      </c>
      <c r="K27" s="14">
        <f>SUM(Assumptions!J28:J32)</f>
        <v>163533.33333333334</v>
      </c>
      <c r="L27" s="14">
        <f>SUM(Assumptions!K28:K32)</f>
        <v>163533.33333333334</v>
      </c>
      <c r="M27" s="14">
        <f>SUM(Assumptions!L28:L32)</f>
        <v>163533.33333333334</v>
      </c>
    </row>
    <row r="28" spans="2:14" x14ac:dyDescent="0.25">
      <c r="B28" s="6" t="s">
        <v>7</v>
      </c>
      <c r="C28" s="6"/>
      <c r="D28" s="14">
        <f>Assumptions!C33</f>
        <v>145072.03651713216</v>
      </c>
      <c r="E28" s="14">
        <f>Assumptions!D33</f>
        <v>141971.72011090608</v>
      </c>
      <c r="F28" s="14">
        <f>Assumptions!E33</f>
        <v>138777.10461444996</v>
      </c>
      <c r="G28" s="14">
        <f>Assumptions!F33</f>
        <v>135485.32183069849</v>
      </c>
      <c r="H28" s="14">
        <f>Assumptions!G33</f>
        <v>132093.41632362775</v>
      </c>
      <c r="I28" s="14">
        <f>Assumptions!H33</f>
        <v>128598.34276479926</v>
      </c>
      <c r="J28" s="14">
        <f>Assumptions!I33</f>
        <v>124996.9631991959</v>
      </c>
      <c r="K28" s="14">
        <f>Assumptions!J33</f>
        <v>121286.04422789597</v>
      </c>
      <c r="L28" s="14">
        <f>Assumptions!K33</f>
        <v>117462.2541050555</v>
      </c>
      <c r="M28" s="14">
        <f>Assumptions!L33</f>
        <v>113522.15974659241</v>
      </c>
    </row>
    <row r="29" spans="2:14" x14ac:dyDescent="0.25">
      <c r="B29" s="6" t="s">
        <v>79</v>
      </c>
      <c r="C29" s="6"/>
      <c r="D29" s="14">
        <f>Assumptions!C34</f>
        <v>12000</v>
      </c>
      <c r="E29" s="14">
        <f>Assumptions!D34</f>
        <v>12120</v>
      </c>
      <c r="F29" s="14">
        <f>Assumptions!E34</f>
        <v>12241.2</v>
      </c>
      <c r="G29" s="14">
        <f>Assumptions!F34</f>
        <v>12363.612000000001</v>
      </c>
      <c r="H29" s="14">
        <f>Assumptions!G34</f>
        <v>12487.248120000002</v>
      </c>
      <c r="I29" s="14">
        <f>Assumptions!H34</f>
        <v>12612.120601200002</v>
      </c>
      <c r="J29" s="14">
        <f>Assumptions!I34</f>
        <v>12738.241807212002</v>
      </c>
      <c r="K29" s="14">
        <f>Assumptions!J34</f>
        <v>12865.624225284122</v>
      </c>
      <c r="L29" s="14">
        <f>Assumptions!K34</f>
        <v>12994.280467536963</v>
      </c>
      <c r="M29" s="14">
        <f>Assumptions!L34</f>
        <v>13124.223272212332</v>
      </c>
    </row>
    <row r="30" spans="2:14" x14ac:dyDescent="0.25">
      <c r="B30" s="6" t="s">
        <v>36</v>
      </c>
      <c r="C30" s="6"/>
      <c r="D30" s="14">
        <f>Assumptions!C35*'Financial Statements'!D17</f>
        <v>13615.2</v>
      </c>
      <c r="E30" s="14">
        <f>Assumptions!D35*'Financial Statements'!E17</f>
        <v>13961.2</v>
      </c>
      <c r="F30" s="14">
        <f>Assumptions!E35*'Financial Statements'!F17</f>
        <v>14316.98</v>
      </c>
      <c r="G30" s="14">
        <f>Assumptions!F35*'Financial Statements'!G17</f>
        <v>14682.827200000002</v>
      </c>
      <c r="H30" s="14">
        <f>Assumptions!G35*'Financial Statements'!H17</f>
        <v>15059.037349999999</v>
      </c>
      <c r="I30" s="14">
        <f>Assumptions!H35*'Financial Statements'!I17</f>
        <v>16895.007598635006</v>
      </c>
      <c r="J30" s="14">
        <f>Assumptions!I35*'Financial Statements'!J17</f>
        <v>17336.339162885055</v>
      </c>
      <c r="K30" s="14">
        <f>Assumptions!J35*'Financial Statements'!K17</f>
        <v>17790.279006617482</v>
      </c>
      <c r="L30" s="14">
        <f>Assumptions!K35*'Financial Statements'!L17</f>
        <v>18257.198840726149</v>
      </c>
      <c r="M30" s="14">
        <f>Assumptions!L35*'Financial Statements'!M17</f>
        <v>18737.481457640504</v>
      </c>
    </row>
    <row r="31" spans="2:14" x14ac:dyDescent="0.25">
      <c r="B31" s="6" t="s">
        <v>103</v>
      </c>
      <c r="C31" s="6"/>
      <c r="D31" s="14">
        <f>0.04*D76</f>
        <v>0</v>
      </c>
      <c r="E31" s="14">
        <f t="shared" ref="E31:M31" si="1">0.04*E76</f>
        <v>0</v>
      </c>
      <c r="F31" s="14">
        <f t="shared" si="1"/>
        <v>0</v>
      </c>
      <c r="G31" s="14">
        <f t="shared" si="1"/>
        <v>0</v>
      </c>
      <c r="H31" s="14">
        <f t="shared" si="1"/>
        <v>0</v>
      </c>
      <c r="I31" s="14">
        <f t="shared" si="1"/>
        <v>0</v>
      </c>
      <c r="J31" s="14">
        <f t="shared" si="1"/>
        <v>0</v>
      </c>
      <c r="K31" s="14">
        <f t="shared" si="1"/>
        <v>0</v>
      </c>
      <c r="L31" s="14">
        <f t="shared" si="1"/>
        <v>0</v>
      </c>
      <c r="M31" s="14">
        <f t="shared" si="1"/>
        <v>0</v>
      </c>
      <c r="N31" s="14" t="s">
        <v>131</v>
      </c>
    </row>
    <row r="32" spans="2:14" x14ac:dyDescent="0.25">
      <c r="B32" s="6" t="s">
        <v>37</v>
      </c>
      <c r="C32" s="6"/>
      <c r="D32" s="14">
        <f>Assumptions!C37*'Financial Statements'!D17</f>
        <v>108921.60000000001</v>
      </c>
      <c r="E32" s="14">
        <f>Assumptions!D37*'Financial Statements'!E17</f>
        <v>167534.39999999999</v>
      </c>
      <c r="F32" s="14">
        <f>Assumptions!E37*'Financial Statements'!F17</f>
        <v>171803.75999999998</v>
      </c>
      <c r="G32" s="14">
        <f>Assumptions!F37*'Financial Statements'!G17</f>
        <v>176193.92640000003</v>
      </c>
      <c r="H32" s="14">
        <f>Assumptions!G37*'Financial Statements'!H17</f>
        <v>150590.37349999999</v>
      </c>
      <c r="I32" s="14">
        <f>Assumptions!H37*'Financial Statements'!I17</f>
        <v>168950.07598635007</v>
      </c>
      <c r="J32" s="14">
        <f>Assumptions!I37*'Financial Statements'!J17</f>
        <v>138690.71330308044</v>
      </c>
      <c r="K32" s="14">
        <f>Assumptions!J37*'Financial Statements'!K17</f>
        <v>142322.23205293986</v>
      </c>
      <c r="L32" s="14">
        <f>Assumptions!K37*'Financial Statements'!L17</f>
        <v>146057.59072580919</v>
      </c>
      <c r="M32" s="14">
        <f>Assumptions!L37*'Financial Statements'!M17</f>
        <v>149899.85166112403</v>
      </c>
      <c r="N32" s="14" t="s">
        <v>133</v>
      </c>
    </row>
    <row r="33" spans="2:14" x14ac:dyDescent="0.25">
      <c r="B33" s="3"/>
      <c r="C33" s="3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2:14" x14ac:dyDescent="0.25">
      <c r="B34" s="3" t="s">
        <v>100</v>
      </c>
      <c r="C34" s="3"/>
      <c r="D34" s="14">
        <f>SUM(D20:D32)</f>
        <v>1809808.8365171319</v>
      </c>
      <c r="E34" s="14">
        <f t="shared" ref="E34:M34" si="2">SUM(E20:E32)</f>
        <v>1875233.9867775727</v>
      </c>
      <c r="F34" s="14">
        <f t="shared" si="2"/>
        <v>1886329.2446144498</v>
      </c>
      <c r="G34" s="14">
        <f t="shared" si="2"/>
        <v>1897557.3040973651</v>
      </c>
      <c r="H34" s="14">
        <f t="shared" si="2"/>
        <v>1878802.0197536277</v>
      </c>
      <c r="I34" s="14">
        <f t="shared" si="2"/>
        <v>2076528.3723874511</v>
      </c>
      <c r="J34" s="14">
        <f t="shared" si="2"/>
        <v>2053806.9675262552</v>
      </c>
      <c r="K34" s="14">
        <f t="shared" si="2"/>
        <v>2064989.1428241364</v>
      </c>
      <c r="L34" s="14">
        <f t="shared" si="2"/>
        <v>2076286.0460304255</v>
      </c>
      <c r="M34" s="14">
        <f t="shared" si="2"/>
        <v>2087698.8510401668</v>
      </c>
    </row>
    <row r="36" spans="2:14" x14ac:dyDescent="0.25">
      <c r="B36" s="3" t="s">
        <v>30</v>
      </c>
      <c r="C36" s="3"/>
      <c r="D36" s="92">
        <f>D17-D34</f>
        <v>913231.16348286811</v>
      </c>
      <c r="E36" s="92">
        <f t="shared" ref="E36:M36" si="3">E17-E34</f>
        <v>917006.01322242734</v>
      </c>
      <c r="F36" s="92">
        <f t="shared" si="3"/>
        <v>977066.7553855502</v>
      </c>
      <c r="G36" s="92">
        <f t="shared" si="3"/>
        <v>1039008.1359026353</v>
      </c>
      <c r="H36" s="92">
        <f t="shared" si="3"/>
        <v>1133005.450246372</v>
      </c>
      <c r="I36" s="92">
        <f t="shared" si="3"/>
        <v>1302473.1473395498</v>
      </c>
      <c r="J36" s="92">
        <f t="shared" si="3"/>
        <v>1413460.8650507554</v>
      </c>
      <c r="K36" s="92">
        <f t="shared" si="3"/>
        <v>1493066.6584993599</v>
      </c>
      <c r="L36" s="92">
        <f t="shared" si="3"/>
        <v>1575153.7221148042</v>
      </c>
      <c r="M36" s="92">
        <f t="shared" si="3"/>
        <v>1659797.4404879343</v>
      </c>
    </row>
    <row r="37" spans="2:14" x14ac:dyDescent="0.25">
      <c r="B37" s="3" t="s">
        <v>31</v>
      </c>
      <c r="C37" s="3"/>
      <c r="D37" s="14">
        <f>Assumptions!C38</f>
        <v>0.35</v>
      </c>
      <c r="E37" s="14">
        <f>Assumptions!D38</f>
        <v>0.35</v>
      </c>
      <c r="F37" s="14">
        <f>Assumptions!E38</f>
        <v>0.35</v>
      </c>
      <c r="G37" s="14">
        <f>Assumptions!F38</f>
        <v>0.35</v>
      </c>
      <c r="H37" s="14">
        <f>Assumptions!G38</f>
        <v>0.35</v>
      </c>
      <c r="I37" s="14">
        <f>Assumptions!H38</f>
        <v>0.35</v>
      </c>
      <c r="J37" s="14">
        <f>Assumptions!I38</f>
        <v>0.35</v>
      </c>
      <c r="K37" s="14">
        <f>Assumptions!J38</f>
        <v>0.35</v>
      </c>
      <c r="L37" s="14">
        <f>Assumptions!K38</f>
        <v>0.35</v>
      </c>
      <c r="M37" s="14">
        <f>Assumptions!L38</f>
        <v>0.35</v>
      </c>
    </row>
    <row r="38" spans="2:14" x14ac:dyDescent="0.25">
      <c r="B38" s="3" t="s">
        <v>32</v>
      </c>
      <c r="C38" s="3"/>
      <c r="D38" s="14">
        <f>D36*D37</f>
        <v>319630.90721900383</v>
      </c>
      <c r="E38" s="14">
        <f t="shared" ref="E38:M38" si="4">E36*E37</f>
        <v>320952.10462784953</v>
      </c>
      <c r="F38" s="14">
        <f t="shared" si="4"/>
        <v>341973.36438494257</v>
      </c>
      <c r="G38" s="14">
        <f t="shared" si="4"/>
        <v>363652.8475659223</v>
      </c>
      <c r="H38" s="14">
        <f t="shared" si="4"/>
        <v>396551.9075862302</v>
      </c>
      <c r="I38" s="14">
        <f t="shared" si="4"/>
        <v>455865.60156884242</v>
      </c>
      <c r="J38" s="14">
        <f t="shared" si="4"/>
        <v>494711.30276776437</v>
      </c>
      <c r="K38" s="14">
        <f t="shared" si="4"/>
        <v>522573.33047477592</v>
      </c>
      <c r="L38" s="14">
        <f t="shared" si="4"/>
        <v>551303.80274018145</v>
      </c>
      <c r="M38" s="14">
        <f t="shared" si="4"/>
        <v>580929.1041707769</v>
      </c>
    </row>
    <row r="40" spans="2:14" ht="15.75" thickBot="1" x14ac:dyDescent="0.3">
      <c r="B40" s="3" t="s">
        <v>116</v>
      </c>
      <c r="C40" s="3"/>
      <c r="D40" s="93">
        <f>D36-D38</f>
        <v>593600.25626386423</v>
      </c>
      <c r="E40" s="93">
        <f t="shared" ref="E40:M40" si="5">E36-E38</f>
        <v>596053.90859457781</v>
      </c>
      <c r="F40" s="93">
        <f t="shared" si="5"/>
        <v>635093.39100060763</v>
      </c>
      <c r="G40" s="93">
        <f t="shared" si="5"/>
        <v>675355.28833671298</v>
      </c>
      <c r="H40" s="93">
        <f t="shared" si="5"/>
        <v>736453.54266014183</v>
      </c>
      <c r="I40" s="93">
        <f t="shared" si="5"/>
        <v>846607.54577070742</v>
      </c>
      <c r="J40" s="93">
        <f t="shared" si="5"/>
        <v>918749.56228299113</v>
      </c>
      <c r="K40" s="93">
        <f t="shared" si="5"/>
        <v>970493.32802458387</v>
      </c>
      <c r="L40" s="93">
        <f t="shared" si="5"/>
        <v>1023849.9193746228</v>
      </c>
      <c r="M40" s="93">
        <f t="shared" si="5"/>
        <v>1078868.3363171574</v>
      </c>
    </row>
    <row r="41" spans="2:14" ht="15.75" thickTop="1" x14ac:dyDescent="0.25">
      <c r="B41" s="3"/>
      <c r="C41" s="3"/>
      <c r="D41" s="94"/>
      <c r="E41" s="94"/>
      <c r="F41" s="94"/>
      <c r="G41" s="94"/>
      <c r="H41" s="94"/>
      <c r="I41" s="94"/>
      <c r="J41" s="94"/>
      <c r="K41" s="94"/>
      <c r="L41" s="94"/>
      <c r="M41" s="94"/>
    </row>
    <row r="43" spans="2:14" x14ac:dyDescent="0.25">
      <c r="B43" s="20" t="s">
        <v>106</v>
      </c>
      <c r="C43" s="45"/>
      <c r="D43" s="23"/>
      <c r="E43" s="23"/>
      <c r="F43" s="23"/>
      <c r="G43" s="23"/>
      <c r="H43" s="23"/>
      <c r="I43" s="23"/>
      <c r="J43" s="23"/>
      <c r="K43" s="23"/>
      <c r="L43" s="23"/>
      <c r="M43" s="25"/>
    </row>
    <row r="44" spans="2:14" x14ac:dyDescent="0.25">
      <c r="B44" s="13" t="s">
        <v>4</v>
      </c>
      <c r="C44" s="13"/>
    </row>
    <row r="45" spans="2:14" x14ac:dyDescent="0.25">
      <c r="B45" s="3" t="s">
        <v>33</v>
      </c>
      <c r="C45" s="3"/>
    </row>
    <row r="46" spans="2:14" x14ac:dyDescent="0.25">
      <c r="B46" s="6" t="s">
        <v>80</v>
      </c>
      <c r="C46" s="6"/>
      <c r="D46" s="14">
        <f>Assumptions!C41</f>
        <v>50000</v>
      </c>
      <c r="E46" s="14">
        <f>Assumptions!D41</f>
        <v>50000</v>
      </c>
      <c r="F46" s="14">
        <f>Assumptions!E41</f>
        <v>50000</v>
      </c>
      <c r="G46" s="14">
        <f>Assumptions!F41</f>
        <v>50000</v>
      </c>
      <c r="H46" s="14">
        <f>Assumptions!G41</f>
        <v>50000</v>
      </c>
      <c r="I46" s="14">
        <f>Assumptions!H41</f>
        <v>50000</v>
      </c>
      <c r="J46" s="14">
        <f>Assumptions!I41</f>
        <v>50000</v>
      </c>
      <c r="K46" s="14">
        <f>Assumptions!J41</f>
        <v>50000</v>
      </c>
      <c r="L46" s="14">
        <f>Assumptions!K41</f>
        <v>50000</v>
      </c>
      <c r="M46" s="14">
        <f>Assumptions!L41</f>
        <v>50000</v>
      </c>
    </row>
    <row r="47" spans="2:14" x14ac:dyDescent="0.25">
      <c r="B47" s="6" t="s">
        <v>81</v>
      </c>
      <c r="C47" s="6"/>
      <c r="D47" s="14">
        <v>940355.77497716923</v>
      </c>
      <c r="E47" s="14">
        <v>1560021.1757485969</v>
      </c>
      <c r="F47" s="3">
        <v>2231401.2985244282</v>
      </c>
      <c r="G47" s="14">
        <v>2925013.576822476</v>
      </c>
      <c r="H47" s="3">
        <v>3676324.0673780325</v>
      </c>
      <c r="I47" s="14">
        <v>4499114.714044001</v>
      </c>
      <c r="J47" s="3">
        <v>5383726.1108085206</v>
      </c>
      <c r="K47" s="3">
        <v>6278435.2869427418</v>
      </c>
      <c r="L47" s="3">
        <v>7201674.3287089728</v>
      </c>
      <c r="M47" s="3">
        <v>8154057.4544573128</v>
      </c>
    </row>
    <row r="48" spans="2:14" x14ac:dyDescent="0.25">
      <c r="B48" s="6" t="s">
        <v>41</v>
      </c>
      <c r="C48" s="6"/>
      <c r="D48" s="14">
        <f>'Financial Statements'!D17/365*Assumptions!C42</f>
        <v>223811.50684931508</v>
      </c>
      <c r="E48" s="14">
        <f>'Financial Statements'!E17/365*Assumptions!D42</f>
        <v>229499.17808219179</v>
      </c>
      <c r="F48" s="14">
        <f>'Financial Statements'!F17/365*Assumptions!E42</f>
        <v>235347.61643835617</v>
      </c>
      <c r="G48" s="14">
        <f>'Financial Statements'!G17/365*Assumptions!F42</f>
        <v>241361.54301369865</v>
      </c>
      <c r="H48" s="14">
        <f>'Financial Statements'!H17/365*Assumptions!G42</f>
        <v>247545.81945205474</v>
      </c>
      <c r="I48" s="14">
        <f>'Financial Statements'!I17/365*Assumptions!H42</f>
        <v>277726.15230632888</v>
      </c>
      <c r="J48" s="14">
        <f>'Financial Statements'!J17/365*Assumptions!I42</f>
        <v>284980.9177460557</v>
      </c>
      <c r="K48" s="14">
        <f>'Financial Statements'!K17/365*Assumptions!J42</f>
        <v>292442.94257453392</v>
      </c>
      <c r="L48" s="14">
        <f>'Financial Statements'!L17/365*Assumptions!K42</f>
        <v>300118.33710782707</v>
      </c>
      <c r="M48" s="14">
        <f>'Financial Statements'!M17/365*Assumptions!L42</f>
        <v>308013.3938242275</v>
      </c>
      <c r="N48" s="14" t="s">
        <v>132</v>
      </c>
    </row>
    <row r="49" spans="2:15" x14ac:dyDescent="0.25">
      <c r="B49" s="6" t="s">
        <v>0</v>
      </c>
      <c r="C49" s="6"/>
      <c r="D49" s="14">
        <f>SUM(D24:D26)/365*Assumptions!C43</f>
        <v>12350.68493150685</v>
      </c>
      <c r="E49" s="14">
        <f>SUM(E24:E26)/365*Assumptions!D43</f>
        <v>12478.794520547945</v>
      </c>
      <c r="F49" s="14">
        <f>SUM(F24:F26)/365*Assumptions!E43</f>
        <v>12608.277260273971</v>
      </c>
      <c r="G49" s="14">
        <f>SUM(G24:G26)/365*Assumptions!F43</f>
        <v>12739.14872328767</v>
      </c>
      <c r="H49" s="14">
        <f>SUM(H24:H26)/365*Assumptions!G43</f>
        <v>12871.424674739728</v>
      </c>
      <c r="I49" s="14">
        <f>SUM(I24:I26)/365*Assumptions!H43</f>
        <v>13005.121074990686</v>
      </c>
      <c r="J49" s="14">
        <f>SUM(J24:J26)/365*Assumptions!I43</f>
        <v>13140.254082314226</v>
      </c>
      <c r="K49" s="14">
        <f>SUM(K24:K26)/365*Assumptions!J43</f>
        <v>13276.840055642473</v>
      </c>
      <c r="L49" s="14">
        <f>SUM(L24:L26)/365*Assumptions!K43</f>
        <v>13414.895557354106</v>
      </c>
      <c r="M49" s="14">
        <f>SUM(M24:M26)/365*Assumptions!L43</f>
        <v>13554.437356105958</v>
      </c>
    </row>
    <row r="50" spans="2:15" x14ac:dyDescent="0.25">
      <c r="B50" s="6" t="s">
        <v>42</v>
      </c>
      <c r="C50" s="6"/>
      <c r="D50" s="14">
        <f>Assumptions!C44*'Financial Statements'!D32</f>
        <v>21784.320000000003</v>
      </c>
      <c r="E50" s="14">
        <f>Assumptions!D44*'Financial Statements'!E32</f>
        <v>33506.879999999997</v>
      </c>
      <c r="F50" s="14">
        <f>Assumptions!E44*'Financial Statements'!F32</f>
        <v>34360.752</v>
      </c>
      <c r="G50" s="14">
        <f>Assumptions!F44*'Financial Statements'!G32</f>
        <v>35238.785280000004</v>
      </c>
      <c r="H50" s="14">
        <f>Assumptions!G44*'Financial Statements'!H32</f>
        <v>30118.074699999997</v>
      </c>
      <c r="I50" s="14">
        <f>Assumptions!H44*'Financial Statements'!I32</f>
        <v>33790.015197270019</v>
      </c>
      <c r="J50" s="14">
        <f>Assumptions!I44*'Financial Statements'!J32</f>
        <v>27738.142660616089</v>
      </c>
      <c r="K50" s="14">
        <f>Assumptions!J44*'Financial Statements'!K32</f>
        <v>28464.446410587974</v>
      </c>
      <c r="L50" s="14">
        <f>Assumptions!K44*'Financial Statements'!L32</f>
        <v>29211.518145161841</v>
      </c>
      <c r="M50" s="14">
        <f>Assumptions!L44*'Financial Statements'!M32</f>
        <v>29979.97033222481</v>
      </c>
    </row>
    <row r="51" spans="2:15" x14ac:dyDescent="0.25">
      <c r="B51" s="3"/>
      <c r="C51" s="3"/>
    </row>
    <row r="52" spans="2:15" x14ac:dyDescent="0.25">
      <c r="B52" s="3" t="s">
        <v>48</v>
      </c>
      <c r="C52" s="3"/>
    </row>
    <row r="53" spans="2:15" x14ac:dyDescent="0.25">
      <c r="B53" s="6" t="s">
        <v>3</v>
      </c>
      <c r="C53" s="6"/>
      <c r="D53" s="14">
        <f>Assumptions!$C$46</f>
        <v>2000000</v>
      </c>
      <c r="E53" s="14">
        <f>Assumptions!$C$46</f>
        <v>2000000</v>
      </c>
      <c r="F53" s="14">
        <f>Assumptions!$C$46</f>
        <v>2000000</v>
      </c>
      <c r="G53" s="14">
        <f>Assumptions!$C$46</f>
        <v>2000000</v>
      </c>
      <c r="H53" s="14">
        <f>Assumptions!$C$46</f>
        <v>2000000</v>
      </c>
      <c r="I53" s="14">
        <f>Assumptions!$C$46</f>
        <v>2000000</v>
      </c>
      <c r="J53" s="14">
        <f>Assumptions!$C$46</f>
        <v>2000000</v>
      </c>
      <c r="K53" s="14">
        <f>Assumptions!$C$46</f>
        <v>2000000</v>
      </c>
      <c r="L53" s="14">
        <f>Assumptions!$C$46</f>
        <v>2000000</v>
      </c>
      <c r="M53" s="14">
        <f>Assumptions!$C$46</f>
        <v>2000000</v>
      </c>
    </row>
    <row r="54" spans="2:15" x14ac:dyDescent="0.25">
      <c r="B54" s="6" t="s">
        <v>47</v>
      </c>
      <c r="C54" s="6"/>
      <c r="D54" s="14">
        <f>Depreciation!$C$3</f>
        <v>6000000</v>
      </c>
      <c r="E54" s="14">
        <f>Depreciation!$C$3</f>
        <v>6000000</v>
      </c>
      <c r="F54" s="14">
        <f>Depreciation!$C$3</f>
        <v>6000000</v>
      </c>
      <c r="G54" s="14">
        <f>Depreciation!$C$3</f>
        <v>6000000</v>
      </c>
      <c r="H54" s="14">
        <f>Depreciation!$C$3</f>
        <v>6000000</v>
      </c>
      <c r="I54" s="14">
        <f>Depreciation!$C$3</f>
        <v>6000000</v>
      </c>
      <c r="J54" s="14">
        <f>Depreciation!$C$3</f>
        <v>6000000</v>
      </c>
      <c r="K54" s="14">
        <f>Depreciation!$C$3</f>
        <v>6000000</v>
      </c>
      <c r="L54" s="14">
        <f>Depreciation!$C$3</f>
        <v>6000000</v>
      </c>
      <c r="M54" s="14">
        <f>Depreciation!$C$3</f>
        <v>6000000</v>
      </c>
    </row>
    <row r="55" spans="2:15" x14ac:dyDescent="0.25">
      <c r="B55" s="6" t="s">
        <v>84</v>
      </c>
      <c r="C55" s="6"/>
      <c r="D55" s="14">
        <f>-Depreciation!C7</f>
        <v>-150000</v>
      </c>
      <c r="E55" s="14">
        <f>D55-Depreciation!$C$7</f>
        <v>-300000</v>
      </c>
      <c r="F55" s="14">
        <f>E55-Depreciation!$C$7</f>
        <v>-450000</v>
      </c>
      <c r="G55" s="14">
        <f>F55-Depreciation!$C$7</f>
        <v>-600000</v>
      </c>
      <c r="H55" s="14">
        <f>G55-Depreciation!$C$7</f>
        <v>-750000</v>
      </c>
      <c r="I55" s="14">
        <f>H55-Depreciation!$C$7</f>
        <v>-900000</v>
      </c>
      <c r="J55" s="14">
        <f>I55-Depreciation!$C$7</f>
        <v>-1050000</v>
      </c>
      <c r="K55" s="14">
        <f>J55-Depreciation!$C$7</f>
        <v>-1200000</v>
      </c>
      <c r="L55" s="14">
        <f>K55-Depreciation!$C$7</f>
        <v>-1350000</v>
      </c>
      <c r="M55" s="14">
        <f>L55-Depreciation!$C$7</f>
        <v>-1500000</v>
      </c>
    </row>
    <row r="56" spans="2:15" x14ac:dyDescent="0.25">
      <c r="B56" s="6" t="s">
        <v>43</v>
      </c>
      <c r="C56" s="6"/>
      <c r="D56" s="14">
        <f>Depreciation!$F$3</f>
        <v>80000</v>
      </c>
      <c r="E56" s="14">
        <f>Depreciation!$F$3</f>
        <v>80000</v>
      </c>
      <c r="F56" s="14">
        <f>Depreciation!$F$3</f>
        <v>80000</v>
      </c>
      <c r="G56" s="14">
        <f>Depreciation!$F$3</f>
        <v>80000</v>
      </c>
      <c r="H56" s="14">
        <f>Depreciation!$F$3</f>
        <v>80000</v>
      </c>
      <c r="I56" s="14">
        <f>Depreciation!$F$3</f>
        <v>80000</v>
      </c>
      <c r="J56" s="14">
        <f>Depreciation!$F$3</f>
        <v>80000</v>
      </c>
      <c r="K56" s="14">
        <f>Depreciation!$F$3</f>
        <v>80000</v>
      </c>
      <c r="L56" s="14">
        <f>Depreciation!$F$3</f>
        <v>80000</v>
      </c>
      <c r="M56" s="14">
        <f>Depreciation!$F$3</f>
        <v>80000</v>
      </c>
    </row>
    <row r="57" spans="2:15" x14ac:dyDescent="0.25">
      <c r="B57" s="6" t="s">
        <v>57</v>
      </c>
      <c r="C57" s="6"/>
      <c r="D57" s="14">
        <f>-Depreciation!F7</f>
        <v>-8000</v>
      </c>
      <c r="E57" s="14">
        <f>D57-Depreciation!$F$7</f>
        <v>-16000</v>
      </c>
      <c r="F57" s="14">
        <f>E57-Depreciation!$F$7</f>
        <v>-24000</v>
      </c>
      <c r="G57" s="14">
        <f>F57-Depreciation!$F$7</f>
        <v>-32000</v>
      </c>
      <c r="H57" s="14">
        <f>G57-Depreciation!$F$7</f>
        <v>-40000</v>
      </c>
      <c r="I57" s="14">
        <f>H57-Depreciation!$F$7</f>
        <v>-48000</v>
      </c>
      <c r="J57" s="14">
        <f>I57-Depreciation!$F$7</f>
        <v>-56000</v>
      </c>
      <c r="K57" s="14">
        <f>J57-Depreciation!$F$7</f>
        <v>-64000</v>
      </c>
      <c r="L57" s="14">
        <f>K57-Depreciation!$F$7</f>
        <v>-72000</v>
      </c>
      <c r="M57" s="14">
        <f>L57-Depreciation!$F$7</f>
        <v>-80000</v>
      </c>
    </row>
    <row r="58" spans="2:15" x14ac:dyDescent="0.25">
      <c r="B58" s="6" t="s">
        <v>44</v>
      </c>
      <c r="C58" s="6"/>
      <c r="D58" s="14">
        <f>Depreciation!$F$11</f>
        <v>17000</v>
      </c>
      <c r="E58" s="14">
        <f>Depreciation!$F$11</f>
        <v>17000</v>
      </c>
      <c r="F58" s="14">
        <f>Depreciation!$F$11</f>
        <v>17000</v>
      </c>
      <c r="G58" s="14">
        <f>Depreciation!$F$11</f>
        <v>17000</v>
      </c>
      <c r="H58" s="14">
        <f>Depreciation!$F$11</f>
        <v>17000</v>
      </c>
      <c r="I58" s="14">
        <f>Depreciation!$F$11</f>
        <v>17000</v>
      </c>
      <c r="J58" s="14">
        <f>Depreciation!$F$11</f>
        <v>17000</v>
      </c>
      <c r="K58" s="14">
        <f>Depreciation!$F$11</f>
        <v>17000</v>
      </c>
      <c r="L58" s="14">
        <f>Depreciation!$F$11</f>
        <v>17000</v>
      </c>
      <c r="M58" s="14">
        <f>Depreciation!$F$11</f>
        <v>17000</v>
      </c>
    </row>
    <row r="59" spans="2:15" x14ac:dyDescent="0.25">
      <c r="B59" s="6" t="s">
        <v>56</v>
      </c>
      <c r="C59" s="6"/>
      <c r="D59" s="14">
        <f>-Depreciation!F15</f>
        <v>-1700</v>
      </c>
      <c r="E59" s="14">
        <f>D59-Depreciation!$F$15</f>
        <v>-3400</v>
      </c>
      <c r="F59" s="14">
        <f>E59-Depreciation!$F$15</f>
        <v>-5100</v>
      </c>
      <c r="G59" s="14">
        <f>F59-Depreciation!$F$15</f>
        <v>-6800</v>
      </c>
      <c r="H59" s="14">
        <f>G59-Depreciation!$F$15</f>
        <v>-8500</v>
      </c>
      <c r="I59" s="14">
        <f>H59-Depreciation!$F$15</f>
        <v>-10200</v>
      </c>
      <c r="J59" s="14">
        <f>I59-Depreciation!$F$15</f>
        <v>-11900</v>
      </c>
      <c r="K59" s="14">
        <f>J59-Depreciation!$F$15</f>
        <v>-13600</v>
      </c>
      <c r="L59" s="14">
        <f>K59-Depreciation!$F$15</f>
        <v>-15300</v>
      </c>
      <c r="M59" s="14">
        <f>L59-Depreciation!$F$15</f>
        <v>-17000</v>
      </c>
    </row>
    <row r="60" spans="2:15" x14ac:dyDescent="0.25">
      <c r="B60" s="6" t="s">
        <v>45</v>
      </c>
      <c r="C60" s="6"/>
      <c r="D60" s="14">
        <f>Depreciation!$C$11</f>
        <v>30000</v>
      </c>
      <c r="E60" s="14">
        <f>Depreciation!$C$11</f>
        <v>30000</v>
      </c>
      <c r="F60" s="14">
        <f>Depreciation!$C$11</f>
        <v>30000</v>
      </c>
      <c r="G60" s="14">
        <f>Depreciation!$C$11</f>
        <v>30000</v>
      </c>
      <c r="H60" s="14">
        <f>Depreciation!$C$11</f>
        <v>30000</v>
      </c>
      <c r="I60" s="14">
        <f>Depreciation!$C$11</f>
        <v>30000</v>
      </c>
      <c r="J60" s="14">
        <f>Depreciation!$C$11</f>
        <v>30000</v>
      </c>
      <c r="K60" s="14">
        <f>Depreciation!$C$11</f>
        <v>30000</v>
      </c>
      <c r="L60" s="14">
        <f>Depreciation!$C$11</f>
        <v>30000</v>
      </c>
      <c r="M60" s="14">
        <f>Depreciation!$C$11</f>
        <v>30000</v>
      </c>
    </row>
    <row r="61" spans="2:15" x14ac:dyDescent="0.25">
      <c r="B61" s="6" t="s">
        <v>55</v>
      </c>
      <c r="C61" s="6"/>
      <c r="D61" s="14">
        <f>-Depreciation!C15</f>
        <v>-3000</v>
      </c>
      <c r="E61" s="14">
        <f>D61-Depreciation!$C$15</f>
        <v>-6000</v>
      </c>
      <c r="F61" s="14">
        <f>E61-Depreciation!$C$15</f>
        <v>-9000</v>
      </c>
      <c r="G61" s="14">
        <f>F61-Depreciation!$C$15</f>
        <v>-12000</v>
      </c>
      <c r="H61" s="14">
        <f>G61-Depreciation!$C$15</f>
        <v>-15000</v>
      </c>
      <c r="I61" s="14">
        <f>H61-Depreciation!$C$15</f>
        <v>-18000</v>
      </c>
      <c r="J61" s="14">
        <f>I61-Depreciation!$C$15</f>
        <v>-21000</v>
      </c>
      <c r="K61" s="14">
        <f>J61-Depreciation!$C$15</f>
        <v>-24000</v>
      </c>
      <c r="L61" s="14">
        <f>K61-Depreciation!$C$15</f>
        <v>-27000</v>
      </c>
      <c r="M61" s="14">
        <f>L61-Depreciation!$C$15</f>
        <v>-30000</v>
      </c>
    </row>
    <row r="62" spans="2:15" x14ac:dyDescent="0.25">
      <c r="B62" s="6" t="s">
        <v>46</v>
      </c>
      <c r="C62" s="6"/>
      <c r="D62" s="14">
        <f>Depreciation!$I$3</f>
        <v>10000</v>
      </c>
      <c r="E62" s="14">
        <f>Depreciation!$I$3</f>
        <v>10000</v>
      </c>
      <c r="F62" s="14">
        <f>Depreciation!$I$3</f>
        <v>10000</v>
      </c>
      <c r="G62" s="14">
        <f>Depreciation!$I$3</f>
        <v>10000</v>
      </c>
      <c r="H62" s="14">
        <f>Depreciation!$I$3</f>
        <v>10000</v>
      </c>
      <c r="I62" s="14">
        <f>Depreciation!$I$3</f>
        <v>10000</v>
      </c>
      <c r="J62" s="14">
        <f>Depreciation!$I$3</f>
        <v>10000</v>
      </c>
      <c r="K62" s="14">
        <f>Depreciation!$I$3</f>
        <v>10000</v>
      </c>
      <c r="L62" s="14">
        <f>Depreciation!$I$3</f>
        <v>10000</v>
      </c>
      <c r="M62" s="14">
        <f>Depreciation!$I$3</f>
        <v>10000</v>
      </c>
      <c r="O62" s="1" t="s">
        <v>188</v>
      </c>
    </row>
    <row r="63" spans="2:15" x14ac:dyDescent="0.25">
      <c r="B63" s="6" t="s">
        <v>54</v>
      </c>
      <c r="C63" s="6"/>
      <c r="D63" s="14">
        <f>-Depreciation!I7</f>
        <v>-833.33333333333337</v>
      </c>
      <c r="E63" s="14">
        <f>D63-Depreciation!$I$7</f>
        <v>-1666.6666666666667</v>
      </c>
      <c r="F63" s="14">
        <f>E63-Depreciation!$I$7</f>
        <v>-2500</v>
      </c>
      <c r="G63" s="14">
        <f>F63-Depreciation!$I$7</f>
        <v>-3333.3333333333335</v>
      </c>
      <c r="H63" s="14">
        <f>G63-Depreciation!$I$7</f>
        <v>-4166.666666666667</v>
      </c>
      <c r="I63" s="14">
        <f>H63-Depreciation!$I$7</f>
        <v>-5000</v>
      </c>
      <c r="J63" s="14">
        <f>I63-Depreciation!$I$7</f>
        <v>-5833.333333333333</v>
      </c>
      <c r="K63" s="14">
        <f>J63-Depreciation!$I$7</f>
        <v>-6666.6666666666661</v>
      </c>
      <c r="L63" s="14">
        <f>K63-Depreciation!$I$7</f>
        <v>-7499.9999999999991</v>
      </c>
      <c r="M63" s="14">
        <f>L63-Depreciation!$I$7</f>
        <v>-8333.3333333333321</v>
      </c>
      <c r="O63" s="14">
        <v>0.05</v>
      </c>
    </row>
    <row r="64" spans="2:15" x14ac:dyDescent="0.25">
      <c r="B64" s="3"/>
      <c r="C64" s="3"/>
    </row>
    <row r="65" spans="2:14" ht="15.75" thickBot="1" x14ac:dyDescent="0.3">
      <c r="B65" s="3" t="s">
        <v>117</v>
      </c>
      <c r="C65" s="3"/>
      <c r="D65" s="93">
        <f t="shared" ref="D65:M65" si="6">SUM(D46:D63)</f>
        <v>9221768.9534246568</v>
      </c>
      <c r="E65" s="93">
        <f t="shared" si="6"/>
        <v>9695439.3616846707</v>
      </c>
      <c r="F65" s="93">
        <f t="shared" si="6"/>
        <v>10210117.944223057</v>
      </c>
      <c r="G65" s="93">
        <f t="shared" si="6"/>
        <v>10747219.720506128</v>
      </c>
      <c r="H65" s="93">
        <f t="shared" si="6"/>
        <v>11336192.719538162</v>
      </c>
      <c r="I65" s="93">
        <f t="shared" si="6"/>
        <v>12029436.002622589</v>
      </c>
      <c r="J65" s="93">
        <f t="shared" si="6"/>
        <v>12751852.091964172</v>
      </c>
      <c r="K65" s="93">
        <f t="shared" si="6"/>
        <v>13491352.849316841</v>
      </c>
      <c r="L65" s="93">
        <f t="shared" si="6"/>
        <v>14259619.079519317</v>
      </c>
      <c r="M65" s="93">
        <f t="shared" si="6"/>
        <v>15057271.922636535</v>
      </c>
    </row>
    <row r="66" spans="2:14" ht="15.75" thickTop="1" x14ac:dyDescent="0.25"/>
    <row r="67" spans="2:14" x14ac:dyDescent="0.25">
      <c r="B67" s="13" t="s">
        <v>5</v>
      </c>
      <c r="C67" s="13"/>
    </row>
    <row r="68" spans="2:14" x14ac:dyDescent="0.25">
      <c r="B68" s="3" t="s">
        <v>34</v>
      </c>
      <c r="C68" s="3"/>
    </row>
    <row r="69" spans="2:14" x14ac:dyDescent="0.25">
      <c r="B69" s="6" t="s">
        <v>49</v>
      </c>
      <c r="C69" s="6"/>
      <c r="D69" s="14">
        <f>SUM('Financial Statements'!D24:D26)/365*Assumptions!C49</f>
        <v>26465.753424657534</v>
      </c>
      <c r="E69" s="14">
        <f>SUM('Financial Statements'!E24:E26)/365*Assumptions!D49</f>
        <v>26740.273972602739</v>
      </c>
      <c r="F69" s="14">
        <f>SUM('Financial Statements'!F24:F26)/365*Assumptions!E49</f>
        <v>27017.73698630137</v>
      </c>
      <c r="G69" s="14">
        <f>SUM('Financial Statements'!G24:G26)/365*Assumptions!F49</f>
        <v>27298.175835616436</v>
      </c>
      <c r="H69" s="14">
        <f>SUM('Financial Statements'!H24:H26)/365*Assumptions!G49</f>
        <v>27581.624303013701</v>
      </c>
      <c r="I69" s="14">
        <f>SUM('Financial Statements'!I24:I26)/365*Assumptions!H49</f>
        <v>27868.116589265755</v>
      </c>
      <c r="J69" s="14">
        <f>SUM('Financial Statements'!J24:J26)/365*Assumptions!I49</f>
        <v>28157.687319244771</v>
      </c>
      <c r="K69" s="14">
        <f>SUM('Financial Statements'!K24:K26)/365*Assumptions!J49</f>
        <v>28450.371547805302</v>
      </c>
      <c r="L69" s="14">
        <f>SUM('Financial Statements'!L24:L26)/365*Assumptions!K49</f>
        <v>28746.204765758801</v>
      </c>
      <c r="M69" s="14">
        <f>SUM('Financial Statements'!M24:M26)/365*Assumptions!L49</f>
        <v>29045.222905941337</v>
      </c>
    </row>
    <row r="70" spans="2:14" x14ac:dyDescent="0.25">
      <c r="B70" s="6" t="s">
        <v>51</v>
      </c>
      <c r="C70" s="6"/>
      <c r="D70" s="14">
        <f>Assumptions!C50</f>
        <v>319630.90721900383</v>
      </c>
      <c r="E70" s="14">
        <f>Assumptions!D50</f>
        <v>320952.10462784953</v>
      </c>
      <c r="F70" s="14">
        <f>Assumptions!E50</f>
        <v>341973.36438494257</v>
      </c>
      <c r="G70" s="14">
        <f>Assumptions!F50</f>
        <v>363652.8475659223</v>
      </c>
      <c r="H70" s="14">
        <f>Assumptions!G50</f>
        <v>396551.9075862302</v>
      </c>
      <c r="I70" s="14">
        <f>Assumptions!H50</f>
        <v>455865.60156884242</v>
      </c>
      <c r="J70" s="14">
        <f>Assumptions!I50</f>
        <v>494711.30276776437</v>
      </c>
      <c r="K70" s="14">
        <f>Assumptions!J50</f>
        <v>522573.33047477592</v>
      </c>
      <c r="L70" s="14">
        <f>Assumptions!K50</f>
        <v>551303.80274018145</v>
      </c>
      <c r="M70" s="14">
        <f>Assumptions!L50</f>
        <v>580929.1041707769</v>
      </c>
    </row>
    <row r="71" spans="2:14" x14ac:dyDescent="0.25">
      <c r="B71" s="6" t="s">
        <v>102</v>
      </c>
      <c r="C71" s="6"/>
      <c r="D71" s="14">
        <f>Assumptions!C51</f>
        <v>101930.5890997386</v>
      </c>
      <c r="E71" s="14">
        <f>Assumptions!D51</f>
        <v>105030.90550596471</v>
      </c>
      <c r="F71" s="14">
        <f>Assumptions!E51</f>
        <v>108225.52100242082</v>
      </c>
      <c r="G71" s="14">
        <f>Assumptions!F51</f>
        <v>111517.30378617228</v>
      </c>
      <c r="H71" s="14">
        <f>Assumptions!G51</f>
        <v>114909.20929324301</v>
      </c>
      <c r="I71" s="14">
        <f>Assumptions!H51</f>
        <v>118404.28285207151</v>
      </c>
      <c r="J71" s="14">
        <f>Assumptions!I51</f>
        <v>122005.66241767487</v>
      </c>
      <c r="K71" s="14">
        <f>Assumptions!J51</f>
        <v>125716.58138897478</v>
      </c>
      <c r="L71" s="14">
        <f>Assumptions!K51</f>
        <v>129540.37151181529</v>
      </c>
      <c r="M71" s="14">
        <f>Assumptions!L51</f>
        <v>133480.46587027839</v>
      </c>
      <c r="N71" s="14" t="s">
        <v>134</v>
      </c>
    </row>
    <row r="72" spans="2:14" x14ac:dyDescent="0.25">
      <c r="B72" s="6" t="s">
        <v>53</v>
      </c>
      <c r="C72" s="6"/>
      <c r="D72" s="14">
        <f>Assumptions!C52</f>
        <v>145072.03651713216</v>
      </c>
      <c r="E72" s="14">
        <f>Assumptions!D52</f>
        <v>141971.72011090608</v>
      </c>
      <c r="F72" s="14">
        <f>Assumptions!E52</f>
        <v>138777.10461444996</v>
      </c>
      <c r="G72" s="14">
        <f>Assumptions!F52</f>
        <v>135485.32183069849</v>
      </c>
      <c r="H72" s="14">
        <f>Assumptions!G52</f>
        <v>132093.41632362775</v>
      </c>
      <c r="I72" s="14">
        <f>Assumptions!H52</f>
        <v>128598.34276479926</v>
      </c>
      <c r="J72" s="14">
        <f>Assumptions!I52</f>
        <v>124996.9631991959</v>
      </c>
      <c r="K72" s="14">
        <f>Assumptions!J52</f>
        <v>121286.04422789597</v>
      </c>
      <c r="L72" s="14">
        <f>Assumptions!K52</f>
        <v>117462.2541050555</v>
      </c>
      <c r="M72" s="14">
        <f>Assumptions!L52</f>
        <v>113522.15974659241</v>
      </c>
    </row>
    <row r="73" spans="2:14" x14ac:dyDescent="0.25">
      <c r="B73" s="3"/>
      <c r="C73" s="3"/>
    </row>
    <row r="74" spans="2:14" x14ac:dyDescent="0.25">
      <c r="B74" s="3" t="s">
        <v>35</v>
      </c>
      <c r="C74" s="3"/>
    </row>
    <row r="75" spans="2:14" x14ac:dyDescent="0.25">
      <c r="B75" s="6" t="s">
        <v>52</v>
      </c>
      <c r="C75" s="6"/>
      <c r="D75" s="14">
        <f>'Commercial Loan'!G15</f>
        <v>4780269.4109002603</v>
      </c>
      <c r="E75" s="14">
        <f>'Commercial Loan'!G27</f>
        <v>4675238.5053942949</v>
      </c>
      <c r="F75" s="14">
        <f>'Commercial Loan'!G39</f>
        <v>4567012.9843918746</v>
      </c>
      <c r="G75" s="14">
        <f>'Commercial Loan'!G51</f>
        <v>4455495.6806057021</v>
      </c>
      <c r="H75" s="14">
        <f>'Commercial Loan'!G63</f>
        <v>4340586.4713124586</v>
      </c>
      <c r="I75" s="14">
        <f>'Commercial Loan'!G75</f>
        <v>4222182.1884603873</v>
      </c>
      <c r="J75" s="14">
        <f>'Commercial Loan'!G87</f>
        <v>4100176.5260427115</v>
      </c>
      <c r="K75" s="14">
        <f>'Commercial Loan'!G99</f>
        <v>3974459.9446537369</v>
      </c>
      <c r="L75" s="14">
        <f>'Commercial Loan'!G111</f>
        <v>3844919.5731419218</v>
      </c>
      <c r="M75" s="14">
        <f>'Commercial Loan'!G123</f>
        <v>3711439.1072716443</v>
      </c>
    </row>
    <row r="76" spans="2:14" x14ac:dyDescent="0.25">
      <c r="B76" s="6" t="s">
        <v>104</v>
      </c>
      <c r="C76" s="6"/>
    </row>
    <row r="77" spans="2:14" x14ac:dyDescent="0.25">
      <c r="B77" s="3"/>
      <c r="C77" s="3"/>
    </row>
    <row r="78" spans="2:14" x14ac:dyDescent="0.25">
      <c r="B78" s="3" t="s">
        <v>101</v>
      </c>
      <c r="C78" s="3"/>
      <c r="D78" s="92">
        <f>SUM(D69:D77)</f>
        <v>5373368.6971607925</v>
      </c>
      <c r="E78" s="92">
        <f t="shared" ref="E78:M78" si="7">SUM(E69:E77)</f>
        <v>5269933.5096116178</v>
      </c>
      <c r="F78" s="92">
        <f t="shared" si="7"/>
        <v>5183006.7113799891</v>
      </c>
      <c r="G78" s="92">
        <f t="shared" si="7"/>
        <v>5093449.3296241118</v>
      </c>
      <c r="H78" s="92">
        <f t="shared" si="7"/>
        <v>5011722.6288185734</v>
      </c>
      <c r="I78" s="92">
        <f t="shared" si="7"/>
        <v>4952918.5322353663</v>
      </c>
      <c r="J78" s="92">
        <f t="shared" si="7"/>
        <v>4870048.1417465918</v>
      </c>
      <c r="K78" s="92">
        <f t="shared" si="7"/>
        <v>4772486.2722931886</v>
      </c>
      <c r="L78" s="92">
        <f t="shared" si="7"/>
        <v>4671972.2062647324</v>
      </c>
      <c r="M78" s="92">
        <f t="shared" si="7"/>
        <v>4568416.0599652333</v>
      </c>
    </row>
    <row r="80" spans="2:14" x14ac:dyDescent="0.25">
      <c r="B80" s="13" t="s">
        <v>120</v>
      </c>
      <c r="C80" s="13"/>
    </row>
    <row r="81" spans="1:14" x14ac:dyDescent="0.25">
      <c r="B81" s="3" t="s">
        <v>39</v>
      </c>
      <c r="C81" s="3"/>
      <c r="D81" s="14">
        <f>'Commercial Loan'!$K$12</f>
        <v>3254800</v>
      </c>
      <c r="E81" s="14">
        <f>'Commercial Loan'!$K$12</f>
        <v>3254800</v>
      </c>
      <c r="F81" s="14">
        <f>'Commercial Loan'!$K$12</f>
        <v>3254800</v>
      </c>
      <c r="G81" s="14">
        <f>'Commercial Loan'!$K$12</f>
        <v>3254800</v>
      </c>
      <c r="H81" s="14">
        <f>'Commercial Loan'!$K$12</f>
        <v>3254800</v>
      </c>
      <c r="I81" s="14">
        <f>'Commercial Loan'!$K$12</f>
        <v>3254800</v>
      </c>
      <c r="J81" s="14">
        <f>'Commercial Loan'!$K$12</f>
        <v>3254800</v>
      </c>
      <c r="K81" s="14">
        <f>'Commercial Loan'!$K$12</f>
        <v>3254800</v>
      </c>
      <c r="L81" s="14">
        <f>'Commercial Loan'!$K$12</f>
        <v>3254800</v>
      </c>
      <c r="M81" s="14">
        <f>'Commercial Loan'!$K$12</f>
        <v>3254800</v>
      </c>
      <c r="N81" s="14" t="s">
        <v>135</v>
      </c>
    </row>
    <row r="82" spans="1:14" x14ac:dyDescent="0.25">
      <c r="B82" s="3" t="s">
        <v>40</v>
      </c>
      <c r="C82" s="3"/>
      <c r="D82" s="14">
        <f>D40</f>
        <v>593600.25626386423</v>
      </c>
      <c r="E82" s="14">
        <f t="shared" ref="E82:M82" si="8">D82+E40</f>
        <v>1189654.164858442</v>
      </c>
      <c r="F82" s="14">
        <f t="shared" si="8"/>
        <v>1824747.5558590498</v>
      </c>
      <c r="G82" s="14">
        <f t="shared" si="8"/>
        <v>2500102.8441957626</v>
      </c>
      <c r="H82" s="14">
        <f t="shared" si="8"/>
        <v>3236556.3868559045</v>
      </c>
      <c r="I82" s="14">
        <f t="shared" si="8"/>
        <v>4083163.932626612</v>
      </c>
      <c r="J82" s="14">
        <f t="shared" si="8"/>
        <v>5001913.4949096031</v>
      </c>
      <c r="K82" s="14">
        <f t="shared" si="8"/>
        <v>5972406.822934187</v>
      </c>
      <c r="L82" s="14">
        <f t="shared" si="8"/>
        <v>6996256.7423088094</v>
      </c>
      <c r="M82" s="14">
        <f t="shared" si="8"/>
        <v>8075125.0786259668</v>
      </c>
    </row>
    <row r="83" spans="1:14" x14ac:dyDescent="0.25">
      <c r="B83" s="3"/>
      <c r="C83" s="3"/>
    </row>
    <row r="84" spans="1:14" x14ac:dyDescent="0.25">
      <c r="B84" s="3" t="s">
        <v>119</v>
      </c>
      <c r="C84" s="3"/>
      <c r="D84" s="92">
        <f>SUM(D81:D82)</f>
        <v>3848400.2562638642</v>
      </c>
      <c r="E84" s="92">
        <f t="shared" ref="E84:M84" si="9">SUM(E81:E82)</f>
        <v>4444454.1648584418</v>
      </c>
      <c r="F84" s="92">
        <f t="shared" si="9"/>
        <v>5079547.5558590498</v>
      </c>
      <c r="G84" s="92">
        <f t="shared" si="9"/>
        <v>5754902.8441957626</v>
      </c>
      <c r="H84" s="92">
        <f t="shared" si="9"/>
        <v>6491356.386855904</v>
      </c>
      <c r="I84" s="92">
        <f t="shared" si="9"/>
        <v>7337963.9326266125</v>
      </c>
      <c r="J84" s="92">
        <f t="shared" si="9"/>
        <v>8256713.4949096031</v>
      </c>
      <c r="K84" s="92">
        <f t="shared" si="9"/>
        <v>9227206.8229341879</v>
      </c>
      <c r="L84" s="92">
        <f t="shared" si="9"/>
        <v>10251056.74230881</v>
      </c>
      <c r="M84" s="92">
        <f t="shared" si="9"/>
        <v>11329925.078625966</v>
      </c>
    </row>
    <row r="86" spans="1:14" ht="15.75" thickBot="1" x14ac:dyDescent="0.3">
      <c r="B86" s="3" t="s">
        <v>118</v>
      </c>
      <c r="C86" s="3"/>
      <c r="D86" s="95">
        <f t="shared" ref="D86:M86" si="10">D84+D78</f>
        <v>9221768.9534246568</v>
      </c>
      <c r="E86" s="95">
        <f t="shared" si="10"/>
        <v>9714387.6744700596</v>
      </c>
      <c r="F86" s="95">
        <f t="shared" si="10"/>
        <v>10262554.267239038</v>
      </c>
      <c r="G86" s="95">
        <f t="shared" si="10"/>
        <v>10848352.173819873</v>
      </c>
      <c r="H86" s="95">
        <f t="shared" si="10"/>
        <v>11503079.015674477</v>
      </c>
      <c r="I86" s="95">
        <f t="shared" si="10"/>
        <v>12290882.464861978</v>
      </c>
      <c r="J86" s="95">
        <f t="shared" si="10"/>
        <v>13126761.636656195</v>
      </c>
      <c r="K86" s="95">
        <f t="shared" si="10"/>
        <v>13999693.095227376</v>
      </c>
      <c r="L86" s="95">
        <f t="shared" si="10"/>
        <v>14923028.948573543</v>
      </c>
      <c r="M86" s="95">
        <f t="shared" si="10"/>
        <v>15898341.1385912</v>
      </c>
    </row>
    <row r="87" spans="1:14" ht="15.75" thickTop="1" x14ac:dyDescent="0.25"/>
    <row r="88" spans="1:14" x14ac:dyDescent="0.25">
      <c r="B88" s="14" t="s">
        <v>1</v>
      </c>
      <c r="D88" s="14">
        <f t="shared" ref="D88:M88" si="11">D65-D86</f>
        <v>0</v>
      </c>
      <c r="E88" s="14">
        <f t="shared" si="11"/>
        <v>-18948.312785388902</v>
      </c>
      <c r="F88" s="14">
        <f t="shared" si="11"/>
        <v>-52436.323015980422</v>
      </c>
      <c r="G88" s="14">
        <f t="shared" si="11"/>
        <v>-101132.45331374556</v>
      </c>
      <c r="H88" s="14">
        <f t="shared" si="11"/>
        <v>-166886.29613631591</v>
      </c>
      <c r="I88" s="14">
        <f t="shared" si="11"/>
        <v>-261446.46223938838</v>
      </c>
      <c r="J88" s="14">
        <f t="shared" si="11"/>
        <v>-374909.54469202273</v>
      </c>
      <c r="K88" s="14">
        <f t="shared" si="11"/>
        <v>-508340.24591053464</v>
      </c>
      <c r="L88" s="14">
        <f t="shared" si="11"/>
        <v>-663409.8690542262</v>
      </c>
      <c r="M88" s="14">
        <f t="shared" si="11"/>
        <v>-841069.21595466509</v>
      </c>
    </row>
    <row r="89" spans="1:14" x14ac:dyDescent="0.25">
      <c r="A89" s="85" t="s">
        <v>181</v>
      </c>
    </row>
    <row r="90" spans="1:14" x14ac:dyDescent="0.25">
      <c r="A90" s="1" t="s">
        <v>182</v>
      </c>
    </row>
    <row r="91" spans="1:14" x14ac:dyDescent="0.25">
      <c r="C91" s="14">
        <v>0</v>
      </c>
      <c r="D91" s="14">
        <f>+C91+1</f>
        <v>1</v>
      </c>
      <c r="E91" s="14">
        <f t="shared" ref="E91:M91" si="12">+D91+1</f>
        <v>2</v>
      </c>
      <c r="F91" s="14">
        <f t="shared" si="12"/>
        <v>3</v>
      </c>
      <c r="G91" s="14">
        <f t="shared" si="12"/>
        <v>4</v>
      </c>
      <c r="H91" s="14">
        <f t="shared" si="12"/>
        <v>5</v>
      </c>
      <c r="I91" s="14">
        <f t="shared" si="12"/>
        <v>6</v>
      </c>
      <c r="J91" s="14">
        <f t="shared" si="12"/>
        <v>7</v>
      </c>
      <c r="K91" s="14">
        <f t="shared" si="12"/>
        <v>8</v>
      </c>
      <c r="L91" s="14">
        <f t="shared" si="12"/>
        <v>9</v>
      </c>
      <c r="M91" s="14">
        <f t="shared" si="12"/>
        <v>10</v>
      </c>
    </row>
    <row r="92" spans="1:14" x14ac:dyDescent="0.25">
      <c r="B92" s="1" t="s">
        <v>183</v>
      </c>
      <c r="D92" s="1">
        <f>+D17-D20-D21-D22-D23-D24-D25-D26-D29-D30-D32</f>
        <v>1221836.5333333332</v>
      </c>
      <c r="E92" s="1">
        <f t="shared" ref="E92:M92" si="13">+E17-E20-E21-E22-E23-E24-E25-E26-E29-E30-E32</f>
        <v>1222511.0666666669</v>
      </c>
      <c r="F92" s="1">
        <f t="shared" si="13"/>
        <v>1279377.1933333334</v>
      </c>
      <c r="G92" s="1">
        <f t="shared" si="13"/>
        <v>1338026.7910666671</v>
      </c>
      <c r="H92" s="1">
        <f t="shared" si="13"/>
        <v>1428632.1999033333</v>
      </c>
      <c r="I92" s="1">
        <f t="shared" si="13"/>
        <v>1594604.8234376824</v>
      </c>
      <c r="J92" s="1">
        <f t="shared" si="13"/>
        <v>1701991.1615832846</v>
      </c>
      <c r="K92" s="1">
        <f t="shared" si="13"/>
        <v>1777886.0360605891</v>
      </c>
      <c r="L92" s="1">
        <f t="shared" si="13"/>
        <v>1856149.3095531929</v>
      </c>
      <c r="M92" s="1">
        <f t="shared" si="13"/>
        <v>1936852.9335678599</v>
      </c>
    </row>
    <row r="93" spans="1:14" x14ac:dyDescent="0.25">
      <c r="B93" s="1" t="s">
        <v>184</v>
      </c>
      <c r="D93" s="1">
        <f>+D27</f>
        <v>163533.33333333334</v>
      </c>
      <c r="E93" s="1">
        <f t="shared" ref="E93:M93" si="14">+E27</f>
        <v>163533.33333333334</v>
      </c>
      <c r="F93" s="1">
        <f t="shared" si="14"/>
        <v>163533.33333333334</v>
      </c>
      <c r="G93" s="1">
        <f t="shared" si="14"/>
        <v>163533.33333333334</v>
      </c>
      <c r="H93" s="1">
        <f t="shared" si="14"/>
        <v>163533.33333333334</v>
      </c>
      <c r="I93" s="1">
        <f t="shared" si="14"/>
        <v>163533.33333333334</v>
      </c>
      <c r="J93" s="1">
        <f t="shared" si="14"/>
        <v>163533.33333333334</v>
      </c>
      <c r="K93" s="1">
        <f t="shared" si="14"/>
        <v>163533.33333333334</v>
      </c>
      <c r="L93" s="1">
        <f t="shared" si="14"/>
        <v>163533.33333333334</v>
      </c>
      <c r="M93" s="1">
        <f t="shared" si="14"/>
        <v>163533.33333333334</v>
      </c>
    </row>
    <row r="94" spans="1:14" x14ac:dyDescent="0.25">
      <c r="B94" s="1" t="s">
        <v>179</v>
      </c>
      <c r="D94" s="1">
        <f>+D92-D93</f>
        <v>1058303.2</v>
      </c>
      <c r="E94" s="1">
        <f t="shared" ref="E94:M94" si="15">+E92-E93</f>
        <v>1058977.7333333336</v>
      </c>
      <c r="F94" s="1">
        <f t="shared" si="15"/>
        <v>1115843.8600000001</v>
      </c>
      <c r="G94" s="1">
        <f t="shared" si="15"/>
        <v>1174493.4577333338</v>
      </c>
      <c r="H94" s="1">
        <f t="shared" si="15"/>
        <v>1265098.8665700001</v>
      </c>
      <c r="I94" s="1">
        <f t="shared" si="15"/>
        <v>1431071.4901043491</v>
      </c>
      <c r="J94" s="1">
        <f t="shared" si="15"/>
        <v>1538457.8282499514</v>
      </c>
      <c r="K94" s="1">
        <f t="shared" si="15"/>
        <v>1614352.7027272559</v>
      </c>
      <c r="L94" s="1">
        <f t="shared" si="15"/>
        <v>1692615.9762198597</v>
      </c>
      <c r="M94" s="1">
        <f t="shared" si="15"/>
        <v>1773319.6002345267</v>
      </c>
    </row>
    <row r="95" spans="1:14" x14ac:dyDescent="0.25">
      <c r="B95" s="1" t="s">
        <v>180</v>
      </c>
      <c r="D95" s="14">
        <v>0.35</v>
      </c>
      <c r="E95" s="14">
        <v>0.35</v>
      </c>
      <c r="F95" s="14">
        <v>0.35</v>
      </c>
      <c r="G95" s="14">
        <v>0.35</v>
      </c>
      <c r="H95" s="14">
        <v>0.35</v>
      </c>
      <c r="I95" s="14">
        <v>0.35</v>
      </c>
      <c r="J95" s="14">
        <v>0.35</v>
      </c>
      <c r="K95" s="14">
        <v>0.35</v>
      </c>
      <c r="L95" s="14">
        <v>0.35</v>
      </c>
      <c r="M95" s="14">
        <v>0.35</v>
      </c>
    </row>
    <row r="96" spans="1:14" x14ac:dyDescent="0.25">
      <c r="B96" s="1" t="s">
        <v>185</v>
      </c>
      <c r="D96" s="1">
        <f>+D94*D95</f>
        <v>370406.11999999994</v>
      </c>
      <c r="E96" s="1">
        <f t="shared" ref="E96:M96" si="16">+E94*E95</f>
        <v>370642.20666666672</v>
      </c>
      <c r="F96" s="1">
        <f t="shared" si="16"/>
        <v>390545.35100000002</v>
      </c>
      <c r="G96" s="1">
        <f t="shared" si="16"/>
        <v>411072.71020666679</v>
      </c>
      <c r="H96" s="1">
        <f t="shared" si="16"/>
        <v>442784.60329950001</v>
      </c>
      <c r="I96" s="1">
        <f t="shared" si="16"/>
        <v>500875.02153652214</v>
      </c>
      <c r="J96" s="1">
        <f t="shared" si="16"/>
        <v>538460.23988748295</v>
      </c>
      <c r="K96" s="1">
        <f t="shared" si="16"/>
        <v>565023.44595453946</v>
      </c>
      <c r="L96" s="1">
        <f t="shared" si="16"/>
        <v>592415.5916769508</v>
      </c>
      <c r="M96" s="1">
        <f t="shared" si="16"/>
        <v>620661.86008208431</v>
      </c>
    </row>
    <row r="97" spans="1:15" x14ac:dyDescent="0.25">
      <c r="B97" s="1" t="s">
        <v>186</v>
      </c>
      <c r="D97" s="1">
        <f>+D94+D93-D96</f>
        <v>851430.41333333333</v>
      </c>
      <c r="E97" s="1">
        <f t="shared" ref="E97:M97" si="17">+E94+E93-E96</f>
        <v>851868.8600000001</v>
      </c>
      <c r="F97" s="1">
        <f t="shared" si="17"/>
        <v>888831.84233333333</v>
      </c>
      <c r="G97" s="1">
        <f t="shared" si="17"/>
        <v>926954.08086000034</v>
      </c>
      <c r="H97" s="1">
        <f t="shared" si="17"/>
        <v>985847.59660383337</v>
      </c>
      <c r="I97" s="1">
        <f t="shared" si="17"/>
        <v>1093729.8019011603</v>
      </c>
      <c r="J97" s="1">
        <f t="shared" si="17"/>
        <v>1163530.9216958017</v>
      </c>
      <c r="K97" s="1">
        <f t="shared" si="17"/>
        <v>1212862.5901060496</v>
      </c>
      <c r="L97" s="1">
        <f t="shared" si="17"/>
        <v>1263733.717876242</v>
      </c>
      <c r="M97" s="1">
        <f t="shared" si="17"/>
        <v>1316191.0734857756</v>
      </c>
    </row>
    <row r="99" spans="1:15" x14ac:dyDescent="0.25">
      <c r="A99" s="14" t="s">
        <v>187</v>
      </c>
    </row>
    <row r="100" spans="1:15" x14ac:dyDescent="0.25">
      <c r="B100" s="1" t="s">
        <v>190</v>
      </c>
      <c r="C100" s="14">
        <f>-D53-D54-D56-D58-D60-D62</f>
        <v>-8137000</v>
      </c>
    </row>
    <row r="101" spans="1:15" x14ac:dyDescent="0.25">
      <c r="B101" s="1" t="s">
        <v>191</v>
      </c>
      <c r="M101" s="14">
        <f>+((M53+M54+M56+M58+M60+M62)+(M55+M57+M59+M61+M63))*(1+$O$63)</f>
        <v>6826750.0000000009</v>
      </c>
      <c r="O101" s="1" t="s">
        <v>189</v>
      </c>
    </row>
    <row r="102" spans="1:15" x14ac:dyDescent="0.25">
      <c r="B102" s="1" t="s">
        <v>192</v>
      </c>
      <c r="M102" s="14">
        <f>-(M101-((M53+M54+M56+M58+M60+M62)+(M55+M57+M59+M61+M63)))*$O$102</f>
        <v>-48762.500000000095</v>
      </c>
      <c r="O102" s="96">
        <v>0.15</v>
      </c>
    </row>
    <row r="104" spans="1:15" x14ac:dyDescent="0.25">
      <c r="A104" s="1" t="s">
        <v>193</v>
      </c>
    </row>
    <row r="105" spans="1:15" x14ac:dyDescent="0.25">
      <c r="B105" s="1" t="s">
        <v>194</v>
      </c>
      <c r="D105" s="14">
        <f>-(D48-C48)</f>
        <v>-223811.50684931508</v>
      </c>
      <c r="E105" s="14">
        <f>-(E48-D48)</f>
        <v>-5687.6712328767171</v>
      </c>
      <c r="F105" s="14">
        <f t="shared" ref="F105:M105" si="18">-(F48-E48)</f>
        <v>-5848.4383561643772</v>
      </c>
      <c r="G105" s="14">
        <f t="shared" si="18"/>
        <v>-6013.9265753424843</v>
      </c>
      <c r="H105" s="14">
        <f t="shared" si="18"/>
        <v>-6184.2764383560861</v>
      </c>
      <c r="I105" s="14">
        <f t="shared" si="18"/>
        <v>-30180.332854274136</v>
      </c>
      <c r="J105" s="14">
        <f t="shared" si="18"/>
        <v>-7254.7654397268197</v>
      </c>
      <c r="K105" s="14">
        <f t="shared" si="18"/>
        <v>-7462.0248284782283</v>
      </c>
      <c r="L105" s="14">
        <f t="shared" si="18"/>
        <v>-7675.3945332931471</v>
      </c>
      <c r="M105" s="14">
        <f t="shared" si="18"/>
        <v>-7895.0567164004315</v>
      </c>
    </row>
    <row r="106" spans="1:15" x14ac:dyDescent="0.25">
      <c r="B106" s="1" t="s">
        <v>197</v>
      </c>
      <c r="D106" s="14">
        <f>-((D49+D50)-(C49+C50))</f>
        <v>-34135.004931506854</v>
      </c>
      <c r="E106" s="14">
        <f t="shared" ref="E106:M106" si="19">-((E49+E50)-(D49+D50))</f>
        <v>-11850.669589041085</v>
      </c>
      <c r="F106" s="14">
        <f t="shared" si="19"/>
        <v>-983.35473972603359</v>
      </c>
      <c r="G106" s="14">
        <f t="shared" si="19"/>
        <v>-1008.9047430136998</v>
      </c>
      <c r="H106" s="14">
        <f t="shared" si="19"/>
        <v>4988.4346285479478</v>
      </c>
      <c r="I106" s="14">
        <f t="shared" si="19"/>
        <v>-3805.6368975209771</v>
      </c>
      <c r="J106" s="14">
        <f t="shared" si="19"/>
        <v>5916.7395293303853</v>
      </c>
      <c r="K106" s="14">
        <f t="shared" si="19"/>
        <v>-862.88972330013348</v>
      </c>
      <c r="L106" s="14">
        <f t="shared" si="19"/>
        <v>-885.12723628549429</v>
      </c>
      <c r="M106" s="14">
        <f t="shared" si="19"/>
        <v>-907.99398581482819</v>
      </c>
    </row>
    <row r="107" spans="1:15" x14ac:dyDescent="0.25">
      <c r="B107" s="1" t="s">
        <v>195</v>
      </c>
      <c r="D107" s="14">
        <f>+D96-C96</f>
        <v>370406.11999999994</v>
      </c>
      <c r="E107" s="14">
        <f t="shared" ref="E107:M107" si="20">+E96-D96</f>
        <v>236.08666666678619</v>
      </c>
      <c r="F107" s="14">
        <f t="shared" si="20"/>
        <v>19903.144333333301</v>
      </c>
      <c r="G107" s="14">
        <f t="shared" si="20"/>
        <v>20527.359206666762</v>
      </c>
      <c r="H107" s="14">
        <f t="shared" si="20"/>
        <v>31711.893092833227</v>
      </c>
      <c r="I107" s="14">
        <f t="shared" si="20"/>
        <v>58090.418237022124</v>
      </c>
      <c r="J107" s="14">
        <f t="shared" si="20"/>
        <v>37585.218350960815</v>
      </c>
      <c r="K107" s="14">
        <f t="shared" si="20"/>
        <v>26563.206067056512</v>
      </c>
      <c r="L107" s="14">
        <f t="shared" si="20"/>
        <v>27392.14572241134</v>
      </c>
      <c r="M107" s="14">
        <f t="shared" si="20"/>
        <v>28246.268405133509</v>
      </c>
    </row>
    <row r="108" spans="1:15" x14ac:dyDescent="0.25">
      <c r="B108" s="1" t="s">
        <v>196</v>
      </c>
      <c r="D108" s="14">
        <f>+D69-C69</f>
        <v>26465.753424657534</v>
      </c>
      <c r="E108" s="14">
        <f t="shared" ref="E108:M108" si="21">+E69-D69</f>
        <v>274.52054794520518</v>
      </c>
      <c r="F108" s="14">
        <f t="shared" si="21"/>
        <v>277.46301369863068</v>
      </c>
      <c r="G108" s="14">
        <f t="shared" si="21"/>
        <v>280.43884931506545</v>
      </c>
      <c r="H108" s="14">
        <f t="shared" si="21"/>
        <v>283.44846739726563</v>
      </c>
      <c r="I108" s="14">
        <f t="shared" si="21"/>
        <v>286.49228625205433</v>
      </c>
      <c r="J108" s="14">
        <f t="shared" si="21"/>
        <v>289.5707299790156</v>
      </c>
      <c r="K108" s="14">
        <f t="shared" si="21"/>
        <v>292.68422856053076</v>
      </c>
      <c r="L108" s="14">
        <f t="shared" si="21"/>
        <v>295.83321795349912</v>
      </c>
      <c r="M108" s="14">
        <f t="shared" si="21"/>
        <v>299.01814018253572</v>
      </c>
    </row>
    <row r="110" spans="1:15" x14ac:dyDescent="0.25">
      <c r="A110" s="1" t="s">
        <v>198</v>
      </c>
    </row>
    <row r="111" spans="1:15" x14ac:dyDescent="0.25">
      <c r="B111" s="1" t="s">
        <v>194</v>
      </c>
      <c r="M111" s="14">
        <f>+M48</f>
        <v>308013.3938242275</v>
      </c>
    </row>
    <row r="112" spans="1:15" x14ac:dyDescent="0.25">
      <c r="B112" s="1" t="s">
        <v>197</v>
      </c>
      <c r="M112" s="14">
        <f>+M49+M50</f>
        <v>43534.407688330772</v>
      </c>
    </row>
    <row r="113" spans="2:13" x14ac:dyDescent="0.25">
      <c r="B113" s="1" t="s">
        <v>195</v>
      </c>
      <c r="M113" s="14">
        <f>-M96</f>
        <v>-620661.86008208431</v>
      </c>
    </row>
    <row r="114" spans="2:13" x14ac:dyDescent="0.25">
      <c r="B114" s="1" t="s">
        <v>196</v>
      </c>
      <c r="M114" s="14">
        <f>-M70</f>
        <v>-580929.1041707769</v>
      </c>
    </row>
    <row r="116" spans="2:13" x14ac:dyDescent="0.25">
      <c r="B116" s="1" t="s">
        <v>199</v>
      </c>
      <c r="C116" s="14">
        <f>SUM(C97:C115)</f>
        <v>-8137000</v>
      </c>
      <c r="D116" s="14">
        <f t="shared" ref="D116:L116" si="22">SUM(D97:D115)</f>
        <v>990355.774977169</v>
      </c>
      <c r="E116" s="14">
        <f t="shared" si="22"/>
        <v>834841.12639269431</v>
      </c>
      <c r="F116" s="14">
        <f t="shared" si="22"/>
        <v>902180.65658447472</v>
      </c>
      <c r="G116" s="14">
        <f t="shared" si="22"/>
        <v>940739.04759762599</v>
      </c>
      <c r="H116" s="14">
        <f t="shared" si="22"/>
        <v>1016647.0963542557</v>
      </c>
      <c r="I116" s="14">
        <f t="shared" si="22"/>
        <v>1118120.7426726392</v>
      </c>
      <c r="J116" s="14">
        <f t="shared" si="22"/>
        <v>1200067.684866345</v>
      </c>
      <c r="K116" s="14">
        <f t="shared" si="22"/>
        <v>1231393.5658498881</v>
      </c>
      <c r="L116" s="14">
        <f t="shared" si="22"/>
        <v>1282861.1750470283</v>
      </c>
      <c r="M116" s="14">
        <f>SUM(M97:M115)</f>
        <v>7263877.6465885751</v>
      </c>
    </row>
    <row r="117" spans="2:13" x14ac:dyDescent="0.25">
      <c r="B117" s="1" t="s">
        <v>200</v>
      </c>
      <c r="C117" s="14">
        <f>PV(WACC!$I$19, 'Financial Statements'!C91, , -'Financial Statements'!C116)</f>
        <v>-8137000</v>
      </c>
      <c r="D117" s="14">
        <f>PV(WACC!$I$19, 'Financial Statements'!D91, , -'Financial Statements'!D116)</f>
        <v>890771.99499955785</v>
      </c>
      <c r="E117" s="14">
        <f>PV(WACC!$I$19, 'Financial Statements'!E91, , -'Financial Statements'!E116)</f>
        <v>675389.75442425138</v>
      </c>
      <c r="F117" s="14">
        <f>PV(WACC!$I$19, 'Financial Statements'!F91, , -'Financial Statements'!F116)</f>
        <v>656476.91759543365</v>
      </c>
      <c r="G117" s="14">
        <f>PV(WACC!$I$19, 'Financial Statements'!G91, , -'Financial Statements'!G116)</f>
        <v>615701.8186370047</v>
      </c>
      <c r="H117" s="14">
        <f>PV(WACC!$I$19, 'Financial Statements'!H91, , -'Financial Statements'!H116)</f>
        <v>598476.09301433933</v>
      </c>
      <c r="I117" s="14">
        <f>PV(WACC!$I$19, 'Financial Statements'!I91, , -'Financial Statements'!I116)</f>
        <v>592025.75820460205</v>
      </c>
      <c r="J117" s="14">
        <f>PV(WACC!$I$19, 'Financial Statements'!J91, , -'Financial Statements'!J116)</f>
        <v>571522.00451551878</v>
      </c>
      <c r="K117" s="14">
        <f>PV(WACC!$I$19, 'Financial Statements'!K91, , -'Financial Statements'!K116)</f>
        <v>527472.00051911501</v>
      </c>
      <c r="L117" s="14">
        <f>PV(WACC!$I$19, 'Financial Statements'!L91, , -'Financial Statements'!L116)</f>
        <v>494262.3266995342</v>
      </c>
      <c r="M117" s="14">
        <f>PV(WACC!$I$19, 'Financial Statements'!M91, , -'Financial Statements'!M116)</f>
        <v>2517222.9591913167</v>
      </c>
    </row>
    <row r="119" spans="2:13" x14ac:dyDescent="0.25">
      <c r="B119" s="1" t="s">
        <v>201</v>
      </c>
      <c r="C119" s="14">
        <f>SUM(C117:M117)</f>
        <v>2321.6278006741777</v>
      </c>
    </row>
    <row r="120" spans="2:13" x14ac:dyDescent="0.25">
      <c r="B120" s="1" t="s">
        <v>202</v>
      </c>
      <c r="C120" s="14">
        <f>IRR(C116:M116)</f>
        <v>0.11184547836665848</v>
      </c>
    </row>
  </sheetData>
  <pageMargins left="0.7" right="0.7" top="0.75" bottom="0.75" header="0.3" footer="0.3"/>
  <pageSetup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0"/>
  <sheetViews>
    <sheetView showGridLines="0" tabSelected="1" zoomScale="70" zoomScaleNormal="70" workbookViewId="0">
      <pane ySplit="2" topLeftCell="A3" activePane="bottomLeft" state="frozen"/>
      <selection pane="bottomLeft" activeCell="B34" sqref="B34:M34"/>
    </sheetView>
  </sheetViews>
  <sheetFormatPr defaultColWidth="8.85546875" defaultRowHeight="15" x14ac:dyDescent="0.25"/>
  <cols>
    <col min="1" max="1" width="2.85546875" style="14" customWidth="1"/>
    <col min="2" max="2" width="39.85546875" style="14" customWidth="1"/>
    <col min="3" max="12" width="13.28515625" style="14" bestFit="1" customWidth="1"/>
    <col min="13" max="13" width="4.42578125" style="16" bestFit="1" customWidth="1"/>
    <col min="14" max="14" width="15" style="14" bestFit="1" customWidth="1"/>
    <col min="15" max="16384" width="8.85546875" style="14"/>
  </cols>
  <sheetData>
    <row r="2" spans="2:14" s="38" customFormat="1" x14ac:dyDescent="0.25">
      <c r="C2" s="39">
        <v>2013</v>
      </c>
      <c r="D2" s="39">
        <v>2014</v>
      </c>
      <c r="E2" s="39">
        <v>2015</v>
      </c>
      <c r="F2" s="39">
        <v>2016</v>
      </c>
      <c r="G2" s="39">
        <v>2017</v>
      </c>
      <c r="H2" s="39">
        <v>2018</v>
      </c>
      <c r="I2" s="39">
        <v>2019</v>
      </c>
      <c r="J2" s="39">
        <v>2020</v>
      </c>
      <c r="K2" s="39">
        <v>2021</v>
      </c>
      <c r="L2" s="40">
        <v>2022</v>
      </c>
      <c r="M2" s="41" t="s">
        <v>86</v>
      </c>
      <c r="N2" s="42"/>
    </row>
    <row r="3" spans="2:14" x14ac:dyDescent="0.25">
      <c r="B3" s="20" t="s">
        <v>108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  <c r="N3" s="25"/>
    </row>
    <row r="4" spans="2:14" x14ac:dyDescent="0.25">
      <c r="B4" s="3" t="s">
        <v>58</v>
      </c>
      <c r="C4" s="7">
        <v>4000</v>
      </c>
      <c r="D4" s="7">
        <v>4000</v>
      </c>
      <c r="E4" s="7">
        <v>4000</v>
      </c>
      <c r="F4" s="7">
        <v>4000</v>
      </c>
      <c r="G4" s="7">
        <v>4000</v>
      </c>
      <c r="H4" s="7">
        <v>4500</v>
      </c>
      <c r="I4" s="7">
        <v>4500</v>
      </c>
      <c r="J4" s="7">
        <v>4500</v>
      </c>
      <c r="K4" s="7">
        <v>4500</v>
      </c>
      <c r="L4" s="7">
        <v>4500</v>
      </c>
    </row>
    <row r="5" spans="2:14" x14ac:dyDescent="0.25">
      <c r="B5" s="98" t="s">
        <v>59</v>
      </c>
      <c r="C5" s="98">
        <v>500</v>
      </c>
      <c r="D5" s="96">
        <f>C5*(1+$M$5)</f>
        <v>515</v>
      </c>
      <c r="E5" s="96">
        <f t="shared" ref="E5:L5" si="0">D5*(1+$M$5)</f>
        <v>530.45000000000005</v>
      </c>
      <c r="F5" s="96">
        <f t="shared" si="0"/>
        <v>546.36350000000004</v>
      </c>
      <c r="G5" s="96">
        <f t="shared" si="0"/>
        <v>562.75440500000002</v>
      </c>
      <c r="H5" s="96">
        <f t="shared" si="0"/>
        <v>579.63703715000008</v>
      </c>
      <c r="I5" s="96">
        <f t="shared" si="0"/>
        <v>597.02614826450008</v>
      </c>
      <c r="J5" s="96">
        <f t="shared" si="0"/>
        <v>614.93693271243512</v>
      </c>
      <c r="K5" s="96">
        <f t="shared" si="0"/>
        <v>633.38504069380815</v>
      </c>
      <c r="L5" s="96">
        <f t="shared" si="0"/>
        <v>652.38659191462239</v>
      </c>
      <c r="M5" s="99">
        <v>0.03</v>
      </c>
    </row>
    <row r="6" spans="2:14" x14ac:dyDescent="0.25">
      <c r="B6" s="3" t="s">
        <v>60</v>
      </c>
      <c r="C6" s="7">
        <v>50</v>
      </c>
      <c r="D6" s="7">
        <v>50</v>
      </c>
      <c r="E6" s="7">
        <v>50</v>
      </c>
      <c r="F6" s="7">
        <v>50</v>
      </c>
      <c r="G6" s="7">
        <v>50</v>
      </c>
      <c r="H6" s="7">
        <v>50</v>
      </c>
      <c r="I6" s="7">
        <v>50</v>
      </c>
      <c r="J6" s="7">
        <v>50</v>
      </c>
      <c r="K6" s="7">
        <v>50</v>
      </c>
      <c r="L6" s="7">
        <v>50</v>
      </c>
    </row>
    <row r="7" spans="2:14" x14ac:dyDescent="0.25">
      <c r="B7" s="3" t="s">
        <v>61</v>
      </c>
      <c r="C7" s="3">
        <f>5*20*4*12</f>
        <v>4800</v>
      </c>
      <c r="D7" s="3">
        <f t="shared" ref="D7:L7" si="1">5*20*4*12</f>
        <v>4800</v>
      </c>
      <c r="E7" s="3">
        <f t="shared" si="1"/>
        <v>4800</v>
      </c>
      <c r="F7" s="3">
        <f t="shared" si="1"/>
        <v>4800</v>
      </c>
      <c r="G7" s="3">
        <f t="shared" si="1"/>
        <v>4800</v>
      </c>
      <c r="H7" s="3">
        <f t="shared" si="1"/>
        <v>4800</v>
      </c>
      <c r="I7" s="3">
        <f t="shared" si="1"/>
        <v>4800</v>
      </c>
      <c r="J7" s="3">
        <f t="shared" si="1"/>
        <v>4800</v>
      </c>
      <c r="K7" s="3">
        <f t="shared" si="1"/>
        <v>4800</v>
      </c>
      <c r="L7" s="3">
        <f t="shared" si="1"/>
        <v>4800</v>
      </c>
    </row>
    <row r="8" spans="2:14" x14ac:dyDescent="0.25">
      <c r="B8" s="3" t="s">
        <v>62</v>
      </c>
      <c r="C8" s="5">
        <v>0.06</v>
      </c>
      <c r="D8" s="5">
        <v>0.06</v>
      </c>
      <c r="E8" s="5">
        <v>0.06</v>
      </c>
      <c r="F8" s="5">
        <v>0.06</v>
      </c>
      <c r="G8" s="5">
        <v>0.06</v>
      </c>
      <c r="H8" s="5">
        <v>0.06</v>
      </c>
      <c r="I8" s="5">
        <v>0.06</v>
      </c>
      <c r="J8" s="5">
        <v>0.06</v>
      </c>
      <c r="K8" s="5">
        <v>0.06</v>
      </c>
      <c r="L8" s="5">
        <v>0.06</v>
      </c>
    </row>
    <row r="9" spans="2:14" x14ac:dyDescent="0.25">
      <c r="B9" s="3" t="s">
        <v>63</v>
      </c>
      <c r="C9" s="7">
        <v>50</v>
      </c>
      <c r="D9" s="7">
        <v>50</v>
      </c>
      <c r="E9" s="7">
        <v>50</v>
      </c>
      <c r="F9" s="7">
        <v>50</v>
      </c>
      <c r="G9" s="7">
        <v>50</v>
      </c>
      <c r="H9" s="7">
        <v>50</v>
      </c>
      <c r="I9" s="7">
        <v>50</v>
      </c>
      <c r="J9" s="7">
        <v>50</v>
      </c>
      <c r="K9" s="7">
        <v>50</v>
      </c>
      <c r="L9" s="7">
        <v>50</v>
      </c>
    </row>
    <row r="10" spans="2:14" x14ac:dyDescent="0.25">
      <c r="B10" s="3" t="s">
        <v>64</v>
      </c>
      <c r="C10" s="3">
        <v>2880</v>
      </c>
      <c r="D10" s="3">
        <v>2880</v>
      </c>
      <c r="E10" s="3">
        <v>2880</v>
      </c>
      <c r="F10" s="3">
        <v>2880</v>
      </c>
      <c r="G10" s="3">
        <v>2880</v>
      </c>
      <c r="H10" s="3">
        <v>2880</v>
      </c>
      <c r="I10" s="3">
        <v>2880</v>
      </c>
      <c r="J10" s="3">
        <v>2880</v>
      </c>
      <c r="K10" s="3">
        <v>2880</v>
      </c>
      <c r="L10" s="3">
        <v>2880</v>
      </c>
    </row>
    <row r="11" spans="2:14" x14ac:dyDescent="0.25">
      <c r="B11" s="3" t="s">
        <v>65</v>
      </c>
      <c r="C11" s="5">
        <v>0.06</v>
      </c>
      <c r="D11" s="5">
        <v>0.06</v>
      </c>
      <c r="E11" s="5">
        <v>0.06</v>
      </c>
      <c r="F11" s="5">
        <v>0.06</v>
      </c>
      <c r="G11" s="5">
        <v>0.06</v>
      </c>
      <c r="H11" s="5">
        <v>0.06</v>
      </c>
      <c r="I11" s="5">
        <v>0.06</v>
      </c>
      <c r="J11" s="5">
        <v>0.06</v>
      </c>
      <c r="K11" s="5">
        <v>0.06</v>
      </c>
      <c r="L11" s="5">
        <v>0.06</v>
      </c>
    </row>
    <row r="12" spans="2:14" x14ac:dyDescent="0.25">
      <c r="B12" s="98" t="s">
        <v>69</v>
      </c>
      <c r="C12" s="98">
        <v>500000</v>
      </c>
      <c r="D12" s="96">
        <f>C12*(1+$M12)</f>
        <v>505000</v>
      </c>
      <c r="E12" s="96">
        <f t="shared" ref="E12:L12" si="2">D12*(1+$M12)</f>
        <v>510050</v>
      </c>
      <c r="F12" s="96">
        <f t="shared" si="2"/>
        <v>515150.5</v>
      </c>
      <c r="G12" s="96">
        <f t="shared" si="2"/>
        <v>520302.005</v>
      </c>
      <c r="H12" s="96">
        <f t="shared" si="2"/>
        <v>525505.02505000005</v>
      </c>
      <c r="I12" s="96">
        <f t="shared" si="2"/>
        <v>530760.07530050003</v>
      </c>
      <c r="J12" s="96">
        <f t="shared" si="2"/>
        <v>536067.67605350504</v>
      </c>
      <c r="K12" s="96">
        <f t="shared" si="2"/>
        <v>541428.35281404015</v>
      </c>
      <c r="L12" s="96">
        <f t="shared" si="2"/>
        <v>546842.63634218054</v>
      </c>
      <c r="M12" s="86">
        <v>0.01</v>
      </c>
    </row>
    <row r="13" spans="2:14" x14ac:dyDescent="0.25">
      <c r="B13" s="98" t="s">
        <v>70</v>
      </c>
      <c r="C13" s="98">
        <v>20000</v>
      </c>
      <c r="D13" s="96">
        <f t="shared" ref="D13:L15" si="3">C13*(1+$M13)</f>
        <v>20400</v>
      </c>
      <c r="E13" s="96">
        <f t="shared" si="3"/>
        <v>20808</v>
      </c>
      <c r="F13" s="96">
        <f t="shared" si="3"/>
        <v>21224.16</v>
      </c>
      <c r="G13" s="96">
        <f t="shared" si="3"/>
        <v>21648.643199999999</v>
      </c>
      <c r="H13" s="96">
        <f t="shared" si="3"/>
        <v>22081.616063999998</v>
      </c>
      <c r="I13" s="96">
        <f t="shared" si="3"/>
        <v>22523.24838528</v>
      </c>
      <c r="J13" s="96">
        <f t="shared" si="3"/>
        <v>22973.7133529856</v>
      </c>
      <c r="K13" s="96">
        <f t="shared" si="3"/>
        <v>23433.187620045312</v>
      </c>
      <c r="L13" s="96">
        <f t="shared" si="3"/>
        <v>23901.851372446217</v>
      </c>
      <c r="M13" s="86">
        <v>0.02</v>
      </c>
    </row>
    <row r="14" spans="2:14" x14ac:dyDescent="0.25">
      <c r="B14" s="98" t="s">
        <v>71</v>
      </c>
      <c r="C14" s="98">
        <v>80000</v>
      </c>
      <c r="D14" s="96">
        <f t="shared" si="3"/>
        <v>80800</v>
      </c>
      <c r="E14" s="96">
        <f t="shared" si="3"/>
        <v>81608</v>
      </c>
      <c r="F14" s="96">
        <f t="shared" si="3"/>
        <v>82424.08</v>
      </c>
      <c r="G14" s="96">
        <f t="shared" si="3"/>
        <v>83248.320800000001</v>
      </c>
      <c r="H14" s="96">
        <f t="shared" si="3"/>
        <v>84080.804008000006</v>
      </c>
      <c r="I14" s="96">
        <f t="shared" si="3"/>
        <v>84921.612048080002</v>
      </c>
      <c r="J14" s="96">
        <f t="shared" si="3"/>
        <v>85770.828168560809</v>
      </c>
      <c r="K14" s="96">
        <f t="shared" si="3"/>
        <v>86628.536450246422</v>
      </c>
      <c r="L14" s="96">
        <f t="shared" si="3"/>
        <v>87494.821814748881</v>
      </c>
      <c r="M14" s="86">
        <v>0.01</v>
      </c>
    </row>
    <row r="15" spans="2:14" x14ac:dyDescent="0.25">
      <c r="B15" s="3" t="s">
        <v>72</v>
      </c>
      <c r="C15" s="3">
        <v>100000</v>
      </c>
      <c r="D15" s="14">
        <f t="shared" si="3"/>
        <v>103000</v>
      </c>
      <c r="E15" s="14">
        <f t="shared" si="3"/>
        <v>106090</v>
      </c>
      <c r="F15" s="14">
        <f t="shared" si="3"/>
        <v>109272.7</v>
      </c>
      <c r="G15" s="14">
        <f t="shared" si="3"/>
        <v>112550.88099999999</v>
      </c>
      <c r="H15" s="14">
        <f t="shared" si="3"/>
        <v>115927.40742999999</v>
      </c>
      <c r="I15" s="14">
        <f t="shared" si="3"/>
        <v>119405.2296529</v>
      </c>
      <c r="J15" s="14">
        <f t="shared" si="3"/>
        <v>122987.386542487</v>
      </c>
      <c r="K15" s="14">
        <f t="shared" si="3"/>
        <v>126677.00813876161</v>
      </c>
      <c r="L15" s="14">
        <f t="shared" si="3"/>
        <v>130477.31838292447</v>
      </c>
      <c r="M15" s="16">
        <v>0.03</v>
      </c>
    </row>
    <row r="16" spans="2:14" x14ac:dyDescent="0.25">
      <c r="B16" s="3"/>
    </row>
    <row r="17" spans="2:14" x14ac:dyDescent="0.25">
      <c r="B17" s="20" t="s">
        <v>109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4"/>
      <c r="N17" s="25"/>
    </row>
    <row r="18" spans="2:14" x14ac:dyDescent="0.25">
      <c r="B18" s="3" t="s">
        <v>74</v>
      </c>
      <c r="C18" s="3">
        <v>10</v>
      </c>
      <c r="D18" s="3">
        <v>10</v>
      </c>
      <c r="E18" s="3">
        <v>10</v>
      </c>
      <c r="F18" s="3">
        <v>10</v>
      </c>
      <c r="G18" s="3">
        <v>10</v>
      </c>
      <c r="H18" s="3">
        <v>11</v>
      </c>
      <c r="I18" s="3">
        <v>11</v>
      </c>
      <c r="J18" s="3">
        <v>11</v>
      </c>
      <c r="K18" s="3">
        <v>11</v>
      </c>
      <c r="L18" s="3">
        <v>11</v>
      </c>
    </row>
    <row r="19" spans="2:14" x14ac:dyDescent="0.25">
      <c r="B19" s="98" t="s">
        <v>75</v>
      </c>
      <c r="C19" s="101">
        <v>60000</v>
      </c>
      <c r="D19" s="91">
        <f t="shared" ref="D19:L19" si="4">C19*(1+$M19)</f>
        <v>60600</v>
      </c>
      <c r="E19" s="91">
        <f t="shared" si="4"/>
        <v>61206</v>
      </c>
      <c r="F19" s="91">
        <f t="shared" si="4"/>
        <v>61818.06</v>
      </c>
      <c r="G19" s="91">
        <f t="shared" si="4"/>
        <v>62436.240599999997</v>
      </c>
      <c r="H19" s="91">
        <f t="shared" si="4"/>
        <v>63060.603005999998</v>
      </c>
      <c r="I19" s="91">
        <f t="shared" si="4"/>
        <v>63691.209036059998</v>
      </c>
      <c r="J19" s="91">
        <f t="shared" si="4"/>
        <v>64328.121126420599</v>
      </c>
      <c r="K19" s="91">
        <f t="shared" si="4"/>
        <v>64971.402337684805</v>
      </c>
      <c r="L19" s="91">
        <f t="shared" si="4"/>
        <v>65621.11636106165</v>
      </c>
      <c r="M19" s="86">
        <v>0.01</v>
      </c>
    </row>
    <row r="20" spans="2:14" x14ac:dyDescent="0.25">
      <c r="B20" s="3" t="s">
        <v>76</v>
      </c>
      <c r="C20" s="3">
        <v>30</v>
      </c>
      <c r="D20" s="3">
        <v>30</v>
      </c>
      <c r="E20" s="3">
        <v>30</v>
      </c>
      <c r="F20" s="3">
        <v>30</v>
      </c>
      <c r="G20" s="3">
        <v>30</v>
      </c>
      <c r="H20" s="3">
        <v>30</v>
      </c>
      <c r="I20" s="3">
        <v>30</v>
      </c>
      <c r="J20" s="3">
        <v>30</v>
      </c>
      <c r="K20" s="3">
        <v>30</v>
      </c>
      <c r="L20" s="3">
        <v>30</v>
      </c>
    </row>
    <row r="21" spans="2:14" x14ac:dyDescent="0.25">
      <c r="B21" s="3" t="s">
        <v>77</v>
      </c>
      <c r="C21" s="3">
        <f>25*4*12</f>
        <v>1200</v>
      </c>
      <c r="D21" s="3">
        <f t="shared" ref="D21:L21" si="5">25*4*12</f>
        <v>1200</v>
      </c>
      <c r="E21" s="3">
        <f t="shared" si="5"/>
        <v>1200</v>
      </c>
      <c r="F21" s="3">
        <f t="shared" si="5"/>
        <v>1200</v>
      </c>
      <c r="G21" s="3">
        <f t="shared" si="5"/>
        <v>1200</v>
      </c>
      <c r="H21" s="3">
        <f t="shared" si="5"/>
        <v>1200</v>
      </c>
      <c r="I21" s="3">
        <f t="shared" si="5"/>
        <v>1200</v>
      </c>
      <c r="J21" s="3">
        <f t="shared" si="5"/>
        <v>1200</v>
      </c>
      <c r="K21" s="3">
        <f t="shared" si="5"/>
        <v>1200</v>
      </c>
      <c r="L21" s="3">
        <f t="shared" si="5"/>
        <v>1200</v>
      </c>
    </row>
    <row r="22" spans="2:14" x14ac:dyDescent="0.25">
      <c r="B22" s="3" t="s">
        <v>78</v>
      </c>
      <c r="C22" s="7">
        <v>12</v>
      </c>
      <c r="D22" s="7">
        <v>12</v>
      </c>
      <c r="E22" s="7">
        <v>12</v>
      </c>
      <c r="F22" s="7">
        <v>12</v>
      </c>
      <c r="G22" s="7">
        <v>12</v>
      </c>
      <c r="H22" s="7">
        <v>15</v>
      </c>
      <c r="I22" s="7">
        <v>15</v>
      </c>
      <c r="J22" s="7">
        <v>15</v>
      </c>
      <c r="K22" s="7">
        <v>15</v>
      </c>
      <c r="L22" s="7">
        <v>15</v>
      </c>
    </row>
    <row r="23" spans="2:14" x14ac:dyDescent="0.25">
      <c r="B23" s="3" t="s">
        <v>50</v>
      </c>
      <c r="C23" s="3">
        <f>C19/0.9*0.1</f>
        <v>6666.6666666666679</v>
      </c>
      <c r="D23" s="3">
        <f t="shared" ref="D23:L23" si="6">D19/0.9*0.1</f>
        <v>6733.333333333333</v>
      </c>
      <c r="E23" s="3">
        <f t="shared" si="6"/>
        <v>6800.6666666666679</v>
      </c>
      <c r="F23" s="3">
        <f t="shared" si="6"/>
        <v>6868.6733333333323</v>
      </c>
      <c r="G23" s="3">
        <f t="shared" si="6"/>
        <v>6937.3600666666671</v>
      </c>
      <c r="H23" s="3">
        <f t="shared" si="6"/>
        <v>7006.733667333333</v>
      </c>
      <c r="I23" s="3">
        <f t="shared" si="6"/>
        <v>7076.8010040066656</v>
      </c>
      <c r="J23" s="3">
        <f t="shared" si="6"/>
        <v>7147.5690140467332</v>
      </c>
      <c r="K23" s="3">
        <f t="shared" si="6"/>
        <v>7219.0447041872003</v>
      </c>
      <c r="L23" s="3">
        <f t="shared" si="6"/>
        <v>7291.2351512290734</v>
      </c>
      <c r="M23" s="5">
        <v>0.1</v>
      </c>
      <c r="N23" s="14" t="s">
        <v>107</v>
      </c>
    </row>
    <row r="24" spans="2:14" x14ac:dyDescent="0.25">
      <c r="B24" s="3" t="s">
        <v>28</v>
      </c>
      <c r="C24" s="7">
        <v>4000</v>
      </c>
      <c r="D24" s="7">
        <f>C24*(1+$M24)</f>
        <v>4040</v>
      </c>
      <c r="E24" s="17">
        <f t="shared" ref="E24:L24" si="7">D24*(1+$M24)</f>
        <v>4080.4</v>
      </c>
      <c r="F24" s="17">
        <f t="shared" si="7"/>
        <v>4121.2039999999997</v>
      </c>
      <c r="G24" s="17">
        <f t="shared" si="7"/>
        <v>4162.4160400000001</v>
      </c>
      <c r="H24" s="17">
        <f t="shared" si="7"/>
        <v>4204.0402003999998</v>
      </c>
      <c r="I24" s="17">
        <f t="shared" si="7"/>
        <v>4246.0806024039994</v>
      </c>
      <c r="J24" s="17">
        <f t="shared" si="7"/>
        <v>4288.5414084280392</v>
      </c>
      <c r="K24" s="17">
        <f t="shared" si="7"/>
        <v>4331.4268225123196</v>
      </c>
      <c r="L24" s="17">
        <f t="shared" si="7"/>
        <v>4374.7410907374433</v>
      </c>
      <c r="M24" s="5">
        <v>0.01</v>
      </c>
    </row>
    <row r="25" spans="2:14" s="16" customFormat="1" x14ac:dyDescent="0.25">
      <c r="B25" s="7" t="s">
        <v>66</v>
      </c>
      <c r="C25" s="5">
        <v>0.5</v>
      </c>
      <c r="D25" s="16">
        <f t="shared" ref="D25:L27" si="8">C25*(1+$M25)</f>
        <v>0.5</v>
      </c>
      <c r="E25" s="16">
        <f t="shared" si="8"/>
        <v>0.5</v>
      </c>
      <c r="F25" s="16">
        <f t="shared" si="8"/>
        <v>0.5</v>
      </c>
      <c r="G25" s="16">
        <f t="shared" si="8"/>
        <v>0.5</v>
      </c>
      <c r="H25" s="16">
        <f t="shared" si="8"/>
        <v>0.5</v>
      </c>
      <c r="I25" s="16">
        <f t="shared" si="8"/>
        <v>0.5</v>
      </c>
      <c r="J25" s="16">
        <f t="shared" si="8"/>
        <v>0.5</v>
      </c>
      <c r="K25" s="16">
        <f t="shared" si="8"/>
        <v>0.5</v>
      </c>
      <c r="L25" s="16">
        <f t="shared" si="8"/>
        <v>0.5</v>
      </c>
      <c r="M25" s="10">
        <v>0</v>
      </c>
    </row>
    <row r="26" spans="2:14" s="16" customFormat="1" x14ac:dyDescent="0.25">
      <c r="B26" s="7" t="s">
        <v>67</v>
      </c>
      <c r="C26" s="5">
        <v>0.6</v>
      </c>
      <c r="D26" s="16">
        <f t="shared" si="8"/>
        <v>0.6</v>
      </c>
      <c r="E26" s="16">
        <f t="shared" si="8"/>
        <v>0.6</v>
      </c>
      <c r="F26" s="16">
        <f t="shared" si="8"/>
        <v>0.6</v>
      </c>
      <c r="G26" s="16">
        <f t="shared" si="8"/>
        <v>0.6</v>
      </c>
      <c r="H26" s="16">
        <f t="shared" si="8"/>
        <v>0.6</v>
      </c>
      <c r="I26" s="16">
        <f t="shared" si="8"/>
        <v>0.6</v>
      </c>
      <c r="J26" s="16">
        <f t="shared" si="8"/>
        <v>0.6</v>
      </c>
      <c r="K26" s="16">
        <f t="shared" si="8"/>
        <v>0.6</v>
      </c>
      <c r="L26" s="16">
        <f t="shared" si="8"/>
        <v>0.6</v>
      </c>
      <c r="M26" s="10">
        <v>0</v>
      </c>
    </row>
    <row r="27" spans="2:14" s="16" customFormat="1" x14ac:dyDescent="0.25">
      <c r="B27" s="7" t="s">
        <v>68</v>
      </c>
      <c r="C27" s="5">
        <v>0.75</v>
      </c>
      <c r="D27" s="16">
        <f t="shared" si="8"/>
        <v>0.75</v>
      </c>
      <c r="E27" s="16">
        <f t="shared" si="8"/>
        <v>0.75</v>
      </c>
      <c r="F27" s="16">
        <f t="shared" si="8"/>
        <v>0.75</v>
      </c>
      <c r="G27" s="16">
        <f t="shared" si="8"/>
        <v>0.75</v>
      </c>
      <c r="H27" s="16">
        <f t="shared" si="8"/>
        <v>0.75</v>
      </c>
      <c r="I27" s="16">
        <f t="shared" si="8"/>
        <v>0.75</v>
      </c>
      <c r="J27" s="16">
        <f t="shared" si="8"/>
        <v>0.75</v>
      </c>
      <c r="K27" s="16">
        <f t="shared" si="8"/>
        <v>0.75</v>
      </c>
      <c r="L27" s="16">
        <f t="shared" si="8"/>
        <v>0.75</v>
      </c>
      <c r="M27" s="10">
        <v>0</v>
      </c>
    </row>
    <row r="28" spans="2:14" x14ac:dyDescent="0.25">
      <c r="B28" s="3" t="s">
        <v>87</v>
      </c>
      <c r="C28" s="7">
        <f>[1]Depreciation!$C$7</f>
        <v>150000</v>
      </c>
      <c r="D28" s="7">
        <f>[1]Depreciation!$C$7</f>
        <v>150000</v>
      </c>
      <c r="E28" s="7">
        <f>[1]Depreciation!$C$7</f>
        <v>150000</v>
      </c>
      <c r="F28" s="7">
        <f>[1]Depreciation!$C$7</f>
        <v>150000</v>
      </c>
      <c r="G28" s="7">
        <f>[1]Depreciation!$C$7</f>
        <v>150000</v>
      </c>
      <c r="H28" s="7">
        <f>[1]Depreciation!$C$7</f>
        <v>150000</v>
      </c>
      <c r="I28" s="7">
        <f>[1]Depreciation!$C$7</f>
        <v>150000</v>
      </c>
      <c r="J28" s="7">
        <f>[1]Depreciation!$C$7</f>
        <v>150000</v>
      </c>
      <c r="K28" s="7">
        <f>[1]Depreciation!$C$7</f>
        <v>150000</v>
      </c>
      <c r="L28" s="3">
        <f>[1]Depreciation!$C$7</f>
        <v>150000</v>
      </c>
      <c r="M28" s="43" t="s">
        <v>97</v>
      </c>
    </row>
    <row r="29" spans="2:14" x14ac:dyDescent="0.25">
      <c r="B29" s="3" t="s">
        <v>88</v>
      </c>
      <c r="C29" s="7">
        <f>[1]Depreciation!$F$7</f>
        <v>8000</v>
      </c>
      <c r="D29" s="7">
        <f>[1]Depreciation!$F$7</f>
        <v>8000</v>
      </c>
      <c r="E29" s="7">
        <f>[1]Depreciation!$F$7</f>
        <v>8000</v>
      </c>
      <c r="F29" s="7">
        <f>[1]Depreciation!$F$7</f>
        <v>8000</v>
      </c>
      <c r="G29" s="7">
        <f>[1]Depreciation!$F$7</f>
        <v>8000</v>
      </c>
      <c r="H29" s="7">
        <f>[1]Depreciation!$F$7</f>
        <v>8000</v>
      </c>
      <c r="I29" s="7">
        <f>[1]Depreciation!$F$7</f>
        <v>8000</v>
      </c>
      <c r="J29" s="7">
        <f>[1]Depreciation!$F$7</f>
        <v>8000</v>
      </c>
      <c r="K29" s="7">
        <f>[1]Depreciation!$F$7</f>
        <v>8000</v>
      </c>
      <c r="L29" s="3">
        <f>[1]Depreciation!$F$7</f>
        <v>8000</v>
      </c>
      <c r="M29" s="43" t="s">
        <v>97</v>
      </c>
    </row>
    <row r="30" spans="2:14" x14ac:dyDescent="0.25">
      <c r="B30" s="3" t="s">
        <v>91</v>
      </c>
      <c r="C30" s="7">
        <f>[1]Depreciation!$F$15</f>
        <v>1700</v>
      </c>
      <c r="D30" s="7">
        <f>[1]Depreciation!$F$15</f>
        <v>1700</v>
      </c>
      <c r="E30" s="7">
        <f>[1]Depreciation!$F$15</f>
        <v>1700</v>
      </c>
      <c r="F30" s="7">
        <f>[1]Depreciation!$F$15</f>
        <v>1700</v>
      </c>
      <c r="G30" s="7">
        <f>[1]Depreciation!$F$15</f>
        <v>1700</v>
      </c>
      <c r="H30" s="7">
        <f>[1]Depreciation!$F$15</f>
        <v>1700</v>
      </c>
      <c r="I30" s="7">
        <f>[1]Depreciation!$F$15</f>
        <v>1700</v>
      </c>
      <c r="J30" s="7">
        <f>[1]Depreciation!$F$15</f>
        <v>1700</v>
      </c>
      <c r="K30" s="7">
        <f>[1]Depreciation!$F$15</f>
        <v>1700</v>
      </c>
      <c r="L30" s="3">
        <f>[1]Depreciation!$F$15</f>
        <v>1700</v>
      </c>
      <c r="M30" s="43" t="s">
        <v>97</v>
      </c>
    </row>
    <row r="31" spans="2:14" x14ac:dyDescent="0.25">
      <c r="B31" s="3" t="s">
        <v>89</v>
      </c>
      <c r="C31" s="7">
        <f>[1]Depreciation!$C$15</f>
        <v>3000</v>
      </c>
      <c r="D31" s="7">
        <f>[1]Depreciation!$C$15</f>
        <v>3000</v>
      </c>
      <c r="E31" s="7">
        <f>[1]Depreciation!$C$15</f>
        <v>3000</v>
      </c>
      <c r="F31" s="7">
        <f>[1]Depreciation!$C$15</f>
        <v>3000</v>
      </c>
      <c r="G31" s="7">
        <f>[1]Depreciation!$C$15</f>
        <v>3000</v>
      </c>
      <c r="H31" s="7">
        <f>[1]Depreciation!$C$15</f>
        <v>3000</v>
      </c>
      <c r="I31" s="7">
        <f>[1]Depreciation!$C$15</f>
        <v>3000</v>
      </c>
      <c r="J31" s="7">
        <f>[1]Depreciation!$C$15</f>
        <v>3000</v>
      </c>
      <c r="K31" s="7">
        <f>[1]Depreciation!$C$15</f>
        <v>3000</v>
      </c>
      <c r="L31" s="3">
        <f>[1]Depreciation!$C$15</f>
        <v>3000</v>
      </c>
      <c r="M31" s="43" t="s">
        <v>97</v>
      </c>
    </row>
    <row r="32" spans="2:14" x14ac:dyDescent="0.25">
      <c r="B32" s="3" t="s">
        <v>90</v>
      </c>
      <c r="C32" s="7">
        <f>[1]Depreciation!$I$7</f>
        <v>833.33333333333337</v>
      </c>
      <c r="D32" s="7">
        <f>[1]Depreciation!$I$7</f>
        <v>833.33333333333337</v>
      </c>
      <c r="E32" s="7">
        <f>[1]Depreciation!$I$7</f>
        <v>833.33333333333337</v>
      </c>
      <c r="F32" s="7">
        <f>[1]Depreciation!$I$7</f>
        <v>833.33333333333337</v>
      </c>
      <c r="G32" s="7">
        <f>[1]Depreciation!$I$7</f>
        <v>833.33333333333337</v>
      </c>
      <c r="H32" s="7">
        <f>[1]Depreciation!$I$7</f>
        <v>833.33333333333337</v>
      </c>
      <c r="I32" s="7">
        <f>[1]Depreciation!$I$7</f>
        <v>833.33333333333337</v>
      </c>
      <c r="J32" s="7">
        <f>[1]Depreciation!$I$7</f>
        <v>833.33333333333337</v>
      </c>
      <c r="K32" s="7">
        <f>[1]Depreciation!$I$7</f>
        <v>833.33333333333337</v>
      </c>
      <c r="L32" s="3">
        <f>[1]Depreciation!$I$7</f>
        <v>833.33333333333337</v>
      </c>
      <c r="M32" s="43" t="s">
        <v>97</v>
      </c>
    </row>
    <row r="33" spans="2:14" x14ac:dyDescent="0.25">
      <c r="B33" s="3" t="s">
        <v>7</v>
      </c>
      <c r="C33" s="7">
        <f>'[1]Commercial Loan'!H15</f>
        <v>145072.03651713216</v>
      </c>
      <c r="D33" s="17">
        <f>'[1]Commercial Loan'!H27</f>
        <v>141971.72011090608</v>
      </c>
      <c r="E33" s="17">
        <f>'[1]Commercial Loan'!H39</f>
        <v>138777.10461444996</v>
      </c>
      <c r="F33" s="17">
        <f>'[1]Commercial Loan'!H51</f>
        <v>135485.32183069849</v>
      </c>
      <c r="G33" s="17">
        <f>'[1]Commercial Loan'!H63</f>
        <v>132093.41632362775</v>
      </c>
      <c r="H33" s="17">
        <f>'[1]Commercial Loan'!H75</f>
        <v>128598.34276479926</v>
      </c>
      <c r="I33" s="17">
        <f>'[1]Commercial Loan'!H87</f>
        <v>124996.9631991959</v>
      </c>
      <c r="J33" s="17">
        <f>'[1]Commercial Loan'!H99</f>
        <v>121286.04422789597</v>
      </c>
      <c r="K33" s="17">
        <f>'[1]Commercial Loan'!H111</f>
        <v>117462.2541050555</v>
      </c>
      <c r="L33" s="14">
        <f>'[1]Commercial Loan'!H123</f>
        <v>113522.15974659241</v>
      </c>
    </row>
    <row r="34" spans="2:14" x14ac:dyDescent="0.25">
      <c r="B34" s="98" t="s">
        <v>79</v>
      </c>
      <c r="C34" s="101">
        <v>12000</v>
      </c>
      <c r="D34" s="101">
        <f>C34*(1+$M34)</f>
        <v>12120</v>
      </c>
      <c r="E34" s="91">
        <f t="shared" ref="E34:L34" si="9">D34*(1+$M34)</f>
        <v>12241.2</v>
      </c>
      <c r="F34" s="91">
        <f t="shared" si="9"/>
        <v>12363.612000000001</v>
      </c>
      <c r="G34" s="91">
        <f t="shared" si="9"/>
        <v>12487.248120000002</v>
      </c>
      <c r="H34" s="91">
        <f t="shared" si="9"/>
        <v>12612.120601200002</v>
      </c>
      <c r="I34" s="91">
        <f t="shared" si="9"/>
        <v>12738.241807212002</v>
      </c>
      <c r="J34" s="91">
        <f t="shared" si="9"/>
        <v>12865.624225284122</v>
      </c>
      <c r="K34" s="91">
        <f t="shared" si="9"/>
        <v>12994.280467536963</v>
      </c>
      <c r="L34" s="96">
        <f t="shared" si="9"/>
        <v>13124.223272212332</v>
      </c>
      <c r="M34" s="99">
        <v>0.01</v>
      </c>
    </row>
    <row r="35" spans="2:14" x14ac:dyDescent="0.25">
      <c r="B35" s="3" t="s">
        <v>36</v>
      </c>
      <c r="C35" s="44">
        <v>5.0000000000000001E-3</v>
      </c>
      <c r="D35" s="44">
        <v>5.0000000000000001E-3</v>
      </c>
      <c r="E35" s="44">
        <v>5.0000000000000001E-3</v>
      </c>
      <c r="F35" s="44">
        <v>5.0000000000000001E-3</v>
      </c>
      <c r="G35" s="44">
        <v>5.0000000000000001E-3</v>
      </c>
      <c r="H35" s="44">
        <v>5.0000000000000001E-3</v>
      </c>
      <c r="I35" s="44">
        <v>5.0000000000000001E-3</v>
      </c>
      <c r="J35" s="44">
        <v>5.0000000000000001E-3</v>
      </c>
      <c r="K35" s="44">
        <v>5.0000000000000001E-3</v>
      </c>
      <c r="L35" s="44">
        <v>5.0000000000000001E-3</v>
      </c>
    </row>
    <row r="36" spans="2:14" x14ac:dyDescent="0.25">
      <c r="B36" s="3" t="s">
        <v>9</v>
      </c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2:14" x14ac:dyDescent="0.25">
      <c r="B37" s="3" t="s">
        <v>37</v>
      </c>
      <c r="C37" s="5">
        <v>0.04</v>
      </c>
      <c r="D37" s="5">
        <v>0.06</v>
      </c>
      <c r="E37" s="5">
        <v>0.06</v>
      </c>
      <c r="F37" s="5">
        <v>0.06</v>
      </c>
      <c r="G37" s="5">
        <v>0.05</v>
      </c>
      <c r="H37" s="5">
        <v>0.05</v>
      </c>
      <c r="I37" s="5">
        <v>0.04</v>
      </c>
      <c r="J37" s="5">
        <v>0.04</v>
      </c>
      <c r="K37" s="5">
        <v>0.04</v>
      </c>
      <c r="L37" s="5">
        <v>0.04</v>
      </c>
    </row>
    <row r="38" spans="2:14" x14ac:dyDescent="0.25">
      <c r="B38" s="3" t="s">
        <v>31</v>
      </c>
      <c r="C38" s="5">
        <v>0.35</v>
      </c>
      <c r="D38" s="5">
        <v>0.35</v>
      </c>
      <c r="E38" s="5">
        <v>0.35</v>
      </c>
      <c r="F38" s="5">
        <v>0.35</v>
      </c>
      <c r="G38" s="5">
        <v>0.35</v>
      </c>
      <c r="H38" s="5">
        <v>0.35</v>
      </c>
      <c r="I38" s="5">
        <v>0.35</v>
      </c>
      <c r="J38" s="5">
        <v>0.35</v>
      </c>
      <c r="K38" s="5">
        <v>0.35</v>
      </c>
      <c r="L38" s="5">
        <v>0.35</v>
      </c>
    </row>
    <row r="40" spans="2:14" x14ac:dyDescent="0.25">
      <c r="B40" s="20" t="s">
        <v>110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4"/>
      <c r="N40" s="25"/>
    </row>
    <row r="41" spans="2:14" x14ac:dyDescent="0.25">
      <c r="B41" s="6" t="s">
        <v>80</v>
      </c>
      <c r="C41" s="7">
        <v>50000</v>
      </c>
      <c r="D41" s="7">
        <v>50000</v>
      </c>
      <c r="E41" s="7">
        <v>50000</v>
      </c>
      <c r="F41" s="7">
        <v>50000</v>
      </c>
      <c r="G41" s="7">
        <v>50000</v>
      </c>
      <c r="H41" s="7">
        <v>50000</v>
      </c>
      <c r="I41" s="7">
        <v>50000</v>
      </c>
      <c r="J41" s="7">
        <v>50000</v>
      </c>
      <c r="K41" s="7">
        <v>50000</v>
      </c>
      <c r="L41" s="7">
        <v>50000</v>
      </c>
    </row>
    <row r="42" spans="2:14" x14ac:dyDescent="0.25">
      <c r="B42" s="6" t="s">
        <v>82</v>
      </c>
      <c r="C42" s="3">
        <v>30</v>
      </c>
      <c r="D42" s="3">
        <v>30</v>
      </c>
      <c r="E42" s="3">
        <v>30</v>
      </c>
      <c r="F42" s="3">
        <v>30</v>
      </c>
      <c r="G42" s="3">
        <v>30</v>
      </c>
      <c r="H42" s="3">
        <v>30</v>
      </c>
      <c r="I42" s="3">
        <v>30</v>
      </c>
      <c r="J42" s="3">
        <v>30</v>
      </c>
      <c r="K42" s="3">
        <v>30</v>
      </c>
      <c r="L42" s="3">
        <v>30</v>
      </c>
    </row>
    <row r="43" spans="2:14" x14ac:dyDescent="0.25">
      <c r="B43" s="6" t="s">
        <v>83</v>
      </c>
      <c r="C43" s="3">
        <v>14</v>
      </c>
      <c r="D43" s="3">
        <v>14</v>
      </c>
      <c r="E43" s="3">
        <v>14</v>
      </c>
      <c r="F43" s="3">
        <v>14</v>
      </c>
      <c r="G43" s="3">
        <v>14</v>
      </c>
      <c r="H43" s="3">
        <v>14</v>
      </c>
      <c r="I43" s="3">
        <v>14</v>
      </c>
      <c r="J43" s="3">
        <v>14</v>
      </c>
      <c r="K43" s="3">
        <v>14</v>
      </c>
      <c r="L43" s="3">
        <v>14</v>
      </c>
    </row>
    <row r="44" spans="2:14" x14ac:dyDescent="0.25">
      <c r="B44" s="6" t="s">
        <v>42</v>
      </c>
      <c r="C44" s="10">
        <v>0.2</v>
      </c>
      <c r="D44" s="10">
        <v>0.2</v>
      </c>
      <c r="E44" s="10">
        <v>0.2</v>
      </c>
      <c r="F44" s="10">
        <v>0.2</v>
      </c>
      <c r="G44" s="10">
        <v>0.2</v>
      </c>
      <c r="H44" s="10">
        <v>0.2</v>
      </c>
      <c r="I44" s="10">
        <v>0.2</v>
      </c>
      <c r="J44" s="10">
        <v>0.2</v>
      </c>
      <c r="K44" s="10">
        <v>0.2</v>
      </c>
      <c r="L44" s="10">
        <v>0.2</v>
      </c>
    </row>
    <row r="45" spans="2:14" x14ac:dyDescent="0.25">
      <c r="B45" s="6"/>
      <c r="C45" s="10"/>
      <c r="D45" s="10"/>
      <c r="E45" s="10"/>
      <c r="F45" s="10"/>
      <c r="G45" s="10"/>
      <c r="H45" s="10"/>
      <c r="I45" s="10"/>
      <c r="J45" s="10"/>
      <c r="K45" s="10"/>
      <c r="L45" s="10"/>
    </row>
    <row r="46" spans="2:14" x14ac:dyDescent="0.25">
      <c r="B46" s="6" t="s">
        <v>3</v>
      </c>
      <c r="C46" s="7">
        <v>2000000</v>
      </c>
      <c r="D46" s="7">
        <v>2000000</v>
      </c>
      <c r="E46" s="7">
        <v>2000000</v>
      </c>
      <c r="F46" s="7">
        <v>2000000</v>
      </c>
      <c r="G46" s="7">
        <v>2000000</v>
      </c>
      <c r="H46" s="7">
        <v>2000000</v>
      </c>
      <c r="I46" s="7">
        <v>2000000</v>
      </c>
      <c r="J46" s="7">
        <v>2000000</v>
      </c>
      <c r="K46" s="7">
        <v>2000000</v>
      </c>
      <c r="L46" s="7">
        <v>2000000</v>
      </c>
    </row>
    <row r="47" spans="2:14" x14ac:dyDescent="0.25">
      <c r="B47" s="3"/>
    </row>
    <row r="48" spans="2:14" x14ac:dyDescent="0.25">
      <c r="B48" s="20" t="s">
        <v>111</v>
      </c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24"/>
      <c r="N48" s="25"/>
    </row>
    <row r="49" spans="2:14" x14ac:dyDescent="0.25">
      <c r="B49" s="6" t="s">
        <v>85</v>
      </c>
      <c r="C49" s="3">
        <v>30</v>
      </c>
      <c r="D49" s="3">
        <v>30</v>
      </c>
      <c r="E49" s="3">
        <v>30</v>
      </c>
      <c r="F49" s="3">
        <v>30</v>
      </c>
      <c r="G49" s="3">
        <v>30</v>
      </c>
      <c r="H49" s="3">
        <v>30</v>
      </c>
      <c r="I49" s="3">
        <v>30</v>
      </c>
      <c r="J49" s="3">
        <v>30</v>
      </c>
      <c r="K49" s="3">
        <v>30</v>
      </c>
      <c r="L49" s="3">
        <v>30</v>
      </c>
    </row>
    <row r="50" spans="2:14" x14ac:dyDescent="0.25">
      <c r="B50" s="6" t="s">
        <v>51</v>
      </c>
      <c r="C50" s="17">
        <f>'[1]Financial Statements'!D38</f>
        <v>319630.90721900383</v>
      </c>
      <c r="D50" s="17">
        <f>'[1]Financial Statements'!E38</f>
        <v>320952.10462784953</v>
      </c>
      <c r="E50" s="17">
        <f>'[1]Financial Statements'!F38</f>
        <v>341973.36438494257</v>
      </c>
      <c r="F50" s="17">
        <f>'[1]Financial Statements'!G38</f>
        <v>363652.8475659223</v>
      </c>
      <c r="G50" s="17">
        <f>'[1]Financial Statements'!H38</f>
        <v>396551.9075862302</v>
      </c>
      <c r="H50" s="17">
        <f>'[1]Financial Statements'!I38</f>
        <v>455865.60156884242</v>
      </c>
      <c r="I50" s="17">
        <f>'[1]Financial Statements'!J38</f>
        <v>494711.30276776437</v>
      </c>
      <c r="J50" s="17">
        <f>'[1]Financial Statements'!K38</f>
        <v>522573.33047477592</v>
      </c>
      <c r="K50" s="17">
        <f>'[1]Financial Statements'!L38</f>
        <v>551303.80274018145</v>
      </c>
      <c r="L50" s="17">
        <f>'[1]Financial Statements'!M38</f>
        <v>580929.1041707769</v>
      </c>
    </row>
    <row r="51" spans="2:14" x14ac:dyDescent="0.25">
      <c r="B51" s="6" t="s">
        <v>52</v>
      </c>
      <c r="C51" s="17">
        <f>'[1]Commercial Loan'!I15</f>
        <v>101930.5890997386</v>
      </c>
      <c r="D51" s="17">
        <f>'[1]Commercial Loan'!I27</f>
        <v>105030.90550596471</v>
      </c>
      <c r="E51" s="17">
        <f>'[1]Commercial Loan'!I39</f>
        <v>108225.52100242082</v>
      </c>
      <c r="F51" s="17">
        <f>'[1]Commercial Loan'!I51</f>
        <v>111517.30378617228</v>
      </c>
      <c r="G51" s="17">
        <f>'[1]Commercial Loan'!I63</f>
        <v>114909.20929324301</v>
      </c>
      <c r="H51" s="17">
        <f>'[1]Commercial Loan'!I75</f>
        <v>118404.28285207151</v>
      </c>
      <c r="I51" s="17">
        <f>'[1]Commercial Loan'!I87</f>
        <v>122005.66241767487</v>
      </c>
      <c r="J51" s="17">
        <f>'[1]Commercial Loan'!I99</f>
        <v>125716.58138897478</v>
      </c>
      <c r="K51" s="17">
        <f>'[1]Commercial Loan'!I111</f>
        <v>129540.37151181529</v>
      </c>
      <c r="L51" s="17">
        <f>'[1]Commercial Loan'!I123</f>
        <v>133480.46587027839</v>
      </c>
    </row>
    <row r="52" spans="2:14" x14ac:dyDescent="0.25">
      <c r="B52" s="6" t="s">
        <v>53</v>
      </c>
      <c r="C52" s="17">
        <f>'[1]Financial Statements'!D28</f>
        <v>145072.03651713216</v>
      </c>
      <c r="D52" s="17">
        <f>'[1]Financial Statements'!E28</f>
        <v>141971.72011090608</v>
      </c>
      <c r="E52" s="17">
        <f>'[1]Financial Statements'!F28</f>
        <v>138777.10461444996</v>
      </c>
      <c r="F52" s="17">
        <f>'[1]Financial Statements'!G28</f>
        <v>135485.32183069849</v>
      </c>
      <c r="G52" s="17">
        <f>'[1]Financial Statements'!H28</f>
        <v>132093.41632362775</v>
      </c>
      <c r="H52" s="17">
        <f>'[1]Financial Statements'!I28</f>
        <v>128598.34276479926</v>
      </c>
      <c r="I52" s="17">
        <f>'[1]Financial Statements'!J28</f>
        <v>124996.9631991959</v>
      </c>
      <c r="J52" s="17">
        <f>'[1]Financial Statements'!K28</f>
        <v>121286.04422789597</v>
      </c>
      <c r="K52" s="17">
        <f>'[1]Financial Statements'!L28</f>
        <v>117462.2541050555</v>
      </c>
      <c r="L52" s="17">
        <f>'[1]Financial Statements'!M28</f>
        <v>113522.15974659241</v>
      </c>
    </row>
    <row r="53" spans="2:14" x14ac:dyDescent="0.25">
      <c r="B53" s="6"/>
    </row>
    <row r="54" spans="2:14" x14ac:dyDescent="0.25">
      <c r="B54" s="22" t="s">
        <v>121</v>
      </c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4"/>
      <c r="N54" s="25"/>
    </row>
    <row r="55" spans="2:14" x14ac:dyDescent="0.25">
      <c r="B55" s="6" t="s">
        <v>122</v>
      </c>
      <c r="C55" s="16">
        <v>0.1</v>
      </c>
      <c r="D55" s="16">
        <v>0.1</v>
      </c>
      <c r="E55" s="16">
        <v>0.1</v>
      </c>
      <c r="F55" s="16">
        <v>0.1</v>
      </c>
      <c r="G55" s="16">
        <v>0.1</v>
      </c>
      <c r="H55" s="16">
        <v>0.1</v>
      </c>
      <c r="I55" s="16">
        <v>0.1</v>
      </c>
      <c r="J55" s="16">
        <v>0.1</v>
      </c>
      <c r="K55" s="16">
        <v>0.1</v>
      </c>
      <c r="L55" s="16">
        <v>0.1</v>
      </c>
    </row>
    <row r="56" spans="2:14" x14ac:dyDescent="0.25">
      <c r="B56" s="6" t="s">
        <v>123</v>
      </c>
      <c r="C56" s="16">
        <v>0.1</v>
      </c>
      <c r="D56" s="16">
        <v>0.1</v>
      </c>
      <c r="E56" s="16">
        <v>0.1</v>
      </c>
      <c r="F56" s="16">
        <v>0.1</v>
      </c>
      <c r="G56" s="16">
        <v>0.1</v>
      </c>
      <c r="H56" s="16">
        <v>0.1</v>
      </c>
      <c r="I56" s="16">
        <v>0.1</v>
      </c>
      <c r="J56" s="16">
        <v>0.1</v>
      </c>
      <c r="K56" s="16">
        <v>0.1</v>
      </c>
      <c r="L56" s="16">
        <v>0.1</v>
      </c>
    </row>
    <row r="57" spans="2:14" x14ac:dyDescent="0.25">
      <c r="B57" s="6" t="s">
        <v>124</v>
      </c>
      <c r="C57" s="16">
        <v>0.1</v>
      </c>
      <c r="D57" s="16">
        <v>0.1</v>
      </c>
      <c r="E57" s="16">
        <v>0.1</v>
      </c>
      <c r="F57" s="16">
        <v>0.1</v>
      </c>
      <c r="G57" s="16">
        <v>0.1</v>
      </c>
      <c r="H57" s="16">
        <v>0.1</v>
      </c>
      <c r="I57" s="16">
        <v>0.1</v>
      </c>
      <c r="J57" s="16">
        <v>0.1</v>
      </c>
      <c r="K57" s="16">
        <v>0.1</v>
      </c>
      <c r="L57" s="16">
        <v>0.1</v>
      </c>
    </row>
    <row r="58" spans="2:14" x14ac:dyDescent="0.25">
      <c r="B58" s="6" t="s">
        <v>125</v>
      </c>
      <c r="C58" s="16">
        <v>0.1</v>
      </c>
      <c r="D58" s="16">
        <v>0.1</v>
      </c>
      <c r="E58" s="16">
        <v>0.1</v>
      </c>
      <c r="F58" s="16">
        <v>0.1</v>
      </c>
      <c r="G58" s="16">
        <v>0.1</v>
      </c>
      <c r="H58" s="16">
        <v>0.1</v>
      </c>
      <c r="I58" s="16">
        <v>0.1</v>
      </c>
      <c r="J58" s="16">
        <v>0.1</v>
      </c>
      <c r="K58" s="16">
        <v>0.1</v>
      </c>
      <c r="L58" s="16">
        <v>0.1</v>
      </c>
    </row>
    <row r="59" spans="2:14" x14ac:dyDescent="0.25">
      <c r="B59" s="6" t="s">
        <v>126</v>
      </c>
      <c r="C59" s="16">
        <v>0.1</v>
      </c>
      <c r="D59" s="16">
        <v>0.1</v>
      </c>
      <c r="E59" s="16">
        <v>0.1</v>
      </c>
      <c r="F59" s="16">
        <v>0.1</v>
      </c>
      <c r="G59" s="16">
        <v>0.1</v>
      </c>
      <c r="H59" s="16">
        <v>0.1</v>
      </c>
      <c r="I59" s="16">
        <v>0.1</v>
      </c>
      <c r="J59" s="16">
        <v>0.1</v>
      </c>
      <c r="K59" s="16">
        <v>0.1</v>
      </c>
      <c r="L59" s="16">
        <v>0.1</v>
      </c>
    </row>
    <row r="60" spans="2:14" x14ac:dyDescent="0.25">
      <c r="B60" s="6" t="s">
        <v>127</v>
      </c>
      <c r="C60" s="16">
        <v>0.1</v>
      </c>
      <c r="D60" s="16">
        <v>0.1</v>
      </c>
      <c r="E60" s="16">
        <v>0.1</v>
      </c>
      <c r="F60" s="16">
        <v>0.1</v>
      </c>
      <c r="G60" s="16">
        <v>0.1</v>
      </c>
      <c r="H60" s="16">
        <v>0.1</v>
      </c>
      <c r="I60" s="16">
        <v>0.1</v>
      </c>
      <c r="J60" s="16">
        <v>0.1</v>
      </c>
      <c r="K60" s="16">
        <v>0.1</v>
      </c>
      <c r="L60" s="16">
        <v>0.1</v>
      </c>
    </row>
  </sheetData>
  <pageMargins left="0.7" right="0.7" top="0.75" bottom="0.75" header="0.3" footer="0.3"/>
  <pageSetup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showGridLines="0" workbookViewId="0">
      <selection activeCell="C19" sqref="C19"/>
    </sheetView>
  </sheetViews>
  <sheetFormatPr defaultColWidth="8.85546875" defaultRowHeight="15" x14ac:dyDescent="0.25"/>
  <cols>
    <col min="1" max="1" width="2.85546875" style="14" customWidth="1"/>
    <col min="2" max="2" width="18.7109375" style="14" bestFit="1" customWidth="1"/>
    <col min="3" max="3" width="13.28515625" style="14" bestFit="1" customWidth="1"/>
    <col min="4" max="4" width="2.85546875" style="14" customWidth="1"/>
    <col min="5" max="5" width="19.7109375" style="14" bestFit="1" customWidth="1"/>
    <col min="6" max="6" width="10.5703125" style="14" bestFit="1" customWidth="1"/>
    <col min="7" max="7" width="2.85546875" style="14" customWidth="1"/>
    <col min="8" max="8" width="18.7109375" style="14" bestFit="1" customWidth="1"/>
    <col min="9" max="9" width="10.5703125" style="14" bestFit="1" customWidth="1"/>
    <col min="10" max="16384" width="8.85546875" style="14"/>
  </cols>
  <sheetData>
    <row r="1" spans="2:9" x14ac:dyDescent="0.25">
      <c r="E1" s="3"/>
    </row>
    <row r="2" spans="2:9" x14ac:dyDescent="0.25">
      <c r="B2" s="80" t="s">
        <v>136</v>
      </c>
      <c r="C2" s="81"/>
      <c r="E2" s="80" t="s">
        <v>137</v>
      </c>
      <c r="F2" s="81"/>
      <c r="H2" s="80" t="s">
        <v>138</v>
      </c>
      <c r="I2" s="81"/>
    </row>
    <row r="3" spans="2:9" x14ac:dyDescent="0.25">
      <c r="B3" s="3" t="s">
        <v>92</v>
      </c>
      <c r="C3" s="7">
        <v>6000000</v>
      </c>
      <c r="E3" s="3" t="s">
        <v>92</v>
      </c>
      <c r="F3" s="7">
        <v>80000</v>
      </c>
      <c r="H3" s="3" t="s">
        <v>92</v>
      </c>
      <c r="I3" s="7">
        <v>10000</v>
      </c>
    </row>
    <row r="4" spans="2:9" x14ac:dyDescent="0.25">
      <c r="B4" s="3" t="s">
        <v>93</v>
      </c>
      <c r="C4" s="19">
        <v>0</v>
      </c>
      <c r="E4" s="3" t="s">
        <v>93</v>
      </c>
      <c r="F4" s="19">
        <v>0</v>
      </c>
      <c r="H4" s="3" t="s">
        <v>93</v>
      </c>
      <c r="I4" s="19">
        <v>0</v>
      </c>
    </row>
    <row r="5" spans="2:9" x14ac:dyDescent="0.25">
      <c r="B5" s="3" t="s">
        <v>94</v>
      </c>
      <c r="C5" s="17">
        <f>C3-C4</f>
        <v>6000000</v>
      </c>
      <c r="E5" s="3" t="s">
        <v>94</v>
      </c>
      <c r="F5" s="17">
        <f>F3-F4</f>
        <v>80000</v>
      </c>
      <c r="H5" s="3" t="s">
        <v>94</v>
      </c>
      <c r="I5" s="17">
        <f>I3-I4</f>
        <v>10000</v>
      </c>
    </row>
    <row r="6" spans="2:9" x14ac:dyDescent="0.25">
      <c r="B6" s="3" t="s">
        <v>95</v>
      </c>
      <c r="C6" s="4">
        <v>40</v>
      </c>
      <c r="E6" s="3" t="s">
        <v>95</v>
      </c>
      <c r="F6" s="4">
        <v>10</v>
      </c>
      <c r="H6" s="3" t="s">
        <v>95</v>
      </c>
      <c r="I6" s="4">
        <v>12</v>
      </c>
    </row>
    <row r="7" spans="2:9" x14ac:dyDescent="0.25">
      <c r="B7" s="3" t="s">
        <v>96</v>
      </c>
      <c r="C7" s="17">
        <f>C5/C6</f>
        <v>150000</v>
      </c>
      <c r="E7" s="3" t="s">
        <v>96</v>
      </c>
      <c r="F7" s="17">
        <f>F5/F6</f>
        <v>8000</v>
      </c>
      <c r="H7" s="3" t="s">
        <v>96</v>
      </c>
      <c r="I7" s="17">
        <f>I5/I6</f>
        <v>833.33333333333337</v>
      </c>
    </row>
    <row r="10" spans="2:9" x14ac:dyDescent="0.25">
      <c r="B10" s="80" t="s">
        <v>140</v>
      </c>
      <c r="C10" s="81"/>
      <c r="E10" s="80" t="s">
        <v>139</v>
      </c>
      <c r="F10" s="81"/>
    </row>
    <row r="11" spans="2:9" x14ac:dyDescent="0.25">
      <c r="B11" s="3" t="s">
        <v>92</v>
      </c>
      <c r="C11" s="3">
        <v>30000</v>
      </c>
      <c r="E11" s="3" t="s">
        <v>92</v>
      </c>
      <c r="F11" s="7">
        <v>17000</v>
      </c>
    </row>
    <row r="12" spans="2:9" x14ac:dyDescent="0.25">
      <c r="B12" s="3" t="s">
        <v>93</v>
      </c>
      <c r="C12" s="15">
        <v>0</v>
      </c>
      <c r="E12" s="3" t="s">
        <v>93</v>
      </c>
      <c r="F12" s="19">
        <v>0</v>
      </c>
    </row>
    <row r="13" spans="2:9" x14ac:dyDescent="0.25">
      <c r="B13" s="3" t="s">
        <v>94</v>
      </c>
      <c r="C13" s="14">
        <f>C11-C12</f>
        <v>30000</v>
      </c>
      <c r="E13" s="3" t="s">
        <v>94</v>
      </c>
      <c r="F13" s="17">
        <f>F11-F12</f>
        <v>17000</v>
      </c>
    </row>
    <row r="14" spans="2:9" x14ac:dyDescent="0.25">
      <c r="B14" s="3" t="s">
        <v>95</v>
      </c>
      <c r="C14" s="4">
        <v>10</v>
      </c>
      <c r="E14" s="3" t="s">
        <v>95</v>
      </c>
      <c r="F14" s="4">
        <v>10</v>
      </c>
    </row>
    <row r="15" spans="2:9" x14ac:dyDescent="0.25">
      <c r="B15" s="3" t="s">
        <v>96</v>
      </c>
      <c r="C15" s="14">
        <f>C13/C14</f>
        <v>3000</v>
      </c>
      <c r="E15" s="3" t="s">
        <v>96</v>
      </c>
      <c r="F15" s="17">
        <f>F13/F14</f>
        <v>1700</v>
      </c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2"/>
  <sheetViews>
    <sheetView showGridLines="0" workbookViewId="0">
      <pane ySplit="2" topLeftCell="A3" activePane="bottomLeft" state="frozen"/>
      <selection pane="bottomLeft" activeCell="K4" sqref="K4"/>
    </sheetView>
  </sheetViews>
  <sheetFormatPr defaultColWidth="8.85546875" defaultRowHeight="15" x14ac:dyDescent="0.25"/>
  <cols>
    <col min="1" max="1" width="2.85546875" style="29" customWidth="1"/>
    <col min="2" max="2" width="4.85546875" style="32" bestFit="1" customWidth="1"/>
    <col min="3" max="3" width="8.7109375" style="32" customWidth="1"/>
    <col min="4" max="4" width="8" style="29" bestFit="1" customWidth="1"/>
    <col min="5" max="5" width="9.5703125" style="29" customWidth="1"/>
    <col min="6" max="6" width="7.85546875" style="29" bestFit="1" customWidth="1"/>
    <col min="7" max="7" width="10.5703125" style="29" bestFit="1" customWidth="1"/>
    <col min="8" max="9" width="9.28515625" style="29" customWidth="1"/>
    <col min="10" max="10" width="13.42578125" style="29" bestFit="1" customWidth="1"/>
    <col min="11" max="11" width="13.28515625" style="29" bestFit="1" customWidth="1"/>
    <col min="12" max="16384" width="8.85546875" style="29"/>
  </cols>
  <sheetData>
    <row r="2" spans="1:11" ht="45" x14ac:dyDescent="0.25">
      <c r="B2" s="30" t="s">
        <v>143</v>
      </c>
      <c r="C2" s="30" t="s">
        <v>15</v>
      </c>
      <c r="D2" s="30" t="s">
        <v>6</v>
      </c>
      <c r="E2" s="30" t="s">
        <v>8</v>
      </c>
      <c r="F2" s="30" t="s">
        <v>7</v>
      </c>
      <c r="G2" s="30" t="s">
        <v>114</v>
      </c>
      <c r="H2" s="30" t="s">
        <v>112</v>
      </c>
      <c r="I2" s="30" t="s">
        <v>113</v>
      </c>
      <c r="J2" s="31" t="s">
        <v>115</v>
      </c>
      <c r="K2" s="31"/>
    </row>
    <row r="3" spans="1:11" x14ac:dyDescent="0.25">
      <c r="B3" s="27"/>
      <c r="C3" s="27">
        <v>0</v>
      </c>
      <c r="E3" s="2"/>
      <c r="F3" s="2"/>
      <c r="G3" s="3">
        <f>$K$5</f>
        <v>4882200</v>
      </c>
      <c r="J3" s="29" t="s">
        <v>10</v>
      </c>
      <c r="K3" s="2">
        <f>$K$14*12</f>
        <v>360</v>
      </c>
    </row>
    <row r="4" spans="1:11" x14ac:dyDescent="0.25">
      <c r="A4" s="3"/>
      <c r="B4" s="27"/>
      <c r="C4" s="27">
        <v>1</v>
      </c>
      <c r="D4" s="1">
        <f t="shared" ref="D4:D35" si="0">-$K$6</f>
        <v>20583.552134739231</v>
      </c>
      <c r="E4" s="1">
        <f>D4-F4</f>
        <v>8378.0521347392314</v>
      </c>
      <c r="F4" s="1">
        <f t="shared" ref="F4:F35" si="1">G3*$K$4</f>
        <v>12205.5</v>
      </c>
      <c r="G4" s="1">
        <f>G3-E4</f>
        <v>4873821.9478652608</v>
      </c>
      <c r="J4" s="29" t="s">
        <v>11</v>
      </c>
      <c r="K4" s="9">
        <f>$K$13/12</f>
        <v>2.5000000000000001E-3</v>
      </c>
    </row>
    <row r="5" spans="1:11" x14ac:dyDescent="0.25">
      <c r="A5" s="3"/>
      <c r="C5" s="32">
        <v>2</v>
      </c>
      <c r="D5" s="1">
        <f t="shared" si="0"/>
        <v>20583.552134739231</v>
      </c>
      <c r="E5" s="1">
        <f t="shared" ref="E5:E51" si="2">D5-F5</f>
        <v>8398.9972650760792</v>
      </c>
      <c r="F5" s="1">
        <f t="shared" si="1"/>
        <v>12184.554869663152</v>
      </c>
      <c r="G5" s="1">
        <f t="shared" ref="G5:G51" si="3">G4-E5</f>
        <v>4865422.9506001845</v>
      </c>
      <c r="J5" s="29" t="s">
        <v>12</v>
      </c>
      <c r="K5" s="11">
        <f>K11</f>
        <v>4882200</v>
      </c>
    </row>
    <row r="6" spans="1:11" x14ac:dyDescent="0.25">
      <c r="A6" s="3"/>
      <c r="C6" s="32">
        <v>3</v>
      </c>
      <c r="D6" s="1">
        <f t="shared" si="0"/>
        <v>20583.552134739231</v>
      </c>
      <c r="E6" s="1">
        <f t="shared" si="2"/>
        <v>8419.9947582387704</v>
      </c>
      <c r="F6" s="1">
        <f t="shared" si="1"/>
        <v>12163.557376500461</v>
      </c>
      <c r="G6" s="1">
        <f t="shared" si="3"/>
        <v>4857002.9558419455</v>
      </c>
      <c r="J6" s="29" t="s">
        <v>6</v>
      </c>
      <c r="K6" s="33">
        <f>PMT(K4,K3,K5,K7,K8)</f>
        <v>-20583.552134739231</v>
      </c>
    </row>
    <row r="7" spans="1:11" x14ac:dyDescent="0.25">
      <c r="A7" s="3"/>
      <c r="C7" s="32">
        <v>4</v>
      </c>
      <c r="D7" s="1">
        <f t="shared" si="0"/>
        <v>20583.552134739231</v>
      </c>
      <c r="E7" s="1">
        <f t="shared" si="2"/>
        <v>8441.044745134368</v>
      </c>
      <c r="F7" s="1">
        <f t="shared" si="1"/>
        <v>12142.507389604863</v>
      </c>
      <c r="G7" s="1">
        <f t="shared" si="3"/>
        <v>4848561.9110968113</v>
      </c>
      <c r="J7" s="29" t="s">
        <v>13</v>
      </c>
      <c r="K7" s="29">
        <v>0</v>
      </c>
    </row>
    <row r="8" spans="1:11" x14ac:dyDescent="0.25">
      <c r="A8" s="3"/>
      <c r="C8" s="32">
        <v>5</v>
      </c>
      <c r="D8" s="1">
        <f t="shared" si="0"/>
        <v>20583.552134739231</v>
      </c>
      <c r="E8" s="1">
        <f t="shared" si="2"/>
        <v>8462.1473569972022</v>
      </c>
      <c r="F8" s="1">
        <f t="shared" si="1"/>
        <v>12121.404777742029</v>
      </c>
      <c r="G8" s="1">
        <f t="shared" si="3"/>
        <v>4840099.7637398141</v>
      </c>
      <c r="J8" s="29" t="s">
        <v>14</v>
      </c>
      <c r="K8" s="29">
        <v>0</v>
      </c>
    </row>
    <row r="9" spans="1:11" x14ac:dyDescent="0.25">
      <c r="A9" s="3"/>
      <c r="C9" s="32">
        <v>6</v>
      </c>
      <c r="D9" s="1">
        <f t="shared" si="0"/>
        <v>20583.552134739231</v>
      </c>
      <c r="E9" s="1">
        <f t="shared" si="2"/>
        <v>8483.3027253896962</v>
      </c>
      <c r="F9" s="1">
        <f t="shared" si="1"/>
        <v>12100.249409349535</v>
      </c>
      <c r="G9" s="1">
        <f t="shared" si="3"/>
        <v>4831616.4610144245</v>
      </c>
    </row>
    <row r="10" spans="1:11" x14ac:dyDescent="0.25">
      <c r="A10" s="3"/>
      <c r="C10" s="32">
        <v>7</v>
      </c>
      <c r="D10" s="1">
        <f t="shared" si="0"/>
        <v>20583.552134739231</v>
      </c>
      <c r="E10" s="1">
        <f t="shared" si="2"/>
        <v>8504.51098220317</v>
      </c>
      <c r="F10" s="1">
        <f t="shared" si="1"/>
        <v>12079.041152536061</v>
      </c>
      <c r="G10" s="1">
        <f t="shared" si="3"/>
        <v>4823111.9500322212</v>
      </c>
      <c r="J10" s="29" t="s">
        <v>128</v>
      </c>
      <c r="K10" s="34">
        <f>'Financial Statements'!D53+'Financial Statements'!D54+'Financial Statements'!D56+'Financial Statements'!D58+'Financial Statements'!D60+'Financial Statements'!D62</f>
        <v>8137000</v>
      </c>
    </row>
    <row r="11" spans="1:11" x14ac:dyDescent="0.25">
      <c r="A11" s="3"/>
      <c r="C11" s="32">
        <v>8</v>
      </c>
      <c r="D11" s="1">
        <f t="shared" si="0"/>
        <v>20583.552134739231</v>
      </c>
      <c r="E11" s="1">
        <f t="shared" si="2"/>
        <v>8525.7722596586791</v>
      </c>
      <c r="F11" s="1">
        <f t="shared" si="1"/>
        <v>12057.779875080552</v>
      </c>
      <c r="G11" s="1">
        <f t="shared" si="3"/>
        <v>4814586.177772562</v>
      </c>
      <c r="J11" s="29" t="s">
        <v>129</v>
      </c>
      <c r="K11" s="18">
        <f>SUM(Assumptions!C55:C60)*K10</f>
        <v>4882200</v>
      </c>
    </row>
    <row r="12" spans="1:11" x14ac:dyDescent="0.25">
      <c r="A12" s="3"/>
      <c r="C12" s="32">
        <v>9</v>
      </c>
      <c r="D12" s="1">
        <f t="shared" si="0"/>
        <v>20583.552134739231</v>
      </c>
      <c r="E12" s="1">
        <f t="shared" si="2"/>
        <v>8547.0866903078258</v>
      </c>
      <c r="F12" s="1">
        <f t="shared" si="1"/>
        <v>12036.465444431406</v>
      </c>
      <c r="G12" s="1">
        <f t="shared" si="3"/>
        <v>4806039.0910822544</v>
      </c>
      <c r="J12" s="29" t="s">
        <v>130</v>
      </c>
      <c r="K12" s="34">
        <f>K10-K11</f>
        <v>3254800</v>
      </c>
    </row>
    <row r="13" spans="1:11" x14ac:dyDescent="0.25">
      <c r="A13" s="3"/>
      <c r="C13" s="32">
        <v>10</v>
      </c>
      <c r="D13" s="1">
        <f t="shared" si="0"/>
        <v>20583.552134739231</v>
      </c>
      <c r="E13" s="1">
        <f t="shared" si="2"/>
        <v>8568.454407033596</v>
      </c>
      <c r="F13" s="1">
        <f t="shared" si="1"/>
        <v>12015.097727705635</v>
      </c>
      <c r="G13" s="1">
        <f t="shared" si="3"/>
        <v>4797470.6366752209</v>
      </c>
      <c r="J13" s="29" t="s">
        <v>141</v>
      </c>
      <c r="K13" s="9">
        <v>0.03</v>
      </c>
    </row>
    <row r="14" spans="1:11" x14ac:dyDescent="0.25">
      <c r="A14" s="3"/>
      <c r="C14" s="32">
        <v>11</v>
      </c>
      <c r="D14" s="1">
        <f t="shared" si="0"/>
        <v>20583.552134739231</v>
      </c>
      <c r="E14" s="1">
        <f t="shared" si="2"/>
        <v>8589.8755430511792</v>
      </c>
      <c r="F14" s="1">
        <f t="shared" si="1"/>
        <v>11993.676591688052</v>
      </c>
      <c r="G14" s="1">
        <f t="shared" si="3"/>
        <v>4788880.7611321695</v>
      </c>
      <c r="J14" s="29" t="s">
        <v>142</v>
      </c>
      <c r="K14" s="29">
        <v>30</v>
      </c>
    </row>
    <row r="15" spans="1:11" x14ac:dyDescent="0.25">
      <c r="A15" s="3"/>
      <c r="B15" s="35">
        <f>C15/$K$15</f>
        <v>1</v>
      </c>
      <c r="C15" s="36">
        <v>12</v>
      </c>
      <c r="D15" s="21">
        <f t="shared" si="0"/>
        <v>20583.552134739231</v>
      </c>
      <c r="E15" s="21">
        <f t="shared" si="2"/>
        <v>8611.3502319088075</v>
      </c>
      <c r="F15" s="21">
        <f t="shared" si="1"/>
        <v>11972.201902830424</v>
      </c>
      <c r="G15" s="21">
        <f t="shared" si="3"/>
        <v>4780269.4109002603</v>
      </c>
      <c r="H15" s="37">
        <f>SUM(F4:F15)</f>
        <v>145072.03651713216</v>
      </c>
      <c r="I15" s="26">
        <f>SUM(E4:E15)</f>
        <v>101930.5890997386</v>
      </c>
      <c r="J15" s="28" t="s">
        <v>144</v>
      </c>
      <c r="K15" s="28">
        <v>12</v>
      </c>
    </row>
    <row r="16" spans="1:11" x14ac:dyDescent="0.25">
      <c r="A16" s="3"/>
      <c r="C16" s="32">
        <v>13</v>
      </c>
      <c r="D16" s="1">
        <f t="shared" si="0"/>
        <v>20583.552134739231</v>
      </c>
      <c r="E16" s="1">
        <f t="shared" si="2"/>
        <v>8632.8786074885811</v>
      </c>
      <c r="F16" s="1">
        <f t="shared" si="1"/>
        <v>11950.67352725065</v>
      </c>
      <c r="G16" s="1">
        <f t="shared" si="3"/>
        <v>4771636.5322927721</v>
      </c>
    </row>
    <row r="17" spans="1:9" x14ac:dyDescent="0.25">
      <c r="A17" s="3"/>
      <c r="C17" s="32">
        <v>14</v>
      </c>
      <c r="D17" s="1">
        <f t="shared" si="0"/>
        <v>20583.552134739231</v>
      </c>
      <c r="E17" s="1">
        <f t="shared" si="2"/>
        <v>8654.4608040073017</v>
      </c>
      <c r="F17" s="1">
        <f t="shared" si="1"/>
        <v>11929.09133073193</v>
      </c>
      <c r="G17" s="1">
        <f t="shared" si="3"/>
        <v>4762982.0714887651</v>
      </c>
    </row>
    <row r="18" spans="1:9" x14ac:dyDescent="0.25">
      <c r="A18" s="3"/>
      <c r="C18" s="32">
        <v>15</v>
      </c>
      <c r="D18" s="1">
        <f t="shared" si="0"/>
        <v>20583.552134739231</v>
      </c>
      <c r="E18" s="1">
        <f t="shared" si="2"/>
        <v>8676.096956017318</v>
      </c>
      <c r="F18" s="1">
        <f t="shared" si="1"/>
        <v>11907.455178721913</v>
      </c>
      <c r="G18" s="1">
        <f t="shared" si="3"/>
        <v>4754305.9745327476</v>
      </c>
    </row>
    <row r="19" spans="1:9" x14ac:dyDescent="0.25">
      <c r="A19" s="3"/>
      <c r="C19" s="32">
        <v>16</v>
      </c>
      <c r="D19" s="1">
        <f t="shared" si="0"/>
        <v>20583.552134739231</v>
      </c>
      <c r="E19" s="1">
        <f t="shared" si="2"/>
        <v>8697.7871984073627</v>
      </c>
      <c r="F19" s="1">
        <f t="shared" si="1"/>
        <v>11885.764936331869</v>
      </c>
      <c r="G19" s="1">
        <f t="shared" si="3"/>
        <v>4745608.1873343401</v>
      </c>
    </row>
    <row r="20" spans="1:9" x14ac:dyDescent="0.25">
      <c r="A20" s="3"/>
      <c r="C20" s="32">
        <v>17</v>
      </c>
      <c r="D20" s="1">
        <f t="shared" si="0"/>
        <v>20583.552134739231</v>
      </c>
      <c r="E20" s="1">
        <f t="shared" si="2"/>
        <v>8719.5316664033817</v>
      </c>
      <c r="F20" s="1">
        <f t="shared" si="1"/>
        <v>11864.02046833585</v>
      </c>
      <c r="G20" s="1">
        <f t="shared" si="3"/>
        <v>4736888.6556679364</v>
      </c>
    </row>
    <row r="21" spans="1:9" x14ac:dyDescent="0.25">
      <c r="A21" s="3"/>
      <c r="C21" s="32">
        <v>18</v>
      </c>
      <c r="D21" s="1">
        <f t="shared" si="0"/>
        <v>20583.552134739231</v>
      </c>
      <c r="E21" s="1">
        <f t="shared" si="2"/>
        <v>8741.3304955693893</v>
      </c>
      <c r="F21" s="1">
        <f t="shared" si="1"/>
        <v>11842.221639169842</v>
      </c>
      <c r="G21" s="1">
        <f t="shared" si="3"/>
        <v>4728147.3251723666</v>
      </c>
    </row>
    <row r="22" spans="1:9" x14ac:dyDescent="0.25">
      <c r="A22" s="3"/>
      <c r="C22" s="32">
        <v>19</v>
      </c>
      <c r="D22" s="1">
        <f t="shared" si="0"/>
        <v>20583.552134739231</v>
      </c>
      <c r="E22" s="1">
        <f t="shared" si="2"/>
        <v>8763.183821808314</v>
      </c>
      <c r="F22" s="1">
        <f t="shared" si="1"/>
        <v>11820.368312930917</v>
      </c>
      <c r="G22" s="1">
        <f t="shared" si="3"/>
        <v>4719384.141350558</v>
      </c>
    </row>
    <row r="23" spans="1:9" x14ac:dyDescent="0.25">
      <c r="A23" s="3"/>
      <c r="C23" s="32">
        <v>20</v>
      </c>
      <c r="D23" s="1">
        <f t="shared" si="0"/>
        <v>20583.552134739231</v>
      </c>
      <c r="E23" s="1">
        <f t="shared" si="2"/>
        <v>8785.0917813628366</v>
      </c>
      <c r="F23" s="1">
        <f t="shared" si="1"/>
        <v>11798.460353376395</v>
      </c>
      <c r="G23" s="1">
        <f t="shared" si="3"/>
        <v>4710599.0495691951</v>
      </c>
    </row>
    <row r="24" spans="1:9" x14ac:dyDescent="0.25">
      <c r="A24" s="3"/>
      <c r="C24" s="32">
        <v>21</v>
      </c>
      <c r="D24" s="1">
        <f t="shared" si="0"/>
        <v>20583.552134739231</v>
      </c>
      <c r="E24" s="1">
        <f t="shared" si="2"/>
        <v>8807.0545108162441</v>
      </c>
      <c r="F24" s="1">
        <f t="shared" si="1"/>
        <v>11776.497623922987</v>
      </c>
      <c r="G24" s="1">
        <f t="shared" si="3"/>
        <v>4701791.9950583791</v>
      </c>
    </row>
    <row r="25" spans="1:9" x14ac:dyDescent="0.25">
      <c r="A25" s="3"/>
      <c r="C25" s="32">
        <v>22</v>
      </c>
      <c r="D25" s="1">
        <f t="shared" si="0"/>
        <v>20583.552134739231</v>
      </c>
      <c r="E25" s="1">
        <f t="shared" si="2"/>
        <v>8829.072147093284</v>
      </c>
      <c r="F25" s="1">
        <f t="shared" si="1"/>
        <v>11754.479987645947</v>
      </c>
      <c r="G25" s="1">
        <f t="shared" si="3"/>
        <v>4692962.9229112854</v>
      </c>
    </row>
    <row r="26" spans="1:9" x14ac:dyDescent="0.25">
      <c r="A26" s="3"/>
      <c r="C26" s="32">
        <v>23</v>
      </c>
      <c r="D26" s="1">
        <f t="shared" si="0"/>
        <v>20583.552134739231</v>
      </c>
      <c r="E26" s="1">
        <f t="shared" si="2"/>
        <v>8851.1448274610175</v>
      </c>
      <c r="F26" s="1">
        <f t="shared" si="1"/>
        <v>11732.407307278214</v>
      </c>
      <c r="G26" s="1">
        <f t="shared" si="3"/>
        <v>4684111.7780838246</v>
      </c>
    </row>
    <row r="27" spans="1:9" x14ac:dyDescent="0.25">
      <c r="A27" s="3"/>
      <c r="B27" s="35">
        <f>C27/$K$15</f>
        <v>2</v>
      </c>
      <c r="C27" s="36">
        <v>24</v>
      </c>
      <c r="D27" s="21">
        <f t="shared" si="0"/>
        <v>20583.552134739231</v>
      </c>
      <c r="E27" s="21">
        <f t="shared" si="2"/>
        <v>8873.2726895296692</v>
      </c>
      <c r="F27" s="21">
        <f t="shared" si="1"/>
        <v>11710.279445209562</v>
      </c>
      <c r="G27" s="21">
        <f t="shared" si="3"/>
        <v>4675238.5053942949</v>
      </c>
      <c r="H27" s="37">
        <f>SUM(F16:F27)</f>
        <v>141971.72011090608</v>
      </c>
      <c r="I27" s="26">
        <f>SUM(E16:E27)</f>
        <v>105030.90550596471</v>
      </c>
    </row>
    <row r="28" spans="1:9" x14ac:dyDescent="0.25">
      <c r="A28" s="3"/>
      <c r="C28" s="32">
        <v>25</v>
      </c>
      <c r="D28" s="1">
        <f t="shared" si="0"/>
        <v>20583.552134739231</v>
      </c>
      <c r="E28" s="1">
        <f t="shared" si="2"/>
        <v>8895.4558712534945</v>
      </c>
      <c r="F28" s="1">
        <f t="shared" si="1"/>
        <v>11688.096263485737</v>
      </c>
      <c r="G28" s="1">
        <f t="shared" si="3"/>
        <v>4666343.0495230416</v>
      </c>
    </row>
    <row r="29" spans="1:9" x14ac:dyDescent="0.25">
      <c r="A29" s="3"/>
      <c r="C29" s="32">
        <v>26</v>
      </c>
      <c r="D29" s="1">
        <f t="shared" si="0"/>
        <v>20583.552134739231</v>
      </c>
      <c r="E29" s="1">
        <f t="shared" si="2"/>
        <v>8917.6945109316275</v>
      </c>
      <c r="F29" s="1">
        <f t="shared" si="1"/>
        <v>11665.857623807604</v>
      </c>
      <c r="G29" s="1">
        <f t="shared" si="3"/>
        <v>4657425.3550121095</v>
      </c>
    </row>
    <row r="30" spans="1:9" x14ac:dyDescent="0.25">
      <c r="A30" s="3"/>
      <c r="C30" s="32">
        <v>27</v>
      </c>
      <c r="D30" s="1">
        <f t="shared" si="0"/>
        <v>20583.552134739231</v>
      </c>
      <c r="E30" s="1">
        <f t="shared" si="2"/>
        <v>8939.9887472089576</v>
      </c>
      <c r="F30" s="1">
        <f t="shared" si="1"/>
        <v>11643.563387530274</v>
      </c>
      <c r="G30" s="1">
        <f t="shared" si="3"/>
        <v>4648485.3662649002</v>
      </c>
    </row>
    <row r="31" spans="1:9" x14ac:dyDescent="0.25">
      <c r="A31" s="3"/>
      <c r="C31" s="32">
        <v>28</v>
      </c>
      <c r="D31" s="1">
        <f t="shared" si="0"/>
        <v>20583.552134739231</v>
      </c>
      <c r="E31" s="1">
        <f t="shared" si="2"/>
        <v>8962.3387190769809</v>
      </c>
      <c r="F31" s="1">
        <f t="shared" si="1"/>
        <v>11621.213415662251</v>
      </c>
      <c r="G31" s="1">
        <f t="shared" si="3"/>
        <v>4639523.0275458228</v>
      </c>
    </row>
    <row r="32" spans="1:9" x14ac:dyDescent="0.25">
      <c r="A32" s="3"/>
      <c r="C32" s="32">
        <v>29</v>
      </c>
      <c r="D32" s="1">
        <f t="shared" si="0"/>
        <v>20583.552134739231</v>
      </c>
      <c r="E32" s="1">
        <f t="shared" si="2"/>
        <v>8984.7445658746747</v>
      </c>
      <c r="F32" s="1">
        <f t="shared" si="1"/>
        <v>11598.807568864557</v>
      </c>
      <c r="G32" s="1">
        <f t="shared" si="3"/>
        <v>4630538.2829799484</v>
      </c>
    </row>
    <row r="33" spans="1:9" x14ac:dyDescent="0.25">
      <c r="A33" s="3"/>
      <c r="C33" s="32">
        <v>30</v>
      </c>
      <c r="D33" s="1">
        <f t="shared" si="0"/>
        <v>20583.552134739231</v>
      </c>
      <c r="E33" s="1">
        <f t="shared" si="2"/>
        <v>9007.2064272893604</v>
      </c>
      <c r="F33" s="1">
        <f t="shared" si="1"/>
        <v>11576.345707449871</v>
      </c>
      <c r="G33" s="1">
        <f t="shared" si="3"/>
        <v>4621531.0765526593</v>
      </c>
    </row>
    <row r="34" spans="1:9" x14ac:dyDescent="0.25">
      <c r="A34" s="3"/>
      <c r="C34" s="32">
        <v>31</v>
      </c>
      <c r="D34" s="1">
        <f t="shared" si="0"/>
        <v>20583.552134739231</v>
      </c>
      <c r="E34" s="1">
        <f t="shared" si="2"/>
        <v>9029.7244433575834</v>
      </c>
      <c r="F34" s="1">
        <f t="shared" si="1"/>
        <v>11553.827691381648</v>
      </c>
      <c r="G34" s="1">
        <f t="shared" si="3"/>
        <v>4612501.3521093018</v>
      </c>
    </row>
    <row r="35" spans="1:9" x14ac:dyDescent="0.25">
      <c r="A35" s="3"/>
      <c r="C35" s="32">
        <v>32</v>
      </c>
      <c r="D35" s="1">
        <f t="shared" si="0"/>
        <v>20583.552134739231</v>
      </c>
      <c r="E35" s="1">
        <f t="shared" si="2"/>
        <v>9052.2987544659773</v>
      </c>
      <c r="F35" s="1">
        <f t="shared" si="1"/>
        <v>11531.253380273254</v>
      </c>
      <c r="G35" s="1">
        <f t="shared" si="3"/>
        <v>4603449.0533548361</v>
      </c>
    </row>
    <row r="36" spans="1:9" x14ac:dyDescent="0.25">
      <c r="A36" s="3"/>
      <c r="C36" s="32">
        <v>33</v>
      </c>
      <c r="D36" s="1">
        <f t="shared" ref="D36:D67" si="4">-$K$6</f>
        <v>20583.552134739231</v>
      </c>
      <c r="E36" s="1">
        <f t="shared" si="2"/>
        <v>9074.9295013521405</v>
      </c>
      <c r="F36" s="1">
        <f t="shared" ref="F36:F67" si="5">G35*$K$4</f>
        <v>11508.622633387091</v>
      </c>
      <c r="G36" s="1">
        <f t="shared" si="3"/>
        <v>4594374.1238534842</v>
      </c>
    </row>
    <row r="37" spans="1:9" x14ac:dyDescent="0.25">
      <c r="A37" s="3"/>
      <c r="C37" s="32">
        <v>34</v>
      </c>
      <c r="D37" s="1">
        <f t="shared" si="4"/>
        <v>20583.552134739231</v>
      </c>
      <c r="E37" s="1">
        <f t="shared" si="2"/>
        <v>9097.6168251055205</v>
      </c>
      <c r="F37" s="1">
        <f t="shared" si="5"/>
        <v>11485.935309633711</v>
      </c>
      <c r="G37" s="1">
        <f t="shared" si="3"/>
        <v>4585276.5070283785</v>
      </c>
    </row>
    <row r="38" spans="1:9" x14ac:dyDescent="0.25">
      <c r="A38" s="3"/>
      <c r="C38" s="32">
        <v>35</v>
      </c>
      <c r="D38" s="1">
        <f t="shared" si="4"/>
        <v>20583.552134739231</v>
      </c>
      <c r="E38" s="1">
        <f t="shared" si="2"/>
        <v>9120.360867168285</v>
      </c>
      <c r="F38" s="1">
        <f t="shared" si="5"/>
        <v>11463.191267570946</v>
      </c>
      <c r="G38" s="1">
        <f t="shared" si="3"/>
        <v>4576156.1461612107</v>
      </c>
    </row>
    <row r="39" spans="1:9" x14ac:dyDescent="0.25">
      <c r="A39" s="3"/>
      <c r="B39" s="35">
        <f>C39/$K$15</f>
        <v>3</v>
      </c>
      <c r="C39" s="36">
        <v>36</v>
      </c>
      <c r="D39" s="21">
        <f t="shared" si="4"/>
        <v>20583.552134739231</v>
      </c>
      <c r="E39" s="21">
        <f t="shared" si="2"/>
        <v>9143.1617693362041</v>
      </c>
      <c r="F39" s="21">
        <f t="shared" si="5"/>
        <v>11440.390365403027</v>
      </c>
      <c r="G39" s="21">
        <f t="shared" si="3"/>
        <v>4567012.9843918746</v>
      </c>
      <c r="H39" s="37">
        <f>SUM(F28:F39)</f>
        <v>138777.10461444996</v>
      </c>
      <c r="I39" s="26">
        <f>SUM(E28:E39)</f>
        <v>108225.52100242082</v>
      </c>
    </row>
    <row r="40" spans="1:9" x14ac:dyDescent="0.25">
      <c r="A40" s="3"/>
      <c r="C40" s="32">
        <v>37</v>
      </c>
      <c r="D40" s="1">
        <f t="shared" si="4"/>
        <v>20583.552134739231</v>
      </c>
      <c r="E40" s="1">
        <f t="shared" si="2"/>
        <v>9166.0196737595452</v>
      </c>
      <c r="F40" s="1">
        <f t="shared" si="5"/>
        <v>11417.532460979686</v>
      </c>
      <c r="G40" s="1">
        <f t="shared" si="3"/>
        <v>4557846.9647181155</v>
      </c>
    </row>
    <row r="41" spans="1:9" x14ac:dyDescent="0.25">
      <c r="A41" s="3"/>
      <c r="C41" s="32">
        <v>38</v>
      </c>
      <c r="D41" s="1">
        <f t="shared" si="4"/>
        <v>20583.552134739231</v>
      </c>
      <c r="E41" s="1">
        <f t="shared" si="2"/>
        <v>9188.9347229439427</v>
      </c>
      <c r="F41" s="1">
        <f t="shared" si="5"/>
        <v>11394.617411795289</v>
      </c>
      <c r="G41" s="1">
        <f t="shared" si="3"/>
        <v>4548658.0299951714</v>
      </c>
    </row>
    <row r="42" spans="1:9" x14ac:dyDescent="0.25">
      <c r="A42" s="3"/>
      <c r="C42" s="32">
        <v>39</v>
      </c>
      <c r="D42" s="1">
        <f t="shared" si="4"/>
        <v>20583.552134739231</v>
      </c>
      <c r="E42" s="1">
        <f t="shared" si="2"/>
        <v>9211.9070597513037</v>
      </c>
      <c r="F42" s="1">
        <f t="shared" si="5"/>
        <v>11371.645074987928</v>
      </c>
      <c r="G42" s="1">
        <f t="shared" si="3"/>
        <v>4539446.1229354199</v>
      </c>
    </row>
    <row r="43" spans="1:9" x14ac:dyDescent="0.25">
      <c r="A43" s="3"/>
      <c r="C43" s="32">
        <v>40</v>
      </c>
      <c r="D43" s="1">
        <f t="shared" si="4"/>
        <v>20583.552134739231</v>
      </c>
      <c r="E43" s="1">
        <f t="shared" si="2"/>
        <v>9234.9368274006811</v>
      </c>
      <c r="F43" s="1">
        <f t="shared" si="5"/>
        <v>11348.61530733855</v>
      </c>
      <c r="G43" s="1">
        <f t="shared" si="3"/>
        <v>4530211.1861080192</v>
      </c>
    </row>
    <row r="44" spans="1:9" x14ac:dyDescent="0.25">
      <c r="A44" s="3"/>
      <c r="C44" s="32">
        <v>41</v>
      </c>
      <c r="D44" s="1">
        <f t="shared" si="4"/>
        <v>20583.552134739231</v>
      </c>
      <c r="E44" s="1">
        <f t="shared" si="2"/>
        <v>9258.0241694691831</v>
      </c>
      <c r="F44" s="1">
        <f t="shared" si="5"/>
        <v>11325.527965270048</v>
      </c>
      <c r="G44" s="1">
        <f t="shared" si="3"/>
        <v>4520953.16193855</v>
      </c>
    </row>
    <row r="45" spans="1:9" x14ac:dyDescent="0.25">
      <c r="A45" s="3"/>
      <c r="C45" s="32">
        <v>42</v>
      </c>
      <c r="D45" s="1">
        <f t="shared" si="4"/>
        <v>20583.552134739231</v>
      </c>
      <c r="E45" s="1">
        <f t="shared" si="2"/>
        <v>9281.1692298928556</v>
      </c>
      <c r="F45" s="1">
        <f t="shared" si="5"/>
        <v>11302.382904846376</v>
      </c>
      <c r="G45" s="1">
        <f t="shared" si="3"/>
        <v>4511671.9927086569</v>
      </c>
    </row>
    <row r="46" spans="1:9" x14ac:dyDescent="0.25">
      <c r="A46" s="3"/>
      <c r="C46" s="32">
        <v>43</v>
      </c>
      <c r="D46" s="1">
        <f t="shared" si="4"/>
        <v>20583.552134739231</v>
      </c>
      <c r="E46" s="1">
        <f t="shared" si="2"/>
        <v>9304.3721529675895</v>
      </c>
      <c r="F46" s="1">
        <f t="shared" si="5"/>
        <v>11279.179981771642</v>
      </c>
      <c r="G46" s="1">
        <f t="shared" si="3"/>
        <v>4502367.6205556896</v>
      </c>
    </row>
    <row r="47" spans="1:9" x14ac:dyDescent="0.25">
      <c r="A47" s="3"/>
      <c r="C47" s="32">
        <v>44</v>
      </c>
      <c r="D47" s="1">
        <f t="shared" si="4"/>
        <v>20583.552134739231</v>
      </c>
      <c r="E47" s="1">
        <f t="shared" si="2"/>
        <v>9327.6330833500069</v>
      </c>
      <c r="F47" s="1">
        <f t="shared" si="5"/>
        <v>11255.919051389224</v>
      </c>
      <c r="G47" s="1">
        <f t="shared" si="3"/>
        <v>4493039.9874723395</v>
      </c>
    </row>
    <row r="48" spans="1:9" x14ac:dyDescent="0.25">
      <c r="A48" s="3"/>
      <c r="C48" s="32">
        <v>45</v>
      </c>
      <c r="D48" s="1">
        <f t="shared" si="4"/>
        <v>20583.552134739231</v>
      </c>
      <c r="E48" s="1">
        <f t="shared" si="2"/>
        <v>9350.9521660583832</v>
      </c>
      <c r="F48" s="1">
        <f t="shared" si="5"/>
        <v>11232.599968680848</v>
      </c>
      <c r="G48" s="1">
        <f t="shared" si="3"/>
        <v>4483689.0353062814</v>
      </c>
    </row>
    <row r="49" spans="1:9" x14ac:dyDescent="0.25">
      <c r="A49" s="3"/>
      <c r="C49" s="32">
        <v>46</v>
      </c>
      <c r="D49" s="1">
        <f t="shared" si="4"/>
        <v>20583.552134739231</v>
      </c>
      <c r="E49" s="1">
        <f t="shared" si="2"/>
        <v>9374.3295464735274</v>
      </c>
      <c r="F49" s="1">
        <f t="shared" si="5"/>
        <v>11209.222588265704</v>
      </c>
      <c r="G49" s="1">
        <f t="shared" si="3"/>
        <v>4474314.7057598075</v>
      </c>
    </row>
    <row r="50" spans="1:9" x14ac:dyDescent="0.25">
      <c r="A50" s="3"/>
      <c r="C50" s="32">
        <v>47</v>
      </c>
      <c r="D50" s="1">
        <f t="shared" si="4"/>
        <v>20583.552134739231</v>
      </c>
      <c r="E50" s="1">
        <f t="shared" si="2"/>
        <v>9397.7653703397118</v>
      </c>
      <c r="F50" s="1">
        <f t="shared" si="5"/>
        <v>11185.78676439952</v>
      </c>
      <c r="G50" s="1">
        <f t="shared" si="3"/>
        <v>4464916.9403894674</v>
      </c>
    </row>
    <row r="51" spans="1:9" x14ac:dyDescent="0.25">
      <c r="A51" s="3"/>
      <c r="B51" s="35">
        <f>C51/$K$15</f>
        <v>4</v>
      </c>
      <c r="C51" s="36">
        <v>48</v>
      </c>
      <c r="D51" s="21">
        <f t="shared" si="4"/>
        <v>20583.552134739231</v>
      </c>
      <c r="E51" s="21">
        <f t="shared" si="2"/>
        <v>9421.259783765563</v>
      </c>
      <c r="F51" s="21">
        <f t="shared" si="5"/>
        <v>11162.292350973668</v>
      </c>
      <c r="G51" s="21">
        <f t="shared" si="3"/>
        <v>4455495.6806057021</v>
      </c>
      <c r="H51" s="37">
        <f>SUM(F40:F51)</f>
        <v>135485.32183069849</v>
      </c>
      <c r="I51" s="26">
        <f>SUM(E40:E51)</f>
        <v>111517.30378617228</v>
      </c>
    </row>
    <row r="52" spans="1:9" x14ac:dyDescent="0.25">
      <c r="A52" s="3"/>
      <c r="C52" s="32">
        <v>49</v>
      </c>
      <c r="D52" s="1">
        <f t="shared" si="4"/>
        <v>20583.552134739231</v>
      </c>
      <c r="E52" s="1">
        <f t="shared" ref="E52:E99" si="6">D52-F52</f>
        <v>9444.8129332249755</v>
      </c>
      <c r="F52" s="1">
        <f t="shared" si="5"/>
        <v>11138.739201514256</v>
      </c>
      <c r="G52" s="1">
        <f t="shared" ref="G52:G99" si="7">G51-E52</f>
        <v>4446050.8676724769</v>
      </c>
    </row>
    <row r="53" spans="1:9" x14ac:dyDescent="0.25">
      <c r="A53" s="3"/>
      <c r="C53" s="32">
        <v>50</v>
      </c>
      <c r="D53" s="1">
        <f t="shared" si="4"/>
        <v>20583.552134739231</v>
      </c>
      <c r="E53" s="1">
        <f t="shared" si="6"/>
        <v>9468.4249655580388</v>
      </c>
      <c r="F53" s="1">
        <f t="shared" si="5"/>
        <v>11115.127169181193</v>
      </c>
      <c r="G53" s="12">
        <f t="shared" si="7"/>
        <v>4436582.4427069193</v>
      </c>
    </row>
    <row r="54" spans="1:9" x14ac:dyDescent="0.25">
      <c r="A54" s="3"/>
      <c r="C54" s="32">
        <v>51</v>
      </c>
      <c r="D54" s="1">
        <f t="shared" si="4"/>
        <v>20583.552134739231</v>
      </c>
      <c r="E54" s="1">
        <f t="shared" si="6"/>
        <v>9492.0960279719329</v>
      </c>
      <c r="F54" s="1">
        <f t="shared" si="5"/>
        <v>11091.456106767298</v>
      </c>
      <c r="G54" s="12">
        <f t="shared" si="7"/>
        <v>4427090.3466789471</v>
      </c>
    </row>
    <row r="55" spans="1:9" x14ac:dyDescent="0.25">
      <c r="A55" s="3"/>
      <c r="C55" s="32">
        <v>52</v>
      </c>
      <c r="D55" s="1">
        <f t="shared" si="4"/>
        <v>20583.552134739231</v>
      </c>
      <c r="E55" s="1">
        <f t="shared" si="6"/>
        <v>9515.8262680418629</v>
      </c>
      <c r="F55" s="1">
        <f t="shared" si="5"/>
        <v>11067.725866697368</v>
      </c>
      <c r="G55" s="12">
        <f t="shared" si="7"/>
        <v>4417574.5204109056</v>
      </c>
    </row>
    <row r="56" spans="1:9" x14ac:dyDescent="0.25">
      <c r="A56" s="3"/>
      <c r="C56" s="32">
        <v>53</v>
      </c>
      <c r="D56" s="1">
        <f t="shared" si="4"/>
        <v>20583.552134739231</v>
      </c>
      <c r="E56" s="1">
        <f t="shared" si="6"/>
        <v>9539.6158337119668</v>
      </c>
      <c r="F56" s="1">
        <f t="shared" si="5"/>
        <v>11043.936301027265</v>
      </c>
      <c r="G56" s="12">
        <f t="shared" si="7"/>
        <v>4408034.9045771938</v>
      </c>
    </row>
    <row r="57" spans="1:9" x14ac:dyDescent="0.25">
      <c r="A57" s="3"/>
      <c r="C57" s="32">
        <v>54</v>
      </c>
      <c r="D57" s="1">
        <f t="shared" si="4"/>
        <v>20583.552134739231</v>
      </c>
      <c r="E57" s="1">
        <f t="shared" si="6"/>
        <v>9563.4648732962469</v>
      </c>
      <c r="F57" s="1">
        <f t="shared" si="5"/>
        <v>11020.087261442985</v>
      </c>
      <c r="G57" s="12">
        <f t="shared" si="7"/>
        <v>4398471.4397038976</v>
      </c>
    </row>
    <row r="58" spans="1:9" x14ac:dyDescent="0.25">
      <c r="A58" s="3"/>
      <c r="C58" s="32">
        <v>55</v>
      </c>
      <c r="D58" s="1">
        <f t="shared" si="4"/>
        <v>20583.552134739231</v>
      </c>
      <c r="E58" s="1">
        <f t="shared" si="6"/>
        <v>9587.3735354794881</v>
      </c>
      <c r="F58" s="1">
        <f t="shared" si="5"/>
        <v>10996.178599259743</v>
      </c>
      <c r="G58" s="12">
        <f t="shared" si="7"/>
        <v>4388884.0661684182</v>
      </c>
    </row>
    <row r="59" spans="1:9" x14ac:dyDescent="0.25">
      <c r="A59" s="3"/>
      <c r="C59" s="32">
        <v>56</v>
      </c>
      <c r="D59" s="1">
        <f t="shared" si="4"/>
        <v>20583.552134739231</v>
      </c>
      <c r="E59" s="1">
        <f t="shared" si="6"/>
        <v>9611.3419693181859</v>
      </c>
      <c r="F59" s="1">
        <f t="shared" si="5"/>
        <v>10972.210165421046</v>
      </c>
      <c r="G59" s="12">
        <f t="shared" si="7"/>
        <v>4379272.7241991004</v>
      </c>
    </row>
    <row r="60" spans="1:9" x14ac:dyDescent="0.25">
      <c r="C60" s="32">
        <v>57</v>
      </c>
      <c r="D60" s="1">
        <f t="shared" si="4"/>
        <v>20583.552134739231</v>
      </c>
      <c r="E60" s="1">
        <f t="shared" si="6"/>
        <v>9635.3703242414795</v>
      </c>
      <c r="F60" s="1">
        <f t="shared" si="5"/>
        <v>10948.181810497752</v>
      </c>
      <c r="G60" s="12">
        <f t="shared" si="7"/>
        <v>4369637.3538748585</v>
      </c>
    </row>
    <row r="61" spans="1:9" x14ac:dyDescent="0.25">
      <c r="C61" s="32">
        <v>58</v>
      </c>
      <c r="D61" s="1">
        <f t="shared" si="4"/>
        <v>20583.552134739231</v>
      </c>
      <c r="E61" s="1">
        <f t="shared" si="6"/>
        <v>9659.4587500520847</v>
      </c>
      <c r="F61" s="1">
        <f t="shared" si="5"/>
        <v>10924.093384687147</v>
      </c>
      <c r="G61" s="12">
        <f t="shared" si="7"/>
        <v>4359977.8951248061</v>
      </c>
    </row>
    <row r="62" spans="1:9" x14ac:dyDescent="0.25">
      <c r="C62" s="32">
        <v>59</v>
      </c>
      <c r="D62" s="1">
        <f t="shared" si="4"/>
        <v>20583.552134739231</v>
      </c>
      <c r="E62" s="1">
        <f t="shared" si="6"/>
        <v>9683.6073969272165</v>
      </c>
      <c r="F62" s="1">
        <f t="shared" si="5"/>
        <v>10899.944737812015</v>
      </c>
      <c r="G62" s="1">
        <f t="shared" si="7"/>
        <v>4350294.2877278784</v>
      </c>
    </row>
    <row r="63" spans="1:9" x14ac:dyDescent="0.25">
      <c r="B63" s="35">
        <f>C63/$K$15</f>
        <v>5</v>
      </c>
      <c r="C63" s="36">
        <v>60</v>
      </c>
      <c r="D63" s="21">
        <f t="shared" si="4"/>
        <v>20583.552134739231</v>
      </c>
      <c r="E63" s="21">
        <f t="shared" si="6"/>
        <v>9707.8164154195347</v>
      </c>
      <c r="F63" s="21">
        <f t="shared" si="5"/>
        <v>10875.735719319697</v>
      </c>
      <c r="G63" s="21">
        <f t="shared" si="7"/>
        <v>4340586.4713124586</v>
      </c>
      <c r="H63" s="37">
        <f>SUM(F52:F63)</f>
        <v>132093.41632362775</v>
      </c>
      <c r="I63" s="26">
        <f>SUM(E52:E63)</f>
        <v>114909.20929324301</v>
      </c>
    </row>
    <row r="64" spans="1:9" x14ac:dyDescent="0.25">
      <c r="C64" s="32">
        <v>61</v>
      </c>
      <c r="D64" s="1">
        <f t="shared" si="4"/>
        <v>20583.552134739231</v>
      </c>
      <c r="E64" s="1">
        <f t="shared" si="6"/>
        <v>9732.0859564580842</v>
      </c>
      <c r="F64" s="1">
        <f t="shared" si="5"/>
        <v>10851.466178281147</v>
      </c>
      <c r="G64" s="1">
        <f t="shared" si="7"/>
        <v>4330854.3853560006</v>
      </c>
    </row>
    <row r="65" spans="2:9" x14ac:dyDescent="0.25">
      <c r="C65" s="32">
        <v>62</v>
      </c>
      <c r="D65" s="1">
        <f t="shared" si="4"/>
        <v>20583.552134739231</v>
      </c>
      <c r="E65" s="1">
        <f t="shared" si="6"/>
        <v>9756.4161713492304</v>
      </c>
      <c r="F65" s="1">
        <f t="shared" si="5"/>
        <v>10827.135963390001</v>
      </c>
      <c r="G65" s="12">
        <f t="shared" si="7"/>
        <v>4321097.969184651</v>
      </c>
    </row>
    <row r="66" spans="2:9" x14ac:dyDescent="0.25">
      <c r="C66" s="32">
        <v>63</v>
      </c>
      <c r="D66" s="1">
        <f t="shared" si="4"/>
        <v>20583.552134739231</v>
      </c>
      <c r="E66" s="1">
        <f t="shared" si="6"/>
        <v>9780.8072117776028</v>
      </c>
      <c r="F66" s="1">
        <f t="shared" si="5"/>
        <v>10802.744922961629</v>
      </c>
      <c r="G66" s="12">
        <f t="shared" si="7"/>
        <v>4311317.1619728738</v>
      </c>
    </row>
    <row r="67" spans="2:9" x14ac:dyDescent="0.25">
      <c r="C67" s="32">
        <v>64</v>
      </c>
      <c r="D67" s="1">
        <f t="shared" si="4"/>
        <v>20583.552134739231</v>
      </c>
      <c r="E67" s="1">
        <f t="shared" si="6"/>
        <v>9805.2592298070467</v>
      </c>
      <c r="F67" s="1">
        <f t="shared" si="5"/>
        <v>10778.292904932185</v>
      </c>
      <c r="G67" s="12">
        <f t="shared" si="7"/>
        <v>4301511.9027430667</v>
      </c>
    </row>
    <row r="68" spans="2:9" x14ac:dyDescent="0.25">
      <c r="C68" s="32">
        <v>65</v>
      </c>
      <c r="D68" s="1">
        <f t="shared" ref="D68:D99" si="8">-$K$6</f>
        <v>20583.552134739231</v>
      </c>
      <c r="E68" s="1">
        <f t="shared" si="6"/>
        <v>9829.7723778815653</v>
      </c>
      <c r="F68" s="1">
        <f t="shared" ref="F68:F99" si="9">G67*$K$4</f>
        <v>10753.779756857666</v>
      </c>
      <c r="G68" s="12">
        <f t="shared" si="7"/>
        <v>4291682.1303651854</v>
      </c>
    </row>
    <row r="69" spans="2:9" x14ac:dyDescent="0.25">
      <c r="C69" s="32">
        <v>66</v>
      </c>
      <c r="D69" s="1">
        <f t="shared" si="8"/>
        <v>20583.552134739231</v>
      </c>
      <c r="E69" s="1">
        <f t="shared" si="6"/>
        <v>9854.3468088262671</v>
      </c>
      <c r="F69" s="1">
        <f t="shared" si="9"/>
        <v>10729.205325912964</v>
      </c>
      <c r="G69" s="12">
        <f t="shared" si="7"/>
        <v>4281827.7835563589</v>
      </c>
    </row>
    <row r="70" spans="2:9" x14ac:dyDescent="0.25">
      <c r="C70" s="32">
        <v>67</v>
      </c>
      <c r="D70" s="1">
        <f t="shared" si="8"/>
        <v>20583.552134739231</v>
      </c>
      <c r="E70" s="1">
        <f t="shared" si="6"/>
        <v>9878.9826758483341</v>
      </c>
      <c r="F70" s="1">
        <f t="shared" si="9"/>
        <v>10704.569458890897</v>
      </c>
      <c r="G70" s="12">
        <f t="shared" si="7"/>
        <v>4271948.8008805104</v>
      </c>
    </row>
    <row r="71" spans="2:9" x14ac:dyDescent="0.25">
      <c r="C71" s="32">
        <v>68</v>
      </c>
      <c r="D71" s="1">
        <f t="shared" si="8"/>
        <v>20583.552134739231</v>
      </c>
      <c r="E71" s="1">
        <f t="shared" si="6"/>
        <v>9903.6801325379547</v>
      </c>
      <c r="F71" s="1">
        <f t="shared" si="9"/>
        <v>10679.872002201277</v>
      </c>
      <c r="G71" s="12">
        <f t="shared" si="7"/>
        <v>4262045.1207479723</v>
      </c>
    </row>
    <row r="72" spans="2:9" x14ac:dyDescent="0.25">
      <c r="C72" s="32">
        <v>69</v>
      </c>
      <c r="D72" s="1">
        <f t="shared" si="8"/>
        <v>20583.552134739231</v>
      </c>
      <c r="E72" s="1">
        <f t="shared" si="6"/>
        <v>9928.4393328693004</v>
      </c>
      <c r="F72" s="1">
        <f t="shared" si="9"/>
        <v>10655.112801869931</v>
      </c>
      <c r="G72" s="12">
        <f t="shared" si="7"/>
        <v>4252116.6814151034</v>
      </c>
    </row>
    <row r="73" spans="2:9" x14ac:dyDescent="0.25">
      <c r="C73" s="32">
        <v>70</v>
      </c>
      <c r="D73" s="1">
        <f t="shared" si="8"/>
        <v>20583.552134739231</v>
      </c>
      <c r="E73" s="1">
        <f t="shared" si="6"/>
        <v>9953.2604312014719</v>
      </c>
      <c r="F73" s="1">
        <f t="shared" si="9"/>
        <v>10630.29170353776</v>
      </c>
      <c r="G73" s="12">
        <f t="shared" si="7"/>
        <v>4242163.4209839022</v>
      </c>
    </row>
    <row r="74" spans="2:9" x14ac:dyDescent="0.25">
      <c r="C74" s="32">
        <v>71</v>
      </c>
      <c r="D74" s="1">
        <f t="shared" si="8"/>
        <v>20583.552134739231</v>
      </c>
      <c r="E74" s="1">
        <f t="shared" si="6"/>
        <v>9978.1435822794756</v>
      </c>
      <c r="F74" s="1">
        <f t="shared" si="9"/>
        <v>10605.408552459756</v>
      </c>
      <c r="G74" s="1">
        <f t="shared" si="7"/>
        <v>4232185.2774016224</v>
      </c>
    </row>
    <row r="75" spans="2:9" x14ac:dyDescent="0.25">
      <c r="B75" s="35">
        <f>C75/$K$15</f>
        <v>6</v>
      </c>
      <c r="C75" s="36">
        <v>72</v>
      </c>
      <c r="D75" s="21">
        <f t="shared" si="8"/>
        <v>20583.552134739231</v>
      </c>
      <c r="E75" s="21">
        <f t="shared" si="6"/>
        <v>10003.088941235175</v>
      </c>
      <c r="F75" s="21">
        <f t="shared" si="9"/>
        <v>10580.463193504056</v>
      </c>
      <c r="G75" s="21">
        <f t="shared" si="7"/>
        <v>4222182.1884603873</v>
      </c>
      <c r="H75" s="37">
        <f>SUM(F64:F75)</f>
        <v>128598.34276479926</v>
      </c>
      <c r="I75" s="26">
        <f>SUM(E64:E75)</f>
        <v>118404.28285207151</v>
      </c>
    </row>
    <row r="76" spans="2:9" x14ac:dyDescent="0.25">
      <c r="C76" s="32">
        <v>73</v>
      </c>
      <c r="D76" s="1">
        <f t="shared" si="8"/>
        <v>20583.552134739231</v>
      </c>
      <c r="E76" s="1">
        <f t="shared" si="6"/>
        <v>10028.096663588263</v>
      </c>
      <c r="F76" s="1">
        <f t="shared" si="9"/>
        <v>10555.455471150968</v>
      </c>
      <c r="G76" s="1">
        <f t="shared" si="7"/>
        <v>4212154.0917967986</v>
      </c>
    </row>
    <row r="77" spans="2:9" x14ac:dyDescent="0.25">
      <c r="C77" s="32">
        <v>74</v>
      </c>
      <c r="D77" s="1">
        <f t="shared" si="8"/>
        <v>20583.552134739231</v>
      </c>
      <c r="E77" s="1">
        <f t="shared" si="6"/>
        <v>10053.166905247235</v>
      </c>
      <c r="F77" s="1">
        <f t="shared" si="9"/>
        <v>10530.385229491996</v>
      </c>
      <c r="G77" s="12">
        <f t="shared" si="7"/>
        <v>4202100.924891551</v>
      </c>
    </row>
    <row r="78" spans="2:9" x14ac:dyDescent="0.25">
      <c r="C78" s="32">
        <v>75</v>
      </c>
      <c r="D78" s="1">
        <f t="shared" si="8"/>
        <v>20583.552134739231</v>
      </c>
      <c r="E78" s="1">
        <f t="shared" si="6"/>
        <v>10078.299822510353</v>
      </c>
      <c r="F78" s="1">
        <f t="shared" si="9"/>
        <v>10505.252312228879</v>
      </c>
      <c r="G78" s="12">
        <f t="shared" si="7"/>
        <v>4192022.6250690408</v>
      </c>
    </row>
    <row r="79" spans="2:9" x14ac:dyDescent="0.25">
      <c r="C79" s="32">
        <v>76</v>
      </c>
      <c r="D79" s="1">
        <f t="shared" si="8"/>
        <v>20583.552134739231</v>
      </c>
      <c r="E79" s="1">
        <f t="shared" si="6"/>
        <v>10103.495572066629</v>
      </c>
      <c r="F79" s="1">
        <f t="shared" si="9"/>
        <v>10480.056562672602</v>
      </c>
      <c r="G79" s="12">
        <f t="shared" si="7"/>
        <v>4181919.1294969744</v>
      </c>
    </row>
    <row r="80" spans="2:9" x14ac:dyDescent="0.25">
      <c r="C80" s="32">
        <v>77</v>
      </c>
      <c r="D80" s="1">
        <f t="shared" si="8"/>
        <v>20583.552134739231</v>
      </c>
      <c r="E80" s="1">
        <f t="shared" si="6"/>
        <v>10128.754310996796</v>
      </c>
      <c r="F80" s="1">
        <f t="shared" si="9"/>
        <v>10454.797823742436</v>
      </c>
      <c r="G80" s="12">
        <f t="shared" si="7"/>
        <v>4171790.3751859777</v>
      </c>
    </row>
    <row r="81" spans="2:9" x14ac:dyDescent="0.25">
      <c r="C81" s="32">
        <v>78</v>
      </c>
      <c r="D81" s="1">
        <f t="shared" si="8"/>
        <v>20583.552134739231</v>
      </c>
      <c r="E81" s="1">
        <f t="shared" si="6"/>
        <v>10154.076196774287</v>
      </c>
      <c r="F81" s="1">
        <f t="shared" si="9"/>
        <v>10429.475937964944</v>
      </c>
      <c r="G81" s="12">
        <f t="shared" si="7"/>
        <v>4161636.2989892033</v>
      </c>
    </row>
    <row r="82" spans="2:9" x14ac:dyDescent="0.25">
      <c r="C82" s="32">
        <v>79</v>
      </c>
      <c r="D82" s="1">
        <f t="shared" si="8"/>
        <v>20583.552134739231</v>
      </c>
      <c r="E82" s="1">
        <f t="shared" si="6"/>
        <v>10179.461387266223</v>
      </c>
      <c r="F82" s="1">
        <f t="shared" si="9"/>
        <v>10404.090747473008</v>
      </c>
      <c r="G82" s="12">
        <f t="shared" si="7"/>
        <v>4151456.8376019369</v>
      </c>
    </row>
    <row r="83" spans="2:9" x14ac:dyDescent="0.25">
      <c r="C83" s="32">
        <v>80</v>
      </c>
      <c r="D83" s="1">
        <f t="shared" si="8"/>
        <v>20583.552134739231</v>
      </c>
      <c r="E83" s="1">
        <f t="shared" si="6"/>
        <v>10204.910040734389</v>
      </c>
      <c r="F83" s="1">
        <f t="shared" si="9"/>
        <v>10378.642094004843</v>
      </c>
      <c r="G83" s="12">
        <f t="shared" si="7"/>
        <v>4141251.9275612026</v>
      </c>
    </row>
    <row r="84" spans="2:9" x14ac:dyDescent="0.25">
      <c r="C84" s="32">
        <v>81</v>
      </c>
      <c r="D84" s="1">
        <f t="shared" si="8"/>
        <v>20583.552134739231</v>
      </c>
      <c r="E84" s="1">
        <f t="shared" si="6"/>
        <v>10230.422315836226</v>
      </c>
      <c r="F84" s="1">
        <f t="shared" si="9"/>
        <v>10353.129818903006</v>
      </c>
      <c r="G84" s="12">
        <f t="shared" si="7"/>
        <v>4131021.5052453661</v>
      </c>
    </row>
    <row r="85" spans="2:9" x14ac:dyDescent="0.25">
      <c r="C85" s="32">
        <v>82</v>
      </c>
      <c r="D85" s="1">
        <f t="shared" si="8"/>
        <v>20583.552134739231</v>
      </c>
      <c r="E85" s="1">
        <f t="shared" si="6"/>
        <v>10255.998371625816</v>
      </c>
      <c r="F85" s="1">
        <f t="shared" si="9"/>
        <v>10327.553763113416</v>
      </c>
      <c r="G85" s="12">
        <f t="shared" si="7"/>
        <v>4120765.5068737403</v>
      </c>
    </row>
    <row r="86" spans="2:9" x14ac:dyDescent="0.25">
      <c r="C86" s="32">
        <v>83</v>
      </c>
      <c r="D86" s="1">
        <f t="shared" si="8"/>
        <v>20583.552134739231</v>
      </c>
      <c r="E86" s="1">
        <f t="shared" si="6"/>
        <v>10281.63836755488</v>
      </c>
      <c r="F86" s="1">
        <f t="shared" si="9"/>
        <v>10301.913767184351</v>
      </c>
      <c r="G86" s="1">
        <f t="shared" si="7"/>
        <v>4110483.8685061852</v>
      </c>
    </row>
    <row r="87" spans="2:9" x14ac:dyDescent="0.25">
      <c r="B87" s="35">
        <f>C87/$K$15</f>
        <v>7</v>
      </c>
      <c r="C87" s="36">
        <v>84</v>
      </c>
      <c r="D87" s="21">
        <f t="shared" si="8"/>
        <v>20583.552134739231</v>
      </c>
      <c r="E87" s="21">
        <f t="shared" si="6"/>
        <v>10307.342463473768</v>
      </c>
      <c r="F87" s="21">
        <f t="shared" si="9"/>
        <v>10276.209671265464</v>
      </c>
      <c r="G87" s="21">
        <f t="shared" si="7"/>
        <v>4100176.5260427115</v>
      </c>
      <c r="H87" s="37">
        <f>SUM(F76:F87)</f>
        <v>124996.9631991959</v>
      </c>
      <c r="I87" s="26">
        <f>SUM(E76:E87)</f>
        <v>122005.66241767487</v>
      </c>
    </row>
    <row r="88" spans="2:9" x14ac:dyDescent="0.25">
      <c r="C88" s="32">
        <v>85</v>
      </c>
      <c r="D88" s="1">
        <f t="shared" si="8"/>
        <v>20583.552134739231</v>
      </c>
      <c r="E88" s="1">
        <f t="shared" si="6"/>
        <v>10333.110819632453</v>
      </c>
      <c r="F88" s="1">
        <f t="shared" si="9"/>
        <v>10250.441315106778</v>
      </c>
      <c r="G88" s="1">
        <f t="shared" si="7"/>
        <v>4089843.4152230788</v>
      </c>
    </row>
    <row r="89" spans="2:9" x14ac:dyDescent="0.25">
      <c r="C89" s="32">
        <v>86</v>
      </c>
      <c r="D89" s="1">
        <f t="shared" si="8"/>
        <v>20583.552134739231</v>
      </c>
      <c r="E89" s="1">
        <f t="shared" si="6"/>
        <v>10358.943596681534</v>
      </c>
      <c r="F89" s="1">
        <f t="shared" si="9"/>
        <v>10224.608538057697</v>
      </c>
      <c r="G89" s="12">
        <f t="shared" si="7"/>
        <v>4079484.4716263972</v>
      </c>
    </row>
    <row r="90" spans="2:9" x14ac:dyDescent="0.25">
      <c r="C90" s="32">
        <v>87</v>
      </c>
      <c r="D90" s="1">
        <f t="shared" si="8"/>
        <v>20583.552134739231</v>
      </c>
      <c r="E90" s="1">
        <f t="shared" si="6"/>
        <v>10384.840955673239</v>
      </c>
      <c r="F90" s="1">
        <f t="shared" si="9"/>
        <v>10198.711179065993</v>
      </c>
      <c r="G90" s="12">
        <f t="shared" si="7"/>
        <v>4069099.630670724</v>
      </c>
    </row>
    <row r="91" spans="2:9" x14ac:dyDescent="0.25">
      <c r="C91" s="32">
        <v>88</v>
      </c>
      <c r="D91" s="1">
        <f t="shared" si="8"/>
        <v>20583.552134739231</v>
      </c>
      <c r="E91" s="1">
        <f t="shared" si="6"/>
        <v>10410.803058062422</v>
      </c>
      <c r="F91" s="1">
        <f t="shared" si="9"/>
        <v>10172.74907667681</v>
      </c>
      <c r="G91" s="12">
        <f t="shared" si="7"/>
        <v>4058688.8276126618</v>
      </c>
    </row>
    <row r="92" spans="2:9" x14ac:dyDescent="0.25">
      <c r="C92" s="32">
        <v>89</v>
      </c>
      <c r="D92" s="1">
        <f t="shared" si="8"/>
        <v>20583.552134739231</v>
      </c>
      <c r="E92" s="1">
        <f t="shared" si="6"/>
        <v>10436.830065707576</v>
      </c>
      <c r="F92" s="1">
        <f t="shared" si="9"/>
        <v>10146.722069031655</v>
      </c>
      <c r="G92" s="12">
        <f t="shared" si="7"/>
        <v>4048251.9975469541</v>
      </c>
    </row>
    <row r="93" spans="2:9" x14ac:dyDescent="0.25">
      <c r="C93" s="32">
        <v>90</v>
      </c>
      <c r="D93" s="1">
        <f t="shared" si="8"/>
        <v>20583.552134739231</v>
      </c>
      <c r="E93" s="1">
        <f t="shared" si="6"/>
        <v>10462.922140871846</v>
      </c>
      <c r="F93" s="1">
        <f t="shared" si="9"/>
        <v>10120.629993867386</v>
      </c>
      <c r="G93" s="12">
        <f t="shared" si="7"/>
        <v>4037789.0754060824</v>
      </c>
    </row>
    <row r="94" spans="2:9" x14ac:dyDescent="0.25">
      <c r="C94" s="32">
        <v>91</v>
      </c>
      <c r="D94" s="1">
        <f t="shared" si="8"/>
        <v>20583.552134739231</v>
      </c>
      <c r="E94" s="1">
        <f t="shared" si="6"/>
        <v>10489.079446224025</v>
      </c>
      <c r="F94" s="1">
        <f t="shared" si="9"/>
        <v>10094.472688515207</v>
      </c>
      <c r="G94" s="12">
        <f t="shared" si="7"/>
        <v>4027299.9959598584</v>
      </c>
    </row>
    <row r="95" spans="2:9" x14ac:dyDescent="0.25">
      <c r="C95" s="32">
        <v>92</v>
      </c>
      <c r="D95" s="1">
        <f t="shared" si="8"/>
        <v>20583.552134739231</v>
      </c>
      <c r="E95" s="1">
        <f t="shared" si="6"/>
        <v>10515.302144839585</v>
      </c>
      <c r="F95" s="1">
        <f t="shared" si="9"/>
        <v>10068.249989899647</v>
      </c>
      <c r="G95" s="12">
        <f t="shared" si="7"/>
        <v>4016784.693815019</v>
      </c>
    </row>
    <row r="96" spans="2:9" x14ac:dyDescent="0.25">
      <c r="C96" s="32">
        <v>93</v>
      </c>
      <c r="D96" s="1">
        <f t="shared" si="8"/>
        <v>20583.552134739231</v>
      </c>
      <c r="E96" s="1">
        <f t="shared" si="6"/>
        <v>10541.590400201683</v>
      </c>
      <c r="F96" s="1">
        <f t="shared" si="9"/>
        <v>10041.961734537548</v>
      </c>
      <c r="G96" s="12">
        <f t="shared" si="7"/>
        <v>4006243.1034148172</v>
      </c>
    </row>
    <row r="97" spans="2:9" x14ac:dyDescent="0.25">
      <c r="C97" s="32">
        <v>94</v>
      </c>
      <c r="D97" s="1">
        <f t="shared" si="8"/>
        <v>20583.552134739231</v>
      </c>
      <c r="E97" s="1">
        <f t="shared" si="6"/>
        <v>10567.944376202187</v>
      </c>
      <c r="F97" s="1">
        <f t="shared" si="9"/>
        <v>10015.607758537044</v>
      </c>
      <c r="G97" s="12">
        <f t="shared" si="7"/>
        <v>3995675.1590386149</v>
      </c>
    </row>
    <row r="98" spans="2:9" x14ac:dyDescent="0.25">
      <c r="C98" s="32">
        <v>95</v>
      </c>
      <c r="D98" s="1">
        <f t="shared" si="8"/>
        <v>20583.552134739231</v>
      </c>
      <c r="E98" s="1">
        <f t="shared" si="6"/>
        <v>10594.364237142694</v>
      </c>
      <c r="F98" s="1">
        <f t="shared" si="9"/>
        <v>9989.1878975965374</v>
      </c>
      <c r="G98" s="1">
        <f t="shared" si="7"/>
        <v>3985080.7948014722</v>
      </c>
    </row>
    <row r="99" spans="2:9" x14ac:dyDescent="0.25">
      <c r="B99" s="35">
        <f>C99/$K$15</f>
        <v>8</v>
      </c>
      <c r="C99" s="36">
        <v>96</v>
      </c>
      <c r="D99" s="21">
        <f t="shared" si="8"/>
        <v>20583.552134739231</v>
      </c>
      <c r="E99" s="21">
        <f t="shared" si="6"/>
        <v>10620.850147735551</v>
      </c>
      <c r="F99" s="21">
        <f t="shared" si="9"/>
        <v>9962.7019870036802</v>
      </c>
      <c r="G99" s="21">
        <f t="shared" si="7"/>
        <v>3974459.9446537369</v>
      </c>
      <c r="H99" s="37">
        <f>SUM(F88:F99)</f>
        <v>121286.04422789597</v>
      </c>
      <c r="I99" s="26">
        <f>SUM(E88:E99)</f>
        <v>125716.58138897478</v>
      </c>
    </row>
    <row r="100" spans="2:9" x14ac:dyDescent="0.25">
      <c r="C100" s="32">
        <v>97</v>
      </c>
      <c r="D100" s="1">
        <f t="shared" ref="D100:D123" si="10">-$K$6</f>
        <v>20583.552134739231</v>
      </c>
      <c r="E100" s="1">
        <f t="shared" ref="E100:E123" si="11">D100-F100</f>
        <v>10647.402273104888</v>
      </c>
      <c r="F100" s="1">
        <f t="shared" ref="F100:F123" si="12">G99*$K$4</f>
        <v>9936.1498616343433</v>
      </c>
      <c r="G100" s="12">
        <f t="shared" ref="G100:G123" si="13">G99-E100</f>
        <v>3963812.5423806319</v>
      </c>
    </row>
    <row r="101" spans="2:9" x14ac:dyDescent="0.25">
      <c r="C101" s="32">
        <v>98</v>
      </c>
      <c r="D101" s="1">
        <f t="shared" si="10"/>
        <v>20583.552134739231</v>
      </c>
      <c r="E101" s="1">
        <f t="shared" si="11"/>
        <v>10674.020778787652</v>
      </c>
      <c r="F101" s="1">
        <f t="shared" si="12"/>
        <v>9909.5313559515798</v>
      </c>
      <c r="G101" s="1">
        <f t="shared" si="13"/>
        <v>3953138.5216018441</v>
      </c>
    </row>
    <row r="102" spans="2:9" x14ac:dyDescent="0.25">
      <c r="C102" s="32">
        <v>99</v>
      </c>
      <c r="D102" s="1">
        <f t="shared" si="10"/>
        <v>20583.552134739231</v>
      </c>
      <c r="E102" s="1">
        <f t="shared" si="11"/>
        <v>10700.705830734621</v>
      </c>
      <c r="F102" s="1">
        <f t="shared" si="12"/>
        <v>9882.8463040046099</v>
      </c>
      <c r="G102" s="12">
        <f t="shared" si="13"/>
        <v>3942437.8157711094</v>
      </c>
    </row>
    <row r="103" spans="2:9" x14ac:dyDescent="0.25">
      <c r="C103" s="32">
        <v>100</v>
      </c>
      <c r="D103" s="1">
        <f t="shared" si="10"/>
        <v>20583.552134739231</v>
      </c>
      <c r="E103" s="1">
        <f t="shared" si="11"/>
        <v>10727.457595311458</v>
      </c>
      <c r="F103" s="1">
        <f t="shared" si="12"/>
        <v>9856.0945394277733</v>
      </c>
      <c r="G103" s="12">
        <f t="shared" si="13"/>
        <v>3931710.3581757979</v>
      </c>
    </row>
    <row r="104" spans="2:9" x14ac:dyDescent="0.25">
      <c r="C104" s="32">
        <v>101</v>
      </c>
      <c r="D104" s="1">
        <f t="shared" si="10"/>
        <v>20583.552134739231</v>
      </c>
      <c r="E104" s="1">
        <f t="shared" si="11"/>
        <v>10754.276239299737</v>
      </c>
      <c r="F104" s="1">
        <f t="shared" si="12"/>
        <v>9829.275895439494</v>
      </c>
      <c r="G104" s="12">
        <f t="shared" si="13"/>
        <v>3920956.0819364982</v>
      </c>
    </row>
    <row r="105" spans="2:9" x14ac:dyDescent="0.25">
      <c r="C105" s="32">
        <v>102</v>
      </c>
      <c r="D105" s="1">
        <f t="shared" si="10"/>
        <v>20583.552134739231</v>
      </c>
      <c r="E105" s="1">
        <f t="shared" si="11"/>
        <v>10781.161929897986</v>
      </c>
      <c r="F105" s="1">
        <f t="shared" si="12"/>
        <v>9802.3902048412456</v>
      </c>
      <c r="G105" s="12">
        <f t="shared" si="13"/>
        <v>3910174.9200066002</v>
      </c>
    </row>
    <row r="106" spans="2:9" x14ac:dyDescent="0.25">
      <c r="C106" s="32">
        <v>103</v>
      </c>
      <c r="D106" s="1">
        <f t="shared" si="10"/>
        <v>20583.552134739231</v>
      </c>
      <c r="E106" s="1">
        <f t="shared" si="11"/>
        <v>10808.11483472273</v>
      </c>
      <c r="F106" s="1">
        <f t="shared" si="12"/>
        <v>9775.4373000165015</v>
      </c>
      <c r="G106" s="12">
        <f t="shared" si="13"/>
        <v>3899366.8051718776</v>
      </c>
    </row>
    <row r="107" spans="2:9" x14ac:dyDescent="0.25">
      <c r="C107" s="32">
        <v>104</v>
      </c>
      <c r="D107" s="1">
        <f t="shared" si="10"/>
        <v>20583.552134739231</v>
      </c>
      <c r="E107" s="1">
        <f t="shared" si="11"/>
        <v>10835.135121809537</v>
      </c>
      <c r="F107" s="1">
        <f t="shared" si="12"/>
        <v>9748.4170129296945</v>
      </c>
      <c r="G107" s="12">
        <f t="shared" si="13"/>
        <v>3888531.6700500683</v>
      </c>
    </row>
    <row r="108" spans="2:9" x14ac:dyDescent="0.25">
      <c r="C108" s="32">
        <v>105</v>
      </c>
      <c r="D108" s="1">
        <f t="shared" si="10"/>
        <v>20583.552134739231</v>
      </c>
      <c r="E108" s="1">
        <f t="shared" si="11"/>
        <v>10862.222959614061</v>
      </c>
      <c r="F108" s="1">
        <f t="shared" si="12"/>
        <v>9721.3291751251709</v>
      </c>
      <c r="G108" s="12">
        <f t="shared" si="13"/>
        <v>3877669.4470904544</v>
      </c>
    </row>
    <row r="109" spans="2:9" x14ac:dyDescent="0.25">
      <c r="C109" s="32">
        <v>106</v>
      </c>
      <c r="D109" s="1">
        <f t="shared" si="10"/>
        <v>20583.552134739231</v>
      </c>
      <c r="E109" s="1">
        <f t="shared" si="11"/>
        <v>10889.378517013096</v>
      </c>
      <c r="F109" s="1">
        <f t="shared" si="12"/>
        <v>9694.1736177261355</v>
      </c>
      <c r="G109" s="12">
        <f t="shared" si="13"/>
        <v>3866780.0685734414</v>
      </c>
    </row>
    <row r="110" spans="2:9" x14ac:dyDescent="0.25">
      <c r="C110" s="32">
        <v>107</v>
      </c>
      <c r="D110" s="1">
        <f t="shared" si="10"/>
        <v>20583.552134739231</v>
      </c>
      <c r="E110" s="1">
        <f t="shared" si="11"/>
        <v>10916.601963305628</v>
      </c>
      <c r="F110" s="1">
        <f t="shared" si="12"/>
        <v>9666.9501714336038</v>
      </c>
      <c r="G110" s="1">
        <f t="shared" si="13"/>
        <v>3855863.4666101355</v>
      </c>
    </row>
    <row r="111" spans="2:9" x14ac:dyDescent="0.25">
      <c r="B111" s="35">
        <f>C111/$K$15</f>
        <v>9</v>
      </c>
      <c r="C111" s="36">
        <v>108</v>
      </c>
      <c r="D111" s="21">
        <f t="shared" si="10"/>
        <v>20583.552134739231</v>
      </c>
      <c r="E111" s="21">
        <f t="shared" si="11"/>
        <v>10943.893468213892</v>
      </c>
      <c r="F111" s="21">
        <f t="shared" si="12"/>
        <v>9639.6586665253399</v>
      </c>
      <c r="G111" s="21">
        <f t="shared" si="13"/>
        <v>3844919.5731419218</v>
      </c>
      <c r="H111" s="37">
        <f>SUM(F100:F111)</f>
        <v>117462.2541050555</v>
      </c>
      <c r="I111" s="26">
        <f>SUM(E100:E111)</f>
        <v>129540.37151181529</v>
      </c>
    </row>
    <row r="112" spans="2:9" x14ac:dyDescent="0.25">
      <c r="C112" s="32">
        <v>109</v>
      </c>
      <c r="D112" s="1">
        <f t="shared" si="10"/>
        <v>20583.552134739231</v>
      </c>
      <c r="E112" s="1">
        <f t="shared" si="11"/>
        <v>10971.253201884427</v>
      </c>
      <c r="F112" s="1">
        <f t="shared" si="12"/>
        <v>9612.2989328548047</v>
      </c>
      <c r="G112" s="12">
        <f t="shared" si="13"/>
        <v>3833948.3199400376</v>
      </c>
    </row>
    <row r="113" spans="2:9" x14ac:dyDescent="0.25">
      <c r="C113" s="32">
        <v>110</v>
      </c>
      <c r="D113" s="1">
        <f t="shared" si="10"/>
        <v>20583.552134739231</v>
      </c>
      <c r="E113" s="1">
        <f t="shared" si="11"/>
        <v>10998.681334889137</v>
      </c>
      <c r="F113" s="1">
        <f t="shared" si="12"/>
        <v>9584.870799850094</v>
      </c>
      <c r="G113" s="1">
        <f t="shared" si="13"/>
        <v>3822949.6386051485</v>
      </c>
    </row>
    <row r="114" spans="2:9" x14ac:dyDescent="0.25">
      <c r="C114" s="32">
        <v>111</v>
      </c>
      <c r="D114" s="1">
        <f t="shared" si="10"/>
        <v>20583.552134739231</v>
      </c>
      <c r="E114" s="1">
        <f t="shared" si="11"/>
        <v>11026.178038226361</v>
      </c>
      <c r="F114" s="1">
        <f t="shared" si="12"/>
        <v>9557.3740965128709</v>
      </c>
      <c r="G114" s="12">
        <f t="shared" si="13"/>
        <v>3811923.4605669221</v>
      </c>
    </row>
    <row r="115" spans="2:9" x14ac:dyDescent="0.25">
      <c r="C115" s="32">
        <v>112</v>
      </c>
      <c r="D115" s="1">
        <f t="shared" si="10"/>
        <v>20583.552134739231</v>
      </c>
      <c r="E115" s="1">
        <f t="shared" si="11"/>
        <v>11053.743483321927</v>
      </c>
      <c r="F115" s="1">
        <f t="shared" si="12"/>
        <v>9529.8086514173046</v>
      </c>
      <c r="G115" s="12">
        <f t="shared" si="13"/>
        <v>3800869.7170836003</v>
      </c>
    </row>
    <row r="116" spans="2:9" x14ac:dyDescent="0.25">
      <c r="C116" s="32">
        <v>113</v>
      </c>
      <c r="D116" s="1">
        <f t="shared" si="10"/>
        <v>20583.552134739231</v>
      </c>
      <c r="E116" s="1">
        <f t="shared" si="11"/>
        <v>11081.37784203023</v>
      </c>
      <c r="F116" s="1">
        <f t="shared" si="12"/>
        <v>9502.1742927090017</v>
      </c>
      <c r="G116" s="12">
        <f t="shared" si="13"/>
        <v>3789788.3392415703</v>
      </c>
    </row>
    <row r="117" spans="2:9" x14ac:dyDescent="0.25">
      <c r="C117" s="32">
        <v>114</v>
      </c>
      <c r="D117" s="1">
        <f t="shared" si="10"/>
        <v>20583.552134739231</v>
      </c>
      <c r="E117" s="1">
        <f t="shared" si="11"/>
        <v>11109.081286635306</v>
      </c>
      <c r="F117" s="1">
        <f t="shared" si="12"/>
        <v>9474.4708481039252</v>
      </c>
      <c r="G117" s="12">
        <f t="shared" si="13"/>
        <v>3778679.2579549351</v>
      </c>
    </row>
    <row r="118" spans="2:9" x14ac:dyDescent="0.25">
      <c r="C118" s="32">
        <v>115</v>
      </c>
      <c r="D118" s="1">
        <f t="shared" si="10"/>
        <v>20583.552134739231</v>
      </c>
      <c r="E118" s="1">
        <f t="shared" si="11"/>
        <v>11136.853989851894</v>
      </c>
      <c r="F118" s="1">
        <f t="shared" si="12"/>
        <v>9446.6981448873375</v>
      </c>
      <c r="G118" s="12">
        <f t="shared" si="13"/>
        <v>3767542.403965083</v>
      </c>
    </row>
    <row r="119" spans="2:9" x14ac:dyDescent="0.25">
      <c r="C119" s="32">
        <v>116</v>
      </c>
      <c r="D119" s="1">
        <f t="shared" si="10"/>
        <v>20583.552134739231</v>
      </c>
      <c r="E119" s="1">
        <f t="shared" si="11"/>
        <v>11164.696124826523</v>
      </c>
      <c r="F119" s="1">
        <f t="shared" si="12"/>
        <v>9418.856009912708</v>
      </c>
      <c r="G119" s="12">
        <f t="shared" si="13"/>
        <v>3756377.7078402564</v>
      </c>
    </row>
    <row r="120" spans="2:9" x14ac:dyDescent="0.25">
      <c r="C120" s="32">
        <v>117</v>
      </c>
      <c r="D120" s="1">
        <f t="shared" si="10"/>
        <v>20583.552134739231</v>
      </c>
      <c r="E120" s="1">
        <f t="shared" si="11"/>
        <v>11192.607865138591</v>
      </c>
      <c r="F120" s="1">
        <f t="shared" si="12"/>
        <v>9390.9442696006408</v>
      </c>
      <c r="G120" s="12">
        <f t="shared" si="13"/>
        <v>3745185.0999751179</v>
      </c>
    </row>
    <row r="121" spans="2:9" x14ac:dyDescent="0.25">
      <c r="C121" s="32">
        <v>118</v>
      </c>
      <c r="D121" s="1">
        <f t="shared" si="10"/>
        <v>20583.552134739231</v>
      </c>
      <c r="E121" s="1">
        <f t="shared" si="11"/>
        <v>11220.589384801437</v>
      </c>
      <c r="F121" s="1">
        <f t="shared" si="12"/>
        <v>9362.9627499377948</v>
      </c>
      <c r="G121" s="12">
        <f t="shared" si="13"/>
        <v>3733964.5105903167</v>
      </c>
    </row>
    <row r="122" spans="2:9" x14ac:dyDescent="0.25">
      <c r="C122" s="32">
        <v>119</v>
      </c>
      <c r="D122" s="1">
        <f t="shared" si="10"/>
        <v>20583.552134739231</v>
      </c>
      <c r="E122" s="1">
        <f t="shared" si="11"/>
        <v>11248.640858263439</v>
      </c>
      <c r="F122" s="1">
        <f t="shared" si="12"/>
        <v>9334.911276475792</v>
      </c>
      <c r="G122" s="1">
        <f t="shared" si="13"/>
        <v>3722715.8697320535</v>
      </c>
    </row>
    <row r="123" spans="2:9" x14ac:dyDescent="0.25">
      <c r="B123" s="35">
        <f>C123/$K$15</f>
        <v>10</v>
      </c>
      <c r="C123" s="36">
        <v>120</v>
      </c>
      <c r="D123" s="21">
        <f t="shared" si="10"/>
        <v>20583.552134739231</v>
      </c>
      <c r="E123" s="21">
        <f t="shared" si="11"/>
        <v>11276.762460409098</v>
      </c>
      <c r="F123" s="21">
        <f t="shared" si="12"/>
        <v>9306.7896743301335</v>
      </c>
      <c r="G123" s="21">
        <f t="shared" si="13"/>
        <v>3711439.1072716443</v>
      </c>
      <c r="H123" s="37">
        <f>SUM(F112:F123)</f>
        <v>113522.15974659241</v>
      </c>
      <c r="I123" s="26">
        <f>SUM(E112:E123)</f>
        <v>133480.46587027839</v>
      </c>
    </row>
    <row r="124" spans="2:9" x14ac:dyDescent="0.25">
      <c r="D124" s="1"/>
      <c r="E124" s="1"/>
      <c r="F124" s="1"/>
      <c r="G124" s="12"/>
    </row>
    <row r="125" spans="2:9" x14ac:dyDescent="0.25">
      <c r="D125" s="1"/>
      <c r="E125" s="1"/>
      <c r="F125" s="1"/>
      <c r="G125" s="1"/>
    </row>
    <row r="126" spans="2:9" x14ac:dyDescent="0.25">
      <c r="D126" s="1"/>
      <c r="E126" s="1"/>
      <c r="F126" s="1"/>
      <c r="G126" s="12"/>
    </row>
    <row r="127" spans="2:9" x14ac:dyDescent="0.25">
      <c r="D127" s="1"/>
      <c r="E127" s="1"/>
      <c r="F127" s="1"/>
      <c r="G127" s="12"/>
    </row>
    <row r="128" spans="2:9" x14ac:dyDescent="0.25">
      <c r="D128" s="1"/>
      <c r="E128" s="1"/>
      <c r="F128" s="1"/>
      <c r="G128" s="12"/>
    </row>
    <row r="129" spans="4:7" x14ac:dyDescent="0.25">
      <c r="D129" s="1"/>
      <c r="E129" s="1"/>
      <c r="F129" s="1"/>
      <c r="G129" s="12"/>
    </row>
    <row r="130" spans="4:7" x14ac:dyDescent="0.25">
      <c r="D130" s="1"/>
      <c r="E130" s="1"/>
      <c r="F130" s="1"/>
      <c r="G130" s="12"/>
    </row>
    <row r="131" spans="4:7" x14ac:dyDescent="0.25">
      <c r="D131" s="1"/>
      <c r="E131" s="1"/>
      <c r="F131" s="1"/>
      <c r="G131" s="12"/>
    </row>
    <row r="132" spans="4:7" x14ac:dyDescent="0.25">
      <c r="D132" s="1"/>
      <c r="E132" s="1"/>
      <c r="F132" s="1"/>
      <c r="G132" s="12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3"/>
  <sheetViews>
    <sheetView showGridLines="0" workbookViewId="0">
      <selection activeCell="C22" sqref="C22"/>
    </sheetView>
  </sheetViews>
  <sheetFormatPr defaultColWidth="11.42578125" defaultRowHeight="15" x14ac:dyDescent="0.25"/>
  <cols>
    <col min="1" max="1" width="2.85546875" customWidth="1"/>
    <col min="2" max="2" width="15.28515625" bestFit="1" customWidth="1"/>
    <col min="3" max="3" width="12.85546875" customWidth="1"/>
    <col min="4" max="4" width="2.85546875" customWidth="1"/>
    <col min="5" max="5" width="14.85546875" bestFit="1" customWidth="1"/>
    <col min="6" max="6" width="14.28515625" bestFit="1" customWidth="1"/>
    <col min="7" max="8" width="12.85546875" customWidth="1"/>
    <col min="9" max="9" width="16.42578125" customWidth="1"/>
  </cols>
  <sheetData>
    <row r="2" spans="2:9" x14ac:dyDescent="0.25">
      <c r="B2" s="77" t="s">
        <v>145</v>
      </c>
      <c r="C2" s="78"/>
      <c r="D2" s="47"/>
      <c r="E2" s="73" t="s">
        <v>146</v>
      </c>
      <c r="F2" s="74"/>
      <c r="G2" s="75"/>
      <c r="H2" s="75"/>
      <c r="I2" s="76"/>
    </row>
    <row r="3" spans="2:9" x14ac:dyDescent="0.25">
      <c r="B3" s="48" t="s">
        <v>143</v>
      </c>
      <c r="C3" s="49">
        <f>'Financial Statements'!M2</f>
        <v>2022</v>
      </c>
      <c r="D3" s="50"/>
      <c r="E3" s="51"/>
      <c r="F3" s="71" t="s">
        <v>147</v>
      </c>
      <c r="G3" s="71" t="s">
        <v>148</v>
      </c>
      <c r="H3" s="51"/>
      <c r="I3" s="51"/>
    </row>
    <row r="4" spans="2:9" x14ac:dyDescent="0.25">
      <c r="B4" s="51" t="s">
        <v>149</v>
      </c>
      <c r="C4" s="52">
        <f>+F22</f>
        <v>1.2450000000000001</v>
      </c>
      <c r="D4" s="53"/>
      <c r="E4" s="51" t="s">
        <v>147</v>
      </c>
      <c r="F4" s="88">
        <f>C7</f>
        <v>3254800</v>
      </c>
      <c r="G4" s="53">
        <f>C5+I22*(C6-C5)</f>
        <v>0.3935439752740032</v>
      </c>
      <c r="H4" s="51"/>
      <c r="I4" s="51"/>
    </row>
    <row r="5" spans="2:9" x14ac:dyDescent="0.25">
      <c r="B5" s="51" t="s">
        <v>150</v>
      </c>
      <c r="C5" s="82">
        <v>8.9999999999999993E-3</v>
      </c>
      <c r="D5" s="53"/>
      <c r="E5" s="51" t="s">
        <v>151</v>
      </c>
      <c r="F5" s="88">
        <f>C8</f>
        <v>8075125.0786259668</v>
      </c>
      <c r="G5" s="55"/>
      <c r="H5" s="51"/>
      <c r="I5" s="51"/>
    </row>
    <row r="6" spans="2:9" x14ac:dyDescent="0.25">
      <c r="B6" s="51" t="s">
        <v>152</v>
      </c>
      <c r="C6" s="54">
        <v>0.1125</v>
      </c>
      <c r="D6" s="56"/>
      <c r="E6" s="51" t="s">
        <v>153</v>
      </c>
      <c r="F6" s="89">
        <f>SUM(F4:F5)</f>
        <v>11329925.078625966</v>
      </c>
      <c r="G6" s="57"/>
      <c r="H6" s="51"/>
      <c r="I6" s="51"/>
    </row>
    <row r="7" spans="2:9" x14ac:dyDescent="0.25">
      <c r="B7" s="51" t="s">
        <v>177</v>
      </c>
      <c r="C7" s="87">
        <f>'Financial Statements'!M81</f>
        <v>3254800</v>
      </c>
      <c r="D7" s="56"/>
      <c r="E7" s="51"/>
      <c r="F7" s="51"/>
      <c r="G7" s="51"/>
      <c r="H7" s="51"/>
      <c r="I7" s="51"/>
    </row>
    <row r="8" spans="2:9" x14ac:dyDescent="0.25">
      <c r="B8" s="51" t="s">
        <v>151</v>
      </c>
      <c r="C8" s="87">
        <f>'Financial Statements'!M82</f>
        <v>8075125.0786259668</v>
      </c>
      <c r="D8" s="56"/>
      <c r="E8" s="73" t="s">
        <v>154</v>
      </c>
      <c r="F8" s="74"/>
      <c r="G8" s="75"/>
      <c r="H8" s="75"/>
      <c r="I8" s="76"/>
    </row>
    <row r="9" spans="2:9" x14ac:dyDescent="0.25">
      <c r="B9" s="51" t="s">
        <v>155</v>
      </c>
      <c r="C9" s="87">
        <f>'Financial Statements'!M75</f>
        <v>3711439.1072716443</v>
      </c>
      <c r="D9" s="53"/>
      <c r="E9" s="51"/>
      <c r="F9" s="72" t="s">
        <v>156</v>
      </c>
      <c r="G9" s="72" t="s">
        <v>157</v>
      </c>
      <c r="H9" s="72" t="s">
        <v>158</v>
      </c>
      <c r="I9" s="72" t="s">
        <v>159</v>
      </c>
    </row>
    <row r="10" spans="2:9" x14ac:dyDescent="0.25">
      <c r="B10" s="51" t="s">
        <v>160</v>
      </c>
      <c r="C10" s="55">
        <f>'Commercial Loan'!K13</f>
        <v>0.03</v>
      </c>
      <c r="D10" s="56"/>
      <c r="E10" s="51" t="s">
        <v>161</v>
      </c>
      <c r="F10" s="87">
        <f>C9</f>
        <v>3711439.1072716443</v>
      </c>
      <c r="G10" s="55">
        <f>F10/F12</f>
        <v>1</v>
      </c>
      <c r="H10" s="55">
        <f>C10</f>
        <v>0.03</v>
      </c>
      <c r="I10" s="55">
        <f>H10*G10</f>
        <v>0.03</v>
      </c>
    </row>
    <row r="11" spans="2:9" x14ac:dyDescent="0.25">
      <c r="B11" s="51" t="s">
        <v>162</v>
      </c>
      <c r="C11" s="58">
        <f>'Financial Statements'!M76</f>
        <v>0</v>
      </c>
      <c r="D11" s="53"/>
      <c r="E11" s="51" t="s">
        <v>162</v>
      </c>
      <c r="F11" s="87">
        <f>C11</f>
        <v>0</v>
      </c>
      <c r="G11" s="55">
        <f>F11/F12</f>
        <v>0</v>
      </c>
      <c r="H11" s="55">
        <f>C12</f>
        <v>0.08</v>
      </c>
      <c r="I11" s="55">
        <f>H11*G11</f>
        <v>0</v>
      </c>
    </row>
    <row r="12" spans="2:9" x14ac:dyDescent="0.25">
      <c r="B12" s="51" t="s">
        <v>163</v>
      </c>
      <c r="C12" s="55">
        <v>0.08</v>
      </c>
      <c r="D12" s="53"/>
      <c r="E12" s="51" t="s">
        <v>164</v>
      </c>
      <c r="F12" s="90">
        <f>SUM(F10:F11)</f>
        <v>3711439.1072716443</v>
      </c>
      <c r="G12" s="59"/>
      <c r="H12" s="60" t="s">
        <v>165</v>
      </c>
      <c r="I12" s="61">
        <f>SUM(I10:I11)</f>
        <v>0.03</v>
      </c>
    </row>
    <row r="13" spans="2:9" x14ac:dyDescent="0.25">
      <c r="B13" s="51" t="s">
        <v>166</v>
      </c>
      <c r="C13" s="55">
        <f>Assumptions!L38</f>
        <v>0.35</v>
      </c>
      <c r="D13" s="56"/>
      <c r="E13" s="51"/>
      <c r="F13" s="51"/>
      <c r="G13" s="51"/>
      <c r="H13" s="62" t="s">
        <v>167</v>
      </c>
      <c r="I13" s="63">
        <f>I12*(1-C13)</f>
        <v>1.95E-2</v>
      </c>
    </row>
    <row r="14" spans="2:9" x14ac:dyDescent="0.25">
      <c r="B14" s="51"/>
      <c r="C14" s="64"/>
      <c r="D14" s="56"/>
      <c r="E14" s="51"/>
      <c r="F14" s="51"/>
      <c r="G14" s="51"/>
      <c r="H14" s="62"/>
      <c r="I14" s="63"/>
    </row>
    <row r="15" spans="2:9" x14ac:dyDescent="0.25">
      <c r="B15" s="51"/>
      <c r="C15" s="51"/>
      <c r="D15" s="65"/>
      <c r="E15" s="73" t="s">
        <v>168</v>
      </c>
      <c r="F15" s="75"/>
      <c r="G15" s="75"/>
      <c r="H15" s="75"/>
      <c r="I15" s="76"/>
    </row>
    <row r="16" spans="2:9" x14ac:dyDescent="0.25">
      <c r="B16" s="51"/>
      <c r="C16" s="51"/>
      <c r="D16" s="65"/>
      <c r="E16" s="51"/>
      <c r="F16" s="72" t="s">
        <v>156</v>
      </c>
      <c r="G16" s="72" t="s">
        <v>157</v>
      </c>
      <c r="H16" s="72" t="s">
        <v>169</v>
      </c>
      <c r="I16" s="72" t="s">
        <v>159</v>
      </c>
    </row>
    <row r="17" spans="2:9" x14ac:dyDescent="0.25">
      <c r="B17" s="51"/>
      <c r="C17" s="64"/>
      <c r="D17" s="56"/>
      <c r="E17" s="51" t="s">
        <v>170</v>
      </c>
      <c r="F17" s="87">
        <f>F6</f>
        <v>11329925.078625966</v>
      </c>
      <c r="G17" s="55">
        <f>F17/$F$19</f>
        <v>0.7532511638305126</v>
      </c>
      <c r="H17" s="55">
        <f>+I13</f>
        <v>1.95E-2</v>
      </c>
      <c r="I17" s="55">
        <f>G17*H17</f>
        <v>1.4688397694694997E-2</v>
      </c>
    </row>
    <row r="18" spans="2:9" x14ac:dyDescent="0.25">
      <c r="B18" s="51"/>
      <c r="C18" s="64"/>
      <c r="D18" s="56"/>
      <c r="E18" s="51" t="s">
        <v>171</v>
      </c>
      <c r="F18" s="87">
        <f>F12</f>
        <v>3711439.1072716443</v>
      </c>
      <c r="G18" s="55">
        <f>F18/$F$19</f>
        <v>0.24674883616948737</v>
      </c>
      <c r="H18" s="55">
        <f>+G4</f>
        <v>0.3935439752740032</v>
      </c>
      <c r="I18" s="55">
        <f>G18*H18</f>
        <v>9.7106517880373805E-2</v>
      </c>
    </row>
    <row r="19" spans="2:9" x14ac:dyDescent="0.25">
      <c r="B19" s="51"/>
      <c r="C19" s="64"/>
      <c r="D19" s="56"/>
      <c r="E19" s="51" t="s">
        <v>156</v>
      </c>
      <c r="F19" s="90">
        <f>SUM(F17:F18)</f>
        <v>15041364.185897611</v>
      </c>
      <c r="G19" s="57"/>
      <c r="H19" s="66" t="s">
        <v>172</v>
      </c>
      <c r="I19" s="67">
        <f>SUM(I17:I18)</f>
        <v>0.11179491557506881</v>
      </c>
    </row>
    <row r="20" spans="2:9" x14ac:dyDescent="0.25">
      <c r="B20" s="51"/>
      <c r="C20" s="64"/>
      <c r="D20" s="56"/>
      <c r="E20" s="51"/>
      <c r="F20" s="51"/>
      <c r="G20" s="51"/>
      <c r="H20" s="68"/>
      <c r="I20" s="69"/>
    </row>
    <row r="21" spans="2:9" x14ac:dyDescent="0.25">
      <c r="B21" s="77" t="s">
        <v>173</v>
      </c>
      <c r="C21" s="79"/>
      <c r="D21" s="79"/>
      <c r="E21" s="75"/>
      <c r="F21" s="75"/>
      <c r="G21" s="75"/>
      <c r="H21" s="75"/>
      <c r="I21" s="76"/>
    </row>
    <row r="22" spans="2:9" x14ac:dyDescent="0.25">
      <c r="B22" s="65" t="s">
        <v>174</v>
      </c>
      <c r="C22" s="83">
        <f>+G17</f>
        <v>0.7532511638305126</v>
      </c>
      <c r="D22" s="56"/>
      <c r="E22" s="51" t="s">
        <v>175</v>
      </c>
      <c r="F22" s="58">
        <v>1.2450000000000001</v>
      </c>
      <c r="G22" s="51"/>
      <c r="H22" s="68" t="s">
        <v>176</v>
      </c>
      <c r="I22" s="70">
        <f>(1+(1-C13)*(C22/C23))*F22</f>
        <v>3.7154007272850547</v>
      </c>
    </row>
    <row r="23" spans="2:9" x14ac:dyDescent="0.25">
      <c r="B23" t="s">
        <v>178</v>
      </c>
      <c r="C23" s="84">
        <f>+G18</f>
        <v>0.24674883616948737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O121"/>
  <sheetViews>
    <sheetView showGridLines="0" zoomScale="80" zoomScaleNormal="80" workbookViewId="0">
      <selection activeCell="B116" sqref="B116:M121"/>
    </sheetView>
  </sheetViews>
  <sheetFormatPr defaultRowHeight="15" x14ac:dyDescent="0.25"/>
  <cols>
    <col min="1" max="1" width="5.7109375" style="1" customWidth="1"/>
    <col min="2" max="2" width="33.28515625" style="1" bestFit="1" customWidth="1"/>
    <col min="3" max="3" width="14" style="1" bestFit="1" customWidth="1"/>
    <col min="4" max="5" width="13.28515625" style="1" bestFit="1" customWidth="1"/>
    <col min="6" max="13" width="14.28515625" style="1" bestFit="1" customWidth="1"/>
    <col min="14" max="14" width="58.85546875" style="1" bestFit="1" customWidth="1"/>
    <col min="15" max="15" width="20.7109375" style="1" bestFit="1" customWidth="1"/>
    <col min="16" max="16384" width="9.140625" style="1"/>
  </cols>
  <sheetData>
    <row r="2" spans="2:13" s="100" customFormat="1" x14ac:dyDescent="0.25">
      <c r="D2" s="100">
        <v>2013</v>
      </c>
      <c r="E2" s="100">
        <v>2014</v>
      </c>
      <c r="F2" s="100">
        <v>2015</v>
      </c>
      <c r="G2" s="100">
        <v>2016</v>
      </c>
      <c r="H2" s="100">
        <v>2017</v>
      </c>
      <c r="I2" s="100">
        <v>2018</v>
      </c>
      <c r="J2" s="100">
        <v>2019</v>
      </c>
      <c r="K2" s="100">
        <v>2020</v>
      </c>
      <c r="L2" s="100">
        <v>2021</v>
      </c>
      <c r="M2" s="100">
        <v>2022</v>
      </c>
    </row>
    <row r="3" spans="2:13" hidden="1" x14ac:dyDescent="0.25">
      <c r="B3" s="1" t="s">
        <v>105</v>
      </c>
    </row>
    <row r="4" spans="2:13" hidden="1" x14ac:dyDescent="0.25">
      <c r="B4" s="1" t="s">
        <v>38</v>
      </c>
    </row>
    <row r="5" spans="2:13" hidden="1" x14ac:dyDescent="0.25">
      <c r="B5" s="1" t="s">
        <v>25</v>
      </c>
    </row>
    <row r="6" spans="2:13" hidden="1" x14ac:dyDescent="0.25">
      <c r="B6" s="1" t="s">
        <v>26</v>
      </c>
      <c r="D6" s="1">
        <v>2000000</v>
      </c>
      <c r="E6" s="1">
        <v>2100000</v>
      </c>
      <c r="F6" s="1">
        <v>2205000</v>
      </c>
      <c r="G6" s="1">
        <v>2315250</v>
      </c>
      <c r="H6" s="1">
        <v>2431012.5000000005</v>
      </c>
      <c r="I6" s="1">
        <v>2871633.5156250005</v>
      </c>
      <c r="J6" s="1">
        <v>3015215.1914062509</v>
      </c>
      <c r="K6" s="1">
        <v>3165975.9509765636</v>
      </c>
      <c r="L6" s="1">
        <v>3324274.7485253918</v>
      </c>
      <c r="M6" s="1">
        <v>3490488.4859516616</v>
      </c>
    </row>
    <row r="7" spans="2:13" hidden="1" x14ac:dyDescent="0.25">
      <c r="B7" s="1" t="s">
        <v>16</v>
      </c>
    </row>
    <row r="8" spans="2:13" hidden="1" x14ac:dyDescent="0.25">
      <c r="B8" s="1" t="s">
        <v>17</v>
      </c>
      <c r="D8" s="1">
        <v>14400</v>
      </c>
      <c r="E8" s="1">
        <v>14400</v>
      </c>
      <c r="F8" s="1">
        <v>14400</v>
      </c>
      <c r="G8" s="1">
        <v>14400</v>
      </c>
      <c r="H8" s="1">
        <v>14400</v>
      </c>
      <c r="I8" s="1">
        <v>14400</v>
      </c>
      <c r="J8" s="1">
        <v>14400</v>
      </c>
      <c r="K8" s="1">
        <v>14400</v>
      </c>
      <c r="L8" s="1">
        <v>14400</v>
      </c>
      <c r="M8" s="1">
        <v>14400</v>
      </c>
    </row>
    <row r="9" spans="2:13" hidden="1" x14ac:dyDescent="0.25">
      <c r="B9" s="1" t="s">
        <v>18</v>
      </c>
      <c r="D9" s="1">
        <v>8640</v>
      </c>
      <c r="E9" s="1">
        <v>8640</v>
      </c>
      <c r="F9" s="1">
        <v>8640</v>
      </c>
      <c r="G9" s="1">
        <v>8640</v>
      </c>
      <c r="H9" s="1">
        <v>8640</v>
      </c>
      <c r="I9" s="1">
        <v>8640</v>
      </c>
      <c r="J9" s="1">
        <v>8640</v>
      </c>
      <c r="K9" s="1">
        <v>8640</v>
      </c>
      <c r="L9" s="1">
        <v>8640</v>
      </c>
      <c r="M9" s="1">
        <v>8640</v>
      </c>
    </row>
    <row r="10" spans="2:13" hidden="1" x14ac:dyDescent="0.25">
      <c r="B10" s="1" t="s">
        <v>19</v>
      </c>
    </row>
    <row r="11" spans="2:13" hidden="1" x14ac:dyDescent="0.25">
      <c r="B11" s="1" t="s">
        <v>20</v>
      </c>
      <c r="D11" s="1">
        <v>500000</v>
      </c>
      <c r="E11" s="1">
        <v>510000</v>
      </c>
      <c r="F11" s="1">
        <v>520200</v>
      </c>
      <c r="G11" s="1">
        <v>530604</v>
      </c>
      <c r="H11" s="1">
        <v>541216.07999999996</v>
      </c>
      <c r="I11" s="1">
        <v>552040.40159999998</v>
      </c>
      <c r="J11" s="1">
        <v>563081.20963199995</v>
      </c>
      <c r="K11" s="1">
        <v>574342.83382463991</v>
      </c>
      <c r="L11" s="1">
        <v>585829.69050113275</v>
      </c>
      <c r="M11" s="1">
        <v>597546.28431115544</v>
      </c>
    </row>
    <row r="12" spans="2:13" hidden="1" x14ac:dyDescent="0.25">
      <c r="B12" s="1" t="s">
        <v>21</v>
      </c>
      <c r="D12" s="1">
        <v>20000</v>
      </c>
      <c r="E12" s="1">
        <v>20600</v>
      </c>
      <c r="F12" s="1">
        <v>21218</v>
      </c>
      <c r="G12" s="1">
        <v>21854.54</v>
      </c>
      <c r="H12" s="1">
        <v>22510.176200000002</v>
      </c>
      <c r="I12" s="1">
        <v>23185.481486000001</v>
      </c>
      <c r="J12" s="1">
        <v>23881.04593058</v>
      </c>
      <c r="K12" s="1">
        <v>24597.4773084974</v>
      </c>
      <c r="L12" s="1">
        <v>25335.401627752322</v>
      </c>
      <c r="M12" s="1">
        <v>26095.463676584892</v>
      </c>
    </row>
    <row r="13" spans="2:13" hidden="1" x14ac:dyDescent="0.25">
      <c r="B13" s="1" t="s">
        <v>22</v>
      </c>
      <c r="D13" s="1">
        <v>80000</v>
      </c>
      <c r="E13" s="1">
        <v>81600</v>
      </c>
      <c r="F13" s="1">
        <v>83232</v>
      </c>
      <c r="G13" s="1">
        <v>84896.639999999999</v>
      </c>
      <c r="H13" s="1">
        <v>86594.572799999994</v>
      </c>
      <c r="I13" s="1">
        <v>88326.464255999992</v>
      </c>
      <c r="J13" s="1">
        <v>90092.993541119999</v>
      </c>
      <c r="K13" s="1">
        <v>91894.8534119424</v>
      </c>
      <c r="L13" s="1">
        <v>93732.750480181247</v>
      </c>
      <c r="M13" s="1">
        <v>95607.405489784869</v>
      </c>
    </row>
    <row r="14" spans="2:13" hidden="1" x14ac:dyDescent="0.25">
      <c r="B14" s="1" t="s">
        <v>23</v>
      </c>
    </row>
    <row r="15" spans="2:13" hidden="1" x14ac:dyDescent="0.25">
      <c r="B15" s="1" t="s">
        <v>24</v>
      </c>
      <c r="D15" s="1">
        <v>100000</v>
      </c>
      <c r="E15" s="1">
        <v>103000</v>
      </c>
      <c r="F15" s="1">
        <v>106090</v>
      </c>
      <c r="G15" s="1">
        <v>109272.7</v>
      </c>
      <c r="H15" s="1">
        <v>112550.88099999999</v>
      </c>
      <c r="I15" s="1">
        <v>115927.40742999999</v>
      </c>
      <c r="J15" s="1">
        <v>119405.2296529</v>
      </c>
      <c r="K15" s="1">
        <v>122987.386542487</v>
      </c>
      <c r="L15" s="1">
        <v>126677.00813876161</v>
      </c>
      <c r="M15" s="1">
        <v>130477.31838292447</v>
      </c>
    </row>
    <row r="16" spans="2:13" hidden="1" x14ac:dyDescent="0.25"/>
    <row r="17" spans="2:14" hidden="1" x14ac:dyDescent="0.25">
      <c r="B17" s="1" t="s">
        <v>73</v>
      </c>
      <c r="D17" s="1">
        <v>2723040</v>
      </c>
      <c r="E17" s="1">
        <v>2838240</v>
      </c>
      <c r="F17" s="1">
        <v>2958780</v>
      </c>
      <c r="G17" s="1">
        <v>3084917.8800000004</v>
      </c>
      <c r="H17" s="1">
        <v>3216924.2100000009</v>
      </c>
      <c r="I17" s="1">
        <v>3674153.2703970005</v>
      </c>
      <c r="J17" s="1">
        <v>3834715.6701628505</v>
      </c>
      <c r="K17" s="1">
        <v>4002838.5020641303</v>
      </c>
      <c r="L17" s="1">
        <v>4178889.5992732192</v>
      </c>
      <c r="M17" s="1">
        <v>4363254.9578121109</v>
      </c>
    </row>
    <row r="18" spans="2:14" hidden="1" x14ac:dyDescent="0.25"/>
    <row r="19" spans="2:14" hidden="1" x14ac:dyDescent="0.25">
      <c r="B19" s="1" t="s">
        <v>2</v>
      </c>
    </row>
    <row r="20" spans="2:14" hidden="1" x14ac:dyDescent="0.25">
      <c r="B20" s="1" t="s">
        <v>27</v>
      </c>
      <c r="D20" s="1">
        <v>1032000</v>
      </c>
      <c r="E20" s="1">
        <v>1038000</v>
      </c>
      <c r="F20" s="1">
        <v>1044060</v>
      </c>
      <c r="G20" s="1">
        <v>1050180.6000000001</v>
      </c>
      <c r="H20" s="1">
        <v>1056362.406</v>
      </c>
      <c r="I20" s="1">
        <v>1233666.633066</v>
      </c>
      <c r="J20" s="1">
        <v>1240603.2993966599</v>
      </c>
      <c r="K20" s="1">
        <v>1247609.3323906264</v>
      </c>
      <c r="L20" s="1">
        <v>1254685.4257145328</v>
      </c>
      <c r="M20" s="1">
        <v>1261832.2799716783</v>
      </c>
    </row>
    <row r="21" spans="2:14" hidden="1" x14ac:dyDescent="0.25">
      <c r="B21" s="1" t="s">
        <v>50</v>
      </c>
      <c r="D21" s="1">
        <v>6666.6666666666679</v>
      </c>
      <c r="E21" s="1">
        <v>6733.333333333333</v>
      </c>
      <c r="F21" s="1">
        <v>6800.6666666666679</v>
      </c>
      <c r="G21" s="1">
        <v>6868.6733333333323</v>
      </c>
      <c r="H21" s="1">
        <v>6937.3600666666671</v>
      </c>
      <c r="I21" s="1">
        <v>7006.733667333333</v>
      </c>
      <c r="J21" s="1">
        <v>7076.8010040066656</v>
      </c>
      <c r="K21" s="1">
        <v>7147.5690140467332</v>
      </c>
      <c r="L21" s="1">
        <v>7219.0447041872003</v>
      </c>
      <c r="M21" s="1">
        <v>7291.2351512290734</v>
      </c>
    </row>
    <row r="22" spans="2:14" hidden="1" x14ac:dyDescent="0.25">
      <c r="B22" s="1" t="s">
        <v>98</v>
      </c>
      <c r="D22" s="1">
        <v>4000</v>
      </c>
      <c r="E22" s="1">
        <v>4040</v>
      </c>
      <c r="F22" s="1">
        <v>4080.4</v>
      </c>
      <c r="G22" s="1">
        <v>4121.2039999999997</v>
      </c>
      <c r="H22" s="1">
        <v>4162.4160400000001</v>
      </c>
      <c r="I22" s="1">
        <v>4204.0402003999998</v>
      </c>
      <c r="J22" s="1">
        <v>4246.0806024039994</v>
      </c>
      <c r="K22" s="1">
        <v>4288.5414084280392</v>
      </c>
      <c r="L22" s="1">
        <v>4331.4268225123196</v>
      </c>
      <c r="M22" s="1">
        <v>4374.7410907374433</v>
      </c>
    </row>
    <row r="23" spans="2:14" hidden="1" x14ac:dyDescent="0.25">
      <c r="B23" s="1" t="s">
        <v>99</v>
      </c>
      <c r="D23" s="1">
        <v>2000</v>
      </c>
      <c r="E23" s="1">
        <v>2000</v>
      </c>
      <c r="F23" s="1">
        <v>2000</v>
      </c>
      <c r="G23" s="1">
        <v>2000</v>
      </c>
      <c r="H23" s="1">
        <v>2000</v>
      </c>
      <c r="I23" s="1">
        <v>2000</v>
      </c>
      <c r="J23" s="1">
        <v>2000</v>
      </c>
      <c r="K23" s="1">
        <v>2000</v>
      </c>
      <c r="L23" s="1">
        <v>2000</v>
      </c>
      <c r="M23" s="1">
        <v>2000</v>
      </c>
    </row>
    <row r="24" spans="2:14" hidden="1" x14ac:dyDescent="0.25">
      <c r="B24" s="1" t="s">
        <v>66</v>
      </c>
      <c r="D24" s="1">
        <v>250000</v>
      </c>
      <c r="E24" s="1">
        <v>255000</v>
      </c>
      <c r="F24" s="1">
        <v>260100</v>
      </c>
      <c r="G24" s="1">
        <v>265302</v>
      </c>
      <c r="H24" s="1">
        <v>270608.03999999998</v>
      </c>
      <c r="I24" s="1">
        <v>276020.20079999999</v>
      </c>
      <c r="J24" s="1">
        <v>281540.60481599998</v>
      </c>
      <c r="K24" s="1">
        <v>287171.41691231995</v>
      </c>
      <c r="L24" s="1">
        <v>292914.84525056637</v>
      </c>
      <c r="M24" s="1">
        <v>298773.14215557772</v>
      </c>
    </row>
    <row r="25" spans="2:14" hidden="1" x14ac:dyDescent="0.25">
      <c r="B25" s="1" t="s">
        <v>67</v>
      </c>
      <c r="D25" s="1">
        <v>12000</v>
      </c>
      <c r="E25" s="1">
        <v>12360</v>
      </c>
      <c r="F25" s="1">
        <v>12730.8</v>
      </c>
      <c r="G25" s="1">
        <v>13112.724</v>
      </c>
      <c r="H25" s="1">
        <v>13506.105720000001</v>
      </c>
      <c r="I25" s="1">
        <v>13911.288891599999</v>
      </c>
      <c r="J25" s="1">
        <v>14328.627558348</v>
      </c>
      <c r="K25" s="1">
        <v>14758.48638509844</v>
      </c>
      <c r="L25" s="1">
        <v>15201.240976651392</v>
      </c>
      <c r="M25" s="1">
        <v>15657.278205950934</v>
      </c>
    </row>
    <row r="26" spans="2:14" hidden="1" x14ac:dyDescent="0.25">
      <c r="B26" s="1" t="s">
        <v>68</v>
      </c>
      <c r="D26" s="1">
        <v>60000</v>
      </c>
      <c r="E26" s="1">
        <v>61200</v>
      </c>
      <c r="F26" s="1">
        <v>62424</v>
      </c>
      <c r="G26" s="1">
        <v>63672.479999999996</v>
      </c>
      <c r="H26" s="1">
        <v>64945.929599999996</v>
      </c>
      <c r="I26" s="1">
        <v>66244.84819199999</v>
      </c>
      <c r="J26" s="1">
        <v>67569.745155840006</v>
      </c>
      <c r="K26" s="1">
        <v>68921.140058956807</v>
      </c>
      <c r="L26" s="1">
        <v>70299.562860135935</v>
      </c>
      <c r="M26" s="1">
        <v>71705.554117338645</v>
      </c>
    </row>
    <row r="27" spans="2:14" hidden="1" x14ac:dyDescent="0.25">
      <c r="B27" s="1" t="s">
        <v>29</v>
      </c>
      <c r="D27" s="1">
        <v>163533.33333333334</v>
      </c>
      <c r="E27" s="1">
        <v>163533.33333333334</v>
      </c>
      <c r="F27" s="1">
        <v>163533.33333333334</v>
      </c>
      <c r="G27" s="1">
        <v>163533.33333333334</v>
      </c>
      <c r="H27" s="1">
        <v>163533.33333333334</v>
      </c>
      <c r="I27" s="1">
        <v>163533.33333333334</v>
      </c>
      <c r="J27" s="1">
        <v>163533.33333333334</v>
      </c>
      <c r="K27" s="1">
        <v>163533.33333333334</v>
      </c>
      <c r="L27" s="1">
        <v>163533.33333333334</v>
      </c>
      <c r="M27" s="1">
        <v>163533.33333333334</v>
      </c>
    </row>
    <row r="28" spans="2:14" hidden="1" x14ac:dyDescent="0.25">
      <c r="B28" s="1" t="s">
        <v>7</v>
      </c>
      <c r="D28" s="1">
        <v>145072.03651713216</v>
      </c>
      <c r="E28" s="1">
        <v>141971.72011090608</v>
      </c>
      <c r="F28" s="1">
        <v>138777.10461444996</v>
      </c>
      <c r="G28" s="1">
        <v>135485.32183069849</v>
      </c>
      <c r="H28" s="1">
        <v>132093.41632362775</v>
      </c>
      <c r="I28" s="1">
        <v>128598.34276479926</v>
      </c>
      <c r="J28" s="1">
        <v>124996.9631991959</v>
      </c>
      <c r="K28" s="1">
        <v>121286.04422789597</v>
      </c>
      <c r="L28" s="1">
        <v>117462.2541050555</v>
      </c>
      <c r="M28" s="1">
        <v>113522.15974659241</v>
      </c>
    </row>
    <row r="29" spans="2:14" hidden="1" x14ac:dyDescent="0.25">
      <c r="B29" s="1" t="s">
        <v>79</v>
      </c>
      <c r="D29" s="1">
        <v>12000</v>
      </c>
      <c r="E29" s="1">
        <v>12120</v>
      </c>
      <c r="F29" s="1">
        <v>12241.2</v>
      </c>
      <c r="G29" s="1">
        <v>12363.612000000001</v>
      </c>
      <c r="H29" s="1">
        <v>12487.248120000002</v>
      </c>
      <c r="I29" s="1">
        <v>12612.120601200002</v>
      </c>
      <c r="J29" s="1">
        <v>12738.241807212002</v>
      </c>
      <c r="K29" s="1">
        <v>12865.624225284122</v>
      </c>
      <c r="L29" s="1">
        <v>12994.280467536963</v>
      </c>
      <c r="M29" s="1">
        <v>13124.223272212332</v>
      </c>
    </row>
    <row r="30" spans="2:14" hidden="1" x14ac:dyDescent="0.25">
      <c r="B30" s="1" t="s">
        <v>36</v>
      </c>
      <c r="D30" s="1">
        <v>13615.2</v>
      </c>
      <c r="E30" s="1">
        <v>14191.2</v>
      </c>
      <c r="F30" s="1">
        <v>14793.9</v>
      </c>
      <c r="G30" s="1">
        <v>15424.589400000003</v>
      </c>
      <c r="H30" s="1">
        <v>16084.621050000005</v>
      </c>
      <c r="I30" s="1">
        <v>18370.766351985003</v>
      </c>
      <c r="J30" s="1">
        <v>19173.578350814252</v>
      </c>
      <c r="K30" s="1">
        <v>20014.192510320652</v>
      </c>
      <c r="L30" s="1">
        <v>20894.447996366096</v>
      </c>
      <c r="M30" s="1">
        <v>21816.274789060553</v>
      </c>
    </row>
    <row r="31" spans="2:14" hidden="1" x14ac:dyDescent="0.25">
      <c r="B31" s="1" t="s">
        <v>103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 t="s">
        <v>131</v>
      </c>
    </row>
    <row r="32" spans="2:14" hidden="1" x14ac:dyDescent="0.25">
      <c r="B32" s="1" t="s">
        <v>37</v>
      </c>
      <c r="D32" s="1">
        <v>108921.60000000001</v>
      </c>
      <c r="E32" s="1">
        <v>170294.39999999999</v>
      </c>
      <c r="F32" s="1">
        <v>177526.8</v>
      </c>
      <c r="G32" s="1">
        <v>185095.07280000002</v>
      </c>
      <c r="H32" s="1">
        <v>160846.21050000004</v>
      </c>
      <c r="I32" s="1">
        <v>183707.66351985003</v>
      </c>
      <c r="J32" s="1">
        <v>153388.62680651402</v>
      </c>
      <c r="K32" s="1">
        <v>160113.54008256522</v>
      </c>
      <c r="L32" s="1">
        <v>167155.58397092877</v>
      </c>
      <c r="M32" s="1">
        <v>174530.19831248443</v>
      </c>
      <c r="N32" s="1" t="s">
        <v>133</v>
      </c>
    </row>
    <row r="33" spans="2:14" hidden="1" x14ac:dyDescent="0.25"/>
    <row r="34" spans="2:14" hidden="1" x14ac:dyDescent="0.25">
      <c r="B34" s="1" t="s">
        <v>100</v>
      </c>
      <c r="D34" s="1">
        <v>1809808.8365171319</v>
      </c>
      <c r="E34" s="1">
        <v>1881443.9867775727</v>
      </c>
      <c r="F34" s="1">
        <v>1899068.2046144498</v>
      </c>
      <c r="G34" s="1">
        <v>1917159.6106973649</v>
      </c>
      <c r="H34" s="1">
        <v>1903567.0867536278</v>
      </c>
      <c r="I34" s="1">
        <v>2109875.9713885011</v>
      </c>
      <c r="J34" s="1">
        <v>2091195.9020303281</v>
      </c>
      <c r="K34" s="1">
        <v>2109709.2205488756</v>
      </c>
      <c r="L34" s="1">
        <v>2128691.4462018069</v>
      </c>
      <c r="M34" s="1">
        <v>2148160.4201461952</v>
      </c>
    </row>
    <row r="35" spans="2:14" hidden="1" x14ac:dyDescent="0.25"/>
    <row r="36" spans="2:14" hidden="1" x14ac:dyDescent="0.25">
      <c r="B36" s="1" t="s">
        <v>30</v>
      </c>
      <c r="D36" s="1">
        <v>913231.16348286811</v>
      </c>
      <c r="E36" s="1">
        <v>956796.01322242734</v>
      </c>
      <c r="F36" s="1">
        <v>1059711.7953855502</v>
      </c>
      <c r="G36" s="1">
        <v>1167758.2693026355</v>
      </c>
      <c r="H36" s="1">
        <v>1313357.1232463731</v>
      </c>
      <c r="I36" s="1">
        <v>1564277.2990084994</v>
      </c>
      <c r="J36" s="1">
        <v>1743519.7681325225</v>
      </c>
      <c r="K36" s="1">
        <v>1893129.2815152546</v>
      </c>
      <c r="L36" s="1">
        <v>2050198.1530714124</v>
      </c>
      <c r="M36" s="1">
        <v>2215094.5376659157</v>
      </c>
    </row>
    <row r="37" spans="2:14" hidden="1" x14ac:dyDescent="0.25">
      <c r="B37" s="1" t="s">
        <v>31</v>
      </c>
      <c r="D37" s="1">
        <v>0.35</v>
      </c>
      <c r="E37" s="1">
        <v>0.35</v>
      </c>
      <c r="F37" s="1">
        <v>0.35</v>
      </c>
      <c r="G37" s="1">
        <v>0.35</v>
      </c>
      <c r="H37" s="1">
        <v>0.35</v>
      </c>
      <c r="I37" s="1">
        <v>0.35</v>
      </c>
      <c r="J37" s="1">
        <v>0.35</v>
      </c>
      <c r="K37" s="1">
        <v>0.35</v>
      </c>
      <c r="L37" s="1">
        <v>0.35</v>
      </c>
      <c r="M37" s="1">
        <v>0.35</v>
      </c>
    </row>
    <row r="38" spans="2:14" hidden="1" x14ac:dyDescent="0.25">
      <c r="B38" s="1" t="s">
        <v>32</v>
      </c>
      <c r="D38" s="1">
        <v>319630.90721900383</v>
      </c>
      <c r="E38" s="1">
        <v>334878.60462784953</v>
      </c>
      <c r="F38" s="1">
        <v>370899.12838494254</v>
      </c>
      <c r="G38" s="1">
        <v>408715.39425592241</v>
      </c>
      <c r="H38" s="1">
        <v>459674.99313623057</v>
      </c>
      <c r="I38" s="1">
        <v>547497.05465297471</v>
      </c>
      <c r="J38" s="1">
        <v>610231.91884638288</v>
      </c>
      <c r="K38" s="1">
        <v>662595.2485303391</v>
      </c>
      <c r="L38" s="1">
        <v>717569.35357499425</v>
      </c>
      <c r="M38" s="1">
        <v>775283.08818307042</v>
      </c>
    </row>
    <row r="39" spans="2:14" hidden="1" x14ac:dyDescent="0.25"/>
    <row r="40" spans="2:14" hidden="1" x14ac:dyDescent="0.25">
      <c r="B40" s="1" t="s">
        <v>116</v>
      </c>
      <c r="D40" s="1">
        <v>593600.25626386423</v>
      </c>
      <c r="E40" s="1">
        <v>621917.40859457781</v>
      </c>
      <c r="F40" s="1">
        <v>688812.6670006077</v>
      </c>
      <c r="G40" s="1">
        <v>759042.87504671304</v>
      </c>
      <c r="H40" s="1">
        <v>853682.13011014252</v>
      </c>
      <c r="I40" s="1">
        <v>1016780.2443555247</v>
      </c>
      <c r="J40" s="1">
        <v>1133287.8492861395</v>
      </c>
      <c r="K40" s="1">
        <v>1230534.0329849157</v>
      </c>
      <c r="L40" s="1">
        <v>1332628.7994964181</v>
      </c>
      <c r="M40" s="1">
        <v>1439811.4494828451</v>
      </c>
    </row>
    <row r="41" spans="2:14" hidden="1" x14ac:dyDescent="0.25"/>
    <row r="42" spans="2:14" hidden="1" x14ac:dyDescent="0.25"/>
    <row r="43" spans="2:14" hidden="1" x14ac:dyDescent="0.25">
      <c r="B43" s="1" t="s">
        <v>106</v>
      </c>
    </row>
    <row r="44" spans="2:14" hidden="1" x14ac:dyDescent="0.25">
      <c r="B44" s="1" t="s">
        <v>4</v>
      </c>
    </row>
    <row r="45" spans="2:14" hidden="1" x14ac:dyDescent="0.25">
      <c r="B45" s="1" t="s">
        <v>33</v>
      </c>
    </row>
    <row r="46" spans="2:14" hidden="1" x14ac:dyDescent="0.25">
      <c r="B46" s="1" t="s">
        <v>80</v>
      </c>
      <c r="D46" s="1">
        <v>50000</v>
      </c>
      <c r="E46" s="1">
        <v>50000</v>
      </c>
      <c r="F46" s="1">
        <v>50000</v>
      </c>
      <c r="G46" s="1">
        <v>50000</v>
      </c>
      <c r="H46" s="1">
        <v>50000</v>
      </c>
      <c r="I46" s="1">
        <v>50000</v>
      </c>
      <c r="J46" s="1">
        <v>50000</v>
      </c>
      <c r="K46" s="1">
        <v>50000</v>
      </c>
      <c r="L46" s="1">
        <v>50000</v>
      </c>
      <c r="M46" s="1">
        <v>50000</v>
      </c>
    </row>
    <row r="47" spans="2:14" hidden="1" x14ac:dyDescent="0.25">
      <c r="B47" s="1" t="s">
        <v>81</v>
      </c>
      <c r="D47" s="1">
        <v>940355.77497716923</v>
      </c>
      <c r="E47" s="1">
        <v>1614567.8173011085</v>
      </c>
      <c r="F47" s="1">
        <v>2383648.413814377</v>
      </c>
      <c r="G47" s="1">
        <v>3220941.9353740304</v>
      </c>
      <c r="H47" s="1">
        <v>4168513.3856347627</v>
      </c>
      <c r="I47" s="1">
        <v>5276403.9264229648</v>
      </c>
      <c r="J47" s="1">
        <v>6507139.570876929</v>
      </c>
      <c r="K47" s="1">
        <v>7813015.3003587285</v>
      </c>
      <c r="L47" s="1">
        <v>9219064.4039037134</v>
      </c>
      <c r="M47" s="1">
        <v>10730352.640671831</v>
      </c>
    </row>
    <row r="48" spans="2:14" hidden="1" x14ac:dyDescent="0.25">
      <c r="B48" s="1" t="s">
        <v>41</v>
      </c>
      <c r="D48" s="1">
        <v>223811.50684931508</v>
      </c>
      <c r="E48" s="1">
        <v>233280</v>
      </c>
      <c r="F48" s="1">
        <v>243187.39726027398</v>
      </c>
      <c r="G48" s="1">
        <v>253554.89424657539</v>
      </c>
      <c r="H48" s="1">
        <v>264404.72958904121</v>
      </c>
      <c r="I48" s="1">
        <v>301985.20030660275</v>
      </c>
      <c r="J48" s="1">
        <v>315182.1098763987</v>
      </c>
      <c r="K48" s="1">
        <v>329000.42482718878</v>
      </c>
      <c r="L48" s="1">
        <v>343470.37802245637</v>
      </c>
      <c r="M48" s="1">
        <v>358623.69516263925</v>
      </c>
      <c r="N48" s="1" t="s">
        <v>132</v>
      </c>
    </row>
    <row r="49" spans="2:15" hidden="1" x14ac:dyDescent="0.25">
      <c r="B49" s="1" t="s">
        <v>0</v>
      </c>
      <c r="D49" s="1">
        <v>12350.68493150685</v>
      </c>
      <c r="E49" s="1">
        <v>12602.301369863013</v>
      </c>
      <c r="F49" s="1">
        <v>12859.088219178082</v>
      </c>
      <c r="G49" s="1">
        <v>13121.153030136984</v>
      </c>
      <c r="H49" s="1">
        <v>13388.605628712327</v>
      </c>
      <c r="I49" s="1">
        <v>13661.558165398355</v>
      </c>
      <c r="J49" s="1">
        <v>13940.125165541456</v>
      </c>
      <c r="K49" s="1">
        <v>14224.423580792472</v>
      </c>
      <c r="L49" s="1">
        <v>14514.572841706715</v>
      </c>
      <c r="M49" s="1">
        <v>14810.694911518198</v>
      </c>
    </row>
    <row r="50" spans="2:15" hidden="1" x14ac:dyDescent="0.25">
      <c r="B50" s="1" t="s">
        <v>42</v>
      </c>
      <c r="D50" s="1">
        <v>21784.320000000003</v>
      </c>
      <c r="E50" s="1">
        <v>34058.879999999997</v>
      </c>
      <c r="F50" s="1">
        <v>35505.360000000001</v>
      </c>
      <c r="G50" s="1">
        <v>37019.014560000003</v>
      </c>
      <c r="H50" s="1">
        <v>32169.24210000001</v>
      </c>
      <c r="I50" s="1">
        <v>36741.532703970006</v>
      </c>
      <c r="J50" s="1">
        <v>30677.725361302804</v>
      </c>
      <c r="K50" s="1">
        <v>32022.708016513046</v>
      </c>
      <c r="L50" s="1">
        <v>33431.116794185757</v>
      </c>
      <c r="M50" s="1">
        <v>34906.039662496885</v>
      </c>
    </row>
    <row r="51" spans="2:15" hidden="1" x14ac:dyDescent="0.25"/>
    <row r="52" spans="2:15" hidden="1" x14ac:dyDescent="0.25">
      <c r="B52" s="1" t="s">
        <v>48</v>
      </c>
    </row>
    <row r="53" spans="2:15" hidden="1" x14ac:dyDescent="0.25">
      <c r="B53" s="1" t="s">
        <v>3</v>
      </c>
      <c r="D53" s="1">
        <v>2000000</v>
      </c>
      <c r="E53" s="1">
        <v>2000000</v>
      </c>
      <c r="F53" s="1">
        <v>2000000</v>
      </c>
      <c r="G53" s="1">
        <v>2000000</v>
      </c>
      <c r="H53" s="1">
        <v>2000000</v>
      </c>
      <c r="I53" s="1">
        <v>2000000</v>
      </c>
      <c r="J53" s="1">
        <v>2000000</v>
      </c>
      <c r="K53" s="1">
        <v>2000000</v>
      </c>
      <c r="L53" s="1">
        <v>2000000</v>
      </c>
      <c r="M53" s="1">
        <v>2000000</v>
      </c>
    </row>
    <row r="54" spans="2:15" hidden="1" x14ac:dyDescent="0.25">
      <c r="B54" s="1" t="s">
        <v>47</v>
      </c>
      <c r="D54" s="1">
        <v>6000000</v>
      </c>
      <c r="E54" s="1">
        <v>6000000</v>
      </c>
      <c r="F54" s="1">
        <v>6000000</v>
      </c>
      <c r="G54" s="1">
        <v>6000000</v>
      </c>
      <c r="H54" s="1">
        <v>6000000</v>
      </c>
      <c r="I54" s="1">
        <v>6000000</v>
      </c>
      <c r="J54" s="1">
        <v>6000000</v>
      </c>
      <c r="K54" s="1">
        <v>6000000</v>
      </c>
      <c r="L54" s="1">
        <v>6000000</v>
      </c>
      <c r="M54" s="1">
        <v>6000000</v>
      </c>
    </row>
    <row r="55" spans="2:15" hidden="1" x14ac:dyDescent="0.25">
      <c r="B55" s="1" t="s">
        <v>84</v>
      </c>
      <c r="D55" s="1">
        <v>-150000</v>
      </c>
      <c r="E55" s="1">
        <v>-300000</v>
      </c>
      <c r="F55" s="1">
        <v>-450000</v>
      </c>
      <c r="G55" s="1">
        <v>-600000</v>
      </c>
      <c r="H55" s="1">
        <v>-750000</v>
      </c>
      <c r="I55" s="1">
        <v>-900000</v>
      </c>
      <c r="J55" s="1">
        <v>-1050000</v>
      </c>
      <c r="K55" s="1">
        <v>-1200000</v>
      </c>
      <c r="L55" s="1">
        <v>-1350000</v>
      </c>
      <c r="M55" s="1">
        <v>-1500000</v>
      </c>
    </row>
    <row r="56" spans="2:15" hidden="1" x14ac:dyDescent="0.25">
      <c r="B56" s="1" t="s">
        <v>43</v>
      </c>
      <c r="D56" s="1">
        <v>80000</v>
      </c>
      <c r="E56" s="1">
        <v>80000</v>
      </c>
      <c r="F56" s="1">
        <v>80000</v>
      </c>
      <c r="G56" s="1">
        <v>80000</v>
      </c>
      <c r="H56" s="1">
        <v>80000</v>
      </c>
      <c r="I56" s="1">
        <v>80000</v>
      </c>
      <c r="J56" s="1">
        <v>80000</v>
      </c>
      <c r="K56" s="1">
        <v>80000</v>
      </c>
      <c r="L56" s="1">
        <v>80000</v>
      </c>
      <c r="M56" s="1">
        <v>80000</v>
      </c>
    </row>
    <row r="57" spans="2:15" hidden="1" x14ac:dyDescent="0.25">
      <c r="B57" s="1" t="s">
        <v>57</v>
      </c>
      <c r="D57" s="1">
        <v>-8000</v>
      </c>
      <c r="E57" s="1">
        <v>-16000</v>
      </c>
      <c r="F57" s="1">
        <v>-24000</v>
      </c>
      <c r="G57" s="1">
        <v>-32000</v>
      </c>
      <c r="H57" s="1">
        <v>-40000</v>
      </c>
      <c r="I57" s="1">
        <v>-48000</v>
      </c>
      <c r="J57" s="1">
        <v>-56000</v>
      </c>
      <c r="K57" s="1">
        <v>-64000</v>
      </c>
      <c r="L57" s="1">
        <v>-72000</v>
      </c>
      <c r="M57" s="1">
        <v>-80000</v>
      </c>
    </row>
    <row r="58" spans="2:15" hidden="1" x14ac:dyDescent="0.25">
      <c r="B58" s="1" t="s">
        <v>44</v>
      </c>
      <c r="D58" s="1">
        <v>17000</v>
      </c>
      <c r="E58" s="1">
        <v>17000</v>
      </c>
      <c r="F58" s="1">
        <v>17000</v>
      </c>
      <c r="G58" s="1">
        <v>17000</v>
      </c>
      <c r="H58" s="1">
        <v>17000</v>
      </c>
      <c r="I58" s="1">
        <v>17000</v>
      </c>
      <c r="J58" s="1">
        <v>17000</v>
      </c>
      <c r="K58" s="1">
        <v>17000</v>
      </c>
      <c r="L58" s="1">
        <v>17000</v>
      </c>
      <c r="M58" s="1">
        <v>17000</v>
      </c>
    </row>
    <row r="59" spans="2:15" hidden="1" x14ac:dyDescent="0.25">
      <c r="B59" s="1" t="s">
        <v>56</v>
      </c>
      <c r="D59" s="1">
        <v>-1700</v>
      </c>
      <c r="E59" s="1">
        <v>-3400</v>
      </c>
      <c r="F59" s="1">
        <v>-5100</v>
      </c>
      <c r="G59" s="1">
        <v>-6800</v>
      </c>
      <c r="H59" s="1">
        <v>-8500</v>
      </c>
      <c r="I59" s="1">
        <v>-10200</v>
      </c>
      <c r="J59" s="1">
        <v>-11900</v>
      </c>
      <c r="K59" s="1">
        <v>-13600</v>
      </c>
      <c r="L59" s="1">
        <v>-15300</v>
      </c>
      <c r="M59" s="1">
        <v>-17000</v>
      </c>
    </row>
    <row r="60" spans="2:15" hidden="1" x14ac:dyDescent="0.25">
      <c r="B60" s="1" t="s">
        <v>45</v>
      </c>
      <c r="D60" s="1">
        <v>30000</v>
      </c>
      <c r="E60" s="1">
        <v>30000</v>
      </c>
      <c r="F60" s="1">
        <v>30000</v>
      </c>
      <c r="G60" s="1">
        <v>30000</v>
      </c>
      <c r="H60" s="1">
        <v>30000</v>
      </c>
      <c r="I60" s="1">
        <v>30000</v>
      </c>
      <c r="J60" s="1">
        <v>30000</v>
      </c>
      <c r="K60" s="1">
        <v>30000</v>
      </c>
      <c r="L60" s="1">
        <v>30000</v>
      </c>
      <c r="M60" s="1">
        <v>30000</v>
      </c>
    </row>
    <row r="61" spans="2:15" hidden="1" x14ac:dyDescent="0.25">
      <c r="B61" s="1" t="s">
        <v>55</v>
      </c>
      <c r="D61" s="1">
        <v>-3000</v>
      </c>
      <c r="E61" s="1">
        <v>-6000</v>
      </c>
      <c r="F61" s="1">
        <v>-9000</v>
      </c>
      <c r="G61" s="1">
        <v>-12000</v>
      </c>
      <c r="H61" s="1">
        <v>-15000</v>
      </c>
      <c r="I61" s="1">
        <v>-18000</v>
      </c>
      <c r="J61" s="1">
        <v>-21000</v>
      </c>
      <c r="K61" s="1">
        <v>-24000</v>
      </c>
      <c r="L61" s="1">
        <v>-27000</v>
      </c>
      <c r="M61" s="1">
        <v>-30000</v>
      </c>
    </row>
    <row r="62" spans="2:15" hidden="1" x14ac:dyDescent="0.25">
      <c r="B62" s="1" t="s">
        <v>46</v>
      </c>
      <c r="D62" s="1">
        <v>10000</v>
      </c>
      <c r="E62" s="1">
        <v>10000</v>
      </c>
      <c r="F62" s="1">
        <v>10000</v>
      </c>
      <c r="G62" s="1">
        <v>10000</v>
      </c>
      <c r="H62" s="1">
        <v>10000</v>
      </c>
      <c r="I62" s="1">
        <v>10000</v>
      </c>
      <c r="J62" s="1">
        <v>10000</v>
      </c>
      <c r="K62" s="1">
        <v>10000</v>
      </c>
      <c r="L62" s="1">
        <v>10000</v>
      </c>
      <c r="M62" s="1">
        <v>10000</v>
      </c>
      <c r="O62" s="1" t="s">
        <v>188</v>
      </c>
    </row>
    <row r="63" spans="2:15" hidden="1" x14ac:dyDescent="0.25">
      <c r="B63" s="1" t="s">
        <v>54</v>
      </c>
      <c r="D63" s="1">
        <v>-833.33333333333337</v>
      </c>
      <c r="E63" s="1">
        <v>-1666.6666666666667</v>
      </c>
      <c r="F63" s="1">
        <v>-2500</v>
      </c>
      <c r="G63" s="1">
        <v>-3333.3333333333335</v>
      </c>
      <c r="H63" s="1">
        <v>-4166.666666666667</v>
      </c>
      <c r="I63" s="1">
        <v>-5000</v>
      </c>
      <c r="J63" s="1">
        <v>-5833.333333333333</v>
      </c>
      <c r="K63" s="1">
        <v>-6666.6666666666661</v>
      </c>
      <c r="L63" s="1">
        <v>-7499.9999999999991</v>
      </c>
      <c r="M63" s="1">
        <v>-8333.3333333333321</v>
      </c>
      <c r="O63" s="1">
        <v>0.05</v>
      </c>
    </row>
    <row r="64" spans="2:15" hidden="1" x14ac:dyDescent="0.25"/>
    <row r="65" spans="2:14" hidden="1" x14ac:dyDescent="0.25">
      <c r="B65" s="1" t="s">
        <v>117</v>
      </c>
      <c r="D65" s="1">
        <v>9221768.9534246568</v>
      </c>
      <c r="E65" s="1">
        <v>9754442.332004305</v>
      </c>
      <c r="F65" s="1">
        <v>10371600.259293828</v>
      </c>
      <c r="G65" s="1">
        <v>11057503.663877409</v>
      </c>
      <c r="H65" s="1">
        <v>11847809.296285851</v>
      </c>
      <c r="I65" s="1">
        <v>12834592.217598936</v>
      </c>
      <c r="J65" s="1">
        <v>13909206.197946837</v>
      </c>
      <c r="K65" s="1">
        <v>15066996.190116556</v>
      </c>
      <c r="L65" s="1">
        <v>16325680.471562065</v>
      </c>
      <c r="M65" s="1">
        <v>17690359.737075154</v>
      </c>
    </row>
    <row r="66" spans="2:14" hidden="1" x14ac:dyDescent="0.25"/>
    <row r="67" spans="2:14" hidden="1" x14ac:dyDescent="0.25">
      <c r="B67" s="1" t="s">
        <v>5</v>
      </c>
    </row>
    <row r="68" spans="2:14" hidden="1" x14ac:dyDescent="0.25">
      <c r="B68" s="1" t="s">
        <v>34</v>
      </c>
    </row>
    <row r="69" spans="2:14" hidden="1" x14ac:dyDescent="0.25">
      <c r="B69" s="1" t="s">
        <v>49</v>
      </c>
      <c r="D69" s="1">
        <v>26465.753424657534</v>
      </c>
      <c r="E69" s="1">
        <v>27004.931506849316</v>
      </c>
      <c r="F69" s="1">
        <v>27555.189041095888</v>
      </c>
      <c r="G69" s="1">
        <v>28116.756493150682</v>
      </c>
      <c r="H69" s="1">
        <v>28689.869204383554</v>
      </c>
      <c r="I69" s="1">
        <v>29274.767497282188</v>
      </c>
      <c r="J69" s="1">
        <v>29871.696783303123</v>
      </c>
      <c r="K69" s="1">
        <v>30480.907673126727</v>
      </c>
      <c r="L69" s="1">
        <v>31102.656089371532</v>
      </c>
      <c r="M69" s="1">
        <v>31737.203381824707</v>
      </c>
    </row>
    <row r="70" spans="2:14" hidden="1" x14ac:dyDescent="0.25">
      <c r="B70" s="1" t="s">
        <v>51</v>
      </c>
      <c r="D70" s="1">
        <v>319630.90721900383</v>
      </c>
      <c r="E70" s="1">
        <v>334878.60462784953</v>
      </c>
      <c r="F70" s="1">
        <v>370899.12838494254</v>
      </c>
      <c r="G70" s="1">
        <v>408715.39425592241</v>
      </c>
      <c r="H70" s="1">
        <v>459674.99313623057</v>
      </c>
      <c r="I70" s="1">
        <v>547497.05465297471</v>
      </c>
      <c r="J70" s="1">
        <v>610231.91884638288</v>
      </c>
      <c r="K70" s="1">
        <v>662595.2485303391</v>
      </c>
      <c r="L70" s="1">
        <v>717569.35357499425</v>
      </c>
      <c r="M70" s="1">
        <v>775283.08818307042</v>
      </c>
    </row>
    <row r="71" spans="2:14" hidden="1" x14ac:dyDescent="0.25">
      <c r="B71" s="1" t="s">
        <v>102</v>
      </c>
      <c r="D71" s="1">
        <v>101930.5890997386</v>
      </c>
      <c r="E71" s="1">
        <v>105030.90550596471</v>
      </c>
      <c r="F71" s="1">
        <v>108225.52100242082</v>
      </c>
      <c r="G71" s="1">
        <v>111517.30378617228</v>
      </c>
      <c r="H71" s="1">
        <v>114909.20929324301</v>
      </c>
      <c r="I71" s="1">
        <v>118404.28285207151</v>
      </c>
      <c r="J71" s="1">
        <v>122005.66241767487</v>
      </c>
      <c r="K71" s="1">
        <v>125716.58138897478</v>
      </c>
      <c r="L71" s="1">
        <v>129540.37151181529</v>
      </c>
      <c r="M71" s="1">
        <v>133480.46587027839</v>
      </c>
      <c r="N71" s="1" t="s">
        <v>134</v>
      </c>
    </row>
    <row r="72" spans="2:14" hidden="1" x14ac:dyDescent="0.25">
      <c r="B72" s="1" t="s">
        <v>53</v>
      </c>
      <c r="D72" s="1">
        <v>145072.03651713216</v>
      </c>
      <c r="E72" s="1">
        <v>141971.72011090608</v>
      </c>
      <c r="F72" s="1">
        <v>138777.10461444996</v>
      </c>
      <c r="G72" s="1">
        <v>135485.32183069849</v>
      </c>
      <c r="H72" s="1">
        <v>132093.41632362775</v>
      </c>
      <c r="I72" s="1">
        <v>128598.34276479926</v>
      </c>
      <c r="J72" s="1">
        <v>124996.9631991959</v>
      </c>
      <c r="K72" s="1">
        <v>121286.04422789597</v>
      </c>
      <c r="L72" s="1">
        <v>117462.2541050555</v>
      </c>
      <c r="M72" s="1">
        <v>113522.15974659241</v>
      </c>
    </row>
    <row r="73" spans="2:14" hidden="1" x14ac:dyDescent="0.25"/>
    <row r="74" spans="2:14" hidden="1" x14ac:dyDescent="0.25">
      <c r="B74" s="1" t="s">
        <v>35</v>
      </c>
    </row>
    <row r="75" spans="2:14" hidden="1" x14ac:dyDescent="0.25">
      <c r="B75" s="1" t="s">
        <v>52</v>
      </c>
      <c r="D75" s="1">
        <v>4780269.4109002603</v>
      </c>
      <c r="E75" s="1">
        <v>4675238.5053942949</v>
      </c>
      <c r="F75" s="1">
        <v>4567012.9843918746</v>
      </c>
      <c r="G75" s="1">
        <v>4455495.6806057021</v>
      </c>
      <c r="H75" s="1">
        <v>4340586.4713124586</v>
      </c>
      <c r="I75" s="1">
        <v>4222182.1884603873</v>
      </c>
      <c r="J75" s="1">
        <v>4100176.5260427115</v>
      </c>
      <c r="K75" s="1">
        <v>3974459.9446537369</v>
      </c>
      <c r="L75" s="1">
        <v>3844919.5731419218</v>
      </c>
      <c r="M75" s="1">
        <v>3711439.1072716443</v>
      </c>
    </row>
    <row r="76" spans="2:14" hidden="1" x14ac:dyDescent="0.25">
      <c r="B76" s="1" t="s">
        <v>104</v>
      </c>
    </row>
    <row r="77" spans="2:14" hidden="1" x14ac:dyDescent="0.25"/>
    <row r="78" spans="2:14" hidden="1" x14ac:dyDescent="0.25">
      <c r="B78" s="1" t="s">
        <v>101</v>
      </c>
      <c r="D78" s="1">
        <v>5373368.6971607925</v>
      </c>
      <c r="E78" s="1">
        <v>5284124.6671458641</v>
      </c>
      <c r="F78" s="1">
        <v>5212469.9274347834</v>
      </c>
      <c r="G78" s="1">
        <v>5139330.4569716463</v>
      </c>
      <c r="H78" s="1">
        <v>5075953.9592699436</v>
      </c>
      <c r="I78" s="1">
        <v>5045956.6362275146</v>
      </c>
      <c r="J78" s="1">
        <v>4987282.7672892679</v>
      </c>
      <c r="K78" s="1">
        <v>4914538.7264740737</v>
      </c>
      <c r="L78" s="1">
        <v>4840594.2084231582</v>
      </c>
      <c r="M78" s="1">
        <v>4765462.0244534099</v>
      </c>
    </row>
    <row r="79" spans="2:14" hidden="1" x14ac:dyDescent="0.25"/>
    <row r="80" spans="2:14" hidden="1" x14ac:dyDescent="0.25">
      <c r="B80" s="1" t="s">
        <v>120</v>
      </c>
    </row>
    <row r="81" spans="1:14" hidden="1" x14ac:dyDescent="0.25">
      <c r="B81" s="1" t="s">
        <v>39</v>
      </c>
      <c r="D81" s="1">
        <v>3254800</v>
      </c>
      <c r="E81" s="1">
        <v>3254800</v>
      </c>
      <c r="F81" s="1">
        <v>3254800</v>
      </c>
      <c r="G81" s="1">
        <v>3254800</v>
      </c>
      <c r="H81" s="1">
        <v>3254800</v>
      </c>
      <c r="I81" s="1">
        <v>3254800</v>
      </c>
      <c r="J81" s="1">
        <v>3254800</v>
      </c>
      <c r="K81" s="1">
        <v>3254800</v>
      </c>
      <c r="L81" s="1">
        <v>3254800</v>
      </c>
      <c r="M81" s="1">
        <v>3254800</v>
      </c>
      <c r="N81" s="1" t="s">
        <v>135</v>
      </c>
    </row>
    <row r="82" spans="1:14" hidden="1" x14ac:dyDescent="0.25">
      <c r="B82" s="1" t="s">
        <v>40</v>
      </c>
      <c r="D82" s="1">
        <v>593600.25626386423</v>
      </c>
      <c r="E82" s="1">
        <v>1215517.664858442</v>
      </c>
      <c r="F82" s="1">
        <v>1904330.3318590499</v>
      </c>
      <c r="G82" s="1">
        <v>2663373.2069057627</v>
      </c>
      <c r="H82" s="1">
        <v>3517055.3370159054</v>
      </c>
      <c r="I82" s="1">
        <v>4533835.5813714303</v>
      </c>
      <c r="J82" s="1">
        <v>5667123.4306575693</v>
      </c>
      <c r="K82" s="1">
        <v>6897657.4636424854</v>
      </c>
      <c r="L82" s="1">
        <v>8230286.2631389033</v>
      </c>
      <c r="M82" s="1">
        <v>9670097.7126217484</v>
      </c>
    </row>
    <row r="83" spans="1:14" hidden="1" x14ac:dyDescent="0.25"/>
    <row r="84" spans="1:14" hidden="1" x14ac:dyDescent="0.25">
      <c r="B84" s="1" t="s">
        <v>119</v>
      </c>
      <c r="D84" s="1">
        <v>3848400.2562638642</v>
      </c>
      <c r="E84" s="1">
        <v>4470317.6648584418</v>
      </c>
      <c r="F84" s="1">
        <v>5159130.3318590503</v>
      </c>
      <c r="G84" s="1">
        <v>5918173.2069057627</v>
      </c>
      <c r="H84" s="1">
        <v>6771855.3370159054</v>
      </c>
      <c r="I84" s="1">
        <v>7788635.5813714303</v>
      </c>
      <c r="J84" s="1">
        <v>8921923.4306575693</v>
      </c>
      <c r="K84" s="1">
        <v>10152457.463642485</v>
      </c>
      <c r="L84" s="1">
        <v>11485086.263138903</v>
      </c>
      <c r="M84" s="1">
        <v>12924897.712621748</v>
      </c>
    </row>
    <row r="85" spans="1:14" hidden="1" x14ac:dyDescent="0.25"/>
    <row r="86" spans="1:14" hidden="1" x14ac:dyDescent="0.25">
      <c r="B86" s="1" t="s">
        <v>118</v>
      </c>
      <c r="D86" s="1">
        <v>9221768.9534246568</v>
      </c>
      <c r="E86" s="1">
        <v>9754442.332004305</v>
      </c>
      <c r="F86" s="1">
        <v>10371600.259293834</v>
      </c>
      <c r="G86" s="1">
        <v>11057503.663877409</v>
      </c>
      <c r="H86" s="1">
        <v>11847809.296285849</v>
      </c>
      <c r="I86" s="1">
        <v>12834592.217598945</v>
      </c>
      <c r="J86" s="1">
        <v>13909206.197946837</v>
      </c>
      <c r="K86" s="1">
        <v>15066996.190116558</v>
      </c>
      <c r="L86" s="1">
        <v>16325680.471562061</v>
      </c>
      <c r="M86" s="1">
        <v>17690359.737075157</v>
      </c>
    </row>
    <row r="87" spans="1:14" hidden="1" x14ac:dyDescent="0.25"/>
    <row r="88" spans="1:14" hidden="1" x14ac:dyDescent="0.25">
      <c r="B88" s="1" t="s">
        <v>1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</row>
    <row r="89" spans="1:14" x14ac:dyDescent="0.25">
      <c r="A89" s="1" t="s">
        <v>181</v>
      </c>
    </row>
    <row r="90" spans="1:14" x14ac:dyDescent="0.25">
      <c r="A90" s="1" t="s">
        <v>182</v>
      </c>
    </row>
    <row r="91" spans="1:14" x14ac:dyDescent="0.25">
      <c r="C91" s="1">
        <v>0</v>
      </c>
      <c r="D91" s="1">
        <v>1</v>
      </c>
      <c r="E91" s="1">
        <v>2</v>
      </c>
      <c r="F91" s="1">
        <v>3</v>
      </c>
      <c r="G91" s="1">
        <v>4</v>
      </c>
      <c r="H91" s="1">
        <v>5</v>
      </c>
      <c r="I91" s="1">
        <v>6</v>
      </c>
      <c r="J91" s="1">
        <v>7</v>
      </c>
      <c r="K91" s="1">
        <v>8</v>
      </c>
      <c r="L91" s="1">
        <v>9</v>
      </c>
      <c r="M91" s="1">
        <v>10</v>
      </c>
    </row>
    <row r="92" spans="1:14" x14ac:dyDescent="0.25">
      <c r="B92" s="1" t="s">
        <v>183</v>
      </c>
      <c r="D92" s="1">
        <v>1221836.5333333332</v>
      </c>
      <c r="E92" s="1">
        <v>1262301.0666666669</v>
      </c>
      <c r="F92" s="1">
        <v>1362022.2333333334</v>
      </c>
      <c r="G92" s="1">
        <v>1466776.9244666672</v>
      </c>
      <c r="H92" s="1">
        <v>1608983.8729033342</v>
      </c>
      <c r="I92" s="1">
        <v>1856408.9751066319</v>
      </c>
      <c r="J92" s="1">
        <v>2032050.0646650519</v>
      </c>
      <c r="K92" s="1">
        <v>2177948.6590764835</v>
      </c>
      <c r="L92" s="1">
        <v>2331193.7405098015</v>
      </c>
      <c r="M92" s="1">
        <v>2492150.0307458416</v>
      </c>
    </row>
    <row r="93" spans="1:14" x14ac:dyDescent="0.25">
      <c r="B93" s="1" t="s">
        <v>184</v>
      </c>
      <c r="D93" s="1">
        <v>163533.33333333334</v>
      </c>
      <c r="E93" s="1">
        <v>163533.33333333334</v>
      </c>
      <c r="F93" s="1">
        <v>163533.33333333334</v>
      </c>
      <c r="G93" s="1">
        <v>163533.33333333334</v>
      </c>
      <c r="H93" s="1">
        <v>163533.33333333334</v>
      </c>
      <c r="I93" s="1">
        <v>163533.33333333334</v>
      </c>
      <c r="J93" s="1">
        <v>163533.33333333334</v>
      </c>
      <c r="K93" s="1">
        <v>163533.33333333334</v>
      </c>
      <c r="L93" s="1">
        <v>163533.33333333334</v>
      </c>
      <c r="M93" s="1">
        <v>163533.33333333334</v>
      </c>
    </row>
    <row r="94" spans="1:14" x14ac:dyDescent="0.25">
      <c r="B94" s="1" t="s">
        <v>179</v>
      </c>
      <c r="D94" s="1">
        <v>1058303.2</v>
      </c>
      <c r="E94" s="1">
        <v>1098767.7333333336</v>
      </c>
      <c r="F94" s="1">
        <v>1198488.9000000001</v>
      </c>
      <c r="G94" s="1">
        <v>1303243.591133334</v>
      </c>
      <c r="H94" s="1">
        <v>1445450.539570001</v>
      </c>
      <c r="I94" s="1">
        <v>1692875.6417732986</v>
      </c>
      <c r="J94" s="1">
        <v>1868516.7313317186</v>
      </c>
      <c r="K94" s="1">
        <v>2014415.3257431502</v>
      </c>
      <c r="L94" s="1">
        <v>2167660.4071764681</v>
      </c>
      <c r="M94" s="1">
        <v>2328616.6974125081</v>
      </c>
    </row>
    <row r="95" spans="1:14" x14ac:dyDescent="0.25">
      <c r="B95" s="1" t="s">
        <v>180</v>
      </c>
      <c r="D95" s="1">
        <v>0.35</v>
      </c>
      <c r="E95" s="1">
        <v>0.35</v>
      </c>
      <c r="F95" s="1">
        <v>0.35</v>
      </c>
      <c r="G95" s="1">
        <v>0.35</v>
      </c>
      <c r="H95" s="1">
        <v>0.35</v>
      </c>
      <c r="I95" s="1">
        <v>0.35</v>
      </c>
      <c r="J95" s="1">
        <v>0.35</v>
      </c>
      <c r="K95" s="1">
        <v>0.35</v>
      </c>
      <c r="L95" s="1">
        <v>0.35</v>
      </c>
      <c r="M95" s="1">
        <v>0.35</v>
      </c>
    </row>
    <row r="96" spans="1:14" x14ac:dyDescent="0.25">
      <c r="B96" s="1" t="s">
        <v>185</v>
      </c>
      <c r="D96" s="1">
        <v>370406.11999999994</v>
      </c>
      <c r="E96" s="1">
        <v>384568.70666666672</v>
      </c>
      <c r="F96" s="1">
        <v>419471.11500000005</v>
      </c>
      <c r="G96" s="1">
        <v>456135.25689666689</v>
      </c>
      <c r="H96" s="1">
        <v>505907.68884950032</v>
      </c>
      <c r="I96" s="1">
        <v>592506.47462065448</v>
      </c>
      <c r="J96" s="1">
        <v>653980.85596610152</v>
      </c>
      <c r="K96" s="1">
        <v>705045.36401010258</v>
      </c>
      <c r="L96" s="1">
        <v>758681.14251176373</v>
      </c>
      <c r="M96" s="1">
        <v>815015.84409437783</v>
      </c>
    </row>
    <row r="97" spans="1:15" x14ac:dyDescent="0.25">
      <c r="B97" s="1" t="s">
        <v>186</v>
      </c>
      <c r="D97" s="1">
        <v>851430.41333333333</v>
      </c>
      <c r="E97" s="1">
        <v>877732.3600000001</v>
      </c>
      <c r="F97" s="1">
        <v>942551.1183333334</v>
      </c>
      <c r="G97" s="1">
        <v>1010641.6675700003</v>
      </c>
      <c r="H97" s="1">
        <v>1103076.1840538338</v>
      </c>
      <c r="I97" s="1">
        <v>1263902.5004859774</v>
      </c>
      <c r="J97" s="1">
        <v>1378069.2086989502</v>
      </c>
      <c r="K97" s="1">
        <v>1472903.2950663809</v>
      </c>
      <c r="L97" s="1">
        <v>1572512.5979980379</v>
      </c>
      <c r="M97" s="1">
        <v>1677134.1866514636</v>
      </c>
    </row>
    <row r="99" spans="1:15" x14ac:dyDescent="0.25">
      <c r="A99" s="1" t="s">
        <v>187</v>
      </c>
    </row>
    <row r="100" spans="1:15" x14ac:dyDescent="0.25">
      <c r="B100" s="1" t="s">
        <v>190</v>
      </c>
      <c r="C100" s="1">
        <v>-8137000</v>
      </c>
    </row>
    <row r="101" spans="1:15" x14ac:dyDescent="0.25">
      <c r="B101" s="1" t="s">
        <v>191</v>
      </c>
      <c r="M101" s="1">
        <v>6826750.0000000009</v>
      </c>
      <c r="O101" s="1" t="s">
        <v>189</v>
      </c>
    </row>
    <row r="102" spans="1:15" x14ac:dyDescent="0.25">
      <c r="B102" s="1" t="s">
        <v>192</v>
      </c>
      <c r="M102" s="1">
        <v>-48762.500000000095</v>
      </c>
      <c r="O102" s="1">
        <v>0.15</v>
      </c>
    </row>
    <row r="104" spans="1:15" x14ac:dyDescent="0.25">
      <c r="A104" s="1" t="s">
        <v>193</v>
      </c>
    </row>
    <row r="105" spans="1:15" x14ac:dyDescent="0.25">
      <c r="B105" s="1" t="s">
        <v>194</v>
      </c>
      <c r="D105" s="1">
        <v>-223811.50684931508</v>
      </c>
      <c r="E105" s="1">
        <v>-9468.4931506849243</v>
      </c>
      <c r="F105" s="1">
        <v>-9907.3972602739814</v>
      </c>
      <c r="G105" s="1">
        <v>-10367.496986301412</v>
      </c>
      <c r="H105" s="1">
        <v>-10849.835342465813</v>
      </c>
      <c r="I105" s="1">
        <v>-37580.470717561548</v>
      </c>
      <c r="J105" s="1">
        <v>-13196.909569795942</v>
      </c>
      <c r="K105" s="1">
        <v>-13818.314950790082</v>
      </c>
      <c r="L105" s="1">
        <v>-14469.95319526759</v>
      </c>
      <c r="M105" s="1">
        <v>-15153.317140182888</v>
      </c>
    </row>
    <row r="106" spans="1:15" x14ac:dyDescent="0.25">
      <c r="B106" s="1" t="s">
        <v>197</v>
      </c>
      <c r="D106" s="1">
        <v>-34135.004931506854</v>
      </c>
      <c r="E106" s="1">
        <v>-12526.17643835616</v>
      </c>
      <c r="F106" s="1">
        <v>-1703.2668493150704</v>
      </c>
      <c r="G106" s="1">
        <v>-1775.7193709589046</v>
      </c>
      <c r="H106" s="1">
        <v>4582.3198614246503</v>
      </c>
      <c r="I106" s="1">
        <v>-4845.2431406560208</v>
      </c>
      <c r="J106" s="1">
        <v>5785.2403425240991</v>
      </c>
      <c r="K106" s="1">
        <v>-1629.2810704612566</v>
      </c>
      <c r="L106" s="1">
        <v>-1698.5580385869544</v>
      </c>
      <c r="M106" s="1">
        <v>-1771.0449381226135</v>
      </c>
    </row>
    <row r="107" spans="1:15" x14ac:dyDescent="0.25">
      <c r="B107" s="1" t="s">
        <v>195</v>
      </c>
      <c r="D107" s="1">
        <v>370406.11999999994</v>
      </c>
      <c r="E107" s="1">
        <v>14162.586666666786</v>
      </c>
      <c r="F107" s="1">
        <v>34902.408333333326</v>
      </c>
      <c r="G107" s="1">
        <v>36664.141896666843</v>
      </c>
      <c r="H107" s="1">
        <v>49772.431952833431</v>
      </c>
      <c r="I107" s="1">
        <v>86598.785771154158</v>
      </c>
      <c r="J107" s="1">
        <v>61474.381345447036</v>
      </c>
      <c r="K107" s="1">
        <v>51064.508044001064</v>
      </c>
      <c r="L107" s="1">
        <v>53635.778501661145</v>
      </c>
      <c r="M107" s="1">
        <v>56334.7015826141</v>
      </c>
    </row>
    <row r="108" spans="1:15" x14ac:dyDescent="0.25">
      <c r="B108" s="1" t="s">
        <v>196</v>
      </c>
      <c r="D108" s="1">
        <v>26465.753424657534</v>
      </c>
      <c r="E108" s="1">
        <v>539.17808219178187</v>
      </c>
      <c r="F108" s="1">
        <v>550.25753424657159</v>
      </c>
      <c r="G108" s="1">
        <v>561.56745205479456</v>
      </c>
      <c r="H108" s="1">
        <v>573.11271123287224</v>
      </c>
      <c r="I108" s="1">
        <v>584.89829289863337</v>
      </c>
      <c r="J108" s="1">
        <v>596.92928602093525</v>
      </c>
      <c r="K108" s="1">
        <v>609.21088982360379</v>
      </c>
      <c r="L108" s="1">
        <v>621.74841624480541</v>
      </c>
      <c r="M108" s="1">
        <v>634.54729245317503</v>
      </c>
    </row>
    <row r="110" spans="1:15" x14ac:dyDescent="0.25">
      <c r="A110" s="1" t="s">
        <v>198</v>
      </c>
    </row>
    <row r="111" spans="1:15" x14ac:dyDescent="0.25">
      <c r="B111" s="1" t="s">
        <v>194</v>
      </c>
      <c r="M111" s="1">
        <v>358623.69516263925</v>
      </c>
    </row>
    <row r="112" spans="1:15" x14ac:dyDescent="0.25">
      <c r="B112" s="1" t="s">
        <v>197</v>
      </c>
      <c r="M112" s="1">
        <v>49716.734574015085</v>
      </c>
    </row>
    <row r="113" spans="2:13" x14ac:dyDescent="0.25">
      <c r="B113" s="1" t="s">
        <v>195</v>
      </c>
      <c r="M113" s="1">
        <v>-815015.84409437783</v>
      </c>
    </row>
    <row r="114" spans="2:13" x14ac:dyDescent="0.25">
      <c r="B114" s="1" t="s">
        <v>196</v>
      </c>
      <c r="M114" s="1">
        <v>-775283.08818307042</v>
      </c>
    </row>
    <row r="116" spans="2:13" x14ac:dyDescent="0.25">
      <c r="B116" s="103" t="s">
        <v>199</v>
      </c>
      <c r="C116" s="103">
        <v>-8137000</v>
      </c>
      <c r="D116" s="103">
        <v>990355.774977169</v>
      </c>
      <c r="E116" s="103">
        <v>870439.45515981747</v>
      </c>
      <c r="F116" s="103">
        <v>966393.12009132421</v>
      </c>
      <c r="G116" s="103">
        <v>1035724.1605614617</v>
      </c>
      <c r="H116" s="103">
        <v>1147154.2132368588</v>
      </c>
      <c r="I116" s="103">
        <v>1308660.4706918125</v>
      </c>
      <c r="J116" s="103">
        <v>1432728.8501031466</v>
      </c>
      <c r="K116" s="103">
        <v>1509129.4179789543</v>
      </c>
      <c r="L116" s="103">
        <v>1610601.6136820891</v>
      </c>
      <c r="M116" s="103">
        <v>7313208.0709074307</v>
      </c>
    </row>
    <row r="117" spans="2:13" x14ac:dyDescent="0.25">
      <c r="B117" s="103" t="s">
        <v>200</v>
      </c>
      <c r="C117" s="103">
        <v>-8137000</v>
      </c>
      <c r="D117" s="103">
        <v>891428.27630671719</v>
      </c>
      <c r="E117" s="103">
        <v>705226.9550091133</v>
      </c>
      <c r="F117" s="103">
        <v>704756.89253873145</v>
      </c>
      <c r="G117" s="103">
        <v>679868.27699939872</v>
      </c>
      <c r="H117" s="103">
        <v>677793.87824478734</v>
      </c>
      <c r="I117" s="103">
        <v>695981.97055784415</v>
      </c>
      <c r="J117" s="103">
        <v>685851.63554660685</v>
      </c>
      <c r="K117" s="103">
        <v>650261.17586816847</v>
      </c>
      <c r="L117" s="103">
        <v>624661.35277905455</v>
      </c>
      <c r="M117" s="103">
        <v>2553051.6729615065</v>
      </c>
    </row>
    <row r="118" spans="2:13" x14ac:dyDescent="0.25"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</row>
    <row r="119" spans="2:13" x14ac:dyDescent="0.25">
      <c r="B119" s="103" t="s">
        <v>201</v>
      </c>
      <c r="C119" s="103">
        <v>731882.08681192808</v>
      </c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</row>
    <row r="120" spans="2:13" x14ac:dyDescent="0.25">
      <c r="B120" s="103" t="s">
        <v>202</v>
      </c>
      <c r="C120" s="104">
        <v>0.12645250080378312</v>
      </c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</row>
    <row r="121" spans="2:13" x14ac:dyDescent="0.25">
      <c r="B121" s="98" t="s">
        <v>203</v>
      </c>
      <c r="C121" s="99">
        <v>0.72</v>
      </c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O121"/>
  <sheetViews>
    <sheetView showGridLines="0" zoomScale="80" zoomScaleNormal="80" workbookViewId="0">
      <selection activeCell="B116" sqref="B116:M121"/>
    </sheetView>
  </sheetViews>
  <sheetFormatPr defaultRowHeight="15" x14ac:dyDescent="0.25"/>
  <cols>
    <col min="2" max="2" width="33.28515625" style="1" bestFit="1" customWidth="1"/>
    <col min="3" max="3" width="14" style="1" bestFit="1" customWidth="1"/>
    <col min="4" max="5" width="13.28515625" style="1" bestFit="1" customWidth="1"/>
    <col min="6" max="13" width="14.28515625" style="1" bestFit="1" customWidth="1"/>
  </cols>
  <sheetData>
    <row r="2" spans="2:13" x14ac:dyDescent="0.25">
      <c r="D2" s="100">
        <v>2013</v>
      </c>
      <c r="E2" s="100">
        <v>2014</v>
      </c>
      <c r="F2" s="100">
        <v>2015</v>
      </c>
      <c r="G2" s="100">
        <v>2016</v>
      </c>
      <c r="H2" s="100">
        <v>2017</v>
      </c>
      <c r="I2" s="100">
        <v>2018</v>
      </c>
      <c r="J2" s="100">
        <v>2019</v>
      </c>
      <c r="K2" s="100">
        <v>2020</v>
      </c>
      <c r="L2" s="100">
        <v>2021</v>
      </c>
      <c r="M2" s="100">
        <v>2022</v>
      </c>
    </row>
    <row r="3" spans="2:13" hidden="1" x14ac:dyDescent="0.25">
      <c r="B3" s="1" t="s">
        <v>105</v>
      </c>
    </row>
    <row r="4" spans="2:13" hidden="1" x14ac:dyDescent="0.25">
      <c r="B4" s="1" t="s">
        <v>38</v>
      </c>
    </row>
    <row r="5" spans="2:13" hidden="1" x14ac:dyDescent="0.25">
      <c r="B5" s="1" t="s">
        <v>25</v>
      </c>
    </row>
    <row r="6" spans="2:13" hidden="1" x14ac:dyDescent="0.25">
      <c r="B6" s="1" t="s">
        <v>26</v>
      </c>
      <c r="D6" s="1">
        <v>2000000</v>
      </c>
      <c r="E6" s="1">
        <v>2040000</v>
      </c>
      <c r="F6" s="1">
        <v>2080800.0000000002</v>
      </c>
      <c r="G6" s="1">
        <v>2122416</v>
      </c>
      <c r="H6" s="1">
        <v>2164864.3200000003</v>
      </c>
      <c r="I6" s="1">
        <v>2484181.8072000002</v>
      </c>
      <c r="J6" s="1">
        <v>2533865.4433439998</v>
      </c>
      <c r="K6" s="1">
        <v>2584542.7522108802</v>
      </c>
      <c r="L6" s="1">
        <v>2636233.6072550979</v>
      </c>
      <c r="M6" s="1">
        <v>2688958.2794002001</v>
      </c>
    </row>
    <row r="7" spans="2:13" hidden="1" x14ac:dyDescent="0.25">
      <c r="B7" s="1" t="s">
        <v>16</v>
      </c>
    </row>
    <row r="8" spans="2:13" hidden="1" x14ac:dyDescent="0.25">
      <c r="B8" s="1" t="s">
        <v>17</v>
      </c>
      <c r="D8" s="1">
        <v>14400</v>
      </c>
      <c r="E8" s="1">
        <v>14400</v>
      </c>
      <c r="F8" s="1">
        <v>14400</v>
      </c>
      <c r="G8" s="1">
        <v>14400</v>
      </c>
      <c r="H8" s="1">
        <v>14400</v>
      </c>
      <c r="I8" s="1">
        <v>14400</v>
      </c>
      <c r="J8" s="1">
        <v>14400</v>
      </c>
      <c r="K8" s="1">
        <v>14400</v>
      </c>
      <c r="L8" s="1">
        <v>14400</v>
      </c>
      <c r="M8" s="1">
        <v>14400</v>
      </c>
    </row>
    <row r="9" spans="2:13" hidden="1" x14ac:dyDescent="0.25">
      <c r="B9" s="1" t="s">
        <v>18</v>
      </c>
      <c r="D9" s="1">
        <v>8640</v>
      </c>
      <c r="E9" s="1">
        <v>8640</v>
      </c>
      <c r="F9" s="1">
        <v>8640</v>
      </c>
      <c r="G9" s="1">
        <v>8640</v>
      </c>
      <c r="H9" s="1">
        <v>8640</v>
      </c>
      <c r="I9" s="1">
        <v>8640</v>
      </c>
      <c r="J9" s="1">
        <v>8640</v>
      </c>
      <c r="K9" s="1">
        <v>8640</v>
      </c>
      <c r="L9" s="1">
        <v>8640</v>
      </c>
      <c r="M9" s="1">
        <v>8640</v>
      </c>
    </row>
    <row r="10" spans="2:13" hidden="1" x14ac:dyDescent="0.25">
      <c r="B10" s="1" t="s">
        <v>19</v>
      </c>
    </row>
    <row r="11" spans="2:13" hidden="1" x14ac:dyDescent="0.25">
      <c r="B11" s="1" t="s">
        <v>20</v>
      </c>
      <c r="D11" s="1">
        <v>500000</v>
      </c>
      <c r="E11" s="1">
        <v>502499.99999999994</v>
      </c>
      <c r="F11" s="1">
        <v>505012.49999999988</v>
      </c>
      <c r="G11" s="1">
        <v>507537.56249999983</v>
      </c>
      <c r="H11" s="1">
        <v>510075.25031249976</v>
      </c>
      <c r="I11" s="1">
        <v>512625.6265640622</v>
      </c>
      <c r="J11" s="1">
        <v>515188.75469688245</v>
      </c>
      <c r="K11" s="1">
        <v>517764.69847036683</v>
      </c>
      <c r="L11" s="1">
        <v>520353.52196271863</v>
      </c>
      <c r="M11" s="1">
        <v>522955.28957253217</v>
      </c>
    </row>
    <row r="12" spans="2:13" hidden="1" x14ac:dyDescent="0.25">
      <c r="B12" s="1" t="s">
        <v>21</v>
      </c>
      <c r="D12" s="1">
        <v>20000</v>
      </c>
      <c r="E12" s="1">
        <v>20400</v>
      </c>
      <c r="F12" s="1">
        <v>20808</v>
      </c>
      <c r="G12" s="1">
        <v>21224.16</v>
      </c>
      <c r="H12" s="1">
        <v>21648.643199999999</v>
      </c>
      <c r="I12" s="1">
        <v>22081.616063999998</v>
      </c>
      <c r="J12" s="1">
        <v>22523.24838528</v>
      </c>
      <c r="K12" s="1">
        <v>22973.7133529856</v>
      </c>
      <c r="L12" s="1">
        <v>23433.187620045312</v>
      </c>
      <c r="M12" s="1">
        <v>23901.851372446217</v>
      </c>
    </row>
    <row r="13" spans="2:13" hidden="1" x14ac:dyDescent="0.25">
      <c r="B13" s="1" t="s">
        <v>22</v>
      </c>
      <c r="D13" s="1">
        <v>80000</v>
      </c>
      <c r="E13" s="1">
        <v>80800</v>
      </c>
      <c r="F13" s="1">
        <v>81608</v>
      </c>
      <c r="G13" s="1">
        <v>82424.08</v>
      </c>
      <c r="H13" s="1">
        <v>83248.320800000001</v>
      </c>
      <c r="I13" s="1">
        <v>84080.804008000006</v>
      </c>
      <c r="J13" s="1">
        <v>84921.612048080002</v>
      </c>
      <c r="K13" s="1">
        <v>85770.828168560809</v>
      </c>
      <c r="L13" s="1">
        <v>86628.536450246422</v>
      </c>
      <c r="M13" s="1">
        <v>87494.821814748881</v>
      </c>
    </row>
    <row r="14" spans="2:13" hidden="1" x14ac:dyDescent="0.25">
      <c r="B14" s="1" t="s">
        <v>23</v>
      </c>
    </row>
    <row r="15" spans="2:13" hidden="1" x14ac:dyDescent="0.25">
      <c r="B15" s="1" t="s">
        <v>24</v>
      </c>
      <c r="D15" s="1">
        <v>100000</v>
      </c>
      <c r="E15" s="1">
        <v>103000</v>
      </c>
      <c r="F15" s="1">
        <v>106090</v>
      </c>
      <c r="G15" s="1">
        <v>109272.7</v>
      </c>
      <c r="H15" s="1">
        <v>112550.88099999999</v>
      </c>
      <c r="I15" s="1">
        <v>115927.40742999999</v>
      </c>
      <c r="J15" s="1">
        <v>119405.2296529</v>
      </c>
      <c r="K15" s="1">
        <v>122987.386542487</v>
      </c>
      <c r="L15" s="1">
        <v>126677.00813876161</v>
      </c>
      <c r="M15" s="1">
        <v>130477.31838292447</v>
      </c>
    </row>
    <row r="16" spans="2:13" hidden="1" x14ac:dyDescent="0.25"/>
    <row r="17" spans="2:14" hidden="1" x14ac:dyDescent="0.25">
      <c r="B17" s="1" t="s">
        <v>73</v>
      </c>
      <c r="D17" s="1">
        <v>2723040</v>
      </c>
      <c r="E17" s="1">
        <v>2769740</v>
      </c>
      <c r="F17" s="1">
        <v>2817358.5</v>
      </c>
      <c r="G17" s="1">
        <v>2865914.5025000004</v>
      </c>
      <c r="H17" s="1">
        <v>2915427.4153124997</v>
      </c>
      <c r="I17" s="1">
        <v>3241937.2612660625</v>
      </c>
      <c r="J17" s="1">
        <v>3298944.288127142</v>
      </c>
      <c r="K17" s="1">
        <v>3357079.3787452802</v>
      </c>
      <c r="L17" s="1">
        <v>3416365.8614268694</v>
      </c>
      <c r="M17" s="1">
        <v>3476827.5605428522</v>
      </c>
    </row>
    <row r="18" spans="2:14" hidden="1" x14ac:dyDescent="0.25"/>
    <row r="19" spans="2:14" hidden="1" x14ac:dyDescent="0.25">
      <c r="B19" s="1" t="s">
        <v>2</v>
      </c>
    </row>
    <row r="20" spans="2:14" hidden="1" x14ac:dyDescent="0.25">
      <c r="B20" s="1" t="s">
        <v>27</v>
      </c>
      <c r="D20" s="1">
        <v>1032000</v>
      </c>
      <c r="E20" s="1">
        <v>1039200</v>
      </c>
      <c r="F20" s="1">
        <v>1046486.4</v>
      </c>
      <c r="G20" s="1">
        <v>1053860.2368000001</v>
      </c>
      <c r="H20" s="1">
        <v>1061322.5596416001</v>
      </c>
      <c r="I20" s="1">
        <v>1240561.873393029</v>
      </c>
      <c r="J20" s="1">
        <v>1248968.6158737456</v>
      </c>
      <c r="K20" s="1">
        <v>1257476.2392642305</v>
      </c>
      <c r="L20" s="1">
        <v>1266085.9541354012</v>
      </c>
      <c r="M20" s="1">
        <v>1274798.985585026</v>
      </c>
    </row>
    <row r="21" spans="2:14" hidden="1" x14ac:dyDescent="0.25">
      <c r="B21" s="1" t="s">
        <v>50</v>
      </c>
      <c r="D21" s="1">
        <v>6666.6666666666679</v>
      </c>
      <c r="E21" s="1">
        <v>6746.6666666666679</v>
      </c>
      <c r="F21" s="1">
        <v>6827.626666666667</v>
      </c>
      <c r="G21" s="1">
        <v>6909.5581866666662</v>
      </c>
      <c r="H21" s="1">
        <v>6992.4728849066669</v>
      </c>
      <c r="I21" s="1">
        <v>7076.3825595255466</v>
      </c>
      <c r="J21" s="1">
        <v>7161.2991502398545</v>
      </c>
      <c r="K21" s="1">
        <v>7247.2347400427316</v>
      </c>
      <c r="L21" s="1">
        <v>7334.2015569232453</v>
      </c>
      <c r="M21" s="1">
        <v>7422.211975606323</v>
      </c>
    </row>
    <row r="22" spans="2:14" hidden="1" x14ac:dyDescent="0.25">
      <c r="B22" s="1" t="s">
        <v>98</v>
      </c>
      <c r="D22" s="1">
        <v>4000</v>
      </c>
      <c r="E22" s="1">
        <v>4040</v>
      </c>
      <c r="F22" s="1">
        <v>4080.4</v>
      </c>
      <c r="G22" s="1">
        <v>4121.2039999999997</v>
      </c>
      <c r="H22" s="1">
        <v>4162.4160400000001</v>
      </c>
      <c r="I22" s="1">
        <v>4204.0402003999998</v>
      </c>
      <c r="J22" s="1">
        <v>4246.0806024039994</v>
      </c>
      <c r="K22" s="1">
        <v>4288.5414084280392</v>
      </c>
      <c r="L22" s="1">
        <v>4331.4268225123196</v>
      </c>
      <c r="M22" s="1">
        <v>4374.7410907374433</v>
      </c>
    </row>
    <row r="23" spans="2:14" hidden="1" x14ac:dyDescent="0.25">
      <c r="B23" s="1" t="s">
        <v>99</v>
      </c>
      <c r="D23" s="1">
        <v>2000</v>
      </c>
      <c r="E23" s="1">
        <v>2000</v>
      </c>
      <c r="F23" s="1">
        <v>2000</v>
      </c>
      <c r="G23" s="1">
        <v>2000</v>
      </c>
      <c r="H23" s="1">
        <v>2000</v>
      </c>
      <c r="I23" s="1">
        <v>2000</v>
      </c>
      <c r="J23" s="1">
        <v>2000</v>
      </c>
      <c r="K23" s="1">
        <v>2000</v>
      </c>
      <c r="L23" s="1">
        <v>2000</v>
      </c>
      <c r="M23" s="1">
        <v>2000</v>
      </c>
    </row>
    <row r="24" spans="2:14" hidden="1" x14ac:dyDescent="0.25">
      <c r="B24" s="1" t="s">
        <v>66</v>
      </c>
      <c r="D24" s="1">
        <v>250000</v>
      </c>
      <c r="E24" s="1">
        <v>251249.99999999997</v>
      </c>
      <c r="F24" s="1">
        <v>252506.24999999994</v>
      </c>
      <c r="G24" s="1">
        <v>253768.78124999991</v>
      </c>
      <c r="H24" s="1">
        <v>255037.62515624988</v>
      </c>
      <c r="I24" s="1">
        <v>256312.8132820311</v>
      </c>
      <c r="J24" s="1">
        <v>257594.37734844122</v>
      </c>
      <c r="K24" s="1">
        <v>258882.34923518341</v>
      </c>
      <c r="L24" s="1">
        <v>260176.76098135932</v>
      </c>
      <c r="M24" s="1">
        <v>261477.64478626609</v>
      </c>
    </row>
    <row r="25" spans="2:14" hidden="1" x14ac:dyDescent="0.25">
      <c r="B25" s="1" t="s">
        <v>67</v>
      </c>
      <c r="D25" s="1">
        <v>12000</v>
      </c>
      <c r="E25" s="1">
        <v>12240</v>
      </c>
      <c r="F25" s="1">
        <v>12484.8</v>
      </c>
      <c r="G25" s="1">
        <v>12734.495999999999</v>
      </c>
      <c r="H25" s="1">
        <v>12989.185919999998</v>
      </c>
      <c r="I25" s="1">
        <v>13248.969638399998</v>
      </c>
      <c r="J25" s="1">
        <v>13513.949031168</v>
      </c>
      <c r="K25" s="1">
        <v>13784.22801179136</v>
      </c>
      <c r="L25" s="1">
        <v>14059.912572027186</v>
      </c>
      <c r="M25" s="1">
        <v>14341.11082346773</v>
      </c>
    </row>
    <row r="26" spans="2:14" hidden="1" x14ac:dyDescent="0.25">
      <c r="B26" s="1" t="s">
        <v>68</v>
      </c>
      <c r="D26" s="1">
        <v>60000</v>
      </c>
      <c r="E26" s="1">
        <v>60600</v>
      </c>
      <c r="F26" s="1">
        <v>61206</v>
      </c>
      <c r="G26" s="1">
        <v>61818.06</v>
      </c>
      <c r="H26" s="1">
        <v>62436.240600000005</v>
      </c>
      <c r="I26" s="1">
        <v>63060.603006000005</v>
      </c>
      <c r="J26" s="1">
        <v>63691.209036059998</v>
      </c>
      <c r="K26" s="1">
        <v>64328.121126420607</v>
      </c>
      <c r="L26" s="1">
        <v>64971.40233768482</v>
      </c>
      <c r="M26" s="1">
        <v>65621.116361061664</v>
      </c>
    </row>
    <row r="27" spans="2:14" hidden="1" x14ac:dyDescent="0.25">
      <c r="B27" s="1" t="s">
        <v>29</v>
      </c>
      <c r="D27" s="1">
        <v>163533.33333333334</v>
      </c>
      <c r="E27" s="1">
        <v>163533.33333333334</v>
      </c>
      <c r="F27" s="1">
        <v>163533.33333333334</v>
      </c>
      <c r="G27" s="1">
        <v>163533.33333333334</v>
      </c>
      <c r="H27" s="1">
        <v>163533.33333333334</v>
      </c>
      <c r="I27" s="1">
        <v>163533.33333333334</v>
      </c>
      <c r="J27" s="1">
        <v>163533.33333333334</v>
      </c>
      <c r="K27" s="1">
        <v>163533.33333333334</v>
      </c>
      <c r="L27" s="1">
        <v>163533.33333333334</v>
      </c>
      <c r="M27" s="1">
        <v>163533.33333333334</v>
      </c>
    </row>
    <row r="28" spans="2:14" hidden="1" x14ac:dyDescent="0.25">
      <c r="B28" s="1" t="s">
        <v>7</v>
      </c>
      <c r="D28" s="1">
        <v>145072.03651713216</v>
      </c>
      <c r="E28" s="1">
        <v>141971.72011090608</v>
      </c>
      <c r="F28" s="1">
        <v>138777.10461444996</v>
      </c>
      <c r="G28" s="1">
        <v>135485.32183069849</v>
      </c>
      <c r="H28" s="1">
        <v>132093.41632362775</v>
      </c>
      <c r="I28" s="1">
        <v>128598.34276479926</v>
      </c>
      <c r="J28" s="1">
        <v>124996.9631991959</v>
      </c>
      <c r="K28" s="1">
        <v>121286.04422789597</v>
      </c>
      <c r="L28" s="1">
        <v>117462.2541050555</v>
      </c>
      <c r="M28" s="1">
        <v>113522.15974659241</v>
      </c>
    </row>
    <row r="29" spans="2:14" hidden="1" x14ac:dyDescent="0.25">
      <c r="B29" s="1" t="s">
        <v>79</v>
      </c>
      <c r="D29" s="1">
        <v>12000</v>
      </c>
      <c r="E29" s="1">
        <v>12131.999999999998</v>
      </c>
      <c r="F29" s="1">
        <v>12265.451999999997</v>
      </c>
      <c r="G29" s="1">
        <v>12400.371971999995</v>
      </c>
      <c r="H29" s="1">
        <v>12536.776063691994</v>
      </c>
      <c r="I29" s="1">
        <v>12674.680600392605</v>
      </c>
      <c r="J29" s="1">
        <v>12814.102086996922</v>
      </c>
      <c r="K29" s="1">
        <v>12955.057209953886</v>
      </c>
      <c r="L29" s="1">
        <v>13097.562839263377</v>
      </c>
      <c r="M29" s="1">
        <v>13241.636030495272</v>
      </c>
    </row>
    <row r="30" spans="2:14" hidden="1" x14ac:dyDescent="0.25">
      <c r="B30" s="1" t="s">
        <v>36</v>
      </c>
      <c r="D30" s="1">
        <v>13615.2</v>
      </c>
      <c r="E30" s="1">
        <v>13848.7</v>
      </c>
      <c r="F30" s="1">
        <v>14086.7925</v>
      </c>
      <c r="G30" s="1">
        <v>14329.572512500003</v>
      </c>
      <c r="H30" s="1">
        <v>14577.1370765625</v>
      </c>
      <c r="I30" s="1">
        <v>16209.686306330314</v>
      </c>
      <c r="J30" s="1">
        <v>16494.721440635709</v>
      </c>
      <c r="K30" s="1">
        <v>16785.3968937264</v>
      </c>
      <c r="L30" s="1">
        <v>17081.829307134347</v>
      </c>
      <c r="M30" s="1">
        <v>17384.13780271426</v>
      </c>
    </row>
    <row r="31" spans="2:14" hidden="1" x14ac:dyDescent="0.25">
      <c r="B31" s="1" t="s">
        <v>103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t="s">
        <v>131</v>
      </c>
    </row>
    <row r="32" spans="2:14" hidden="1" x14ac:dyDescent="0.25">
      <c r="B32" s="1" t="s">
        <v>37</v>
      </c>
      <c r="D32" s="1">
        <v>108921.60000000001</v>
      </c>
      <c r="E32" s="1">
        <v>166184.4</v>
      </c>
      <c r="F32" s="1">
        <v>169041.50999999998</v>
      </c>
      <c r="G32" s="1">
        <v>171954.87015000003</v>
      </c>
      <c r="H32" s="1">
        <v>145771.370765625</v>
      </c>
      <c r="I32" s="1">
        <v>162096.86306330314</v>
      </c>
      <c r="J32" s="1">
        <v>131957.77152508567</v>
      </c>
      <c r="K32" s="1">
        <v>134283.1751498112</v>
      </c>
      <c r="L32" s="1">
        <v>136654.63445707478</v>
      </c>
      <c r="M32" s="1">
        <v>139073.10242171408</v>
      </c>
      <c r="N32" t="s">
        <v>133</v>
      </c>
    </row>
    <row r="33" spans="2:14" hidden="1" x14ac:dyDescent="0.25"/>
    <row r="34" spans="2:14" hidden="1" x14ac:dyDescent="0.25">
      <c r="B34" s="1" t="s">
        <v>100</v>
      </c>
      <c r="D34" s="1">
        <v>1809808.8365171319</v>
      </c>
      <c r="E34" s="1">
        <v>1873746.8201109057</v>
      </c>
      <c r="F34" s="1">
        <v>1883295.6691144498</v>
      </c>
      <c r="G34" s="1">
        <v>1892915.8060351985</v>
      </c>
      <c r="H34" s="1">
        <v>1873452.5338055973</v>
      </c>
      <c r="I34" s="1">
        <v>2069577.5881475441</v>
      </c>
      <c r="J34" s="1">
        <v>2046972.4226273058</v>
      </c>
      <c r="K34" s="1">
        <v>2056849.7206008174</v>
      </c>
      <c r="L34" s="1">
        <v>2066789.2724477693</v>
      </c>
      <c r="M34" s="1">
        <v>2076790.1799570145</v>
      </c>
    </row>
    <row r="35" spans="2:14" hidden="1" x14ac:dyDescent="0.25"/>
    <row r="36" spans="2:14" hidden="1" x14ac:dyDescent="0.25">
      <c r="B36" s="1" t="s">
        <v>30</v>
      </c>
      <c r="D36" s="1">
        <v>913231.16348286811</v>
      </c>
      <c r="E36" s="1">
        <v>895993.17988909432</v>
      </c>
      <c r="F36" s="1">
        <v>934062.83088555024</v>
      </c>
      <c r="G36" s="1">
        <v>972998.69646480191</v>
      </c>
      <c r="H36" s="1">
        <v>1041974.8815069024</v>
      </c>
      <c r="I36" s="1">
        <v>1172359.6731185184</v>
      </c>
      <c r="J36" s="1">
        <v>1251971.8654998362</v>
      </c>
      <c r="K36" s="1">
        <v>1300229.6581444629</v>
      </c>
      <c r="L36" s="1">
        <v>1349576.5889791001</v>
      </c>
      <c r="M36" s="1">
        <v>1400037.3805858376</v>
      </c>
    </row>
    <row r="37" spans="2:14" hidden="1" x14ac:dyDescent="0.25">
      <c r="B37" s="1" t="s">
        <v>31</v>
      </c>
      <c r="D37" s="1">
        <v>0.35</v>
      </c>
      <c r="E37" s="1">
        <v>0.35</v>
      </c>
      <c r="F37" s="1">
        <v>0.35</v>
      </c>
      <c r="G37" s="1">
        <v>0.35</v>
      </c>
      <c r="H37" s="1">
        <v>0.35</v>
      </c>
      <c r="I37" s="1">
        <v>0.35</v>
      </c>
      <c r="J37" s="1">
        <v>0.35</v>
      </c>
      <c r="K37" s="1">
        <v>0.35</v>
      </c>
      <c r="L37" s="1">
        <v>0.35</v>
      </c>
      <c r="M37" s="1">
        <v>0.35</v>
      </c>
    </row>
    <row r="38" spans="2:14" hidden="1" x14ac:dyDescent="0.25">
      <c r="B38" s="1" t="s">
        <v>32</v>
      </c>
      <c r="D38" s="1">
        <v>319630.90721900383</v>
      </c>
      <c r="E38" s="1">
        <v>313597.61296118301</v>
      </c>
      <c r="F38" s="1">
        <v>326921.99080994254</v>
      </c>
      <c r="G38" s="1">
        <v>340549.54376268067</v>
      </c>
      <c r="H38" s="1">
        <v>364691.20852741582</v>
      </c>
      <c r="I38" s="1">
        <v>410325.8855914814</v>
      </c>
      <c r="J38" s="1">
        <v>438190.15292494261</v>
      </c>
      <c r="K38" s="1">
        <v>455080.38035056199</v>
      </c>
      <c r="L38" s="1">
        <v>472351.806142685</v>
      </c>
      <c r="M38" s="1">
        <v>490013.08320504316</v>
      </c>
    </row>
    <row r="39" spans="2:14" hidden="1" x14ac:dyDescent="0.25"/>
    <row r="40" spans="2:14" hidden="1" x14ac:dyDescent="0.25">
      <c r="B40" s="1" t="s">
        <v>116</v>
      </c>
      <c r="D40" s="1">
        <v>593600.25626386423</v>
      </c>
      <c r="E40" s="1">
        <v>582395.56692791125</v>
      </c>
      <c r="F40" s="1">
        <v>607140.84007560764</v>
      </c>
      <c r="G40" s="1">
        <v>632449.1527021213</v>
      </c>
      <c r="H40" s="1">
        <v>677283.67297948664</v>
      </c>
      <c r="I40" s="1">
        <v>762033.78752703709</v>
      </c>
      <c r="J40" s="1">
        <v>813781.71257489361</v>
      </c>
      <c r="K40" s="1">
        <v>845149.27779390081</v>
      </c>
      <c r="L40" s="1">
        <v>877224.78283641511</v>
      </c>
      <c r="M40" s="1">
        <v>910024.29738079454</v>
      </c>
    </row>
    <row r="41" spans="2:14" hidden="1" x14ac:dyDescent="0.25"/>
    <row r="42" spans="2:14" hidden="1" x14ac:dyDescent="0.25"/>
    <row r="43" spans="2:14" hidden="1" x14ac:dyDescent="0.25">
      <c r="B43" s="1" t="s">
        <v>106</v>
      </c>
    </row>
    <row r="44" spans="2:14" hidden="1" x14ac:dyDescent="0.25">
      <c r="B44" s="1" t="s">
        <v>4</v>
      </c>
    </row>
    <row r="45" spans="2:14" hidden="1" x14ac:dyDescent="0.25">
      <c r="B45" s="1" t="s">
        <v>33</v>
      </c>
    </row>
    <row r="46" spans="2:14" hidden="1" x14ac:dyDescent="0.25">
      <c r="B46" s="1" t="s">
        <v>80</v>
      </c>
      <c r="D46" s="1">
        <v>50000</v>
      </c>
      <c r="E46" s="1">
        <v>50000</v>
      </c>
      <c r="F46" s="1">
        <v>50000</v>
      </c>
      <c r="G46" s="1">
        <v>50000</v>
      </c>
      <c r="H46" s="1">
        <v>50000</v>
      </c>
      <c r="I46" s="1">
        <v>50000</v>
      </c>
      <c r="J46" s="1">
        <v>50000</v>
      </c>
      <c r="K46" s="1">
        <v>50000</v>
      </c>
      <c r="L46" s="1">
        <v>50000</v>
      </c>
      <c r="M46" s="1">
        <v>50000</v>
      </c>
    </row>
    <row r="47" spans="2:14" hidden="1" x14ac:dyDescent="0.25">
      <c r="B47" s="1" t="s">
        <v>81</v>
      </c>
      <c r="D47" s="1">
        <v>940355.77497716923</v>
      </c>
      <c r="E47" s="1">
        <v>1560021.1757485969</v>
      </c>
      <c r="F47" s="1">
        <v>2231401.2985244282</v>
      </c>
      <c r="G47" s="1">
        <v>2925013.576822476</v>
      </c>
      <c r="H47" s="1">
        <v>3676324.0673780325</v>
      </c>
      <c r="I47" s="1">
        <v>4499114.714044001</v>
      </c>
      <c r="J47" s="1">
        <v>5383726.1108085206</v>
      </c>
      <c r="K47" s="1">
        <v>6278435.2869427418</v>
      </c>
      <c r="L47" s="1">
        <v>7201674.3287089728</v>
      </c>
      <c r="M47" s="1">
        <v>8154057.4544573128</v>
      </c>
    </row>
    <row r="48" spans="2:14" hidden="1" x14ac:dyDescent="0.25">
      <c r="B48" s="1" t="s">
        <v>41</v>
      </c>
      <c r="D48" s="1">
        <v>223811.50684931508</v>
      </c>
      <c r="E48" s="1">
        <v>227649.86301369863</v>
      </c>
      <c r="F48" s="1">
        <v>231563.71232876714</v>
      </c>
      <c r="G48" s="1">
        <v>235554.61664383564</v>
      </c>
      <c r="H48" s="1">
        <v>239624.17112157532</v>
      </c>
      <c r="I48" s="1">
        <v>266460.59681638872</v>
      </c>
      <c r="J48" s="1">
        <v>271146.10587346373</v>
      </c>
      <c r="K48" s="1">
        <v>275924.33249961206</v>
      </c>
      <c r="L48" s="1">
        <v>280797.19408987969</v>
      </c>
      <c r="M48" s="1">
        <v>285766.64881174127</v>
      </c>
      <c r="N48" t="s">
        <v>132</v>
      </c>
    </row>
    <row r="49" spans="2:15" hidden="1" x14ac:dyDescent="0.25">
      <c r="B49" s="1" t="s">
        <v>0</v>
      </c>
      <c r="D49" s="1">
        <v>12350.68493150685</v>
      </c>
      <c r="E49" s="1">
        <v>12430.849315068492</v>
      </c>
      <c r="F49" s="1">
        <v>12511.667671232874</v>
      </c>
      <c r="G49" s="1">
        <v>12593.147182191778</v>
      </c>
      <c r="H49" s="1">
        <v>12675.295132787667</v>
      </c>
      <c r="I49" s="1">
        <v>12758.118912246671</v>
      </c>
      <c r="J49" s="1">
        <v>12841.626015943475</v>
      </c>
      <c r="K49" s="1">
        <v>12925.824047198726</v>
      </c>
      <c r="L49" s="1">
        <v>13010.720719109588</v>
      </c>
      <c r="M49" s="1">
        <v>13096.323856414072</v>
      </c>
    </row>
    <row r="50" spans="2:15" hidden="1" x14ac:dyDescent="0.25">
      <c r="B50" s="1" t="s">
        <v>42</v>
      </c>
      <c r="D50" s="1">
        <v>21784.320000000003</v>
      </c>
      <c r="E50" s="1">
        <v>33236.879999999997</v>
      </c>
      <c r="F50" s="1">
        <v>33808.301999999996</v>
      </c>
      <c r="G50" s="1">
        <v>34390.974030000005</v>
      </c>
      <c r="H50" s="1">
        <v>29154.274153125003</v>
      </c>
      <c r="I50" s="1">
        <v>32419.372612660631</v>
      </c>
      <c r="J50" s="1">
        <v>26391.554305017136</v>
      </c>
      <c r="K50" s="1">
        <v>26856.635029962243</v>
      </c>
      <c r="L50" s="1">
        <v>27330.926891414958</v>
      </c>
      <c r="M50" s="1">
        <v>27814.620484342817</v>
      </c>
    </row>
    <row r="51" spans="2:15" hidden="1" x14ac:dyDescent="0.25"/>
    <row r="52" spans="2:15" hidden="1" x14ac:dyDescent="0.25">
      <c r="B52" s="1" t="s">
        <v>48</v>
      </c>
    </row>
    <row r="53" spans="2:15" hidden="1" x14ac:dyDescent="0.25">
      <c r="B53" s="1" t="s">
        <v>3</v>
      </c>
      <c r="D53" s="1">
        <v>2000000</v>
      </c>
      <c r="E53" s="1">
        <v>2000000</v>
      </c>
      <c r="F53" s="1">
        <v>2000000</v>
      </c>
      <c r="G53" s="1">
        <v>2000000</v>
      </c>
      <c r="H53" s="1">
        <v>2000000</v>
      </c>
      <c r="I53" s="1">
        <v>2000000</v>
      </c>
      <c r="J53" s="1">
        <v>2000000</v>
      </c>
      <c r="K53" s="1">
        <v>2000000</v>
      </c>
      <c r="L53" s="1">
        <v>2000000</v>
      </c>
      <c r="M53" s="1">
        <v>2000000</v>
      </c>
    </row>
    <row r="54" spans="2:15" hidden="1" x14ac:dyDescent="0.25">
      <c r="B54" s="1" t="s">
        <v>47</v>
      </c>
      <c r="D54" s="1">
        <v>6000000</v>
      </c>
      <c r="E54" s="1">
        <v>6000000</v>
      </c>
      <c r="F54" s="1">
        <v>6000000</v>
      </c>
      <c r="G54" s="1">
        <v>6000000</v>
      </c>
      <c r="H54" s="1">
        <v>6000000</v>
      </c>
      <c r="I54" s="1">
        <v>6000000</v>
      </c>
      <c r="J54" s="1">
        <v>6000000</v>
      </c>
      <c r="K54" s="1">
        <v>6000000</v>
      </c>
      <c r="L54" s="1">
        <v>6000000</v>
      </c>
      <c r="M54" s="1">
        <v>6000000</v>
      </c>
    </row>
    <row r="55" spans="2:15" hidden="1" x14ac:dyDescent="0.25">
      <c r="B55" s="1" t="s">
        <v>84</v>
      </c>
      <c r="D55" s="1">
        <v>-150000</v>
      </c>
      <c r="E55" s="1">
        <v>-300000</v>
      </c>
      <c r="F55" s="1">
        <v>-450000</v>
      </c>
      <c r="G55" s="1">
        <v>-600000</v>
      </c>
      <c r="H55" s="1">
        <v>-750000</v>
      </c>
      <c r="I55" s="1">
        <v>-900000</v>
      </c>
      <c r="J55" s="1">
        <v>-1050000</v>
      </c>
      <c r="K55" s="1">
        <v>-1200000</v>
      </c>
      <c r="L55" s="1">
        <v>-1350000</v>
      </c>
      <c r="M55" s="1">
        <v>-1500000</v>
      </c>
    </row>
    <row r="56" spans="2:15" hidden="1" x14ac:dyDescent="0.25">
      <c r="B56" s="1" t="s">
        <v>43</v>
      </c>
      <c r="D56" s="1">
        <v>80000</v>
      </c>
      <c r="E56" s="1">
        <v>80000</v>
      </c>
      <c r="F56" s="1">
        <v>80000</v>
      </c>
      <c r="G56" s="1">
        <v>80000</v>
      </c>
      <c r="H56" s="1">
        <v>80000</v>
      </c>
      <c r="I56" s="1">
        <v>80000</v>
      </c>
      <c r="J56" s="1">
        <v>80000</v>
      </c>
      <c r="K56" s="1">
        <v>80000</v>
      </c>
      <c r="L56" s="1">
        <v>80000</v>
      </c>
      <c r="M56" s="1">
        <v>80000</v>
      </c>
    </row>
    <row r="57" spans="2:15" hidden="1" x14ac:dyDescent="0.25">
      <c r="B57" s="1" t="s">
        <v>57</v>
      </c>
      <c r="D57" s="1">
        <v>-8000</v>
      </c>
      <c r="E57" s="1">
        <v>-16000</v>
      </c>
      <c r="F57" s="1">
        <v>-24000</v>
      </c>
      <c r="G57" s="1">
        <v>-32000</v>
      </c>
      <c r="H57" s="1">
        <v>-40000</v>
      </c>
      <c r="I57" s="1">
        <v>-48000</v>
      </c>
      <c r="J57" s="1">
        <v>-56000</v>
      </c>
      <c r="K57" s="1">
        <v>-64000</v>
      </c>
      <c r="L57" s="1">
        <v>-72000</v>
      </c>
      <c r="M57" s="1">
        <v>-80000</v>
      </c>
    </row>
    <row r="58" spans="2:15" hidden="1" x14ac:dyDescent="0.25">
      <c r="B58" s="1" t="s">
        <v>44</v>
      </c>
      <c r="D58" s="1">
        <v>17000</v>
      </c>
      <c r="E58" s="1">
        <v>17000</v>
      </c>
      <c r="F58" s="1">
        <v>17000</v>
      </c>
      <c r="G58" s="1">
        <v>17000</v>
      </c>
      <c r="H58" s="1">
        <v>17000</v>
      </c>
      <c r="I58" s="1">
        <v>17000</v>
      </c>
      <c r="J58" s="1">
        <v>17000</v>
      </c>
      <c r="K58" s="1">
        <v>17000</v>
      </c>
      <c r="L58" s="1">
        <v>17000</v>
      </c>
      <c r="M58" s="1">
        <v>17000</v>
      </c>
    </row>
    <row r="59" spans="2:15" hidden="1" x14ac:dyDescent="0.25">
      <c r="B59" s="1" t="s">
        <v>56</v>
      </c>
      <c r="D59" s="1">
        <v>-1700</v>
      </c>
      <c r="E59" s="1">
        <v>-3400</v>
      </c>
      <c r="F59" s="1">
        <v>-5100</v>
      </c>
      <c r="G59" s="1">
        <v>-6800</v>
      </c>
      <c r="H59" s="1">
        <v>-8500</v>
      </c>
      <c r="I59" s="1">
        <v>-10200</v>
      </c>
      <c r="J59" s="1">
        <v>-11900</v>
      </c>
      <c r="K59" s="1">
        <v>-13600</v>
      </c>
      <c r="L59" s="1">
        <v>-15300</v>
      </c>
      <c r="M59" s="1">
        <v>-17000</v>
      </c>
    </row>
    <row r="60" spans="2:15" hidden="1" x14ac:dyDescent="0.25">
      <c r="B60" s="1" t="s">
        <v>45</v>
      </c>
      <c r="D60" s="1">
        <v>30000</v>
      </c>
      <c r="E60" s="1">
        <v>30000</v>
      </c>
      <c r="F60" s="1">
        <v>30000</v>
      </c>
      <c r="G60" s="1">
        <v>30000</v>
      </c>
      <c r="H60" s="1">
        <v>30000</v>
      </c>
      <c r="I60" s="1">
        <v>30000</v>
      </c>
      <c r="J60" s="1">
        <v>30000</v>
      </c>
      <c r="K60" s="1">
        <v>30000</v>
      </c>
      <c r="L60" s="1">
        <v>30000</v>
      </c>
      <c r="M60" s="1">
        <v>30000</v>
      </c>
    </row>
    <row r="61" spans="2:15" hidden="1" x14ac:dyDescent="0.25">
      <c r="B61" s="1" t="s">
        <v>55</v>
      </c>
      <c r="D61" s="1">
        <v>-3000</v>
      </c>
      <c r="E61" s="1">
        <v>-6000</v>
      </c>
      <c r="F61" s="1">
        <v>-9000</v>
      </c>
      <c r="G61" s="1">
        <v>-12000</v>
      </c>
      <c r="H61" s="1">
        <v>-15000</v>
      </c>
      <c r="I61" s="1">
        <v>-18000</v>
      </c>
      <c r="J61" s="1">
        <v>-21000</v>
      </c>
      <c r="K61" s="1">
        <v>-24000</v>
      </c>
      <c r="L61" s="1">
        <v>-27000</v>
      </c>
      <c r="M61" s="1">
        <v>-30000</v>
      </c>
    </row>
    <row r="62" spans="2:15" hidden="1" x14ac:dyDescent="0.25">
      <c r="B62" s="1" t="s">
        <v>46</v>
      </c>
      <c r="D62" s="1">
        <v>10000</v>
      </c>
      <c r="E62" s="1">
        <v>10000</v>
      </c>
      <c r="F62" s="1">
        <v>10000</v>
      </c>
      <c r="G62" s="1">
        <v>10000</v>
      </c>
      <c r="H62" s="1">
        <v>10000</v>
      </c>
      <c r="I62" s="1">
        <v>10000</v>
      </c>
      <c r="J62" s="1">
        <v>10000</v>
      </c>
      <c r="K62" s="1">
        <v>10000</v>
      </c>
      <c r="L62" s="1">
        <v>10000</v>
      </c>
      <c r="M62" s="1">
        <v>10000</v>
      </c>
      <c r="O62" t="s">
        <v>188</v>
      </c>
    </row>
    <row r="63" spans="2:15" hidden="1" x14ac:dyDescent="0.25">
      <c r="B63" s="1" t="s">
        <v>54</v>
      </c>
      <c r="D63" s="1">
        <v>-833.33333333333337</v>
      </c>
      <c r="E63" s="1">
        <v>-1666.6666666666667</v>
      </c>
      <c r="F63" s="1">
        <v>-2500</v>
      </c>
      <c r="G63" s="1">
        <v>-3333.3333333333335</v>
      </c>
      <c r="H63" s="1">
        <v>-4166.666666666667</v>
      </c>
      <c r="I63" s="1">
        <v>-5000</v>
      </c>
      <c r="J63" s="1">
        <v>-5833.333333333333</v>
      </c>
      <c r="K63" s="1">
        <v>-6666.6666666666661</v>
      </c>
      <c r="L63" s="1">
        <v>-7499.9999999999991</v>
      </c>
      <c r="M63" s="1">
        <v>-8333.3333333333321</v>
      </c>
      <c r="O63">
        <v>0.05</v>
      </c>
    </row>
    <row r="64" spans="2:15" hidden="1" x14ac:dyDescent="0.25"/>
    <row r="65" spans="2:14" hidden="1" x14ac:dyDescent="0.25">
      <c r="B65" s="1" t="s">
        <v>117</v>
      </c>
      <c r="D65" s="1">
        <v>9221768.9534246568</v>
      </c>
      <c r="E65" s="1">
        <v>9693272.1014106981</v>
      </c>
      <c r="F65" s="1">
        <v>10205684.980524428</v>
      </c>
      <c r="G65" s="1">
        <v>10740418.981345169</v>
      </c>
      <c r="H65" s="1">
        <v>11327111.141118854</v>
      </c>
      <c r="I65" s="1">
        <v>12016552.802385297</v>
      </c>
      <c r="J65" s="1">
        <v>12736372.063669611</v>
      </c>
      <c r="K65" s="1">
        <v>13472875.41185285</v>
      </c>
      <c r="L65" s="1">
        <v>14238013.170409378</v>
      </c>
      <c r="M65" s="1">
        <v>15032401.714276476</v>
      </c>
    </row>
    <row r="66" spans="2:14" hidden="1" x14ac:dyDescent="0.25"/>
    <row r="67" spans="2:14" hidden="1" x14ac:dyDescent="0.25">
      <c r="B67" s="1" t="s">
        <v>5</v>
      </c>
    </row>
    <row r="68" spans="2:14" hidden="1" x14ac:dyDescent="0.25">
      <c r="B68" s="1" t="s">
        <v>34</v>
      </c>
    </row>
    <row r="69" spans="2:14" hidden="1" x14ac:dyDescent="0.25">
      <c r="B69" s="1" t="s">
        <v>49</v>
      </c>
      <c r="D69" s="1">
        <v>26465.753424657534</v>
      </c>
      <c r="E69" s="1">
        <v>26637.534246575342</v>
      </c>
      <c r="F69" s="1">
        <v>26810.716438356158</v>
      </c>
      <c r="G69" s="1">
        <v>26985.315390410953</v>
      </c>
      <c r="H69" s="1">
        <v>27161.346713116429</v>
      </c>
      <c r="I69" s="1">
        <v>27338.826240528582</v>
      </c>
      <c r="J69" s="1">
        <v>27517.77003416459</v>
      </c>
      <c r="K69" s="1">
        <v>27698.194386854411</v>
      </c>
      <c r="L69" s="1">
        <v>27880.115826663401</v>
      </c>
      <c r="M69" s="1">
        <v>28063.551120887299</v>
      </c>
    </row>
    <row r="70" spans="2:14" hidden="1" x14ac:dyDescent="0.25">
      <c r="B70" s="1" t="s">
        <v>51</v>
      </c>
      <c r="D70" s="1">
        <v>319630.90721900383</v>
      </c>
      <c r="E70" s="1">
        <v>313597.61296118301</v>
      </c>
      <c r="F70" s="1">
        <v>326921.99080994254</v>
      </c>
      <c r="G70" s="1">
        <v>340549.54376268067</v>
      </c>
      <c r="H70" s="1">
        <v>364691.20852741582</v>
      </c>
      <c r="I70" s="1">
        <v>410325.8855914814</v>
      </c>
      <c r="J70" s="1">
        <v>438190.15292494261</v>
      </c>
      <c r="K70" s="1">
        <v>455080.38035056199</v>
      </c>
      <c r="L70" s="1">
        <v>472351.806142685</v>
      </c>
      <c r="M70" s="1">
        <v>490013.08320504316</v>
      </c>
    </row>
    <row r="71" spans="2:14" hidden="1" x14ac:dyDescent="0.25">
      <c r="B71" s="1" t="s">
        <v>102</v>
      </c>
      <c r="D71" s="1">
        <v>101930.5890997386</v>
      </c>
      <c r="E71" s="1">
        <v>105030.90550596471</v>
      </c>
      <c r="F71" s="1">
        <v>108225.52100242082</v>
      </c>
      <c r="G71" s="1">
        <v>111517.30378617228</v>
      </c>
      <c r="H71" s="1">
        <v>114909.20929324301</v>
      </c>
      <c r="I71" s="1">
        <v>118404.28285207151</v>
      </c>
      <c r="J71" s="1">
        <v>122005.66241767487</v>
      </c>
      <c r="K71" s="1">
        <v>125716.58138897478</v>
      </c>
      <c r="L71" s="1">
        <v>129540.37151181529</v>
      </c>
      <c r="M71" s="1">
        <v>133480.46587027839</v>
      </c>
      <c r="N71" t="s">
        <v>134</v>
      </c>
    </row>
    <row r="72" spans="2:14" hidden="1" x14ac:dyDescent="0.25">
      <c r="B72" s="1" t="s">
        <v>53</v>
      </c>
      <c r="D72" s="1">
        <v>145072.03651713216</v>
      </c>
      <c r="E72" s="1">
        <v>141971.72011090608</v>
      </c>
      <c r="F72" s="1">
        <v>138777.10461444996</v>
      </c>
      <c r="G72" s="1">
        <v>135485.32183069849</v>
      </c>
      <c r="H72" s="1">
        <v>132093.41632362775</v>
      </c>
      <c r="I72" s="1">
        <v>128598.34276479926</v>
      </c>
      <c r="J72" s="1">
        <v>124996.9631991959</v>
      </c>
      <c r="K72" s="1">
        <v>121286.04422789597</v>
      </c>
      <c r="L72" s="1">
        <v>117462.2541050555</v>
      </c>
      <c r="M72" s="1">
        <v>113522.15974659241</v>
      </c>
    </row>
    <row r="73" spans="2:14" hidden="1" x14ac:dyDescent="0.25"/>
    <row r="74" spans="2:14" hidden="1" x14ac:dyDescent="0.25">
      <c r="B74" s="1" t="s">
        <v>35</v>
      </c>
    </row>
    <row r="75" spans="2:14" hidden="1" x14ac:dyDescent="0.25">
      <c r="B75" s="1" t="s">
        <v>52</v>
      </c>
      <c r="D75" s="1">
        <v>4780269.4109002603</v>
      </c>
      <c r="E75" s="1">
        <v>4675238.5053942949</v>
      </c>
      <c r="F75" s="1">
        <v>4567012.9843918746</v>
      </c>
      <c r="G75" s="1">
        <v>4455495.6806057021</v>
      </c>
      <c r="H75" s="1">
        <v>4340586.4713124586</v>
      </c>
      <c r="I75" s="1">
        <v>4222182.1884603873</v>
      </c>
      <c r="J75" s="1">
        <v>4100176.5260427115</v>
      </c>
      <c r="K75" s="1">
        <v>3974459.9446537369</v>
      </c>
      <c r="L75" s="1">
        <v>3844919.5731419218</v>
      </c>
      <c r="M75" s="1">
        <v>3711439.1072716443</v>
      </c>
    </row>
    <row r="76" spans="2:14" hidden="1" x14ac:dyDescent="0.25">
      <c r="B76" s="1" t="s">
        <v>104</v>
      </c>
    </row>
    <row r="77" spans="2:14" hidden="1" x14ac:dyDescent="0.25"/>
    <row r="78" spans="2:14" hidden="1" x14ac:dyDescent="0.25">
      <c r="B78" s="1" t="s">
        <v>101</v>
      </c>
      <c r="D78" s="1">
        <v>5373368.6971607925</v>
      </c>
      <c r="E78" s="1">
        <v>5262476.2782189241</v>
      </c>
      <c r="F78" s="1">
        <v>5167748.3172570439</v>
      </c>
      <c r="G78" s="1">
        <v>5070033.1653756648</v>
      </c>
      <c r="H78" s="1">
        <v>4979441.6521698618</v>
      </c>
      <c r="I78" s="1">
        <v>4906849.5259092683</v>
      </c>
      <c r="J78" s="1">
        <v>4812887.0746186897</v>
      </c>
      <c r="K78" s="1">
        <v>4704241.1450080238</v>
      </c>
      <c r="L78" s="1">
        <v>4592154.1207281407</v>
      </c>
      <c r="M78" s="1">
        <v>4476518.367214445</v>
      </c>
    </row>
    <row r="79" spans="2:14" hidden="1" x14ac:dyDescent="0.25"/>
    <row r="80" spans="2:14" hidden="1" x14ac:dyDescent="0.25">
      <c r="B80" s="1" t="s">
        <v>120</v>
      </c>
    </row>
    <row r="81" spans="1:14" hidden="1" x14ac:dyDescent="0.25">
      <c r="B81" s="1" t="s">
        <v>39</v>
      </c>
      <c r="D81" s="1">
        <v>3254800</v>
      </c>
      <c r="E81" s="1">
        <v>3254800</v>
      </c>
      <c r="F81" s="1">
        <v>3254800</v>
      </c>
      <c r="G81" s="1">
        <v>3254800</v>
      </c>
      <c r="H81" s="1">
        <v>3254800</v>
      </c>
      <c r="I81" s="1">
        <v>3254800</v>
      </c>
      <c r="J81" s="1">
        <v>3254800</v>
      </c>
      <c r="K81" s="1">
        <v>3254800</v>
      </c>
      <c r="L81" s="1">
        <v>3254800</v>
      </c>
      <c r="M81" s="1">
        <v>3254800</v>
      </c>
      <c r="N81" t="s">
        <v>135</v>
      </c>
    </row>
    <row r="82" spans="1:14" hidden="1" x14ac:dyDescent="0.25">
      <c r="B82" s="1" t="s">
        <v>40</v>
      </c>
      <c r="D82" s="1">
        <v>593600.25626386423</v>
      </c>
      <c r="E82" s="1">
        <v>1175995.8231917755</v>
      </c>
      <c r="F82" s="1">
        <v>1783136.6632673831</v>
      </c>
      <c r="G82" s="1">
        <v>2415585.8159695044</v>
      </c>
      <c r="H82" s="1">
        <v>3092869.4889489911</v>
      </c>
      <c r="I82" s="1">
        <v>3854903.2764760284</v>
      </c>
      <c r="J82" s="1">
        <v>4668684.989050922</v>
      </c>
      <c r="K82" s="1">
        <v>5513834.266844823</v>
      </c>
      <c r="L82" s="1">
        <v>6391059.0496812379</v>
      </c>
      <c r="M82" s="1">
        <v>7301083.3470620327</v>
      </c>
    </row>
    <row r="83" spans="1:14" hidden="1" x14ac:dyDescent="0.25"/>
    <row r="84" spans="1:14" hidden="1" x14ac:dyDescent="0.25">
      <c r="B84" s="1" t="s">
        <v>119</v>
      </c>
      <c r="D84" s="1">
        <v>3848400.2562638642</v>
      </c>
      <c r="E84" s="1">
        <v>4430795.823191775</v>
      </c>
      <c r="F84" s="1">
        <v>5037936.6632673834</v>
      </c>
      <c r="G84" s="1">
        <v>5670385.8159695044</v>
      </c>
      <c r="H84" s="1">
        <v>6347669.4889489915</v>
      </c>
      <c r="I84" s="1">
        <v>7109703.2764760284</v>
      </c>
      <c r="J84" s="1">
        <v>7923484.989050922</v>
      </c>
      <c r="K84" s="1">
        <v>8768634.266844824</v>
      </c>
      <c r="L84" s="1">
        <v>9645859.0496812388</v>
      </c>
      <c r="M84" s="1">
        <v>10555883.347062033</v>
      </c>
    </row>
    <row r="85" spans="1:14" hidden="1" x14ac:dyDescent="0.25"/>
    <row r="86" spans="1:14" hidden="1" x14ac:dyDescent="0.25">
      <c r="B86" s="1" t="s">
        <v>118</v>
      </c>
      <c r="D86" s="1">
        <v>9221768.9534246568</v>
      </c>
      <c r="E86" s="1">
        <v>9693272.1014106981</v>
      </c>
      <c r="F86" s="1">
        <v>10205684.980524428</v>
      </c>
      <c r="G86" s="1">
        <v>10740418.981345169</v>
      </c>
      <c r="H86" s="1">
        <v>11327111.141118854</v>
      </c>
      <c r="I86" s="1">
        <v>12016552.802385297</v>
      </c>
      <c r="J86" s="1">
        <v>12736372.063669611</v>
      </c>
      <c r="K86" s="1">
        <v>13472875.411852848</v>
      </c>
      <c r="L86" s="1">
        <v>14238013.17040938</v>
      </c>
      <c r="M86" s="1">
        <v>15032401.714276478</v>
      </c>
    </row>
    <row r="87" spans="1:14" hidden="1" x14ac:dyDescent="0.25"/>
    <row r="88" spans="1:14" hidden="1" x14ac:dyDescent="0.25">
      <c r="B88" s="1" t="s">
        <v>1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</row>
    <row r="89" spans="1:14" x14ac:dyDescent="0.25">
      <c r="A89" t="s">
        <v>181</v>
      </c>
    </row>
    <row r="90" spans="1:14" x14ac:dyDescent="0.25">
      <c r="A90" t="s">
        <v>182</v>
      </c>
    </row>
    <row r="91" spans="1:14" x14ac:dyDescent="0.25">
      <c r="C91" s="1">
        <v>0</v>
      </c>
      <c r="D91" s="1">
        <v>1</v>
      </c>
      <c r="E91" s="1">
        <v>2</v>
      </c>
      <c r="F91" s="1">
        <v>3</v>
      </c>
      <c r="G91" s="1">
        <v>4</v>
      </c>
      <c r="H91" s="1">
        <v>5</v>
      </c>
      <c r="I91" s="1">
        <v>6</v>
      </c>
      <c r="J91" s="1">
        <v>7</v>
      </c>
      <c r="K91" s="1">
        <v>8</v>
      </c>
      <c r="L91" s="1">
        <v>9</v>
      </c>
      <c r="M91" s="1">
        <v>10</v>
      </c>
    </row>
    <row r="92" spans="1:14" x14ac:dyDescent="0.25">
      <c r="B92" s="1" t="s">
        <v>183</v>
      </c>
      <c r="D92" s="1">
        <v>1221836.5333333332</v>
      </c>
      <c r="E92" s="1">
        <v>1201498.2333333334</v>
      </c>
      <c r="F92" s="1">
        <v>1236373.2688333334</v>
      </c>
      <c r="G92" s="1">
        <v>1272017.3516288337</v>
      </c>
      <c r="H92" s="1">
        <v>1337601.6311638635</v>
      </c>
      <c r="I92" s="1">
        <v>1464491.3492166509</v>
      </c>
      <c r="J92" s="1">
        <v>1540502.1620323653</v>
      </c>
      <c r="K92" s="1">
        <v>1585049.0357056924</v>
      </c>
      <c r="L92" s="1">
        <v>1630572.1764174888</v>
      </c>
      <c r="M92" s="1">
        <v>1677092.8736657638</v>
      </c>
    </row>
    <row r="93" spans="1:14" x14ac:dyDescent="0.25">
      <c r="B93" s="1" t="s">
        <v>184</v>
      </c>
      <c r="D93" s="1">
        <v>163533.33333333334</v>
      </c>
      <c r="E93" s="1">
        <v>163533.33333333334</v>
      </c>
      <c r="F93" s="1">
        <v>163533.33333333334</v>
      </c>
      <c r="G93" s="1">
        <v>163533.33333333334</v>
      </c>
      <c r="H93" s="1">
        <v>163533.33333333334</v>
      </c>
      <c r="I93" s="1">
        <v>163533.33333333334</v>
      </c>
      <c r="J93" s="1">
        <v>163533.33333333334</v>
      </c>
      <c r="K93" s="1">
        <v>163533.33333333334</v>
      </c>
      <c r="L93" s="1">
        <v>163533.33333333334</v>
      </c>
      <c r="M93" s="1">
        <v>163533.33333333334</v>
      </c>
    </row>
    <row r="94" spans="1:14" x14ac:dyDescent="0.25">
      <c r="B94" s="1" t="s">
        <v>179</v>
      </c>
      <c r="D94" s="1">
        <v>1058303.2</v>
      </c>
      <c r="E94" s="1">
        <v>1037964.9</v>
      </c>
      <c r="F94" s="1">
        <v>1072839.9355000001</v>
      </c>
      <c r="G94" s="1">
        <v>1108484.0182955004</v>
      </c>
      <c r="H94" s="1">
        <v>1174068.2978305302</v>
      </c>
      <c r="I94" s="1">
        <v>1300958.0158833177</v>
      </c>
      <c r="J94" s="1">
        <v>1376968.8286990321</v>
      </c>
      <c r="K94" s="1">
        <v>1421515.7023723591</v>
      </c>
      <c r="L94" s="1">
        <v>1467038.8430841556</v>
      </c>
      <c r="M94" s="1">
        <v>1513559.5403324305</v>
      </c>
    </row>
    <row r="95" spans="1:14" x14ac:dyDescent="0.25">
      <c r="B95" s="1" t="s">
        <v>180</v>
      </c>
      <c r="D95" s="1">
        <v>0.35</v>
      </c>
      <c r="E95" s="1">
        <v>0.35</v>
      </c>
      <c r="F95" s="1">
        <v>0.35</v>
      </c>
      <c r="G95" s="1">
        <v>0.35</v>
      </c>
      <c r="H95" s="1">
        <v>0.35</v>
      </c>
      <c r="I95" s="1">
        <v>0.35</v>
      </c>
      <c r="J95" s="1">
        <v>0.35</v>
      </c>
      <c r="K95" s="1">
        <v>0.35</v>
      </c>
      <c r="L95" s="1">
        <v>0.35</v>
      </c>
      <c r="M95" s="1">
        <v>0.35</v>
      </c>
    </row>
    <row r="96" spans="1:14" x14ac:dyDescent="0.25">
      <c r="B96" s="1" t="s">
        <v>185</v>
      </c>
      <c r="D96" s="1">
        <v>370406.11999999994</v>
      </c>
      <c r="E96" s="1">
        <v>363287.71499999997</v>
      </c>
      <c r="F96" s="1">
        <v>375493.97742500005</v>
      </c>
      <c r="G96" s="1">
        <v>387969.40640342515</v>
      </c>
      <c r="H96" s="1">
        <v>410923.90424068557</v>
      </c>
      <c r="I96" s="1">
        <v>455335.30555916118</v>
      </c>
      <c r="J96" s="1">
        <v>481939.09004466119</v>
      </c>
      <c r="K96" s="1">
        <v>497530.49583032564</v>
      </c>
      <c r="L96" s="1">
        <v>513463.59507945442</v>
      </c>
      <c r="M96" s="1">
        <v>529745.83911635063</v>
      </c>
    </row>
    <row r="97" spans="1:15" x14ac:dyDescent="0.25">
      <c r="B97" s="1" t="s">
        <v>186</v>
      </c>
      <c r="D97" s="1">
        <v>851430.41333333333</v>
      </c>
      <c r="E97" s="1">
        <v>838210.51833333343</v>
      </c>
      <c r="F97" s="1">
        <v>860879.29140833335</v>
      </c>
      <c r="G97" s="1">
        <v>884047.94522540853</v>
      </c>
      <c r="H97" s="1">
        <v>926677.72692317795</v>
      </c>
      <c r="I97" s="1">
        <v>1009156.0436574898</v>
      </c>
      <c r="J97" s="1">
        <v>1058563.0719877041</v>
      </c>
      <c r="K97" s="1">
        <v>1087518.5398753667</v>
      </c>
      <c r="L97" s="1">
        <v>1117108.5813380345</v>
      </c>
      <c r="M97" s="1">
        <v>1147347.0345494132</v>
      </c>
    </row>
    <row r="99" spans="1:15" x14ac:dyDescent="0.25">
      <c r="A99" t="s">
        <v>187</v>
      </c>
    </row>
    <row r="100" spans="1:15" x14ac:dyDescent="0.25">
      <c r="B100" s="1" t="s">
        <v>190</v>
      </c>
      <c r="C100" s="1">
        <v>-8137000</v>
      </c>
    </row>
    <row r="101" spans="1:15" x14ac:dyDescent="0.25">
      <c r="B101" s="1" t="s">
        <v>191</v>
      </c>
      <c r="M101" s="1">
        <v>6826750.0000000009</v>
      </c>
      <c r="O101" t="s">
        <v>189</v>
      </c>
    </row>
    <row r="102" spans="1:15" x14ac:dyDescent="0.25">
      <c r="B102" s="1" t="s">
        <v>192</v>
      </c>
      <c r="M102" s="1">
        <v>-48762.500000000095</v>
      </c>
      <c r="O102">
        <v>0.15</v>
      </c>
    </row>
    <row r="104" spans="1:15" x14ac:dyDescent="0.25">
      <c r="A104" t="s">
        <v>193</v>
      </c>
    </row>
    <row r="105" spans="1:15" x14ac:dyDescent="0.25">
      <c r="B105" s="1" t="s">
        <v>194</v>
      </c>
      <c r="D105" s="1">
        <v>-223811.50684931508</v>
      </c>
      <c r="E105" s="1">
        <v>-3838.3561643835565</v>
      </c>
      <c r="F105" s="1">
        <v>-3913.8493150685099</v>
      </c>
      <c r="G105" s="1">
        <v>-3990.9043150685029</v>
      </c>
      <c r="H105" s="1">
        <v>-4069.5544777396717</v>
      </c>
      <c r="I105" s="1">
        <v>-26836.425694813399</v>
      </c>
      <c r="J105" s="1">
        <v>-4685.5090570750181</v>
      </c>
      <c r="K105" s="1">
        <v>-4778.226626148331</v>
      </c>
      <c r="L105" s="1">
        <v>-4872.8615902676247</v>
      </c>
      <c r="M105" s="1">
        <v>-4969.4547218615771</v>
      </c>
    </row>
    <row r="106" spans="1:15" x14ac:dyDescent="0.25">
      <c r="B106" s="1" t="s">
        <v>197</v>
      </c>
      <c r="D106" s="1">
        <v>-34135.004931506854</v>
      </c>
      <c r="E106" s="1">
        <v>-11532.724383561632</v>
      </c>
      <c r="F106" s="1">
        <v>-652.24035616438778</v>
      </c>
      <c r="G106" s="1">
        <v>-664.15154095891194</v>
      </c>
      <c r="H106" s="1">
        <v>5154.5519262791131</v>
      </c>
      <c r="I106" s="1">
        <v>-3347.9222389946299</v>
      </c>
      <c r="J106" s="1">
        <v>5944.3112039466869</v>
      </c>
      <c r="K106" s="1">
        <v>-549.27875620035047</v>
      </c>
      <c r="L106" s="1">
        <v>-559.18853336358006</v>
      </c>
      <c r="M106" s="1">
        <v>-569.296730232345</v>
      </c>
    </row>
    <row r="107" spans="1:15" x14ac:dyDescent="0.25">
      <c r="B107" s="1" t="s">
        <v>195</v>
      </c>
      <c r="D107" s="1">
        <v>370406.11999999994</v>
      </c>
      <c r="E107" s="1">
        <v>-7118.4049999999697</v>
      </c>
      <c r="F107" s="1">
        <v>12206.262425000081</v>
      </c>
      <c r="G107" s="1">
        <v>12475.428978425101</v>
      </c>
      <c r="H107" s="1">
        <v>22954.497837260424</v>
      </c>
      <c r="I107" s="1">
        <v>44411.401318475604</v>
      </c>
      <c r="J107" s="1">
        <v>26603.784485500015</v>
      </c>
      <c r="K107" s="1">
        <v>15591.40578566445</v>
      </c>
      <c r="L107" s="1">
        <v>15933.099249128776</v>
      </c>
      <c r="M107" s="1">
        <v>16282.244036896212</v>
      </c>
    </row>
    <row r="108" spans="1:15" x14ac:dyDescent="0.25">
      <c r="B108" s="1" t="s">
        <v>196</v>
      </c>
      <c r="D108" s="1">
        <v>26465.753424657534</v>
      </c>
      <c r="E108" s="1">
        <v>171.78082191780777</v>
      </c>
      <c r="F108" s="1">
        <v>173.18219178081563</v>
      </c>
      <c r="G108" s="1">
        <v>174.59895205479552</v>
      </c>
      <c r="H108" s="1">
        <v>176.03132270547576</v>
      </c>
      <c r="I108" s="1">
        <v>177.4795274121534</v>
      </c>
      <c r="J108" s="1">
        <v>178.94379363600819</v>
      </c>
      <c r="K108" s="1">
        <v>180.42435268982081</v>
      </c>
      <c r="L108" s="1">
        <v>181.92143980898982</v>
      </c>
      <c r="M108" s="1">
        <v>183.43529422389838</v>
      </c>
    </row>
    <row r="110" spans="1:15" x14ac:dyDescent="0.25">
      <c r="A110" t="s">
        <v>198</v>
      </c>
    </row>
    <row r="111" spans="1:15" x14ac:dyDescent="0.25">
      <c r="B111" s="1" t="s">
        <v>194</v>
      </c>
      <c r="M111" s="1">
        <v>285766.64881174127</v>
      </c>
    </row>
    <row r="112" spans="1:15" x14ac:dyDescent="0.25">
      <c r="B112" s="1" t="s">
        <v>197</v>
      </c>
      <c r="M112" s="1">
        <v>40910.944340756891</v>
      </c>
    </row>
    <row r="113" spans="2:13" x14ac:dyDescent="0.25">
      <c r="B113" s="1" t="s">
        <v>195</v>
      </c>
      <c r="M113" s="1">
        <v>-529745.83911635063</v>
      </c>
    </row>
    <row r="114" spans="2:13" x14ac:dyDescent="0.25">
      <c r="B114" s="1" t="s">
        <v>196</v>
      </c>
      <c r="M114" s="1">
        <v>-490013.08320504316</v>
      </c>
    </row>
    <row r="116" spans="2:13" x14ac:dyDescent="0.25">
      <c r="B116" s="103" t="s">
        <v>199</v>
      </c>
      <c r="C116" s="103">
        <v>-8137000</v>
      </c>
      <c r="D116" s="103">
        <v>990355.774977169</v>
      </c>
      <c r="E116" s="103">
        <v>815892.81360730599</v>
      </c>
      <c r="F116" s="103">
        <v>868692.64635388122</v>
      </c>
      <c r="G116" s="103">
        <v>892042.91729986097</v>
      </c>
      <c r="H116" s="103">
        <v>950893.25353168335</v>
      </c>
      <c r="I116" s="103">
        <v>1023560.5765695695</v>
      </c>
      <c r="J116" s="103">
        <v>1086604.6024137118</v>
      </c>
      <c r="K116" s="103">
        <v>1097962.8646313723</v>
      </c>
      <c r="L116" s="103">
        <v>1127791.551903341</v>
      </c>
      <c r="M116" s="103">
        <v>7243180.1332595451</v>
      </c>
    </row>
    <row r="117" spans="2:13" x14ac:dyDescent="0.25">
      <c r="B117" s="103" t="s">
        <v>200</v>
      </c>
      <c r="C117" s="103">
        <v>-8137000</v>
      </c>
      <c r="D117" s="103">
        <v>890401.04475904279</v>
      </c>
      <c r="E117" s="103">
        <v>659510.86236780684</v>
      </c>
      <c r="F117" s="103">
        <v>631319.80355730501</v>
      </c>
      <c r="G117" s="103">
        <v>582858.90949051525</v>
      </c>
      <c r="H117" s="103">
        <v>558603.79101282603</v>
      </c>
      <c r="I117" s="103">
        <v>540605.03394050943</v>
      </c>
      <c r="J117" s="103">
        <v>515979.56000957527</v>
      </c>
      <c r="K117" s="103">
        <v>468751.8899912755</v>
      </c>
      <c r="L117" s="103">
        <v>432891.08273511811</v>
      </c>
      <c r="M117" s="103">
        <v>2499617.2389484313</v>
      </c>
    </row>
    <row r="118" spans="2:13" x14ac:dyDescent="0.25"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</row>
    <row r="119" spans="2:13" x14ac:dyDescent="0.25">
      <c r="B119" s="103" t="s">
        <v>201</v>
      </c>
      <c r="C119" s="103">
        <v>-356460.78318759473</v>
      </c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</row>
    <row r="120" spans="2:13" x14ac:dyDescent="0.25">
      <c r="B120" s="103" t="s">
        <v>202</v>
      </c>
      <c r="C120" s="99">
        <v>0.104380234094093</v>
      </c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</row>
    <row r="121" spans="2:13" x14ac:dyDescent="0.25">
      <c r="B121" s="98" t="s">
        <v>203</v>
      </c>
      <c r="C121" s="104">
        <f>1-'Good Year'!C121</f>
        <v>0.28000000000000003</v>
      </c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N31"/>
  <sheetViews>
    <sheetView showGridLines="0" zoomScale="90" zoomScaleNormal="90" workbookViewId="0">
      <selection activeCell="H20" sqref="H20"/>
    </sheetView>
  </sheetViews>
  <sheetFormatPr defaultRowHeight="15" x14ac:dyDescent="0.25"/>
  <cols>
    <col min="1" max="1" width="9.140625" style="1"/>
    <col min="2" max="2" width="25" style="1" bestFit="1" customWidth="1"/>
    <col min="3" max="3" width="14" style="1" bestFit="1" customWidth="1"/>
    <col min="4" max="6" width="11.5703125" style="1" bestFit="1" customWidth="1"/>
    <col min="7" max="7" width="15" style="1" bestFit="1" customWidth="1"/>
    <col min="8" max="13" width="13.28515625" style="1" bestFit="1" customWidth="1"/>
    <col min="14" max="16384" width="9.140625" style="1"/>
  </cols>
  <sheetData>
    <row r="3" spans="2:13" x14ac:dyDescent="0.25">
      <c r="C3" s="3">
        <v>0</v>
      </c>
      <c r="D3" s="3">
        <v>1</v>
      </c>
      <c r="E3" s="3">
        <v>2</v>
      </c>
      <c r="F3" s="3">
        <v>3</v>
      </c>
      <c r="G3" s="3">
        <v>4</v>
      </c>
      <c r="H3" s="3">
        <v>5</v>
      </c>
      <c r="I3" s="3">
        <v>6</v>
      </c>
      <c r="J3" s="3">
        <v>7</v>
      </c>
      <c r="K3" s="3">
        <v>8</v>
      </c>
      <c r="L3" s="3">
        <v>9</v>
      </c>
      <c r="M3" s="3">
        <v>10</v>
      </c>
    </row>
    <row r="4" spans="2:13" x14ac:dyDescent="0.25">
      <c r="B4" s="98" t="s">
        <v>204</v>
      </c>
    </row>
    <row r="5" spans="2:13" x14ac:dyDescent="0.25">
      <c r="B5" s="1" t="s">
        <v>199</v>
      </c>
      <c r="C5" s="1">
        <v>-8137000</v>
      </c>
      <c r="D5" s="1">
        <v>990355.774977169</v>
      </c>
      <c r="E5" s="1">
        <v>870439.45515981747</v>
      </c>
      <c r="F5" s="1">
        <v>966393.12009132421</v>
      </c>
      <c r="G5" s="1">
        <v>1035724.1605614617</v>
      </c>
      <c r="H5" s="1">
        <v>1147154.2132368588</v>
      </c>
      <c r="I5" s="1">
        <v>1308660.4706918125</v>
      </c>
      <c r="J5" s="1">
        <v>1432728.8501031466</v>
      </c>
      <c r="K5" s="1">
        <v>1509129.4179789543</v>
      </c>
      <c r="L5" s="1">
        <v>1610601.6136820891</v>
      </c>
      <c r="M5" s="1">
        <v>7313208.0709074307</v>
      </c>
    </row>
    <row r="6" spans="2:13" x14ac:dyDescent="0.25">
      <c r="B6" s="1" t="s">
        <v>200</v>
      </c>
      <c r="C6" s="1">
        <v>-8137000</v>
      </c>
      <c r="D6" s="1">
        <v>891428.27630671719</v>
      </c>
      <c r="E6" s="1">
        <v>705226.9550091133</v>
      </c>
      <c r="F6" s="1">
        <v>704756.89253873145</v>
      </c>
      <c r="G6" s="1">
        <v>679868.27699939872</v>
      </c>
      <c r="H6" s="1">
        <v>677793.87824478734</v>
      </c>
      <c r="I6" s="1">
        <v>695981.97055784415</v>
      </c>
      <c r="J6" s="1">
        <v>685851.63554660685</v>
      </c>
      <c r="K6" s="1">
        <v>650261.17586816847</v>
      </c>
      <c r="L6" s="1">
        <v>624661.35277905455</v>
      </c>
      <c r="M6" s="1">
        <v>2553051.6729615065</v>
      </c>
    </row>
    <row r="8" spans="2:13" x14ac:dyDescent="0.25">
      <c r="B8" s="1" t="s">
        <v>201</v>
      </c>
      <c r="C8" s="1">
        <v>731882.08681192808</v>
      </c>
    </row>
    <row r="9" spans="2:13" x14ac:dyDescent="0.25">
      <c r="B9" s="1" t="s">
        <v>202</v>
      </c>
      <c r="C9" s="102">
        <v>0.12645250080378312</v>
      </c>
    </row>
    <row r="10" spans="2:13" x14ac:dyDescent="0.25">
      <c r="B10" s="1" t="s">
        <v>203</v>
      </c>
      <c r="C10" s="102">
        <v>0.72</v>
      </c>
    </row>
    <row r="12" spans="2:13" x14ac:dyDescent="0.25">
      <c r="B12" s="98" t="s">
        <v>205</v>
      </c>
    </row>
    <row r="13" spans="2:13" x14ac:dyDescent="0.25">
      <c r="B13" s="1" t="s">
        <v>199</v>
      </c>
      <c r="C13" s="1">
        <v>-8137000</v>
      </c>
      <c r="D13" s="1">
        <v>990355.774977169</v>
      </c>
      <c r="E13" s="1">
        <v>815892.81360730599</v>
      </c>
      <c r="F13" s="1">
        <v>868692.64635388122</v>
      </c>
      <c r="G13" s="1">
        <v>892042.91729986097</v>
      </c>
      <c r="H13" s="1">
        <v>950893.25353168335</v>
      </c>
      <c r="I13" s="1">
        <v>1023560.5765695695</v>
      </c>
      <c r="J13" s="1">
        <v>1086604.6024137118</v>
      </c>
      <c r="K13" s="1">
        <v>1097962.8646313723</v>
      </c>
      <c r="L13" s="1">
        <v>1127791.551903341</v>
      </c>
      <c r="M13" s="1">
        <v>7243180.1332595451</v>
      </c>
    </row>
    <row r="14" spans="2:13" x14ac:dyDescent="0.25">
      <c r="B14" s="1" t="s">
        <v>200</v>
      </c>
      <c r="C14" s="1">
        <v>-8137000</v>
      </c>
      <c r="D14" s="1">
        <v>890401.04475904279</v>
      </c>
      <c r="E14" s="1">
        <v>659510.86236780684</v>
      </c>
      <c r="F14" s="1">
        <v>631319.80355730501</v>
      </c>
      <c r="G14" s="1">
        <v>582858.90949051525</v>
      </c>
      <c r="H14" s="1">
        <v>558603.79101282603</v>
      </c>
      <c r="I14" s="1">
        <v>540605.03394050943</v>
      </c>
      <c r="J14" s="1">
        <v>515979.56000957527</v>
      </c>
      <c r="K14" s="1">
        <v>468751.8899912755</v>
      </c>
      <c r="L14" s="1">
        <v>432891.08273511811</v>
      </c>
      <c r="M14" s="1">
        <v>2499617.2389484313</v>
      </c>
    </row>
    <row r="16" spans="2:13" x14ac:dyDescent="0.25">
      <c r="B16" s="1" t="s">
        <v>201</v>
      </c>
      <c r="C16" s="1">
        <v>-356460.78318759473</v>
      </c>
    </row>
    <row r="17" spans="2:14" x14ac:dyDescent="0.25">
      <c r="B17" s="1" t="s">
        <v>202</v>
      </c>
      <c r="C17" s="5">
        <v>0.104380234094093</v>
      </c>
    </row>
    <row r="18" spans="2:14" x14ac:dyDescent="0.25">
      <c r="B18" s="1" t="s">
        <v>203</v>
      </c>
      <c r="C18" s="102">
        <v>0.28000000000000003</v>
      </c>
    </row>
    <row r="20" spans="2:14" x14ac:dyDescent="0.25">
      <c r="B20" s="3" t="s">
        <v>206</v>
      </c>
      <c r="C20" s="1">
        <f>C10*C8+C18*C16</f>
        <v>427146.08321206167</v>
      </c>
    </row>
    <row r="22" spans="2:14" x14ac:dyDescent="0.25">
      <c r="B22" s="98" t="s">
        <v>207</v>
      </c>
    </row>
    <row r="23" spans="2:14" x14ac:dyDescent="0.25">
      <c r="B23" s="1" t="s">
        <v>199</v>
      </c>
      <c r="G23" s="98">
        <v>-1500000</v>
      </c>
      <c r="H23" s="3">
        <v>367000</v>
      </c>
      <c r="I23" s="1">
        <f>H23*(1+$N$23)</f>
        <v>385350</v>
      </c>
      <c r="J23" s="1">
        <f t="shared" ref="J23:L23" si="0">I23*(1+$N$23)</f>
        <v>404617.5</v>
      </c>
      <c r="K23" s="1">
        <f t="shared" si="0"/>
        <v>424848.375</v>
      </c>
      <c r="L23" s="1">
        <f t="shared" si="0"/>
        <v>446090.79375000001</v>
      </c>
      <c r="M23" s="1">
        <f>L23*(1+$N$23)-G23*1.5</f>
        <v>2718395.3334375001</v>
      </c>
      <c r="N23" s="5">
        <v>0.05</v>
      </c>
    </row>
    <row r="24" spans="2:14" x14ac:dyDescent="0.25">
      <c r="B24" s="1" t="s">
        <v>200</v>
      </c>
      <c r="H24" s="1">
        <f>-PV(WACC!$I$19,'Decision tree'!I3,,'Decision tree'!H23)</f>
        <v>194320.20618966533</v>
      </c>
      <c r="I24" s="1">
        <f>-PV(WACC!$I$19,'Decision tree'!I3,,'Decision tree'!I23)</f>
        <v>204036.21649914858</v>
      </c>
      <c r="J24" s="1">
        <f>-PV(WACC!$I$19,'Decision tree'!J3,,'Decision tree'!J23)</f>
        <v>192695.63506979414</v>
      </c>
      <c r="K24" s="1">
        <f>-PV(WACC!$I$19,'Decision tree'!K3,,'Decision tree'!K23)</f>
        <v>181985.37696912358</v>
      </c>
      <c r="L24" s="1">
        <f>-PV(WACC!$I$19,'Decision tree'!L3,,'Decision tree'!L23)</f>
        <v>171870.40805879424</v>
      </c>
      <c r="M24" s="1">
        <f>-PV(WACC!$I$19,'Decision tree'!M3,,'Decision tree'!M23)</f>
        <v>942032.26959654002</v>
      </c>
    </row>
    <row r="26" spans="2:14" x14ac:dyDescent="0.25">
      <c r="B26" s="1" t="s">
        <v>201</v>
      </c>
      <c r="C26" s="114">
        <f>SUM(H24:M24)</f>
        <v>1886940.1123830657</v>
      </c>
    </row>
    <row r="28" spans="2:14" x14ac:dyDescent="0.25">
      <c r="B28" s="105" t="s">
        <v>208</v>
      </c>
      <c r="C28" s="106" t="s">
        <v>209</v>
      </c>
      <c r="D28" s="107" t="s">
        <v>210</v>
      </c>
      <c r="E28" s="107" t="s">
        <v>211</v>
      </c>
      <c r="F28" s="107" t="s">
        <v>212</v>
      </c>
      <c r="G28" s="108" t="s">
        <v>213</v>
      </c>
    </row>
    <row r="29" spans="2:14" x14ac:dyDescent="0.25">
      <c r="B29" s="111">
        <f>C26</f>
        <v>1886940.1123830657</v>
      </c>
      <c r="C29" s="112">
        <f>-G23</f>
        <v>1500000</v>
      </c>
      <c r="D29" s="112">
        <f>6</f>
        <v>6</v>
      </c>
      <c r="E29" s="113">
        <v>0.12</v>
      </c>
      <c r="F29" s="109">
        <f>WACC!C5</f>
        <v>8.9999999999999993E-3</v>
      </c>
      <c r="G29" s="110">
        <f>(B29*(NORMSDIST((LN(B29/PV(F29,D29,,-C29))+(F29+((E29^2)/2)*D29))/(E29*SQRT(D29)))))-((NORMSDIST(((LN(B29/PV(F29,D29,,-C29))+(F29+((E29^2)/2)*D29))/(E29*SQRT(D29)))-(E29*SQRT(D29))))*PV(F29,D29,,-C29))</f>
        <v>508067.50421051634</v>
      </c>
    </row>
    <row r="31" spans="2:14" x14ac:dyDescent="0.25">
      <c r="B31" s="3" t="s">
        <v>206</v>
      </c>
      <c r="C31" s="1">
        <f>G29+C8</f>
        <v>1239949.5910224444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Financial Statements</vt:lpstr>
      <vt:lpstr>Assumptions</vt:lpstr>
      <vt:lpstr>Depreciation</vt:lpstr>
      <vt:lpstr>Commercial Loan</vt:lpstr>
      <vt:lpstr>WACC</vt:lpstr>
      <vt:lpstr>Good Year</vt:lpstr>
      <vt:lpstr>Bad Year</vt:lpstr>
      <vt:lpstr>Decision tree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2019-07-25T21:34:10Z</dcterms:created>
  <dcterms:modified xsi:type="dcterms:W3CDTF">2019-07-25T21:44:20Z</dcterms:modified>
</cp:coreProperties>
</file>