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0" yWindow="675" windowWidth="19815" windowHeight="7245"/>
  </bookViews>
  <sheets>
    <sheet name="Forecast" sheetId="1" r:id="rId1"/>
    <sheet name="Assumptions" sheetId="2" r:id="rId2"/>
    <sheet name="Loan Amortization" sheetId="3" r:id="rId3"/>
    <sheet name="Beta Calculations" sheetId="4" r:id="rId4"/>
    <sheet name="Probability" sheetId="5" r:id="rId5"/>
    <sheet name="Real Option" sheetId="6" r:id="rId6"/>
  </sheets>
  <externalReferences>
    <externalReference r:id="rId7"/>
  </externalReferences>
  <definedNames>
    <definedName name="solver_adj" localSheetId="0" hidden="1">Forecast!$D$82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Forecast!$E$46:$N$46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Forecast!$D$111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Forecast!$E$58:$N$58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A5" i="6" l="1"/>
  <c r="A24" i="6"/>
  <c r="B21" i="6"/>
  <c r="B16" i="6"/>
  <c r="L15" i="6"/>
  <c r="L18" i="6" s="1"/>
  <c r="K15" i="6"/>
  <c r="K18" i="6" s="1"/>
  <c r="J15" i="6"/>
  <c r="J18" i="6" s="1"/>
  <c r="I15" i="6"/>
  <c r="I18" i="6" s="1"/>
  <c r="H15" i="6"/>
  <c r="H18" i="6" s="1"/>
  <c r="G15" i="6"/>
  <c r="G18" i="6" s="1"/>
  <c r="F15" i="6"/>
  <c r="F18" i="6" s="1"/>
  <c r="E15" i="6"/>
  <c r="E18" i="6" s="1"/>
  <c r="D15" i="6"/>
  <c r="D18" i="6" s="1"/>
  <c r="C15" i="6"/>
  <c r="C18" i="6" s="1"/>
  <c r="B20" i="6" s="1"/>
  <c r="B22" i="6" s="1"/>
  <c r="B15" i="6"/>
  <c r="B18" i="6" s="1"/>
  <c r="A14" i="6"/>
  <c r="L9" i="6"/>
  <c r="K9" i="6"/>
  <c r="J9" i="6"/>
  <c r="I9" i="6"/>
  <c r="H9" i="6"/>
  <c r="F9" i="6"/>
  <c r="D9" i="6"/>
  <c r="B9" i="6"/>
  <c r="B7" i="6"/>
  <c r="G6" i="6"/>
  <c r="G9" i="6" s="1"/>
  <c r="F6" i="6"/>
  <c r="E6" i="6"/>
  <c r="E9" i="6" s="1"/>
  <c r="D6" i="6"/>
  <c r="C6" i="6"/>
  <c r="C9" i="6" s="1"/>
  <c r="B6" i="6"/>
  <c r="B27" i="5"/>
  <c r="L24" i="5"/>
  <c r="K24" i="5"/>
  <c r="J24" i="5"/>
  <c r="I24" i="5"/>
  <c r="H24" i="5"/>
  <c r="G24" i="5"/>
  <c r="F24" i="5"/>
  <c r="E24" i="5"/>
  <c r="D24" i="5"/>
  <c r="C24" i="5"/>
  <c r="B24" i="5"/>
  <c r="B22" i="5"/>
  <c r="L13" i="5"/>
  <c r="L35" i="5" s="1"/>
  <c r="K13" i="5"/>
  <c r="K35" i="5" s="1"/>
  <c r="J13" i="5"/>
  <c r="J35" i="5" s="1"/>
  <c r="I13" i="5"/>
  <c r="I35" i="5" s="1"/>
  <c r="H13" i="5"/>
  <c r="H35" i="5" s="1"/>
  <c r="G13" i="5"/>
  <c r="G35" i="5" s="1"/>
  <c r="F13" i="5"/>
  <c r="F35" i="5" s="1"/>
  <c r="E13" i="5"/>
  <c r="E35" i="5" s="1"/>
  <c r="D13" i="5"/>
  <c r="D35" i="5" s="1"/>
  <c r="C13" i="5"/>
  <c r="C35" i="5" s="1"/>
  <c r="B13" i="5"/>
  <c r="B11" i="5"/>
  <c r="B10" i="6" l="1"/>
  <c r="B12" i="6" s="1"/>
  <c r="B24" i="6" s="1"/>
  <c r="B26" i="6" s="1"/>
  <c r="B33" i="5"/>
  <c r="B26" i="5"/>
  <c r="B28" i="5" s="1"/>
  <c r="B34" i="5"/>
  <c r="B15" i="5"/>
  <c r="B17" i="5" s="1"/>
  <c r="B35" i="5"/>
  <c r="B36" i="5" s="1"/>
  <c r="B31" i="5" l="1"/>
  <c r="F40" i="1" l="1"/>
  <c r="G40" i="1" s="1"/>
  <c r="H40" i="1" s="1"/>
  <c r="I40" i="1" s="1"/>
  <c r="J40" i="1" s="1"/>
  <c r="K40" i="1" s="1"/>
  <c r="L40" i="1" s="1"/>
  <c r="M40" i="1" s="1"/>
  <c r="N40" i="1" s="1"/>
  <c r="C10" i="4" l="1"/>
  <c r="C1" i="4"/>
  <c r="C5" i="4" s="1"/>
  <c r="E45" i="1" l="1"/>
  <c r="F45" i="1" s="1"/>
  <c r="F26" i="1"/>
  <c r="G26" i="1"/>
  <c r="H26" i="1"/>
  <c r="I26" i="1"/>
  <c r="J26" i="1"/>
  <c r="K26" i="1"/>
  <c r="L26" i="1"/>
  <c r="M26" i="1"/>
  <c r="N26" i="1"/>
  <c r="B1" i="3"/>
  <c r="B166" i="3" s="1"/>
  <c r="C64" i="2"/>
  <c r="C69" i="2" s="1"/>
  <c r="G62" i="2"/>
  <c r="G67" i="2" s="1"/>
  <c r="C62" i="2"/>
  <c r="C67" i="2" s="1"/>
  <c r="D61" i="2"/>
  <c r="D66" i="2" s="1"/>
  <c r="C59" i="2"/>
  <c r="D64" i="2" s="1"/>
  <c r="D69" i="2" s="1"/>
  <c r="B59" i="2"/>
  <c r="F58" i="2"/>
  <c r="G63" i="2" s="1"/>
  <c r="G68" i="2" s="1"/>
  <c r="E58" i="2"/>
  <c r="B58" i="2"/>
  <c r="C63" i="2" s="1"/>
  <c r="C68" i="2" s="1"/>
  <c r="D57" i="2"/>
  <c r="B57" i="2"/>
  <c r="D56" i="2"/>
  <c r="E61" i="2" s="1"/>
  <c r="E66" i="2" s="1"/>
  <c r="C56" i="2"/>
  <c r="B56" i="2"/>
  <c r="C61" i="2" s="1"/>
  <c r="C66" i="2" s="1"/>
  <c r="F54" i="2"/>
  <c r="G54" i="2" s="1"/>
  <c r="H54" i="2" s="1"/>
  <c r="I54" i="2" s="1"/>
  <c r="J54" i="2" s="1"/>
  <c r="K54" i="2" s="1"/>
  <c r="L54" i="2" s="1"/>
  <c r="C54" i="2"/>
  <c r="D54" i="2" s="1"/>
  <c r="E54" i="2" s="1"/>
  <c r="H53" i="2"/>
  <c r="I53" i="2" s="1"/>
  <c r="J53" i="2" s="1"/>
  <c r="K53" i="2" s="1"/>
  <c r="L53" i="2" s="1"/>
  <c r="E53" i="2"/>
  <c r="F53" i="2" s="1"/>
  <c r="G53" i="2" s="1"/>
  <c r="D53" i="2"/>
  <c r="C53" i="2"/>
  <c r="C52" i="2"/>
  <c r="D52" i="2" s="1"/>
  <c r="E52" i="2" s="1"/>
  <c r="F52" i="2" s="1"/>
  <c r="G52" i="2" s="1"/>
  <c r="H52" i="2" s="1"/>
  <c r="I52" i="2" s="1"/>
  <c r="J52" i="2" s="1"/>
  <c r="K52" i="2" s="1"/>
  <c r="L52" i="2" s="1"/>
  <c r="M51" i="2"/>
  <c r="C51" i="2" s="1"/>
  <c r="D51" i="2" s="1"/>
  <c r="F51" i="2"/>
  <c r="G51" i="2" s="1"/>
  <c r="H51" i="2" s="1"/>
  <c r="I51" i="2" s="1"/>
  <c r="J51" i="2" s="1"/>
  <c r="K51" i="2" s="1"/>
  <c r="L51" i="2" s="1"/>
  <c r="E51" i="2"/>
  <c r="D49" i="2"/>
  <c r="C49" i="2"/>
  <c r="F48" i="2"/>
  <c r="G48" i="2" s="1"/>
  <c r="E48" i="2"/>
  <c r="D48" i="2"/>
  <c r="D58" i="2" s="1"/>
  <c r="E63" i="2" s="1"/>
  <c r="E68" i="2" s="1"/>
  <c r="C48" i="2"/>
  <c r="C58" i="2" s="1"/>
  <c r="D63" i="2" s="1"/>
  <c r="D68" i="2" s="1"/>
  <c r="H47" i="2"/>
  <c r="G47" i="2"/>
  <c r="G57" i="2" s="1"/>
  <c r="D47" i="2"/>
  <c r="E47" i="2" s="1"/>
  <c r="F47" i="2" s="1"/>
  <c r="F57" i="2" s="1"/>
  <c r="C47" i="2"/>
  <c r="C57" i="2" s="1"/>
  <c r="F46" i="2"/>
  <c r="E46" i="2"/>
  <c r="E56" i="2" s="1"/>
  <c r="D46" i="2"/>
  <c r="C46" i="2"/>
  <c r="H44" i="2"/>
  <c r="I44" i="2" s="1"/>
  <c r="J44" i="2" s="1"/>
  <c r="K44" i="2" s="1"/>
  <c r="L44" i="2" s="1"/>
  <c r="G44" i="2"/>
  <c r="D44" i="2"/>
  <c r="E44" i="2" s="1"/>
  <c r="F44" i="2" s="1"/>
  <c r="C44" i="2"/>
  <c r="J43" i="2"/>
  <c r="K43" i="2" s="1"/>
  <c r="L43" i="2" s="1"/>
  <c r="I43" i="2"/>
  <c r="F43" i="2"/>
  <c r="G43" i="2" s="1"/>
  <c r="H43" i="2" s="1"/>
  <c r="E43" i="2"/>
  <c r="D43" i="2"/>
  <c r="C43" i="2"/>
  <c r="H42" i="2"/>
  <c r="I42" i="2" s="1"/>
  <c r="J42" i="2" s="1"/>
  <c r="K42" i="2" s="1"/>
  <c r="L42" i="2" s="1"/>
  <c r="G42" i="2"/>
  <c r="D42" i="2"/>
  <c r="E42" i="2" s="1"/>
  <c r="F42" i="2" s="1"/>
  <c r="C42" i="2"/>
  <c r="J41" i="2"/>
  <c r="K41" i="2" s="1"/>
  <c r="L41" i="2" s="1"/>
  <c r="I41" i="2"/>
  <c r="F41" i="2"/>
  <c r="G41" i="2" s="1"/>
  <c r="H41" i="2" s="1"/>
  <c r="E41" i="2"/>
  <c r="D41" i="2"/>
  <c r="C41" i="2"/>
  <c r="AQ38" i="2"/>
  <c r="AJ38" i="2"/>
  <c r="O38" i="2"/>
  <c r="V38" i="2" s="1"/>
  <c r="AC38" i="2" s="1"/>
  <c r="H38" i="2"/>
  <c r="B34" i="2"/>
  <c r="C33" i="2"/>
  <c r="BA30" i="2"/>
  <c r="BH30" i="2" s="1"/>
  <c r="BO30" i="2" s="1"/>
  <c r="AG30" i="2"/>
  <c r="AN30" i="2" s="1"/>
  <c r="AU30" i="2" s="1"/>
  <c r="BB30" i="2" s="1"/>
  <c r="BI30" i="2" s="1"/>
  <c r="BP30" i="2" s="1"/>
  <c r="AF30" i="2"/>
  <c r="AM30" i="2" s="1"/>
  <c r="AT30" i="2" s="1"/>
  <c r="Y30" i="2"/>
  <c r="R30" i="2"/>
  <c r="Q30" i="2"/>
  <c r="X30" i="2" s="1"/>
  <c r="AE30" i="2" s="1"/>
  <c r="AL30" i="2" s="1"/>
  <c r="AS30" i="2" s="1"/>
  <c r="AZ30" i="2" s="1"/>
  <c r="BG30" i="2" s="1"/>
  <c r="BN30" i="2" s="1"/>
  <c r="L30" i="2"/>
  <c r="S30" i="2" s="1"/>
  <c r="Z30" i="2" s="1"/>
  <c r="K30" i="2"/>
  <c r="J30" i="2"/>
  <c r="BA29" i="2"/>
  <c r="AM29" i="2"/>
  <c r="AT29" i="2" s="1"/>
  <c r="AX29" i="2" s="1"/>
  <c r="AC29" i="2"/>
  <c r="Y29" i="2"/>
  <c r="AF29" i="2" s="1"/>
  <c r="AJ29" i="2" s="1"/>
  <c r="V29" i="2"/>
  <c r="P29" i="2"/>
  <c r="O29" i="2"/>
  <c r="L29" i="2"/>
  <c r="S29" i="2" s="1"/>
  <c r="K29" i="2"/>
  <c r="R29" i="2" s="1"/>
  <c r="J29" i="2"/>
  <c r="I29" i="2"/>
  <c r="H29" i="2"/>
  <c r="G29" i="2"/>
  <c r="BT28" i="2"/>
  <c r="BS28" i="2"/>
  <c r="BR28" i="2"/>
  <c r="BM28" i="2"/>
  <c r="BL28" i="2"/>
  <c r="BK28" i="2"/>
  <c r="BF28" i="2"/>
  <c r="BE28" i="2"/>
  <c r="BD28" i="2"/>
  <c r="AY28" i="2"/>
  <c r="AX28" i="2"/>
  <c r="AW28" i="2"/>
  <c r="AR28" i="2"/>
  <c r="AQ28" i="2"/>
  <c r="AP28" i="2"/>
  <c r="AK28" i="2"/>
  <c r="AJ28" i="2"/>
  <c r="AI28" i="2"/>
  <c r="AD28" i="2"/>
  <c r="AC28" i="2"/>
  <c r="AB28" i="2"/>
  <c r="W28" i="2"/>
  <c r="V28" i="2"/>
  <c r="U28" i="2"/>
  <c r="P28" i="2"/>
  <c r="O28" i="2"/>
  <c r="N28" i="2"/>
  <c r="I28" i="2"/>
  <c r="H28" i="2"/>
  <c r="G28" i="2"/>
  <c r="J25" i="2"/>
  <c r="Q25" i="2" s="1"/>
  <c r="X25" i="2" s="1"/>
  <c r="AE25" i="2" s="1"/>
  <c r="AL25" i="2" s="1"/>
  <c r="AS25" i="2" s="1"/>
  <c r="AZ25" i="2" s="1"/>
  <c r="BG25" i="2" s="1"/>
  <c r="BN25" i="2" s="1"/>
  <c r="C25" i="2"/>
  <c r="C24" i="2"/>
  <c r="J21" i="2"/>
  <c r="Q21" i="2" s="1"/>
  <c r="C21" i="2"/>
  <c r="H20" i="2" s="1"/>
  <c r="E8" i="1" s="1"/>
  <c r="J20" i="2"/>
  <c r="Q20" i="2" s="1"/>
  <c r="X20" i="2" s="1"/>
  <c r="C20" i="2"/>
  <c r="R17" i="2"/>
  <c r="K17" i="2"/>
  <c r="N12" i="2" s="1"/>
  <c r="P12" i="2" s="1"/>
  <c r="J17" i="2"/>
  <c r="Q17" i="2" s="1"/>
  <c r="X17" i="2" s="1"/>
  <c r="D17" i="2"/>
  <c r="C17" i="2"/>
  <c r="R16" i="2"/>
  <c r="K16" i="2"/>
  <c r="N5" i="2" s="1"/>
  <c r="J16" i="2"/>
  <c r="D16" i="2"/>
  <c r="C16" i="2"/>
  <c r="C35" i="2" s="1"/>
  <c r="U12" i="2"/>
  <c r="T12" i="2"/>
  <c r="M12" i="2"/>
  <c r="K12" i="2"/>
  <c r="R12" i="2" s="1"/>
  <c r="Y12" i="2" s="1"/>
  <c r="AF12" i="2" s="1"/>
  <c r="AM12" i="2" s="1"/>
  <c r="AT12" i="2" s="1"/>
  <c r="BA12" i="2" s="1"/>
  <c r="BH12" i="2" s="1"/>
  <c r="BO12" i="2" s="1"/>
  <c r="J12" i="2"/>
  <c r="O12" i="2" s="1"/>
  <c r="G12" i="2"/>
  <c r="I12" i="2" s="1"/>
  <c r="F12" i="2"/>
  <c r="H12" i="2" s="1"/>
  <c r="T11" i="2"/>
  <c r="R11" i="2"/>
  <c r="Y11" i="2" s="1"/>
  <c r="AF11" i="2" s="1"/>
  <c r="AM11" i="2" s="1"/>
  <c r="AT11" i="2" s="1"/>
  <c r="BA11" i="2" s="1"/>
  <c r="BH11" i="2" s="1"/>
  <c r="BO11" i="2" s="1"/>
  <c r="Q11" i="2"/>
  <c r="V11" i="2" s="1"/>
  <c r="N11" i="2"/>
  <c r="P11" i="2" s="1"/>
  <c r="M11" i="2"/>
  <c r="O11" i="2" s="1"/>
  <c r="K11" i="2"/>
  <c r="J11" i="2"/>
  <c r="I11" i="2"/>
  <c r="H11" i="2"/>
  <c r="G11" i="2"/>
  <c r="F11" i="2"/>
  <c r="Y10" i="2"/>
  <c r="AF10" i="2" s="1"/>
  <c r="AM10" i="2" s="1"/>
  <c r="AT10" i="2" s="1"/>
  <c r="BA10" i="2" s="1"/>
  <c r="BH10" i="2" s="1"/>
  <c r="BO10" i="2" s="1"/>
  <c r="T10" i="2"/>
  <c r="M10" i="2"/>
  <c r="K10" i="2"/>
  <c r="R10" i="2" s="1"/>
  <c r="J10" i="2"/>
  <c r="O10" i="2" s="1"/>
  <c r="G10" i="2"/>
  <c r="I10" i="2" s="1"/>
  <c r="F10" i="2"/>
  <c r="H10" i="2" s="1"/>
  <c r="T9" i="2"/>
  <c r="R9" i="2"/>
  <c r="Y9" i="2" s="1"/>
  <c r="AF9" i="2" s="1"/>
  <c r="AM9" i="2" s="1"/>
  <c r="AT9" i="2" s="1"/>
  <c r="BA9" i="2" s="1"/>
  <c r="BH9" i="2" s="1"/>
  <c r="BO9" i="2" s="1"/>
  <c r="Q9" i="2"/>
  <c r="V9" i="2" s="1"/>
  <c r="N9" i="2"/>
  <c r="M9" i="2"/>
  <c r="M13" i="2" s="1"/>
  <c r="K9" i="2"/>
  <c r="J9" i="2"/>
  <c r="I9" i="2"/>
  <c r="I13" i="2" s="1"/>
  <c r="E7" i="1" s="1"/>
  <c r="H9" i="2"/>
  <c r="H13" i="2" s="1"/>
  <c r="E6" i="1" s="1"/>
  <c r="G9" i="2"/>
  <c r="F9" i="2"/>
  <c r="D8" i="2"/>
  <c r="C8" i="2"/>
  <c r="AT6" i="2"/>
  <c r="BA6" i="2" s="1"/>
  <c r="BH6" i="2" s="1"/>
  <c r="BO6" i="2" s="1"/>
  <c r="AF6" i="2"/>
  <c r="AM6" i="2" s="1"/>
  <c r="R6" i="2"/>
  <c r="Y6" i="2" s="1"/>
  <c r="Q6" i="2"/>
  <c r="X6" i="2" s="1"/>
  <c r="AE6" i="2" s="1"/>
  <c r="AL6" i="2" s="1"/>
  <c r="AS6" i="2" s="1"/>
  <c r="AZ6" i="2" s="1"/>
  <c r="BG6" i="2" s="1"/>
  <c r="BN6" i="2" s="1"/>
  <c r="N6" i="2"/>
  <c r="P6" i="2" s="1"/>
  <c r="M6" i="2"/>
  <c r="O6" i="2" s="1"/>
  <c r="K6" i="2"/>
  <c r="J6" i="2"/>
  <c r="I6" i="2"/>
  <c r="H6" i="2"/>
  <c r="G6" i="2"/>
  <c r="F6" i="2"/>
  <c r="U5" i="2"/>
  <c r="W5" i="2" s="1"/>
  <c r="P5" i="2"/>
  <c r="M5" i="2"/>
  <c r="K5" i="2"/>
  <c r="R5" i="2" s="1"/>
  <c r="Y5" i="2" s="1"/>
  <c r="AF5" i="2" s="1"/>
  <c r="AM5" i="2" s="1"/>
  <c r="AT5" i="2" s="1"/>
  <c r="BA5" i="2" s="1"/>
  <c r="BH5" i="2" s="1"/>
  <c r="BO5" i="2" s="1"/>
  <c r="J5" i="2"/>
  <c r="O5" i="2" s="1"/>
  <c r="G5" i="2"/>
  <c r="I5" i="2" s="1"/>
  <c r="F5" i="2"/>
  <c r="H5" i="2" s="1"/>
  <c r="BH4" i="2"/>
  <c r="BO4" i="2" s="1"/>
  <c r="AT4" i="2"/>
  <c r="BA4" i="2" s="1"/>
  <c r="AF4" i="2"/>
  <c r="AM4" i="2" s="1"/>
  <c r="R4" i="2"/>
  <c r="Y4" i="2" s="1"/>
  <c r="Q4" i="2"/>
  <c r="X4" i="2" s="1"/>
  <c r="AE4" i="2" s="1"/>
  <c r="AL4" i="2" s="1"/>
  <c r="AS4" i="2" s="1"/>
  <c r="AZ4" i="2" s="1"/>
  <c r="BG4" i="2" s="1"/>
  <c r="BN4" i="2" s="1"/>
  <c r="N4" i="2"/>
  <c r="P4" i="2" s="1"/>
  <c r="M4" i="2"/>
  <c r="M7" i="2" s="1"/>
  <c r="K4" i="2"/>
  <c r="J4" i="2"/>
  <c r="I4" i="2"/>
  <c r="H4" i="2"/>
  <c r="G4" i="2"/>
  <c r="F4" i="2"/>
  <c r="Y3" i="2"/>
  <c r="AF3" i="2" s="1"/>
  <c r="AM3" i="2" s="1"/>
  <c r="AT3" i="2" s="1"/>
  <c r="BA3" i="2" s="1"/>
  <c r="BH3" i="2" s="1"/>
  <c r="BO3" i="2" s="1"/>
  <c r="U3" i="2"/>
  <c r="M3" i="2"/>
  <c r="K3" i="2"/>
  <c r="R3" i="2" s="1"/>
  <c r="J3" i="2"/>
  <c r="Q3" i="2" s="1"/>
  <c r="X3" i="2" s="1"/>
  <c r="AE3" i="2" s="1"/>
  <c r="AL3" i="2" s="1"/>
  <c r="AS3" i="2" s="1"/>
  <c r="AZ3" i="2" s="1"/>
  <c r="BG3" i="2" s="1"/>
  <c r="BN3" i="2" s="1"/>
  <c r="G3" i="2"/>
  <c r="I3" i="2" s="1"/>
  <c r="F3" i="2"/>
  <c r="AF2" i="2"/>
  <c r="AM2" i="2" s="1"/>
  <c r="AT2" i="2" s="1"/>
  <c r="BA2" i="2" s="1"/>
  <c r="BH2" i="2" s="1"/>
  <c r="BO2" i="2" s="1"/>
  <c r="AE2" i="2"/>
  <c r="AL2" i="2" s="1"/>
  <c r="AS2" i="2" s="1"/>
  <c r="AZ2" i="2" s="1"/>
  <c r="BG2" i="2" s="1"/>
  <c r="BN2" i="2" s="1"/>
  <c r="R2" i="2"/>
  <c r="Y2" i="2" s="1"/>
  <c r="Q2" i="2"/>
  <c r="X2" i="2" s="1"/>
  <c r="K2" i="2"/>
  <c r="J2" i="2"/>
  <c r="Q87" i="1"/>
  <c r="D85" i="1"/>
  <c r="D83" i="1"/>
  <c r="D69" i="1"/>
  <c r="N92" i="1" s="1"/>
  <c r="F55" i="1"/>
  <c r="G55" i="1" s="1"/>
  <c r="H55" i="1" s="1"/>
  <c r="I55" i="1" s="1"/>
  <c r="J55" i="1" s="1"/>
  <c r="K55" i="1" s="1"/>
  <c r="L55" i="1" s="1"/>
  <c r="M55" i="1" s="1"/>
  <c r="N55" i="1" s="1"/>
  <c r="F43" i="1"/>
  <c r="G43" i="1" s="1"/>
  <c r="H43" i="1" s="1"/>
  <c r="E41" i="1"/>
  <c r="E26" i="1"/>
  <c r="E24" i="1"/>
  <c r="E44" i="1" s="1"/>
  <c r="F15" i="1"/>
  <c r="E15" i="1"/>
  <c r="E52" i="1" s="1"/>
  <c r="E98" i="1" s="1"/>
  <c r="G12" i="1"/>
  <c r="F12" i="1"/>
  <c r="E12" i="1"/>
  <c r="I11" i="1"/>
  <c r="H11" i="1"/>
  <c r="G11" i="1"/>
  <c r="F11" i="1"/>
  <c r="E11" i="1"/>
  <c r="N89" i="1" l="1"/>
  <c r="Q89" i="1" s="1"/>
  <c r="N93" i="1" s="1"/>
  <c r="G45" i="1"/>
  <c r="X21" i="2"/>
  <c r="AE21" i="2" s="1"/>
  <c r="AL21" i="2" s="1"/>
  <c r="AS21" i="2" s="1"/>
  <c r="AZ21" i="2" s="1"/>
  <c r="BG21" i="2" s="1"/>
  <c r="BN21" i="2" s="1"/>
  <c r="V20" i="2"/>
  <c r="G8" i="1" s="1"/>
  <c r="O20" i="2"/>
  <c r="F8" i="1" s="1"/>
  <c r="C68" i="3"/>
  <c r="B182" i="3"/>
  <c r="C28" i="3"/>
  <c r="B102" i="3"/>
  <c r="C260" i="3"/>
  <c r="C36" i="3"/>
  <c r="B118" i="3"/>
  <c r="C60" i="3"/>
  <c r="G24" i="1"/>
  <c r="F52" i="1"/>
  <c r="F98" i="1" s="1"/>
  <c r="F7" i="2"/>
  <c r="H3" i="2"/>
  <c r="H7" i="2" s="1"/>
  <c r="E4" i="1" s="1"/>
  <c r="W3" i="2"/>
  <c r="G7" i="2"/>
  <c r="Y16" i="2"/>
  <c r="U6" i="2"/>
  <c r="W6" i="2" s="1"/>
  <c r="U4" i="2"/>
  <c r="AE20" i="2"/>
  <c r="W29" i="2"/>
  <c r="Z29" i="2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B365" i="3"/>
  <c r="B363" i="3"/>
  <c r="D363" i="3" s="1"/>
  <c r="B361" i="3"/>
  <c r="B359" i="3"/>
  <c r="B357" i="3"/>
  <c r="B355" i="3"/>
  <c r="D355" i="3" s="1"/>
  <c r="B353" i="3"/>
  <c r="B351" i="3"/>
  <c r="B349" i="3"/>
  <c r="B347" i="3"/>
  <c r="D347" i="3" s="1"/>
  <c r="B345" i="3"/>
  <c r="B343" i="3"/>
  <c r="B341" i="3"/>
  <c r="B339" i="3"/>
  <c r="D339" i="3" s="1"/>
  <c r="B337" i="3"/>
  <c r="B335" i="3"/>
  <c r="B333" i="3"/>
  <c r="B331" i="3"/>
  <c r="D331" i="3" s="1"/>
  <c r="B329" i="3"/>
  <c r="B327" i="3"/>
  <c r="B325" i="3"/>
  <c r="B323" i="3"/>
  <c r="D323" i="3" s="1"/>
  <c r="B321" i="3"/>
  <c r="B319" i="3"/>
  <c r="B317" i="3"/>
  <c r="B315" i="3"/>
  <c r="D315" i="3" s="1"/>
  <c r="B313" i="3"/>
  <c r="B311" i="3"/>
  <c r="B309" i="3"/>
  <c r="B307" i="3"/>
  <c r="D307" i="3" s="1"/>
  <c r="B305" i="3"/>
  <c r="C302" i="3"/>
  <c r="B301" i="3"/>
  <c r="C298" i="3"/>
  <c r="B297" i="3"/>
  <c r="C294" i="3"/>
  <c r="B293" i="3"/>
  <c r="C290" i="3"/>
  <c r="B289" i="3"/>
  <c r="C286" i="3"/>
  <c r="B285" i="3"/>
  <c r="C282" i="3"/>
  <c r="B281" i="3"/>
  <c r="B280" i="3"/>
  <c r="B279" i="3"/>
  <c r="B278" i="3"/>
  <c r="B277" i="3"/>
  <c r="B276" i="3"/>
  <c r="B275" i="3"/>
  <c r="B274" i="3"/>
  <c r="B273" i="3"/>
  <c r="B272" i="3"/>
  <c r="C303" i="3"/>
  <c r="B302" i="3"/>
  <c r="C299" i="3"/>
  <c r="B298" i="3"/>
  <c r="C295" i="3"/>
  <c r="B294" i="3"/>
  <c r="C291" i="3"/>
  <c r="B290" i="3"/>
  <c r="C287" i="3"/>
  <c r="B286" i="3"/>
  <c r="C283" i="3"/>
  <c r="B282" i="3"/>
  <c r="B364" i="3"/>
  <c r="D364" i="3" s="1"/>
  <c r="B362" i="3"/>
  <c r="B360" i="3"/>
  <c r="B358" i="3"/>
  <c r="B356" i="3"/>
  <c r="D356" i="3" s="1"/>
  <c r="B354" i="3"/>
  <c r="B352" i="3"/>
  <c r="B350" i="3"/>
  <c r="B348" i="3"/>
  <c r="D348" i="3" s="1"/>
  <c r="B346" i="3"/>
  <c r="B344" i="3"/>
  <c r="B342" i="3"/>
  <c r="B340" i="3"/>
  <c r="D340" i="3" s="1"/>
  <c r="B338" i="3"/>
  <c r="B336" i="3"/>
  <c r="B334" i="3"/>
  <c r="B332" i="3"/>
  <c r="D332" i="3" s="1"/>
  <c r="B330" i="3"/>
  <c r="B328" i="3"/>
  <c r="B326" i="3"/>
  <c r="B324" i="3"/>
  <c r="D324" i="3" s="1"/>
  <c r="B322" i="3"/>
  <c r="B318" i="3"/>
  <c r="D318" i="3" s="1"/>
  <c r="B314" i="3"/>
  <c r="B310" i="3"/>
  <c r="B306" i="3"/>
  <c r="B303" i="3"/>
  <c r="C300" i="3"/>
  <c r="B295" i="3"/>
  <c r="D295" i="3" s="1"/>
  <c r="C292" i="3"/>
  <c r="B287" i="3"/>
  <c r="C284" i="3"/>
  <c r="C270" i="3"/>
  <c r="B269" i="3"/>
  <c r="C266" i="3"/>
  <c r="B265" i="3"/>
  <c r="C262" i="3"/>
  <c r="B261" i="3"/>
  <c r="C258" i="3"/>
  <c r="B257" i="3"/>
  <c r="C254" i="3"/>
  <c r="B253" i="3"/>
  <c r="C250" i="3"/>
  <c r="B249" i="3"/>
  <c r="C246" i="3"/>
  <c r="B245" i="3"/>
  <c r="B300" i="3"/>
  <c r="C297" i="3"/>
  <c r="B292" i="3"/>
  <c r="C289" i="3"/>
  <c r="B284" i="3"/>
  <c r="C281" i="3"/>
  <c r="C279" i="3"/>
  <c r="C277" i="3"/>
  <c r="C275" i="3"/>
  <c r="C273" i="3"/>
  <c r="C271" i="3"/>
  <c r="B270" i="3"/>
  <c r="C267" i="3"/>
  <c r="B266" i="3"/>
  <c r="C263" i="3"/>
  <c r="B262" i="3"/>
  <c r="C259" i="3"/>
  <c r="B258" i="3"/>
  <c r="C255" i="3"/>
  <c r="B254" i="3"/>
  <c r="C251" i="3"/>
  <c r="B250" i="3"/>
  <c r="C247" i="3"/>
  <c r="B246" i="3"/>
  <c r="B316" i="3"/>
  <c r="B308" i="3"/>
  <c r="C296" i="3"/>
  <c r="B291" i="3"/>
  <c r="B267" i="3"/>
  <c r="D267" i="3" s="1"/>
  <c r="C264" i="3"/>
  <c r="B259" i="3"/>
  <c r="C256" i="3"/>
  <c r="B251" i="3"/>
  <c r="D251" i="3" s="1"/>
  <c r="C248" i="3"/>
  <c r="C243" i="3"/>
  <c r="C241" i="3"/>
  <c r="C239" i="3"/>
  <c r="C237" i="3"/>
  <c r="C235" i="3"/>
  <c r="C233" i="3"/>
  <c r="C231" i="3"/>
  <c r="C229" i="3"/>
  <c r="C227" i="3"/>
  <c r="C225" i="3"/>
  <c r="C223" i="3"/>
  <c r="C221" i="3"/>
  <c r="C219" i="3"/>
  <c r="C217" i="3"/>
  <c r="C215" i="3"/>
  <c r="C213" i="3"/>
  <c r="C211" i="3"/>
  <c r="C209" i="3"/>
  <c r="C207" i="3"/>
  <c r="C205" i="3"/>
  <c r="C301" i="3"/>
  <c r="B296" i="3"/>
  <c r="C285" i="3"/>
  <c r="C280" i="3"/>
  <c r="C276" i="3"/>
  <c r="C272" i="3"/>
  <c r="C269" i="3"/>
  <c r="B264" i="3"/>
  <c r="D264" i="3" s="1"/>
  <c r="C261" i="3"/>
  <c r="B256" i="3"/>
  <c r="D256" i="3" s="1"/>
  <c r="C253" i="3"/>
  <c r="B248" i="3"/>
  <c r="D248" i="3" s="1"/>
  <c r="C245" i="3"/>
  <c r="B243" i="3"/>
  <c r="B241" i="3"/>
  <c r="B239" i="3"/>
  <c r="B237" i="3"/>
  <c r="B235" i="3"/>
  <c r="B233" i="3"/>
  <c r="B231" i="3"/>
  <c r="B229" i="3"/>
  <c r="B227" i="3"/>
  <c r="B225" i="3"/>
  <c r="B223" i="3"/>
  <c r="B221" i="3"/>
  <c r="B219" i="3"/>
  <c r="B217" i="3"/>
  <c r="B215" i="3"/>
  <c r="B213" i="3"/>
  <c r="B211" i="3"/>
  <c r="B209" i="3"/>
  <c r="B207" i="3"/>
  <c r="B205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D166" i="3" s="1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B320" i="3"/>
  <c r="D320" i="3" s="1"/>
  <c r="C304" i="3"/>
  <c r="B283" i="3"/>
  <c r="D283" i="3" s="1"/>
  <c r="C268" i="3"/>
  <c r="B263" i="3"/>
  <c r="D263" i="3" s="1"/>
  <c r="C252" i="3"/>
  <c r="B247" i="3"/>
  <c r="C242" i="3"/>
  <c r="C238" i="3"/>
  <c r="C234" i="3"/>
  <c r="C230" i="3"/>
  <c r="C226" i="3"/>
  <c r="C222" i="3"/>
  <c r="C218" i="3"/>
  <c r="C214" i="3"/>
  <c r="C210" i="3"/>
  <c r="C206" i="3"/>
  <c r="B203" i="3"/>
  <c r="D203" i="3" s="1"/>
  <c r="B201" i="3"/>
  <c r="B199" i="3"/>
  <c r="B197" i="3"/>
  <c r="B195" i="3"/>
  <c r="D195" i="3" s="1"/>
  <c r="B193" i="3"/>
  <c r="B191" i="3"/>
  <c r="B189" i="3"/>
  <c r="B187" i="3"/>
  <c r="D187" i="3" s="1"/>
  <c r="B185" i="3"/>
  <c r="B183" i="3"/>
  <c r="B181" i="3"/>
  <c r="B179" i="3"/>
  <c r="D179" i="3" s="1"/>
  <c r="B177" i="3"/>
  <c r="B175" i="3"/>
  <c r="B173" i="3"/>
  <c r="B171" i="3"/>
  <c r="D171" i="3" s="1"/>
  <c r="B169" i="3"/>
  <c r="B167" i="3"/>
  <c r="B165" i="3"/>
  <c r="B163" i="3"/>
  <c r="D163" i="3" s="1"/>
  <c r="B161" i="3"/>
  <c r="B159" i="3"/>
  <c r="B157" i="3"/>
  <c r="B155" i="3"/>
  <c r="D155" i="3" s="1"/>
  <c r="B153" i="3"/>
  <c r="B151" i="3"/>
  <c r="B149" i="3"/>
  <c r="B147" i="3"/>
  <c r="D147" i="3" s="1"/>
  <c r="B145" i="3"/>
  <c r="B143" i="3"/>
  <c r="B141" i="3"/>
  <c r="B139" i="3"/>
  <c r="D139" i="3" s="1"/>
  <c r="B137" i="3"/>
  <c r="B135" i="3"/>
  <c r="B133" i="3"/>
  <c r="B131" i="3"/>
  <c r="D131" i="3" s="1"/>
  <c r="B129" i="3"/>
  <c r="B127" i="3"/>
  <c r="B125" i="3"/>
  <c r="B123" i="3"/>
  <c r="D123" i="3" s="1"/>
  <c r="B121" i="3"/>
  <c r="B119" i="3"/>
  <c r="B117" i="3"/>
  <c r="B115" i="3"/>
  <c r="D115" i="3" s="1"/>
  <c r="B113" i="3"/>
  <c r="B111" i="3"/>
  <c r="B109" i="3"/>
  <c r="B107" i="3"/>
  <c r="D107" i="3" s="1"/>
  <c r="B105" i="3"/>
  <c r="B103" i="3"/>
  <c r="B101" i="3"/>
  <c r="B99" i="3"/>
  <c r="D99" i="3" s="1"/>
  <c r="B97" i="3"/>
  <c r="B95" i="3"/>
  <c r="B93" i="3"/>
  <c r="B91" i="3"/>
  <c r="D91" i="3" s="1"/>
  <c r="B89" i="3"/>
  <c r="C86" i="3"/>
  <c r="B85" i="3"/>
  <c r="C82" i="3"/>
  <c r="B81" i="3"/>
  <c r="C78" i="3"/>
  <c r="B77" i="3"/>
  <c r="B304" i="3"/>
  <c r="D304" i="3" s="1"/>
  <c r="C293" i="3"/>
  <c r="C274" i="3"/>
  <c r="B268" i="3"/>
  <c r="C257" i="3"/>
  <c r="B252" i="3"/>
  <c r="B242" i="3"/>
  <c r="D242" i="3" s="1"/>
  <c r="B238" i="3"/>
  <c r="D238" i="3" s="1"/>
  <c r="B234" i="3"/>
  <c r="D234" i="3" s="1"/>
  <c r="B230" i="3"/>
  <c r="D230" i="3" s="1"/>
  <c r="B226" i="3"/>
  <c r="D226" i="3" s="1"/>
  <c r="B222" i="3"/>
  <c r="D222" i="3" s="1"/>
  <c r="B218" i="3"/>
  <c r="D218" i="3" s="1"/>
  <c r="B214" i="3"/>
  <c r="D214" i="3" s="1"/>
  <c r="B210" i="3"/>
  <c r="D210" i="3" s="1"/>
  <c r="B206" i="3"/>
  <c r="D206" i="3" s="1"/>
  <c r="C87" i="3"/>
  <c r="B86" i="3"/>
  <c r="C83" i="3"/>
  <c r="B82" i="3"/>
  <c r="C79" i="3"/>
  <c r="B78" i="3"/>
  <c r="B6" i="3"/>
  <c r="B288" i="3"/>
  <c r="B260" i="3"/>
  <c r="C249" i="3"/>
  <c r="B240" i="3"/>
  <c r="B232" i="3"/>
  <c r="B224" i="3"/>
  <c r="B216" i="3"/>
  <c r="B208" i="3"/>
  <c r="B84" i="3"/>
  <c r="C81" i="3"/>
  <c r="B76" i="3"/>
  <c r="B74" i="3"/>
  <c r="B72" i="3"/>
  <c r="B70" i="3"/>
  <c r="B68" i="3"/>
  <c r="B66" i="3"/>
  <c r="B64" i="3"/>
  <c r="B62" i="3"/>
  <c r="B60" i="3"/>
  <c r="B58" i="3"/>
  <c r="B56" i="3"/>
  <c r="B54" i="3"/>
  <c r="B52" i="3"/>
  <c r="B50" i="3"/>
  <c r="B48" i="3"/>
  <c r="B46" i="3"/>
  <c r="B44" i="3"/>
  <c r="B42" i="3"/>
  <c r="B40" i="3"/>
  <c r="B38" i="3"/>
  <c r="B36" i="3"/>
  <c r="B34" i="3"/>
  <c r="B32" i="3"/>
  <c r="B30" i="3"/>
  <c r="B28" i="3"/>
  <c r="B26" i="3"/>
  <c r="C23" i="3"/>
  <c r="B22" i="3"/>
  <c r="C19" i="3"/>
  <c r="B18" i="3"/>
  <c r="C15" i="3"/>
  <c r="B14" i="3"/>
  <c r="C11" i="3"/>
  <c r="B10" i="3"/>
  <c r="C7" i="3"/>
  <c r="B299" i="3"/>
  <c r="B255" i="3"/>
  <c r="C244" i="3"/>
  <c r="C236" i="3"/>
  <c r="C228" i="3"/>
  <c r="C220" i="3"/>
  <c r="C212" i="3"/>
  <c r="C204" i="3"/>
  <c r="B200" i="3"/>
  <c r="B196" i="3"/>
  <c r="B192" i="3"/>
  <c r="B188" i="3"/>
  <c r="D188" i="3" s="1"/>
  <c r="B184" i="3"/>
  <c r="B180" i="3"/>
  <c r="B176" i="3"/>
  <c r="B172" i="3"/>
  <c r="D172" i="3" s="1"/>
  <c r="B168" i="3"/>
  <c r="B164" i="3"/>
  <c r="B160" i="3"/>
  <c r="B156" i="3"/>
  <c r="D156" i="3" s="1"/>
  <c r="B152" i="3"/>
  <c r="B148" i="3"/>
  <c r="B144" i="3"/>
  <c r="B140" i="3"/>
  <c r="D140" i="3" s="1"/>
  <c r="B136" i="3"/>
  <c r="B132" i="3"/>
  <c r="B128" i="3"/>
  <c r="B124" i="3"/>
  <c r="D124" i="3" s="1"/>
  <c r="B120" i="3"/>
  <c r="B116" i="3"/>
  <c r="B112" i="3"/>
  <c r="B108" i="3"/>
  <c r="D108" i="3" s="1"/>
  <c r="B104" i="3"/>
  <c r="B100" i="3"/>
  <c r="B96" i="3"/>
  <c r="B92" i="3"/>
  <c r="D92" i="3" s="1"/>
  <c r="C88" i="3"/>
  <c r="B83" i="3"/>
  <c r="C80" i="3"/>
  <c r="C75" i="3"/>
  <c r="C73" i="3"/>
  <c r="C71" i="3"/>
  <c r="C69" i="3"/>
  <c r="C67" i="3"/>
  <c r="C65" i="3"/>
  <c r="C63" i="3"/>
  <c r="C61" i="3"/>
  <c r="C59" i="3"/>
  <c r="C57" i="3"/>
  <c r="C55" i="3"/>
  <c r="C53" i="3"/>
  <c r="C51" i="3"/>
  <c r="C49" i="3"/>
  <c r="C47" i="3"/>
  <c r="C45" i="3"/>
  <c r="C43" i="3"/>
  <c r="C41" i="3"/>
  <c r="C39" i="3"/>
  <c r="C37" i="3"/>
  <c r="C35" i="3"/>
  <c r="C33" i="3"/>
  <c r="C31" i="3"/>
  <c r="C29" i="3"/>
  <c r="C27" i="3"/>
  <c r="C24" i="3"/>
  <c r="B23" i="3"/>
  <c r="C20" i="3"/>
  <c r="B19" i="3"/>
  <c r="C16" i="3"/>
  <c r="B15" i="3"/>
  <c r="C12" i="3"/>
  <c r="B11" i="3"/>
  <c r="C8" i="3"/>
  <c r="B7" i="3"/>
  <c r="C278" i="3"/>
  <c r="C265" i="3"/>
  <c r="B244" i="3"/>
  <c r="B236" i="3"/>
  <c r="B228" i="3"/>
  <c r="B220" i="3"/>
  <c r="B212" i="3"/>
  <c r="B204" i="3"/>
  <c r="B88" i="3"/>
  <c r="C85" i="3"/>
  <c r="B80" i="3"/>
  <c r="C77" i="3"/>
  <c r="B75" i="3"/>
  <c r="B73" i="3"/>
  <c r="B71" i="3"/>
  <c r="B69" i="3"/>
  <c r="B67" i="3"/>
  <c r="B65" i="3"/>
  <c r="B63" i="3"/>
  <c r="B61" i="3"/>
  <c r="B59" i="3"/>
  <c r="B57" i="3"/>
  <c r="B55" i="3"/>
  <c r="B53" i="3"/>
  <c r="B51" i="3"/>
  <c r="B49" i="3"/>
  <c r="B47" i="3"/>
  <c r="B45" i="3"/>
  <c r="B43" i="3"/>
  <c r="B41" i="3"/>
  <c r="B39" i="3"/>
  <c r="B37" i="3"/>
  <c r="B35" i="3"/>
  <c r="B33" i="3"/>
  <c r="B31" i="3"/>
  <c r="B29" i="3"/>
  <c r="B27" i="3"/>
  <c r="C25" i="3"/>
  <c r="B24" i="3"/>
  <c r="C21" i="3"/>
  <c r="B20" i="3"/>
  <c r="C17" i="3"/>
  <c r="B16" i="3"/>
  <c r="C13" i="3"/>
  <c r="B12" i="3"/>
  <c r="C9" i="3"/>
  <c r="B8" i="3"/>
  <c r="B312" i="3"/>
  <c r="C216" i="3"/>
  <c r="B194" i="3"/>
  <c r="B178" i="3"/>
  <c r="B162" i="3"/>
  <c r="D162" i="3" s="1"/>
  <c r="B146" i="3"/>
  <c r="B130" i="3"/>
  <c r="B114" i="3"/>
  <c r="B98" i="3"/>
  <c r="D98" i="3" s="1"/>
  <c r="C84" i="3"/>
  <c r="C74" i="3"/>
  <c r="C66" i="3"/>
  <c r="C58" i="3"/>
  <c r="C50" i="3"/>
  <c r="C42" i="3"/>
  <c r="C34" i="3"/>
  <c r="C26" i="3"/>
  <c r="B21" i="3"/>
  <c r="C10" i="3"/>
  <c r="C288" i="3"/>
  <c r="C240" i="3"/>
  <c r="C208" i="3"/>
  <c r="B190" i="3"/>
  <c r="B174" i="3"/>
  <c r="B158" i="3"/>
  <c r="D158" i="3" s="1"/>
  <c r="B142" i="3"/>
  <c r="B126" i="3"/>
  <c r="B110" i="3"/>
  <c r="B94" i="3"/>
  <c r="D94" i="3" s="1"/>
  <c r="C72" i="3"/>
  <c r="C64" i="3"/>
  <c r="C56" i="3"/>
  <c r="C48" i="3"/>
  <c r="C40" i="3"/>
  <c r="C32" i="3"/>
  <c r="B25" i="3"/>
  <c r="C14" i="3"/>
  <c r="B9" i="3"/>
  <c r="B271" i="3"/>
  <c r="D271" i="3" s="1"/>
  <c r="C232" i="3"/>
  <c r="B202" i="3"/>
  <c r="D202" i="3" s="1"/>
  <c r="B186" i="3"/>
  <c r="B170" i="3"/>
  <c r="B154" i="3"/>
  <c r="B138" i="3"/>
  <c r="D138" i="3" s="1"/>
  <c r="B122" i="3"/>
  <c r="B106" i="3"/>
  <c r="B90" i="3"/>
  <c r="B79" i="3"/>
  <c r="D79" i="3" s="1"/>
  <c r="C70" i="3"/>
  <c r="C62" i="3"/>
  <c r="C54" i="3"/>
  <c r="C46" i="3"/>
  <c r="C38" i="3"/>
  <c r="C30" i="3"/>
  <c r="C18" i="3"/>
  <c r="B13" i="3"/>
  <c r="D13" i="3" s="1"/>
  <c r="C6" i="3"/>
  <c r="E6" i="3" s="1"/>
  <c r="B17" i="3"/>
  <c r="D17" i="3" s="1"/>
  <c r="C44" i="3"/>
  <c r="C76" i="3"/>
  <c r="B134" i="3"/>
  <c r="B198" i="3"/>
  <c r="P9" i="2"/>
  <c r="P13" i="2" s="1"/>
  <c r="F7" i="1" s="1"/>
  <c r="Y17" i="2"/>
  <c r="U11" i="2"/>
  <c r="W11" i="2" s="1"/>
  <c r="U9" i="2"/>
  <c r="E62" i="2"/>
  <c r="E67" i="2" s="1"/>
  <c r="F24" i="1"/>
  <c r="F44" i="1" s="1"/>
  <c r="D84" i="1"/>
  <c r="D105" i="1" s="1"/>
  <c r="E42" i="1"/>
  <c r="F41" i="1"/>
  <c r="E23" i="1"/>
  <c r="E76" i="1" s="1"/>
  <c r="E79" i="1" s="1"/>
  <c r="I92" i="1"/>
  <c r="I7" i="2"/>
  <c r="E5" i="1" s="1"/>
  <c r="O3" i="2"/>
  <c r="O7" i="2" s="1"/>
  <c r="F4" i="1" s="1"/>
  <c r="G13" i="2"/>
  <c r="U10" i="2"/>
  <c r="W10" i="2" s="1"/>
  <c r="AE17" i="2"/>
  <c r="AA11" i="2"/>
  <c r="AA9" i="2"/>
  <c r="AA12" i="2"/>
  <c r="AA10" i="2"/>
  <c r="AC10" i="2" s="1"/>
  <c r="AX38" i="2"/>
  <c r="J11" i="1"/>
  <c r="C22" i="3"/>
  <c r="C52" i="3"/>
  <c r="B87" i="3"/>
  <c r="B150" i="3"/>
  <c r="C224" i="3"/>
  <c r="W12" i="2"/>
  <c r="J24" i="2"/>
  <c r="H24" i="2"/>
  <c r="E9" i="1" s="1"/>
  <c r="E38" i="1" s="1"/>
  <c r="E95" i="1" s="1"/>
  <c r="N29" i="2"/>
  <c r="Q29" i="2"/>
  <c r="BH29" i="2"/>
  <c r="BE29" i="2"/>
  <c r="J33" i="2"/>
  <c r="C34" i="2"/>
  <c r="H34" i="2" s="1"/>
  <c r="H33" i="2"/>
  <c r="E10" i="1" s="1"/>
  <c r="F10" i="1" s="1"/>
  <c r="I47" i="2"/>
  <c r="H57" i="2"/>
  <c r="I62" i="2" s="1"/>
  <c r="I67" i="2" s="1"/>
  <c r="E39" i="1"/>
  <c r="E96" i="1" s="1"/>
  <c r="O4" i="2"/>
  <c r="Q5" i="2"/>
  <c r="X5" i="2" s="1"/>
  <c r="AE5" i="2" s="1"/>
  <c r="AL5" i="2" s="1"/>
  <c r="AS5" i="2" s="1"/>
  <c r="AZ5" i="2" s="1"/>
  <c r="BG5" i="2" s="1"/>
  <c r="BN5" i="2" s="1"/>
  <c r="F13" i="2"/>
  <c r="O9" i="2"/>
  <c r="O13" i="2" s="1"/>
  <c r="F6" i="1" s="1"/>
  <c r="T13" i="2"/>
  <c r="X9" i="2"/>
  <c r="AE9" i="2" s="1"/>
  <c r="AL9" i="2" s="1"/>
  <c r="AS9" i="2" s="1"/>
  <c r="AZ9" i="2" s="1"/>
  <c r="BG9" i="2" s="1"/>
  <c r="BN9" i="2" s="1"/>
  <c r="Q10" i="2"/>
  <c r="X10" i="2" s="1"/>
  <c r="AE10" i="2" s="1"/>
  <c r="AL10" i="2" s="1"/>
  <c r="AS10" i="2" s="1"/>
  <c r="AZ10" i="2" s="1"/>
  <c r="BG10" i="2" s="1"/>
  <c r="BN10" i="2" s="1"/>
  <c r="X11" i="2"/>
  <c r="AE11" i="2" s="1"/>
  <c r="AL11" i="2" s="1"/>
  <c r="AS11" i="2" s="1"/>
  <c r="AZ11" i="2" s="1"/>
  <c r="BG11" i="2" s="1"/>
  <c r="BN11" i="2" s="1"/>
  <c r="Q12" i="2"/>
  <c r="X12" i="2" s="1"/>
  <c r="AE12" i="2" s="1"/>
  <c r="AL12" i="2" s="1"/>
  <c r="AS12" i="2" s="1"/>
  <c r="AZ12" i="2" s="1"/>
  <c r="BG12" i="2" s="1"/>
  <c r="BN12" i="2" s="1"/>
  <c r="AQ29" i="2"/>
  <c r="F61" i="2"/>
  <c r="F66" i="2" s="1"/>
  <c r="D62" i="2"/>
  <c r="D67" i="2" s="1"/>
  <c r="F39" i="1" s="1"/>
  <c r="E57" i="2"/>
  <c r="N3" i="2"/>
  <c r="N10" i="2"/>
  <c r="P10" i="2" s="1"/>
  <c r="J35" i="2"/>
  <c r="Q16" i="2"/>
  <c r="F56" i="2"/>
  <c r="G46" i="2"/>
  <c r="H48" i="2"/>
  <c r="G58" i="2"/>
  <c r="H63" i="2" s="1"/>
  <c r="H68" i="2" s="1"/>
  <c r="D59" i="2"/>
  <c r="E64" i="2" s="1"/>
  <c r="E69" i="2" s="1"/>
  <c r="E49" i="2"/>
  <c r="F63" i="2"/>
  <c r="F68" i="2" s="1"/>
  <c r="H62" i="2"/>
  <c r="H67" i="2" s="1"/>
  <c r="D68" i="3" l="1"/>
  <c r="D260" i="3"/>
  <c r="H45" i="1"/>
  <c r="I45" i="1" s="1"/>
  <c r="J45" i="1" s="1"/>
  <c r="K45" i="1" s="1"/>
  <c r="L45" i="1" s="1"/>
  <c r="M45" i="1" s="1"/>
  <c r="N45" i="1" s="1"/>
  <c r="R87" i="1" s="1"/>
  <c r="N90" i="1" s="1"/>
  <c r="R89" i="1" s="1"/>
  <c r="AC20" i="2"/>
  <c r="H8" i="1" s="1"/>
  <c r="D36" i="3"/>
  <c r="D182" i="3"/>
  <c r="D33" i="3"/>
  <c r="D41" i="3"/>
  <c r="D49" i="3"/>
  <c r="D57" i="3"/>
  <c r="D65" i="3"/>
  <c r="D73" i="3"/>
  <c r="D292" i="3"/>
  <c r="D102" i="3"/>
  <c r="D87" i="3"/>
  <c r="D134" i="3"/>
  <c r="D122" i="3"/>
  <c r="D186" i="3"/>
  <c r="D142" i="3"/>
  <c r="D146" i="3"/>
  <c r="D88" i="3"/>
  <c r="D228" i="3"/>
  <c r="D95" i="3"/>
  <c r="D103" i="3"/>
  <c r="D111" i="3"/>
  <c r="D119" i="3"/>
  <c r="D127" i="3"/>
  <c r="D135" i="3"/>
  <c r="D143" i="3"/>
  <c r="D151" i="3"/>
  <c r="D159" i="3"/>
  <c r="D167" i="3"/>
  <c r="D175" i="3"/>
  <c r="D183" i="3"/>
  <c r="D191" i="3"/>
  <c r="D199" i="3"/>
  <c r="D207" i="3"/>
  <c r="D215" i="3"/>
  <c r="D223" i="3"/>
  <c r="D231" i="3"/>
  <c r="D239" i="3"/>
  <c r="D250" i="3"/>
  <c r="D258" i="3"/>
  <c r="D266" i="3"/>
  <c r="D314" i="3"/>
  <c r="D326" i="3"/>
  <c r="D334" i="3"/>
  <c r="D342" i="3"/>
  <c r="D350" i="3"/>
  <c r="D358" i="3"/>
  <c r="D282" i="3"/>
  <c r="D290" i="3"/>
  <c r="D298" i="3"/>
  <c r="D311" i="3"/>
  <c r="D319" i="3"/>
  <c r="D327" i="3"/>
  <c r="D335" i="3"/>
  <c r="D343" i="3"/>
  <c r="D351" i="3"/>
  <c r="D35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D9" i="3"/>
  <c r="D27" i="3"/>
  <c r="D35" i="3"/>
  <c r="D43" i="3"/>
  <c r="D51" i="3"/>
  <c r="D59" i="3"/>
  <c r="D67" i="3"/>
  <c r="D75" i="3"/>
  <c r="D96" i="3"/>
  <c r="D112" i="3"/>
  <c r="D128" i="3"/>
  <c r="D144" i="3"/>
  <c r="D160" i="3"/>
  <c r="D176" i="3"/>
  <c r="D192" i="3"/>
  <c r="D312" i="3"/>
  <c r="D204" i="3"/>
  <c r="D236" i="3"/>
  <c r="D60" i="3"/>
  <c r="D308" i="3"/>
  <c r="D104" i="3"/>
  <c r="D120" i="3"/>
  <c r="D136" i="3"/>
  <c r="D152" i="3"/>
  <c r="D168" i="3"/>
  <c r="D184" i="3"/>
  <c r="D200" i="3"/>
  <c r="D211" i="3"/>
  <c r="D219" i="3"/>
  <c r="D227" i="3"/>
  <c r="D235" i="3"/>
  <c r="D243" i="3"/>
  <c r="D296" i="3"/>
  <c r="D246" i="3"/>
  <c r="D254" i="3"/>
  <c r="D262" i="3"/>
  <c r="D270" i="3"/>
  <c r="D37" i="3"/>
  <c r="D53" i="3"/>
  <c r="D90" i="3"/>
  <c r="D154" i="3"/>
  <c r="D110" i="3"/>
  <c r="D174" i="3"/>
  <c r="D114" i="3"/>
  <c r="D178" i="3"/>
  <c r="D31" i="3"/>
  <c r="D39" i="3"/>
  <c r="D47" i="3"/>
  <c r="D55" i="3"/>
  <c r="D63" i="3"/>
  <c r="D71" i="3"/>
  <c r="D299" i="3"/>
  <c r="D291" i="3"/>
  <c r="D306" i="3"/>
  <c r="D322" i="3"/>
  <c r="D330" i="3"/>
  <c r="D338" i="3"/>
  <c r="D346" i="3"/>
  <c r="D354" i="3"/>
  <c r="D362" i="3"/>
  <c r="D29" i="3"/>
  <c r="D45" i="3"/>
  <c r="D61" i="3"/>
  <c r="D69" i="3"/>
  <c r="D28" i="3"/>
  <c r="D118" i="3"/>
  <c r="F96" i="1"/>
  <c r="D150" i="3"/>
  <c r="G44" i="1"/>
  <c r="D198" i="3"/>
  <c r="D106" i="3"/>
  <c r="D170" i="3"/>
  <c r="D126" i="3"/>
  <c r="D190" i="3"/>
  <c r="D130" i="3"/>
  <c r="D194" i="3"/>
  <c r="D220" i="3"/>
  <c r="D11" i="3"/>
  <c r="D19" i="3"/>
  <c r="D259" i="3"/>
  <c r="D310" i="3"/>
  <c r="E46" i="1"/>
  <c r="D10" i="3"/>
  <c r="D18" i="3"/>
  <c r="D34" i="3"/>
  <c r="D42" i="3"/>
  <c r="D50" i="3"/>
  <c r="D66" i="3"/>
  <c r="D74" i="3"/>
  <c r="D208" i="3"/>
  <c r="D6" i="3"/>
  <c r="D249" i="3"/>
  <c r="D257" i="3"/>
  <c r="D272" i="3"/>
  <c r="D276" i="3"/>
  <c r="D22" i="3"/>
  <c r="D54" i="3"/>
  <c r="D224" i="3"/>
  <c r="D253" i="3"/>
  <c r="D269" i="3"/>
  <c r="D56" i="3"/>
  <c r="D232" i="3"/>
  <c r="D288" i="3"/>
  <c r="D82" i="3"/>
  <c r="D275" i="3"/>
  <c r="D285" i="3"/>
  <c r="D293" i="3"/>
  <c r="G61" i="2"/>
  <c r="G66" i="2" s="1"/>
  <c r="AH12" i="2"/>
  <c r="AJ12" i="2" s="1"/>
  <c r="AH10" i="2"/>
  <c r="AJ10" i="2" s="1"/>
  <c r="AH11" i="2"/>
  <c r="AJ11" i="2" s="1"/>
  <c r="AH9" i="2"/>
  <c r="AL17" i="2"/>
  <c r="G41" i="1"/>
  <c r="F23" i="1"/>
  <c r="F76" i="1" s="1"/>
  <c r="F79" i="1" s="1"/>
  <c r="U13" i="2"/>
  <c r="W9" i="2"/>
  <c r="W13" i="2" s="1"/>
  <c r="G7" i="1" s="1"/>
  <c r="D240" i="3"/>
  <c r="D265" i="3"/>
  <c r="D280" i="3"/>
  <c r="AJ20" i="2"/>
  <c r="I8" i="1" s="1"/>
  <c r="AL20" i="2"/>
  <c r="V10" i="2"/>
  <c r="O21" i="1"/>
  <c r="E13" i="1"/>
  <c r="T5" i="2"/>
  <c r="V5" i="2" s="1"/>
  <c r="Q35" i="2"/>
  <c r="X16" i="2"/>
  <c r="T6" i="2"/>
  <c r="V6" i="2" s="1"/>
  <c r="T4" i="2"/>
  <c r="V4" i="2" s="1"/>
  <c r="T3" i="2"/>
  <c r="F62" i="2"/>
  <c r="F67" i="2" s="1"/>
  <c r="H15" i="1"/>
  <c r="J34" i="2"/>
  <c r="O34" i="2" s="1"/>
  <c r="Q33" i="2"/>
  <c r="O33" i="2"/>
  <c r="AC12" i="2"/>
  <c r="V12" i="2"/>
  <c r="J42" i="1"/>
  <c r="D25" i="3"/>
  <c r="D8" i="3"/>
  <c r="D16" i="3"/>
  <c r="D24" i="3"/>
  <c r="D80" i="3"/>
  <c r="D212" i="3"/>
  <c r="D244" i="3"/>
  <c r="D7" i="3"/>
  <c r="D15" i="3"/>
  <c r="D23" i="3"/>
  <c r="D83" i="3"/>
  <c r="D100" i="3"/>
  <c r="D116" i="3"/>
  <c r="D132" i="3"/>
  <c r="D148" i="3"/>
  <c r="D164" i="3"/>
  <c r="D180" i="3"/>
  <c r="D196" i="3"/>
  <c r="D255" i="3"/>
  <c r="D44" i="3"/>
  <c r="D52" i="3"/>
  <c r="D76" i="3"/>
  <c r="D216" i="3"/>
  <c r="D78" i="3"/>
  <c r="D86" i="3"/>
  <c r="D252" i="3"/>
  <c r="D81" i="3"/>
  <c r="D89" i="3"/>
  <c r="D97" i="3"/>
  <c r="D105" i="3"/>
  <c r="D113" i="3"/>
  <c r="D121" i="3"/>
  <c r="D129" i="3"/>
  <c r="D137" i="3"/>
  <c r="D145" i="3"/>
  <c r="D153" i="3"/>
  <c r="D161" i="3"/>
  <c r="D169" i="3"/>
  <c r="D177" i="3"/>
  <c r="D185" i="3"/>
  <c r="D193" i="3"/>
  <c r="D201" i="3"/>
  <c r="D247" i="3"/>
  <c r="D209" i="3"/>
  <c r="D217" i="3"/>
  <c r="D225" i="3"/>
  <c r="D233" i="3"/>
  <c r="D241" i="3"/>
  <c r="D316" i="3"/>
  <c r="D284" i="3"/>
  <c r="D300" i="3"/>
  <c r="D287" i="3"/>
  <c r="D303" i="3"/>
  <c r="D328" i="3"/>
  <c r="D336" i="3"/>
  <c r="D344" i="3"/>
  <c r="D352" i="3"/>
  <c r="D360" i="3"/>
  <c r="D273" i="3"/>
  <c r="D277" i="3"/>
  <c r="D281" i="3"/>
  <c r="D289" i="3"/>
  <c r="D297" i="3"/>
  <c r="D305" i="3"/>
  <c r="D313" i="3"/>
  <c r="D321" i="3"/>
  <c r="D329" i="3"/>
  <c r="D337" i="3"/>
  <c r="D345" i="3"/>
  <c r="D353" i="3"/>
  <c r="D361" i="3"/>
  <c r="AG29" i="2"/>
  <c r="AD29" i="2"/>
  <c r="U7" i="2"/>
  <c r="W4" i="2"/>
  <c r="N7" i="2"/>
  <c r="P3" i="2"/>
  <c r="P7" i="2" s="1"/>
  <c r="F5" i="1" s="1"/>
  <c r="U29" i="2"/>
  <c r="X29" i="2"/>
  <c r="D26" i="3"/>
  <c r="D58" i="3"/>
  <c r="H58" i="2"/>
  <c r="I63" i="2" s="1"/>
  <c r="I68" i="2" s="1"/>
  <c r="I48" i="2"/>
  <c r="J47" i="2"/>
  <c r="I57" i="2"/>
  <c r="J62" i="2" s="1"/>
  <c r="J67" i="2" s="1"/>
  <c r="AA13" i="2"/>
  <c r="AC9" i="2"/>
  <c r="G15" i="1"/>
  <c r="AF17" i="2"/>
  <c r="AB12" i="2"/>
  <c r="AD12" i="2" s="1"/>
  <c r="AB10" i="2"/>
  <c r="AD10" i="2" s="1"/>
  <c r="AB11" i="2"/>
  <c r="AD11" i="2" s="1"/>
  <c r="AB9" i="2"/>
  <c r="D14" i="3"/>
  <c r="D30" i="3"/>
  <c r="D38" i="3"/>
  <c r="D46" i="3"/>
  <c r="D62" i="3"/>
  <c r="D70" i="3"/>
  <c r="D245" i="3"/>
  <c r="D261" i="3"/>
  <c r="D286" i="3"/>
  <c r="D294" i="3"/>
  <c r="D302" i="3"/>
  <c r="D274" i="3"/>
  <c r="D278" i="3"/>
  <c r="E59" i="2"/>
  <c r="F64" i="2" s="1"/>
  <c r="F69" i="2" s="1"/>
  <c r="H39" i="1" s="1"/>
  <c r="F49" i="2"/>
  <c r="H12" i="1"/>
  <c r="H46" i="2"/>
  <c r="G56" i="2"/>
  <c r="BL29" i="2"/>
  <c r="BO29" i="2"/>
  <c r="BS29" i="2" s="1"/>
  <c r="Q24" i="2"/>
  <c r="O24" i="2"/>
  <c r="F9" i="1" s="1"/>
  <c r="F38" i="1" s="1"/>
  <c r="F95" i="1" s="1"/>
  <c r="BE38" i="2"/>
  <c r="K11" i="1"/>
  <c r="AC11" i="2"/>
  <c r="G39" i="1"/>
  <c r="G96" i="1" s="1"/>
  <c r="N13" i="2"/>
  <c r="D21" i="3"/>
  <c r="D12" i="3"/>
  <c r="D20" i="3"/>
  <c r="D32" i="3"/>
  <c r="D40" i="3"/>
  <c r="D48" i="3"/>
  <c r="D64" i="3"/>
  <c r="D72" i="3"/>
  <c r="D84" i="3"/>
  <c r="D268" i="3"/>
  <c r="D77" i="3"/>
  <c r="D85" i="3"/>
  <c r="D93" i="3"/>
  <c r="D101" i="3"/>
  <c r="D109" i="3"/>
  <c r="D117" i="3"/>
  <c r="D125" i="3"/>
  <c r="D133" i="3"/>
  <c r="D141" i="3"/>
  <c r="D149" i="3"/>
  <c r="D157" i="3"/>
  <c r="D165" i="3"/>
  <c r="D173" i="3"/>
  <c r="D181" i="3"/>
  <c r="D189" i="3"/>
  <c r="D197" i="3"/>
  <c r="D205" i="3"/>
  <c r="D213" i="3"/>
  <c r="D221" i="3"/>
  <c r="D229" i="3"/>
  <c r="D237" i="3"/>
  <c r="D279" i="3"/>
  <c r="D301" i="3"/>
  <c r="D309" i="3"/>
  <c r="D317" i="3"/>
  <c r="D325" i="3"/>
  <c r="D333" i="3"/>
  <c r="D341" i="3"/>
  <c r="D349" i="3"/>
  <c r="D357" i="3"/>
  <c r="D365" i="3"/>
  <c r="AF16" i="2"/>
  <c r="AB5" i="2"/>
  <c r="AD5" i="2" s="1"/>
  <c r="AB3" i="2"/>
  <c r="AB6" i="2"/>
  <c r="AD6" i="2" s="1"/>
  <c r="AB4" i="2"/>
  <c r="AD4" i="2" s="1"/>
  <c r="W7" i="2"/>
  <c r="G5" i="1" s="1"/>
  <c r="H24" i="1"/>
  <c r="I43" i="1"/>
  <c r="I2" i="3" l="1"/>
  <c r="F25" i="1" s="1"/>
  <c r="H44" i="1"/>
  <c r="H96" i="1"/>
  <c r="K6" i="3"/>
  <c r="M25" i="1" s="1"/>
  <c r="H2" i="3"/>
  <c r="E25" i="1" s="1"/>
  <c r="J6" i="3"/>
  <c r="L25" i="1" s="1"/>
  <c r="K2" i="3"/>
  <c r="H25" i="1" s="1"/>
  <c r="L2" i="3"/>
  <c r="I25" i="1" s="1"/>
  <c r="L6" i="3"/>
  <c r="N25" i="1" s="1"/>
  <c r="H6" i="3"/>
  <c r="J25" i="1" s="1"/>
  <c r="G49" i="2"/>
  <c r="I12" i="1"/>
  <c r="F59" i="2"/>
  <c r="AB13" i="2"/>
  <c r="AD9" i="2"/>
  <c r="AD13" i="2" s="1"/>
  <c r="H7" i="1" s="1"/>
  <c r="H52" i="1"/>
  <c r="I46" i="2"/>
  <c r="H56" i="2"/>
  <c r="J2" i="3"/>
  <c r="G25" i="1" s="1"/>
  <c r="J57" i="2"/>
  <c r="K62" i="2" s="1"/>
  <c r="K67" i="2" s="1"/>
  <c r="K47" i="2"/>
  <c r="AK29" i="2"/>
  <c r="AN29" i="2"/>
  <c r="I6" i="3"/>
  <c r="K25" i="1" s="1"/>
  <c r="F42" i="1"/>
  <c r="F46" i="1" s="1"/>
  <c r="X33" i="2"/>
  <c r="Q34" i="2"/>
  <c r="V34" i="2" s="1"/>
  <c r="V33" i="2"/>
  <c r="G10" i="1" s="1"/>
  <c r="T7" i="2"/>
  <c r="V3" i="2"/>
  <c r="V7" i="2" s="1"/>
  <c r="G4" i="1" s="1"/>
  <c r="G21" i="1" s="1"/>
  <c r="V13" i="2"/>
  <c r="G6" i="1" s="1"/>
  <c r="AS17" i="2"/>
  <c r="AO11" i="2"/>
  <c r="AQ11" i="2" s="1"/>
  <c r="AO9" i="2"/>
  <c r="AO12" i="2"/>
  <c r="AQ12" i="2" s="1"/>
  <c r="AO10" i="2"/>
  <c r="AQ10" i="2" s="1"/>
  <c r="I24" i="1"/>
  <c r="J43" i="1"/>
  <c r="AI11" i="2"/>
  <c r="AK11" i="2" s="1"/>
  <c r="AI9" i="2"/>
  <c r="AM17" i="2"/>
  <c r="AI12" i="2"/>
  <c r="AK12" i="2" s="1"/>
  <c r="AI10" i="2"/>
  <c r="AK10" i="2" s="1"/>
  <c r="E19" i="1"/>
  <c r="E75" i="1" s="1"/>
  <c r="O20" i="1"/>
  <c r="O22" i="1"/>
  <c r="AI6" i="2"/>
  <c r="AK6" i="2" s="1"/>
  <c r="AI4" i="2"/>
  <c r="AK4" i="2" s="1"/>
  <c r="AM16" i="2"/>
  <c r="AI5" i="2"/>
  <c r="AK5" i="2" s="1"/>
  <c r="AI3" i="2"/>
  <c r="X24" i="2"/>
  <c r="V24" i="2"/>
  <c r="G9" i="1" s="1"/>
  <c r="G38" i="1" s="1"/>
  <c r="G95" i="1" s="1"/>
  <c r="AC13" i="2"/>
  <c r="H6" i="1" s="1"/>
  <c r="J48" i="2"/>
  <c r="I58" i="2"/>
  <c r="J63" i="2" s="1"/>
  <c r="J68" i="2" s="1"/>
  <c r="AB29" i="2"/>
  <c r="AE29" i="2"/>
  <c r="AS20" i="2"/>
  <c r="AQ20" i="2"/>
  <c r="J8" i="1" s="1"/>
  <c r="AH13" i="2"/>
  <c r="AJ9" i="2"/>
  <c r="AJ13" i="2" s="1"/>
  <c r="I6" i="1" s="1"/>
  <c r="AD3" i="2"/>
  <c r="AD7" i="2" s="1"/>
  <c r="H5" i="1" s="1"/>
  <c r="AB7" i="2"/>
  <c r="BL38" i="2"/>
  <c r="L11" i="1"/>
  <c r="H61" i="2"/>
  <c r="H66" i="2" s="1"/>
  <c r="F13" i="1"/>
  <c r="G52" i="1"/>
  <c r="G98" i="1" s="1"/>
  <c r="AE16" i="2"/>
  <c r="AA6" i="2"/>
  <c r="AC6" i="2" s="1"/>
  <c r="AA4" i="2"/>
  <c r="AC4" i="2" s="1"/>
  <c r="X35" i="2"/>
  <c r="AA5" i="2"/>
  <c r="AC5" i="2" s="1"/>
  <c r="AA3" i="2"/>
  <c r="F21" i="1"/>
  <c r="E18" i="3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H3" i="3"/>
  <c r="E53" i="1" s="1"/>
  <c r="G23" i="1"/>
  <c r="G76" i="1" s="1"/>
  <c r="G79" i="1" s="1"/>
  <c r="H41" i="1"/>
  <c r="G46" i="1" l="1"/>
  <c r="I44" i="1"/>
  <c r="E27" i="1"/>
  <c r="E29" i="1" s="1"/>
  <c r="E30" i="1" s="1"/>
  <c r="F19" i="1"/>
  <c r="F22" i="1"/>
  <c r="F20" i="1"/>
  <c r="H23" i="1"/>
  <c r="H76" i="1" s="1"/>
  <c r="H79" i="1" s="1"/>
  <c r="I41" i="1"/>
  <c r="AE24" i="2"/>
  <c r="AC24" i="2"/>
  <c r="H9" i="1" s="1"/>
  <c r="H38" i="1" s="1"/>
  <c r="H95" i="1" s="1"/>
  <c r="AR29" i="2"/>
  <c r="AU29" i="2"/>
  <c r="G64" i="2"/>
  <c r="G69" i="2" s="1"/>
  <c r="I39" i="1" s="1"/>
  <c r="I96" i="1" s="1"/>
  <c r="I15" i="1"/>
  <c r="K57" i="2"/>
  <c r="L62" i="2" s="1"/>
  <c r="L67" i="2" s="1"/>
  <c r="L47" i="2"/>
  <c r="L57" i="2" s="1"/>
  <c r="AA7" i="2"/>
  <c r="AC3" i="2"/>
  <c r="AC7" i="2" s="1"/>
  <c r="AZ20" i="2"/>
  <c r="AX20" i="2"/>
  <c r="K8" i="1" s="1"/>
  <c r="K48" i="2"/>
  <c r="J58" i="2"/>
  <c r="K63" i="2" s="1"/>
  <c r="K68" i="2" s="1"/>
  <c r="AK3" i="2"/>
  <c r="AK7" i="2" s="1"/>
  <c r="I5" i="1" s="1"/>
  <c r="AI7" i="2"/>
  <c r="E77" i="1"/>
  <c r="K43" i="1"/>
  <c r="J24" i="1"/>
  <c r="AO13" i="2"/>
  <c r="AQ9" i="2"/>
  <c r="AQ13" i="2" s="1"/>
  <c r="J6" i="1" s="1"/>
  <c r="G13" i="1"/>
  <c r="AC33" i="2"/>
  <c r="H10" i="1" s="1"/>
  <c r="X34" i="2"/>
  <c r="AC34" i="2" s="1"/>
  <c r="AE33" i="2"/>
  <c r="I61" i="2"/>
  <c r="I66" i="2" s="1"/>
  <c r="H98" i="1"/>
  <c r="AE35" i="2"/>
  <c r="AH5" i="2"/>
  <c r="AJ5" i="2" s="1"/>
  <c r="AH6" i="2"/>
  <c r="AJ6" i="2" s="1"/>
  <c r="AH4" i="2"/>
  <c r="AJ4" i="2" s="1"/>
  <c r="AL16" i="2"/>
  <c r="AH3" i="2"/>
  <c r="BS38" i="2"/>
  <c r="N11" i="1" s="1"/>
  <c r="M11" i="1"/>
  <c r="AL29" i="2"/>
  <c r="AI29" i="2"/>
  <c r="AT17" i="2"/>
  <c r="AP12" i="2"/>
  <c r="AR12" i="2" s="1"/>
  <c r="AP10" i="2"/>
  <c r="AR10" i="2" s="1"/>
  <c r="AP11" i="2"/>
  <c r="AR11" i="2" s="1"/>
  <c r="AP9" i="2"/>
  <c r="K42" i="1"/>
  <c r="G42" i="1"/>
  <c r="G59" i="2"/>
  <c r="H49" i="2"/>
  <c r="J12" i="1"/>
  <c r="E30" i="3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I3" i="3"/>
  <c r="F53" i="1" s="1"/>
  <c r="AT16" i="2"/>
  <c r="AP5" i="2"/>
  <c r="AR5" i="2" s="1"/>
  <c r="AP3" i="2"/>
  <c r="AP6" i="2"/>
  <c r="AR6" i="2" s="1"/>
  <c r="AP4" i="2"/>
  <c r="AR4" i="2" s="1"/>
  <c r="AI13" i="2"/>
  <c r="AK9" i="2"/>
  <c r="AK13" i="2" s="1"/>
  <c r="I7" i="1" s="1"/>
  <c r="AZ17" i="2"/>
  <c r="AV12" i="2"/>
  <c r="AX12" i="2" s="1"/>
  <c r="AV10" i="2"/>
  <c r="AX10" i="2" s="1"/>
  <c r="AV11" i="2"/>
  <c r="AX11" i="2" s="1"/>
  <c r="AV9" i="2"/>
  <c r="I56" i="2"/>
  <c r="J46" i="2"/>
  <c r="H46" i="1" l="1"/>
  <c r="F75" i="1"/>
  <c r="F77" i="1" s="1"/>
  <c r="F78" i="1" s="1"/>
  <c r="J44" i="1"/>
  <c r="E51" i="1"/>
  <c r="E31" i="1"/>
  <c r="E56" i="1" s="1"/>
  <c r="E57" i="1" s="1"/>
  <c r="D63" i="1" s="1"/>
  <c r="AH7" i="2"/>
  <c r="AJ3" i="2"/>
  <c r="AJ7" i="2" s="1"/>
  <c r="J41" i="1"/>
  <c r="K41" i="1" s="1"/>
  <c r="I23" i="1"/>
  <c r="AV13" i="2"/>
  <c r="AX9" i="2"/>
  <c r="AX13" i="2" s="1"/>
  <c r="K6" i="1" s="1"/>
  <c r="BG17" i="2"/>
  <c r="BC11" i="2"/>
  <c r="BE11" i="2" s="1"/>
  <c r="BC9" i="2"/>
  <c r="BC12" i="2"/>
  <c r="BE12" i="2" s="1"/>
  <c r="BC10" i="2"/>
  <c r="BE10" i="2" s="1"/>
  <c r="AW6" i="2"/>
  <c r="AY6" i="2" s="1"/>
  <c r="AW4" i="2"/>
  <c r="AY4" i="2" s="1"/>
  <c r="BA16" i="2"/>
  <c r="AW5" i="2"/>
  <c r="AY5" i="2" s="1"/>
  <c r="AW3" i="2"/>
  <c r="H59" i="2"/>
  <c r="I49" i="2"/>
  <c r="K12" i="1"/>
  <c r="AL33" i="2"/>
  <c r="AE34" i="2"/>
  <c r="AJ34" i="2" s="1"/>
  <c r="AJ33" i="2"/>
  <c r="I10" i="1" s="1"/>
  <c r="E78" i="1"/>
  <c r="E97" i="1" s="1"/>
  <c r="L48" i="2"/>
  <c r="L58" i="2" s="1"/>
  <c r="K58" i="2"/>
  <c r="L63" i="2" s="1"/>
  <c r="L68" i="2" s="1"/>
  <c r="AL24" i="2"/>
  <c r="AJ24" i="2"/>
  <c r="I9" i="1" s="1"/>
  <c r="I38" i="1" s="1"/>
  <c r="I95" i="1" s="1"/>
  <c r="AR3" i="2"/>
  <c r="AR7" i="2" s="1"/>
  <c r="J5" i="1" s="1"/>
  <c r="AP7" i="2"/>
  <c r="L42" i="1"/>
  <c r="H42" i="1"/>
  <c r="BG20" i="2"/>
  <c r="BE20" i="2"/>
  <c r="L8" i="1" s="1"/>
  <c r="J56" i="2"/>
  <c r="K46" i="2"/>
  <c r="H64" i="2"/>
  <c r="H69" i="2" s="1"/>
  <c r="J39" i="1" s="1"/>
  <c r="J96" i="1" s="1"/>
  <c r="J15" i="1"/>
  <c r="AR9" i="2"/>
  <c r="AR13" i="2" s="1"/>
  <c r="J7" i="1" s="1"/>
  <c r="AP13" i="2"/>
  <c r="AW11" i="2"/>
  <c r="AY11" i="2" s="1"/>
  <c r="AW9" i="2"/>
  <c r="BA17" i="2"/>
  <c r="AW10" i="2"/>
  <c r="AY10" i="2" s="1"/>
  <c r="AW12" i="2"/>
  <c r="AY12" i="2" s="1"/>
  <c r="AY29" i="2"/>
  <c r="BB29" i="2"/>
  <c r="F27" i="1"/>
  <c r="F29" i="1" s="1"/>
  <c r="E42" i="3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J3" i="3"/>
  <c r="G53" i="1" s="1"/>
  <c r="J61" i="2"/>
  <c r="J66" i="2" s="1"/>
  <c r="AP29" i="2"/>
  <c r="AS29" i="2"/>
  <c r="AL35" i="2"/>
  <c r="AS16" i="2"/>
  <c r="AO6" i="2"/>
  <c r="AQ6" i="2" s="1"/>
  <c r="AO4" i="2"/>
  <c r="AQ4" i="2" s="1"/>
  <c r="AO5" i="2"/>
  <c r="AQ5" i="2" s="1"/>
  <c r="AO3" i="2"/>
  <c r="G20" i="1"/>
  <c r="G22" i="1"/>
  <c r="G19" i="1"/>
  <c r="L43" i="1"/>
  <c r="K24" i="1"/>
  <c r="I52" i="1"/>
  <c r="I98" i="1" s="1"/>
  <c r="D64" i="1" l="1"/>
  <c r="C7" i="4" s="1"/>
  <c r="C6" i="4"/>
  <c r="C9" i="4" s="1"/>
  <c r="D66" i="1" s="1"/>
  <c r="D65" i="1" s="1"/>
  <c r="D71" i="1"/>
  <c r="D110" i="1" s="1"/>
  <c r="K44" i="1"/>
  <c r="E58" i="1"/>
  <c r="E60" i="1" s="1"/>
  <c r="E80" i="1"/>
  <c r="E105" i="1" s="1"/>
  <c r="I4" i="1"/>
  <c r="H4" i="1"/>
  <c r="G27" i="1"/>
  <c r="G29" i="1" s="1"/>
  <c r="G75" i="1"/>
  <c r="G77" i="1" s="1"/>
  <c r="AZ29" i="2"/>
  <c r="AW29" i="2"/>
  <c r="BF29" i="2"/>
  <c r="BI29" i="2"/>
  <c r="BD12" i="2"/>
  <c r="BF12" i="2" s="1"/>
  <c r="BD10" i="2"/>
  <c r="BF10" i="2" s="1"/>
  <c r="BH17" i="2"/>
  <c r="BD11" i="2"/>
  <c r="BF11" i="2" s="1"/>
  <c r="BD9" i="2"/>
  <c r="L46" i="2"/>
  <c r="L56" i="2" s="1"/>
  <c r="K56" i="2"/>
  <c r="M42" i="1"/>
  <c r="I42" i="1"/>
  <c r="I46" i="1" s="1"/>
  <c r="AY3" i="2"/>
  <c r="AY7" i="2" s="1"/>
  <c r="K5" i="1" s="1"/>
  <c r="AW7" i="2"/>
  <c r="J23" i="1"/>
  <c r="I76" i="1"/>
  <c r="I79" i="1" s="1"/>
  <c r="F97" i="1"/>
  <c r="AO7" i="2"/>
  <c r="AQ3" i="2"/>
  <c r="AQ7" i="2" s="1"/>
  <c r="J4" i="1" s="1"/>
  <c r="AS35" i="2"/>
  <c r="AZ16" i="2"/>
  <c r="AV5" i="2"/>
  <c r="AX5" i="2" s="1"/>
  <c r="AV6" i="2"/>
  <c r="AX6" i="2" s="1"/>
  <c r="AV4" i="2"/>
  <c r="AX4" i="2" s="1"/>
  <c r="AV3" i="2"/>
  <c r="AS24" i="2"/>
  <c r="AQ24" i="2"/>
  <c r="J9" i="1" s="1"/>
  <c r="J38" i="1" s="1"/>
  <c r="J46" i="1" s="1"/>
  <c r="BD5" i="2"/>
  <c r="BF5" i="2" s="1"/>
  <c r="BD3" i="2"/>
  <c r="BH16" i="2"/>
  <c r="BD4" i="2"/>
  <c r="BF4" i="2" s="1"/>
  <c r="BD6" i="2"/>
  <c r="BF6" i="2" s="1"/>
  <c r="AW13" i="2"/>
  <c r="AY9" i="2"/>
  <c r="AY13" i="2" s="1"/>
  <c r="K7" i="1" s="1"/>
  <c r="J52" i="1"/>
  <c r="J98" i="1" s="1"/>
  <c r="K61" i="2"/>
  <c r="K66" i="2" s="1"/>
  <c r="AL34" i="2"/>
  <c r="AQ34" i="2" s="1"/>
  <c r="AS33" i="2"/>
  <c r="AQ33" i="2"/>
  <c r="J10" i="1" s="1"/>
  <c r="BJ10" i="2"/>
  <c r="BL10" i="2" s="1"/>
  <c r="BN17" i="2"/>
  <c r="BJ12" i="2"/>
  <c r="BL12" i="2" s="1"/>
  <c r="BJ11" i="2"/>
  <c r="BL11" i="2" s="1"/>
  <c r="BJ9" i="2"/>
  <c r="J84" i="1"/>
  <c r="L41" i="1"/>
  <c r="M41" i="1" s="1"/>
  <c r="N41" i="1" s="1"/>
  <c r="F80" i="1"/>
  <c r="E54" i="3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K3" i="3"/>
  <c r="H53" i="1" s="1"/>
  <c r="I59" i="2"/>
  <c r="J49" i="2"/>
  <c r="L12" i="1"/>
  <c r="L24" i="1"/>
  <c r="M43" i="1"/>
  <c r="F30" i="1"/>
  <c r="F51" i="1" s="1"/>
  <c r="BN20" i="2"/>
  <c r="BS20" i="2" s="1"/>
  <c r="N8" i="1" s="1"/>
  <c r="BL20" i="2"/>
  <c r="M8" i="1" s="1"/>
  <c r="I64" i="2"/>
  <c r="I69" i="2" s="1"/>
  <c r="K39" i="1" s="1"/>
  <c r="K96" i="1" s="1"/>
  <c r="K15" i="1"/>
  <c r="BC13" i="2"/>
  <c r="BE9" i="2"/>
  <c r="BE13" i="2" s="1"/>
  <c r="L6" i="1" s="1"/>
  <c r="L44" i="1" l="1"/>
  <c r="E108" i="1"/>
  <c r="D108" i="1"/>
  <c r="F31" i="1"/>
  <c r="F56" i="1" s="1"/>
  <c r="F57" i="1" s="1"/>
  <c r="N43" i="1"/>
  <c r="M24" i="1"/>
  <c r="J64" i="2"/>
  <c r="J69" i="2" s="1"/>
  <c r="L39" i="1" s="1"/>
  <c r="L96" i="1" s="1"/>
  <c r="L15" i="1"/>
  <c r="BQ12" i="2"/>
  <c r="BS12" i="2" s="1"/>
  <c r="BQ11" i="2"/>
  <c r="BS11" i="2" s="1"/>
  <c r="BQ9" i="2"/>
  <c r="BQ10" i="2"/>
  <c r="BS10" i="2" s="1"/>
  <c r="AV7" i="2"/>
  <c r="AX3" i="2"/>
  <c r="AX7" i="2" s="1"/>
  <c r="K4" i="1" s="1"/>
  <c r="BG16" i="2"/>
  <c r="BC6" i="2"/>
  <c r="BE6" i="2" s="1"/>
  <c r="BC4" i="2"/>
  <c r="BE4" i="2" s="1"/>
  <c r="BC5" i="2"/>
  <c r="BE5" i="2" s="1"/>
  <c r="BC3" i="2"/>
  <c r="AZ35" i="2"/>
  <c r="BM29" i="2"/>
  <c r="BP29" i="2"/>
  <c r="BT29" i="2" s="1"/>
  <c r="BD29" i="2"/>
  <c r="BG29" i="2"/>
  <c r="I13" i="1"/>
  <c r="I21" i="1"/>
  <c r="E66" i="3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L3" i="3"/>
  <c r="I53" i="1" s="1"/>
  <c r="BJ13" i="2"/>
  <c r="BL9" i="2"/>
  <c r="BL13" i="2" s="1"/>
  <c r="M6" i="1" s="1"/>
  <c r="J95" i="1"/>
  <c r="N42" i="1"/>
  <c r="L61" i="2"/>
  <c r="L66" i="2" s="1"/>
  <c r="BO17" i="2"/>
  <c r="BK12" i="2"/>
  <c r="BM12" i="2" s="1"/>
  <c r="BK11" i="2"/>
  <c r="BM11" i="2" s="1"/>
  <c r="BK9" i="2"/>
  <c r="BK10" i="2"/>
  <c r="BM10" i="2" s="1"/>
  <c r="G78" i="1"/>
  <c r="G97" i="1" s="1"/>
  <c r="K52" i="1"/>
  <c r="K98" i="1" s="1"/>
  <c r="F105" i="1"/>
  <c r="BO16" i="2"/>
  <c r="BK6" i="2"/>
  <c r="BM6" i="2" s="1"/>
  <c r="BK4" i="2"/>
  <c r="BM4" i="2" s="1"/>
  <c r="BK3" i="2"/>
  <c r="BK5" i="2"/>
  <c r="BM5" i="2" s="1"/>
  <c r="AZ24" i="2"/>
  <c r="AX24" i="2"/>
  <c r="K9" i="1" s="1"/>
  <c r="K38" i="1" s="1"/>
  <c r="K46" i="1" s="1"/>
  <c r="J13" i="1"/>
  <c r="J21" i="1"/>
  <c r="K23" i="1"/>
  <c r="J76" i="1"/>
  <c r="J79" i="1" s="1"/>
  <c r="G30" i="1"/>
  <c r="G51" i="1" s="1"/>
  <c r="J59" i="2"/>
  <c r="K49" i="2"/>
  <c r="M12" i="1"/>
  <c r="AZ33" i="2"/>
  <c r="AS34" i="2"/>
  <c r="AX34" i="2" s="1"/>
  <c r="AX33" i="2"/>
  <c r="K10" i="1" s="1"/>
  <c r="BF3" i="2"/>
  <c r="BF7" i="2" s="1"/>
  <c r="L5" i="1" s="1"/>
  <c r="BD7" i="2"/>
  <c r="BD13" i="2"/>
  <c r="BF9" i="2"/>
  <c r="BF13" i="2" s="1"/>
  <c r="L7" i="1" s="1"/>
  <c r="H13" i="1"/>
  <c r="H21" i="1"/>
  <c r="M44" i="1" l="1"/>
  <c r="F58" i="1"/>
  <c r="F60" i="1" s="1"/>
  <c r="K59" i="2"/>
  <c r="L49" i="2"/>
  <c r="L59" i="2" s="1"/>
  <c r="N12" i="1"/>
  <c r="BR5" i="2"/>
  <c r="BT5" i="2" s="1"/>
  <c r="BR3" i="2"/>
  <c r="BR4" i="2"/>
  <c r="BT4" i="2" s="1"/>
  <c r="BR6" i="2"/>
  <c r="BT6" i="2" s="1"/>
  <c r="E78" i="3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H7" i="3"/>
  <c r="J53" i="1" s="1"/>
  <c r="BK29" i="2"/>
  <c r="BN29" i="2"/>
  <c r="BR29" i="2" s="1"/>
  <c r="L52" i="1"/>
  <c r="L98" i="1" s="1"/>
  <c r="H22" i="1"/>
  <c r="H20" i="1"/>
  <c r="H19" i="1"/>
  <c r="K64" i="2"/>
  <c r="K69" i="2" s="1"/>
  <c r="M39" i="1" s="1"/>
  <c r="M96" i="1" s="1"/>
  <c r="M15" i="1"/>
  <c r="J19" i="1"/>
  <c r="J20" i="1"/>
  <c r="J22" i="1"/>
  <c r="BM3" i="2"/>
  <c r="BM7" i="2" s="1"/>
  <c r="M5" i="1" s="1"/>
  <c r="BK7" i="2"/>
  <c r="F108" i="1"/>
  <c r="G80" i="1"/>
  <c r="G105" i="1" s="1"/>
  <c r="BC7" i="2"/>
  <c r="BE3" i="2"/>
  <c r="BE7" i="2" s="1"/>
  <c r="L4" i="1" s="1"/>
  <c r="BG35" i="2"/>
  <c r="BJ5" i="2"/>
  <c r="BL5" i="2" s="1"/>
  <c r="BJ3" i="2"/>
  <c r="BN16" i="2"/>
  <c r="BJ6" i="2"/>
  <c r="BL6" i="2" s="1"/>
  <c r="BJ4" i="2"/>
  <c r="BL4" i="2" s="1"/>
  <c r="BQ13" i="2"/>
  <c r="BS9" i="2"/>
  <c r="BS13" i="2" s="1"/>
  <c r="N6" i="1" s="1"/>
  <c r="BE33" i="2"/>
  <c r="L10" i="1" s="1"/>
  <c r="AZ34" i="2"/>
  <c r="BE34" i="2" s="1"/>
  <c r="BG33" i="2"/>
  <c r="K95" i="1"/>
  <c r="BR12" i="2"/>
  <c r="BT12" i="2" s="1"/>
  <c r="BR10" i="2"/>
  <c r="BT10" i="2" s="1"/>
  <c r="BR9" i="2"/>
  <c r="BR11" i="2"/>
  <c r="BT11" i="2" s="1"/>
  <c r="K13" i="1"/>
  <c r="K21" i="1"/>
  <c r="G31" i="1"/>
  <c r="G56" i="1" s="1"/>
  <c r="G57" i="1" s="1"/>
  <c r="K76" i="1"/>
  <c r="K79" i="1" s="1"/>
  <c r="L23" i="1"/>
  <c r="BE24" i="2"/>
  <c r="L9" i="1" s="1"/>
  <c r="L38" i="1" s="1"/>
  <c r="L46" i="1" s="1"/>
  <c r="BG24" i="2"/>
  <c r="BK13" i="2"/>
  <c r="BM9" i="2"/>
  <c r="BM13" i="2" s="1"/>
  <c r="M7" i="1" s="1"/>
  <c r="I22" i="1"/>
  <c r="I20" i="1"/>
  <c r="I19" i="1"/>
  <c r="N24" i="1"/>
  <c r="G108" i="1" l="1"/>
  <c r="N44" i="1"/>
  <c r="P87" i="1" s="1"/>
  <c r="N87" i="1" s="1"/>
  <c r="P89" i="1" s="1"/>
  <c r="N91" i="1" s="1"/>
  <c r="H75" i="1"/>
  <c r="H77" i="1" s="1"/>
  <c r="H78" i="1" s="1"/>
  <c r="H97" i="1" s="1"/>
  <c r="BJ7" i="2"/>
  <c r="BL3" i="2"/>
  <c r="BL7" i="2" s="1"/>
  <c r="M4" i="1" s="1"/>
  <c r="M52" i="1"/>
  <c r="M98" i="1" s="1"/>
  <c r="E90" i="3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I7" i="3"/>
  <c r="K53" i="1" s="1"/>
  <c r="BR7" i="2"/>
  <c r="BT3" i="2"/>
  <c r="BT7" i="2" s="1"/>
  <c r="N5" i="1" s="1"/>
  <c r="I27" i="1"/>
  <c r="I29" i="1" s="1"/>
  <c r="BN24" i="2"/>
  <c r="BS24" i="2" s="1"/>
  <c r="N9" i="1" s="1"/>
  <c r="N38" i="1" s="1"/>
  <c r="BL24" i="2"/>
  <c r="M9" i="1" s="1"/>
  <c r="M38" i="1" s="1"/>
  <c r="M46" i="1" s="1"/>
  <c r="L64" i="2"/>
  <c r="L69" i="2" s="1"/>
  <c r="N39" i="1" s="1"/>
  <c r="N15" i="1"/>
  <c r="I75" i="1"/>
  <c r="I77" i="1" s="1"/>
  <c r="L95" i="1"/>
  <c r="BT9" i="2"/>
  <c r="BT13" i="2" s="1"/>
  <c r="N7" i="1" s="1"/>
  <c r="BR13" i="2"/>
  <c r="J27" i="1"/>
  <c r="J29" i="1" s="1"/>
  <c r="G58" i="1"/>
  <c r="G60" i="1" s="1"/>
  <c r="L76" i="1"/>
  <c r="L79" i="1" s="1"/>
  <c r="M23" i="1"/>
  <c r="K22" i="1"/>
  <c r="K20" i="1"/>
  <c r="K19" i="1"/>
  <c r="BN33" i="2"/>
  <c r="BG34" i="2"/>
  <c r="BL34" i="2" s="1"/>
  <c r="BL33" i="2"/>
  <c r="M10" i="1" s="1"/>
  <c r="BN35" i="2"/>
  <c r="BQ6" i="2"/>
  <c r="BS6" i="2" s="1"/>
  <c r="BQ4" i="2"/>
  <c r="BS4" i="2" s="1"/>
  <c r="BQ5" i="2"/>
  <c r="BS5" i="2" s="1"/>
  <c r="BQ3" i="2"/>
  <c r="L13" i="1"/>
  <c r="L21" i="1"/>
  <c r="J75" i="1"/>
  <c r="J77" i="1" s="1"/>
  <c r="H27" i="1"/>
  <c r="H29" i="1" s="1"/>
  <c r="N46" i="1" l="1"/>
  <c r="K27" i="1"/>
  <c r="K29" i="1" s="1"/>
  <c r="K30" i="1" s="1"/>
  <c r="K51" i="1" s="1"/>
  <c r="K75" i="1"/>
  <c r="K77" i="1" s="1"/>
  <c r="K78" i="1" s="1"/>
  <c r="H80" i="1"/>
  <c r="H105" i="1" s="1"/>
  <c r="M95" i="1"/>
  <c r="N95" i="1"/>
  <c r="N100" i="1"/>
  <c r="L22" i="1"/>
  <c r="L20" i="1"/>
  <c r="L19" i="1"/>
  <c r="BN34" i="2"/>
  <c r="BS34" i="2" s="1"/>
  <c r="BS33" i="2"/>
  <c r="N10" i="1" s="1"/>
  <c r="N96" i="1"/>
  <c r="N101" i="1"/>
  <c r="I30" i="1"/>
  <c r="I51" i="1" s="1"/>
  <c r="E102" i="3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J7" i="3"/>
  <c r="L53" i="1" s="1"/>
  <c r="M13" i="1"/>
  <c r="M21" i="1"/>
  <c r="J78" i="1"/>
  <c r="N23" i="1"/>
  <c r="N76" i="1" s="1"/>
  <c r="N79" i="1" s="1"/>
  <c r="M76" i="1"/>
  <c r="M79" i="1" s="1"/>
  <c r="I78" i="1"/>
  <c r="I97" i="1" s="1"/>
  <c r="N52" i="1"/>
  <c r="H30" i="1"/>
  <c r="H51" i="1" s="1"/>
  <c r="BQ7" i="2"/>
  <c r="BS3" i="2"/>
  <c r="BS7" i="2" s="1"/>
  <c r="N4" i="1" s="1"/>
  <c r="J30" i="1"/>
  <c r="J51" i="1" s="1"/>
  <c r="H108" i="1" l="1"/>
  <c r="J31" i="1"/>
  <c r="L27" i="1"/>
  <c r="L29" i="1" s="1"/>
  <c r="L30" i="1" s="1"/>
  <c r="L51" i="1" s="1"/>
  <c r="J97" i="1"/>
  <c r="K97" i="1"/>
  <c r="H31" i="1"/>
  <c r="H56" i="1" s="1"/>
  <c r="H57" i="1" s="1"/>
  <c r="K80" i="1"/>
  <c r="M22" i="1"/>
  <c r="M20" i="1"/>
  <c r="M19" i="1"/>
  <c r="I31" i="1"/>
  <c r="K31" i="1"/>
  <c r="E114" i="3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K7" i="3"/>
  <c r="M53" i="1" s="1"/>
  <c r="L75" i="1"/>
  <c r="L77" i="1" s="1"/>
  <c r="N13" i="1"/>
  <c r="N21" i="1"/>
  <c r="N98" i="1"/>
  <c r="N102" i="1"/>
  <c r="I80" i="1"/>
  <c r="I105" i="1" s="1"/>
  <c r="I108" i="1" s="1"/>
  <c r="J80" i="1"/>
  <c r="I56" i="1" l="1"/>
  <c r="I57" i="1" s="1"/>
  <c r="L31" i="1"/>
  <c r="J105" i="1"/>
  <c r="H58" i="1"/>
  <c r="H60" i="1" s="1"/>
  <c r="N19" i="1"/>
  <c r="N22" i="1"/>
  <c r="N20" i="1"/>
  <c r="M27" i="1"/>
  <c r="M29" i="1" s="1"/>
  <c r="L78" i="1"/>
  <c r="L97" i="1" s="1"/>
  <c r="E126" i="3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L7" i="3"/>
  <c r="N53" i="1" s="1"/>
  <c r="M75" i="1"/>
  <c r="M77" i="1" s="1"/>
  <c r="K105" i="1"/>
  <c r="K108" i="1" s="1"/>
  <c r="J108" i="1" l="1"/>
  <c r="I58" i="1"/>
  <c r="I60" i="1" s="1"/>
  <c r="J56" i="1"/>
  <c r="J58" i="1" s="1"/>
  <c r="J60" i="1" s="1"/>
  <c r="N75" i="1"/>
  <c r="N77" i="1" s="1"/>
  <c r="N78" i="1" s="1"/>
  <c r="N80" i="1" s="1"/>
  <c r="L80" i="1"/>
  <c r="L105" i="1" s="1"/>
  <c r="L108" i="1" s="1"/>
  <c r="M78" i="1"/>
  <c r="M97" i="1" s="1"/>
  <c r="M30" i="1"/>
  <c r="M51" i="1" s="1"/>
  <c r="N27" i="1"/>
  <c r="N29" i="1" s="1"/>
  <c r="J57" i="1" l="1"/>
  <c r="K56" i="1" s="1"/>
  <c r="K58" i="1" s="1"/>
  <c r="K60" i="1" s="1"/>
  <c r="M31" i="1"/>
  <c r="M80" i="1"/>
  <c r="M105" i="1" s="1"/>
  <c r="M108" i="1" s="1"/>
  <c r="N103" i="1"/>
  <c r="N97" i="1"/>
  <c r="N30" i="1"/>
  <c r="N51" i="1" s="1"/>
  <c r="K57" i="1" l="1"/>
  <c r="L56" i="1" s="1"/>
  <c r="L57" i="1" s="1"/>
  <c r="M56" i="1" s="1"/>
  <c r="N31" i="1"/>
  <c r="N105" i="1"/>
  <c r="L58" i="1" l="1"/>
  <c r="L60" i="1" s="1"/>
  <c r="N108" i="1"/>
  <c r="D109" i="1" s="1"/>
  <c r="D106" i="1"/>
  <c r="D111" i="1" s="1"/>
  <c r="M57" i="1"/>
  <c r="N56" i="1" s="1"/>
  <c r="M58" i="1"/>
  <c r="M60" i="1" s="1"/>
  <c r="N57" i="1" l="1"/>
  <c r="N58" i="1"/>
  <c r="N60" i="1" s="1"/>
</calcChain>
</file>

<file path=xl/sharedStrings.xml><?xml version="1.0" encoding="utf-8"?>
<sst xmlns="http://schemas.openxmlformats.org/spreadsheetml/2006/main" count="345" uniqueCount="189">
  <si>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</si>
  <si>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</si>
  <si>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</si>
  <si>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</si>
  <si>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</si>
  <si>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</si>
  <si>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</si>
  <si>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</si>
  <si>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</si>
  <si>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</si>
  <si>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INCOME STATEMENT</t>
  </si>
  <si>
    <t>Revenue:</t>
  </si>
  <si>
    <t>Weekday Non- Resident</t>
  </si>
  <si>
    <t>Weekday Resident</t>
  </si>
  <si>
    <t>Weekend &amp; Holiday Non-Resident</t>
  </si>
  <si>
    <t>Weekend &amp; Holiday Resident</t>
  </si>
  <si>
    <t>Club Memberships</t>
  </si>
  <si>
    <t>Events- Weddings &amp; Tournament</t>
  </si>
  <si>
    <t>Lesson Fees</t>
  </si>
  <si>
    <t>Clubhouse-Rent from restuarant</t>
  </si>
  <si>
    <t>Clubhouse-Pro Shop</t>
  </si>
  <si>
    <t>Total Revenue</t>
  </si>
  <si>
    <t>Costs of Goods Sold</t>
  </si>
  <si>
    <t>Expenses:</t>
  </si>
  <si>
    <t>Payroll</t>
  </si>
  <si>
    <t>General and Administration</t>
  </si>
  <si>
    <t>Golf Operations</t>
  </si>
  <si>
    <t>Course Maintenance</t>
  </si>
  <si>
    <t>Depreciation Expense- Golf Carts</t>
  </si>
  <si>
    <t>Depreciation Expense-Club house</t>
  </si>
  <si>
    <t>Mortgage Interest Expense</t>
  </si>
  <si>
    <t>Bank Loan Interest Expense</t>
  </si>
  <si>
    <t>Total Expenses</t>
  </si>
  <si>
    <t>Taxable Income</t>
  </si>
  <si>
    <t>Taxes</t>
  </si>
  <si>
    <t>Net Income</t>
  </si>
  <si>
    <t>BALANCE SHEET</t>
  </si>
  <si>
    <t>Assets:</t>
  </si>
  <si>
    <t>Minimum Cash</t>
  </si>
  <si>
    <t>Extra Cash</t>
  </si>
  <si>
    <t>Accounts Receivable</t>
  </si>
  <si>
    <t>Inventory</t>
  </si>
  <si>
    <t>Land</t>
  </si>
  <si>
    <t>Equipment- Golf Carts</t>
  </si>
  <si>
    <t>Accumulated Depreciation</t>
  </si>
  <si>
    <t>Buildings</t>
  </si>
  <si>
    <t>Goodwill</t>
  </si>
  <si>
    <t>Total Assets</t>
  </si>
  <si>
    <t>Liabilities and Equity</t>
  </si>
  <si>
    <t>Taxes Payable</t>
  </si>
  <si>
    <t>Accounts Payable</t>
  </si>
  <si>
    <t>Mortgage Loan</t>
  </si>
  <si>
    <t>Extra Bank Loan</t>
  </si>
  <si>
    <t>Common Stock</t>
  </si>
  <si>
    <t>Retained Earnings</t>
  </si>
  <si>
    <t>Dividend Paid</t>
  </si>
  <si>
    <t>Total Liabilities and Equity</t>
  </si>
  <si>
    <t>DFN</t>
  </si>
  <si>
    <t>WACC</t>
  </si>
  <si>
    <t>Debt %</t>
  </si>
  <si>
    <t>Equipty %</t>
  </si>
  <si>
    <t>CAPM</t>
  </si>
  <si>
    <t>Beta</t>
  </si>
  <si>
    <t>T-Bill rate</t>
  </si>
  <si>
    <t>S&amp;P 500 rate</t>
  </si>
  <si>
    <t>Income Tax Rate</t>
  </si>
  <si>
    <t>WACC Projected for 2022</t>
  </si>
  <si>
    <t>FREE CASH FLOW STATEMENT</t>
  </si>
  <si>
    <t>Cash from Operations</t>
  </si>
  <si>
    <t>Operating Income</t>
  </si>
  <si>
    <t>Less: Depreciation</t>
  </si>
  <si>
    <t>Taxable Operating Income</t>
  </si>
  <si>
    <t>Taxes on Operations ONLY</t>
  </si>
  <si>
    <t>Add back: Depreciation</t>
  </si>
  <si>
    <t>CASH FROM OPERATIONS</t>
  </si>
  <si>
    <t>Cash in/out from Capital Expenditues</t>
  </si>
  <si>
    <t>Buy building</t>
  </si>
  <si>
    <t>Buy Golf carts</t>
  </si>
  <si>
    <t>Buy Land</t>
  </si>
  <si>
    <t>Sale of Building</t>
  </si>
  <si>
    <t>Book Value</t>
  </si>
  <si>
    <t>Sale of Golf Carts</t>
  </si>
  <si>
    <t>Multiple</t>
  </si>
  <si>
    <t>Sale of Land</t>
  </si>
  <si>
    <t>Gain/Loss on Sale</t>
  </si>
  <si>
    <t>Taxes on sale of building</t>
  </si>
  <si>
    <t>Taxes on sale of Golf Carts</t>
  </si>
  <si>
    <t>Taxes on sale of Land</t>
  </si>
  <si>
    <t>Cash from Changes in working Capital</t>
  </si>
  <si>
    <t>-</t>
  </si>
  <si>
    <t>+</t>
  </si>
  <si>
    <t>Income Tax Payable(ON OPERATION ONLY)</t>
  </si>
  <si>
    <t>Accounts Payable - COGS</t>
  </si>
  <si>
    <t>Cash from Liquidating Working Capital</t>
  </si>
  <si>
    <t>Income Tax Payable (OPERATIONS ONLY)</t>
  </si>
  <si>
    <t>TOTAL FREE CASH FLOWS</t>
  </si>
  <si>
    <t>IRR</t>
  </si>
  <si>
    <t>PV OF FCF</t>
  </si>
  <si>
    <t>NPV OF FCF</t>
  </si>
  <si>
    <t>Difference between WACC and IRR</t>
  </si>
  <si>
    <t>Assumptions</t>
  </si>
  <si>
    <t>Percent Change</t>
  </si>
  <si>
    <t>Non-Resident</t>
  </si>
  <si>
    <t>Resident</t>
  </si>
  <si>
    <t>Percentage of Daily Attendance</t>
  </si>
  <si>
    <t># of Non-res Customers</t>
  </si>
  <si>
    <t># of Res Customers</t>
  </si>
  <si>
    <t>Non-Resident Revenue</t>
  </si>
  <si>
    <t>Resident Revenue</t>
  </si>
  <si>
    <t>Weekday Rate</t>
  </si>
  <si>
    <t>Mid Day</t>
  </si>
  <si>
    <t>Twilight</t>
  </si>
  <si>
    <t>Seniors</t>
  </si>
  <si>
    <t>Total</t>
  </si>
  <si>
    <t>Saturday, Sunday, Holidays</t>
  </si>
  <si>
    <t>Customers:</t>
  </si>
  <si>
    <t>Weekday Customers</t>
  </si>
  <si>
    <t>Weekend Customers</t>
  </si>
  <si>
    <t>Club Members:</t>
  </si>
  <si>
    <t>Membership Fee</t>
  </si>
  <si>
    <t>Memberships</t>
  </si>
  <si>
    <t>Event Income:</t>
  </si>
  <si>
    <t>Weddings Fee</t>
  </si>
  <si>
    <t>Number of Weddings</t>
  </si>
  <si>
    <t>Days of recivables</t>
  </si>
  <si>
    <t>Tournament:</t>
  </si>
  <si>
    <t>50 participants</t>
  </si>
  <si>
    <t>150 Participants</t>
  </si>
  <si>
    <t>200 Participants</t>
  </si>
  <si>
    <t>Tournament Fee</t>
  </si>
  <si>
    <t>Tournament Count</t>
  </si>
  <si>
    <t>Lessons:</t>
  </si>
  <si>
    <t>Lesson Fee</t>
  </si>
  <si>
    <t>Cost to Instructor</t>
  </si>
  <si>
    <t>Number of Lessons</t>
  </si>
  <si>
    <t>Clubhouse:</t>
  </si>
  <si>
    <t>Rent for restuarant</t>
  </si>
  <si>
    <t>Pro Shop</t>
  </si>
  <si>
    <t/>
  </si>
  <si>
    <t>Quantity Sold</t>
  </si>
  <si>
    <t>Clubs</t>
  </si>
  <si>
    <t>Golf Balls</t>
  </si>
  <si>
    <t>Clothing</t>
  </si>
  <si>
    <t>Accessories</t>
  </si>
  <si>
    <t>Selling Price</t>
  </si>
  <si>
    <t>Days in Inventory</t>
  </si>
  <si>
    <t>Cost of Inventory</t>
  </si>
  <si>
    <t>Year COGS</t>
  </si>
  <si>
    <t>Daily COGS</t>
  </si>
  <si>
    <t>Loan Amount</t>
  </si>
  <si>
    <t>Pecent of Property</t>
  </si>
  <si>
    <t>Length (Years)</t>
  </si>
  <si>
    <t>Interest Expense</t>
  </si>
  <si>
    <t>Rate</t>
  </si>
  <si>
    <t>Carrying Amount</t>
  </si>
  <si>
    <t>Payment Number</t>
  </si>
  <si>
    <t>Payment</t>
  </si>
  <si>
    <t>Principle</t>
  </si>
  <si>
    <t>Interest</t>
  </si>
  <si>
    <t>Principle Remaining</t>
  </si>
  <si>
    <t>Cost of Goodwill</t>
  </si>
  <si>
    <t>1)</t>
  </si>
  <si>
    <t>Debt</t>
  </si>
  <si>
    <t>Equity</t>
  </si>
  <si>
    <t>Tax Rate</t>
  </si>
  <si>
    <t>Unlevered</t>
  </si>
  <si>
    <t>2)</t>
  </si>
  <si>
    <t>Re-levered Beta</t>
  </si>
  <si>
    <t xml:space="preserve">Building </t>
  </si>
  <si>
    <t xml:space="preserve">Refurbishing </t>
  </si>
  <si>
    <t>Sale of Goodwill</t>
  </si>
  <si>
    <t>Standard</t>
  </si>
  <si>
    <t>Good Market (120% of Membership goal)</t>
  </si>
  <si>
    <t>Cashflows</t>
  </si>
  <si>
    <t>PV</t>
  </si>
  <si>
    <t>NPV</t>
  </si>
  <si>
    <t>Probibility</t>
  </si>
  <si>
    <t>NPV*Prob</t>
  </si>
  <si>
    <t>Bad Market (80% of Membership goal)</t>
  </si>
  <si>
    <t>Expected NPV</t>
  </si>
  <si>
    <t>Average (Good)</t>
  </si>
  <si>
    <t>Average (Bad)</t>
  </si>
  <si>
    <t>Standard Dev (of PV)</t>
  </si>
  <si>
    <t>Average (Standard Dev)</t>
  </si>
  <si>
    <t>Option: Remodel of Club house in 2018  for 750,000 to increase</t>
  </si>
  <si>
    <t xml:space="preserve"> members sells to 130% of Good Market Projections</t>
  </si>
  <si>
    <t>Total Cash Flows</t>
  </si>
  <si>
    <t>Option Value</t>
  </si>
  <si>
    <t>www.thegolfclubatranchocalifornia.com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</si>
</sst>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.###############"/>
    <numFmt numFmtId="167" formatCode="_(* #,##0_);_(* \(#,##0\);_(* &quot;-&quot;??_);_(@_)"/>
  </numFmts>
  <fonts count="32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2" fillId="0" borderId="0"/>
    <xf numFmtId="0" fontId="31" fillId="0" borderId="0" applyNumberFormat="0" applyFill="0" applyBorder="0" applyAlignment="0" applyProtection="0"/>
  </cellStyleXfs>
  <cellXfs count="105">
    <xf numFmtId="0" fontId="0" fillId="0" borderId="0" xfId="0" applyAlignment="1">
      <alignment wrapText="1"/>
    </xf>
    <xf numFmtId="41" fontId="0" fillId="0" borderId="0" xfId="0" applyNumberFormat="1" applyAlignment="1">
      <alignment wrapText="1"/>
    </xf>
    <xf numFmtId="0" fontId="1" fillId="2" borderId="0" xfId="0" applyFont="1" applyFill="1" applyAlignment="1">
      <alignment horizontal="center" wrapText="1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4" borderId="2" xfId="0" applyFill="1" applyBorder="1" applyAlignment="1">
      <alignment horizontal="center" wrapText="1"/>
    </xf>
    <xf numFmtId="0" fontId="2" fillId="5" borderId="0" xfId="0" applyFont="1" applyFill="1" applyAlignment="1">
      <alignment wrapText="1"/>
    </xf>
    <xf numFmtId="9" fontId="0" fillId="0" borderId="0" xfId="0" applyNumberFormat="1" applyAlignment="1">
      <alignment wrapText="1"/>
    </xf>
    <xf numFmtId="0" fontId="0" fillId="6" borderId="0" xfId="0" applyFill="1" applyAlignment="1">
      <alignment horizontal="center" wrapText="1"/>
    </xf>
    <xf numFmtId="164" fontId="0" fillId="7" borderId="0" xfId="0" applyNumberFormat="1" applyFill="1" applyAlignment="1">
      <alignment wrapText="1"/>
    </xf>
    <xf numFmtId="0" fontId="0" fillId="8" borderId="0" xfId="0" applyFill="1" applyAlignment="1">
      <alignment wrapText="1"/>
    </xf>
    <xf numFmtId="0" fontId="3" fillId="9" borderId="0" xfId="0" applyFont="1" applyFill="1" applyAlignment="1">
      <alignment wrapText="1"/>
    </xf>
    <xf numFmtId="165" fontId="4" fillId="0" borderId="0" xfId="0" applyNumberFormat="1" applyFont="1" applyAlignment="1">
      <alignment horizontal="center" wrapText="1"/>
    </xf>
    <xf numFmtId="166" fontId="5" fillId="0" borderId="0" xfId="0" applyNumberFormat="1" applyFont="1" applyAlignment="1">
      <alignment wrapText="1"/>
    </xf>
    <xf numFmtId="0" fontId="6" fillId="0" borderId="3" xfId="0" applyFont="1" applyBorder="1" applyAlignment="1">
      <alignment wrapText="1"/>
    </xf>
    <xf numFmtId="10" fontId="0" fillId="10" borderId="4" xfId="0" applyNumberFormat="1" applyFill="1" applyBorder="1" applyAlignment="1">
      <alignment wrapText="1"/>
    </xf>
    <xf numFmtId="165" fontId="7" fillId="0" borderId="5" xfId="0" applyNumberFormat="1" applyFont="1" applyBorder="1" applyAlignment="1">
      <alignment wrapText="1"/>
    </xf>
    <xf numFmtId="165" fontId="0" fillId="11" borderId="0" xfId="0" applyNumberFormat="1" applyFill="1" applyAlignment="1">
      <alignment wrapText="1"/>
    </xf>
    <xf numFmtId="10" fontId="0" fillId="0" borderId="0" xfId="0" applyNumberFormat="1" applyAlignment="1">
      <alignment wrapText="1"/>
    </xf>
    <xf numFmtId="165" fontId="8" fillId="0" borderId="0" xfId="0" applyNumberFormat="1" applyFont="1" applyAlignment="1">
      <alignment wrapText="1"/>
    </xf>
    <xf numFmtId="0" fontId="9" fillId="13" borderId="0" xfId="0" applyFont="1" applyFill="1" applyAlignment="1">
      <alignment wrapText="1"/>
    </xf>
    <xf numFmtId="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3" fontId="0" fillId="14" borderId="6" xfId="0" applyNumberFormat="1" applyFill="1" applyBorder="1" applyAlignment="1">
      <alignment wrapText="1"/>
    </xf>
    <xf numFmtId="164" fontId="10" fillId="15" borderId="7" xfId="0" applyNumberFormat="1" applyFont="1" applyFill="1" applyBorder="1" applyAlignment="1">
      <alignment wrapText="1"/>
    </xf>
    <xf numFmtId="41" fontId="0" fillId="16" borderId="0" xfId="0" applyNumberFormat="1" applyFill="1" applyAlignment="1">
      <alignment wrapText="1"/>
    </xf>
    <xf numFmtId="10" fontId="0" fillId="0" borderId="8" xfId="0" applyNumberFormat="1" applyBorder="1" applyAlignment="1">
      <alignment wrapText="1"/>
    </xf>
    <xf numFmtId="165" fontId="0" fillId="17" borderId="9" xfId="0" applyNumberFormat="1" applyFill="1" applyBorder="1" applyAlignment="1">
      <alignment wrapText="1"/>
    </xf>
    <xf numFmtId="49" fontId="11" fillId="0" borderId="0" xfId="0" applyNumberFormat="1" applyFont="1" applyAlignment="1">
      <alignment horizontal="center" wrapText="1"/>
    </xf>
    <xf numFmtId="41" fontId="0" fillId="0" borderId="10" xfId="0" applyNumberFormat="1" applyBorder="1" applyAlignment="1">
      <alignment wrapText="1"/>
    </xf>
    <xf numFmtId="0" fontId="14" fillId="20" borderId="11" xfId="0" applyFont="1" applyFill="1" applyBorder="1" applyAlignment="1">
      <alignment horizontal="center" wrapText="1"/>
    </xf>
    <xf numFmtId="41" fontId="0" fillId="21" borderId="0" xfId="0" applyNumberFormat="1" applyFill="1" applyAlignment="1">
      <alignment horizontal="center" wrapText="1"/>
    </xf>
    <xf numFmtId="3" fontId="15" fillId="22" borderId="12" xfId="0" applyNumberFormat="1" applyFont="1" applyFill="1" applyBorder="1" applyAlignment="1">
      <alignment wrapText="1"/>
    </xf>
    <xf numFmtId="165" fontId="0" fillId="23" borderId="0" xfId="0" applyNumberFormat="1" applyFill="1" applyAlignment="1">
      <alignment wrapText="1"/>
    </xf>
    <xf numFmtId="10" fontId="16" fillId="0" borderId="13" xfId="0" applyNumberFormat="1" applyFont="1" applyBorder="1" applyAlignment="1">
      <alignment wrapText="1"/>
    </xf>
    <xf numFmtId="0" fontId="0" fillId="24" borderId="14" xfId="0" applyFill="1" applyBorder="1" applyAlignment="1">
      <alignment wrapText="1"/>
    </xf>
    <xf numFmtId="0" fontId="0" fillId="0" borderId="15" xfId="0" applyBorder="1" applyAlignment="1">
      <alignment wrapText="1"/>
    </xf>
    <xf numFmtId="165" fontId="18" fillId="25" borderId="0" xfId="0" applyNumberFormat="1" applyFont="1" applyFill="1" applyAlignment="1">
      <alignment wrapText="1"/>
    </xf>
    <xf numFmtId="0" fontId="19" fillId="0" borderId="0" xfId="0" applyFont="1" applyAlignment="1">
      <alignment wrapText="1"/>
    </xf>
    <xf numFmtId="3" fontId="0" fillId="26" borderId="16" xfId="0" applyNumberFormat="1" applyFill="1" applyBorder="1" applyAlignment="1">
      <alignment wrapText="1"/>
    </xf>
    <xf numFmtId="165" fontId="0" fillId="0" borderId="0" xfId="0" applyNumberFormat="1" applyAlignment="1">
      <alignment wrapText="1"/>
    </xf>
    <xf numFmtId="164" fontId="20" fillId="0" borderId="0" xfId="0" applyNumberFormat="1" applyFont="1" applyAlignment="1">
      <alignment wrapText="1"/>
    </xf>
    <xf numFmtId="10" fontId="0" fillId="27" borderId="0" xfId="0" applyNumberFormat="1" applyFill="1" applyAlignment="1">
      <alignment wrapText="1"/>
    </xf>
    <xf numFmtId="0" fontId="0" fillId="28" borderId="0" xfId="0" applyFill="1" applyAlignment="1">
      <alignment wrapText="1"/>
    </xf>
    <xf numFmtId="3" fontId="21" fillId="0" borderId="17" xfId="0" applyNumberFormat="1" applyFont="1" applyBorder="1" applyAlignment="1">
      <alignment wrapText="1"/>
    </xf>
    <xf numFmtId="164" fontId="0" fillId="0" borderId="18" xfId="0" applyNumberFormat="1" applyBorder="1" applyAlignment="1">
      <alignment wrapText="1"/>
    </xf>
    <xf numFmtId="3" fontId="0" fillId="30" borderId="0" xfId="0" applyNumberFormat="1" applyFill="1" applyAlignment="1">
      <alignment wrapText="1"/>
    </xf>
    <xf numFmtId="164" fontId="0" fillId="31" borderId="19" xfId="0" applyNumberFormat="1" applyFill="1" applyBorder="1" applyAlignment="1">
      <alignment wrapText="1"/>
    </xf>
    <xf numFmtId="41" fontId="0" fillId="32" borderId="0" xfId="0" applyNumberFormat="1" applyFill="1" applyAlignment="1">
      <alignment wrapText="1"/>
    </xf>
    <xf numFmtId="0" fontId="23" fillId="33" borderId="20" xfId="0" applyFont="1" applyFill="1" applyBorder="1" applyAlignment="1">
      <alignment wrapText="1"/>
    </xf>
    <xf numFmtId="164" fontId="0" fillId="0" borderId="21" xfId="0" applyNumberFormat="1" applyBorder="1" applyAlignment="1">
      <alignment wrapText="1"/>
    </xf>
    <xf numFmtId="41" fontId="0" fillId="0" borderId="22" xfId="0" applyNumberFormat="1" applyBorder="1" applyAlignment="1">
      <alignment wrapText="1"/>
    </xf>
    <xf numFmtId="3" fontId="0" fillId="0" borderId="0" xfId="0" applyNumberFormat="1" applyAlignment="1">
      <alignment wrapText="1"/>
    </xf>
    <xf numFmtId="166" fontId="24" fillId="0" borderId="0" xfId="0" applyNumberFormat="1" applyFont="1" applyAlignment="1">
      <alignment horizontal="center" wrapText="1"/>
    </xf>
    <xf numFmtId="0" fontId="26" fillId="34" borderId="0" xfId="0" applyFont="1" applyFill="1" applyAlignment="1">
      <alignment horizontal="center" wrapText="1"/>
    </xf>
    <xf numFmtId="10" fontId="28" fillId="35" borderId="0" xfId="0" applyNumberFormat="1" applyFont="1" applyFill="1" applyAlignment="1">
      <alignment wrapText="1"/>
    </xf>
    <xf numFmtId="164" fontId="0" fillId="0" borderId="0" xfId="0" applyNumberFormat="1" applyAlignment="1">
      <alignment wrapText="1"/>
    </xf>
    <xf numFmtId="9" fontId="0" fillId="0" borderId="0" xfId="1" applyFont="1" applyAlignment="1">
      <alignment wrapText="1"/>
    </xf>
    <xf numFmtId="164" fontId="0" fillId="0" borderId="0" xfId="0" applyNumberFormat="1" applyAlignment="1">
      <alignment wrapText="1"/>
    </xf>
    <xf numFmtId="41" fontId="0" fillId="0" borderId="0" xfId="0" applyNumberFormat="1" applyAlignment="1">
      <alignment wrapText="1"/>
    </xf>
    <xf numFmtId="0" fontId="0" fillId="8" borderId="0" xfId="0" applyFill="1" applyBorder="1" applyAlignment="1">
      <alignment wrapText="1"/>
    </xf>
    <xf numFmtId="0" fontId="0" fillId="0" borderId="0" xfId="0"/>
    <xf numFmtId="43" fontId="0" fillId="36" borderId="0" xfId="2" applyFont="1" applyFill="1"/>
    <xf numFmtId="43" fontId="0" fillId="36" borderId="0" xfId="0" applyNumberFormat="1" applyFill="1"/>
    <xf numFmtId="0" fontId="12" fillId="0" borderId="0" xfId="0" applyFont="1" applyAlignment="1">
      <alignment wrapText="1"/>
    </xf>
    <xf numFmtId="43" fontId="0" fillId="0" borderId="0" xfId="0" applyNumberFormat="1" applyAlignment="1">
      <alignment wrapText="1"/>
    </xf>
    <xf numFmtId="164" fontId="12" fillId="0" borderId="0" xfId="0" applyNumberFormat="1" applyFont="1" applyAlignment="1">
      <alignment wrapText="1"/>
    </xf>
    <xf numFmtId="10" fontId="0" fillId="0" borderId="0" xfId="1" applyNumberFormat="1" applyFont="1" applyAlignment="1">
      <alignment wrapText="1"/>
    </xf>
    <xf numFmtId="167" fontId="0" fillId="0" borderId="0" xfId="2" applyNumberFormat="1" applyFont="1" applyAlignment="1">
      <alignment wrapText="1"/>
    </xf>
    <xf numFmtId="10" fontId="0" fillId="0" borderId="0" xfId="0" applyNumberFormat="1"/>
    <xf numFmtId="0" fontId="0" fillId="0" borderId="22" xfId="0" applyBorder="1"/>
    <xf numFmtId="167" fontId="0" fillId="0" borderId="0" xfId="2" applyNumberFormat="1" applyFont="1"/>
    <xf numFmtId="10" fontId="0" fillId="0" borderId="0" xfId="1" applyNumberFormat="1" applyFont="1"/>
    <xf numFmtId="41" fontId="12" fillId="0" borderId="0" xfId="3" applyNumberFormat="1" applyAlignment="1">
      <alignment wrapText="1"/>
    </xf>
    <xf numFmtId="43" fontId="0" fillId="0" borderId="0" xfId="2" applyFont="1"/>
    <xf numFmtId="167" fontId="0" fillId="0" borderId="0" xfId="0" applyNumberFormat="1"/>
    <xf numFmtId="9" fontId="0" fillId="0" borderId="0" xfId="0" applyNumberFormat="1"/>
    <xf numFmtId="0" fontId="0" fillId="36" borderId="0" xfId="0" applyFill="1"/>
    <xf numFmtId="167" fontId="0" fillId="36" borderId="0" xfId="0" applyNumberFormat="1" applyFill="1"/>
    <xf numFmtId="41" fontId="0" fillId="0" borderId="0" xfId="0" applyNumberFormat="1"/>
    <xf numFmtId="0" fontId="0" fillId="0" borderId="22" xfId="0" applyFill="1" applyBorder="1"/>
    <xf numFmtId="167" fontId="12" fillId="0" borderId="0" xfId="2" applyNumberFormat="1" applyFont="1" applyAlignment="1">
      <alignment wrapText="1"/>
    </xf>
    <xf numFmtId="43" fontId="0" fillId="0" borderId="0" xfId="2" applyNumberFormat="1" applyFont="1"/>
    <xf numFmtId="0" fontId="0" fillId="37" borderId="0" xfId="0" applyFill="1"/>
    <xf numFmtId="43" fontId="0" fillId="37" borderId="0" xfId="0" applyNumberFormat="1" applyFill="1"/>
    <xf numFmtId="0" fontId="31" fillId="0" borderId="0" xfId="4" applyAlignment="1">
      <alignment wrapText="1"/>
    </xf>
    <xf numFmtId="164" fontId="27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25" fillId="0" borderId="0" xfId="0" applyNumberFormat="1" applyFont="1" applyAlignment="1">
      <alignment wrapText="1"/>
    </xf>
    <xf numFmtId="164" fontId="17" fillId="0" borderId="0" xfId="0" applyNumberFormat="1" applyFont="1" applyAlignment="1">
      <alignment wrapText="1"/>
    </xf>
    <xf numFmtId="164" fontId="0" fillId="0" borderId="0" xfId="0" applyNumberFormat="1"/>
    <xf numFmtId="0" fontId="13" fillId="19" borderId="0" xfId="0" applyFont="1" applyFill="1" applyAlignment="1">
      <alignment wrapText="1"/>
    </xf>
    <xf numFmtId="164" fontId="22" fillId="29" borderId="0" xfId="0" applyNumberFormat="1" applyFont="1" applyFill="1" applyAlignment="1">
      <alignment wrapText="1"/>
    </xf>
    <xf numFmtId="0" fontId="0" fillId="8" borderId="0" xfId="0" applyFill="1" applyAlignment="1">
      <alignment wrapText="1"/>
    </xf>
    <xf numFmtId="164" fontId="0" fillId="12" borderId="0" xfId="0" applyNumberFormat="1" applyFill="1" applyAlignment="1">
      <alignment wrapText="1"/>
    </xf>
    <xf numFmtId="164" fontId="27" fillId="0" borderId="0" xfId="0" applyNumberFormat="1" applyFont="1" applyAlignment="1">
      <alignment horizontal="left" wrapText="1"/>
    </xf>
    <xf numFmtId="164" fontId="12" fillId="0" borderId="0" xfId="0" applyNumberFormat="1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41" fontId="0" fillId="0" borderId="0" xfId="0" applyNumberFormat="1" applyAlignment="1">
      <alignment wrapText="1"/>
    </xf>
    <xf numFmtId="164" fontId="12" fillId="12" borderId="0" xfId="0" applyNumberFormat="1" applyFont="1" applyFill="1" applyBorder="1" applyAlignment="1">
      <alignment horizontal="left" wrapText="1"/>
    </xf>
    <xf numFmtId="41" fontId="0" fillId="21" borderId="0" xfId="0" applyNumberFormat="1" applyFill="1" applyAlignment="1">
      <alignment horizontal="center" wrapText="1"/>
    </xf>
    <xf numFmtId="0" fontId="0" fillId="18" borderId="0" xfId="0" applyFill="1" applyAlignment="1">
      <alignment horizontal="center" wrapText="1"/>
    </xf>
    <xf numFmtId="41" fontId="0" fillId="0" borderId="0" xfId="0" applyNumberFormat="1" applyAlignment="1">
      <alignment horizontal="center" wrapText="1"/>
    </xf>
  </cellXfs>
  <cellStyles count="5">
    <cellStyle name="Comma" xfId="2" builtinId="3"/>
    <cellStyle name="Hyperlink" xfId="4" builtinId="8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1123950</xdr:colOff>
      <xdr:row>57</xdr:row>
      <xdr:rowOff>133350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1123950</xdr:colOff>
      <xdr:row>57</xdr:row>
      <xdr:rowOff>133350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1123950</xdr:colOff>
      <xdr:row>57</xdr:row>
      <xdr:rowOff>133350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1123950</xdr:colOff>
      <xdr:row>58</xdr:row>
      <xdr:rowOff>133350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1123950</xdr:colOff>
      <xdr:row>58</xdr:row>
      <xdr:rowOff>133350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1123950</xdr:colOff>
      <xdr:row>58</xdr:row>
      <xdr:rowOff>133350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1123950</xdr:colOff>
      <xdr:row>58</xdr:row>
      <xdr:rowOff>133350</xdr:rowOff>
    </xdr:to>
    <xdr:sp macro="" textlink="">
      <xdr:nvSpPr>
        <xdr:cNvPr id="7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ject%20Real%20op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ability"/>
      <sheetName val="Remodel Option"/>
    </sheetNames>
    <sheetDataSet>
      <sheetData sheetId="0">
        <row r="10">
          <cell r="B10">
            <v>-4635000</v>
          </cell>
          <cell r="C10">
            <v>838477.77020547958</v>
          </cell>
          <cell r="D10">
            <v>591670.75040087174</v>
          </cell>
          <cell r="E10">
            <v>601823.4141043165</v>
          </cell>
          <cell r="F10">
            <v>610841.14724816033</v>
          </cell>
          <cell r="G10">
            <v>625437.64398799057</v>
          </cell>
        </row>
        <row r="20">
          <cell r="A20" t="str">
            <v>Bad Market (80% of Membership goal)</v>
          </cell>
        </row>
        <row r="22">
          <cell r="B22">
            <v>-4635000</v>
          </cell>
          <cell r="C22">
            <v>32077.770205479461</v>
          </cell>
          <cell r="D22">
            <v>51653.046356143095</v>
          </cell>
          <cell r="E22">
            <v>55326.040546615382</v>
          </cell>
          <cell r="F22">
            <v>56216.520774647441</v>
          </cell>
          <cell r="G22">
            <v>63739.228476666831</v>
          </cell>
          <cell r="H22">
            <v>-10283.950942421397</v>
          </cell>
          <cell r="I22">
            <v>63660.150206954415</v>
          </cell>
          <cell r="J22">
            <v>64853.660551703004</v>
          </cell>
          <cell r="K22">
            <v>66084.107742770997</v>
          </cell>
          <cell r="L22">
            <v>4506896.9672401818</v>
          </cell>
        </row>
        <row r="32">
          <cell r="A32" t="str">
            <v>Expected NPV</v>
          </cell>
          <cell r="B32">
            <v>2280.2579807539005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oogle.com/url?q=http://www.thegolfclubatranchocalifornia.com&amp;usd=2&amp;usg=ALhdy29QHZT8csrlRKH62leHLAroG1b-D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tabSelected="1" topLeftCell="A64" workbookViewId="0">
      <selection activeCell="D86" sqref="D86"/>
    </sheetView>
  </sheetViews>
  <sheetFormatPr defaultColWidth="17.140625" defaultRowHeight="12.75" customHeight="1" x14ac:dyDescent="0.2"/>
  <cols>
    <col min="1" max="1" width="3.85546875" customWidth="1"/>
    <col min="2" max="2" width="3.28515625" customWidth="1"/>
    <col min="3" max="3" width="41" customWidth="1"/>
    <col min="5" max="5" width="26.42578125" customWidth="1"/>
  </cols>
  <sheetData>
    <row r="1" spans="1:22" ht="12.75" customHeight="1" x14ac:dyDescent="0.2">
      <c r="A1" s="23"/>
      <c r="B1" s="23"/>
      <c r="C1" s="23"/>
      <c r="D1" s="23"/>
      <c r="E1" s="30" t="s">
        <v>0</v>
      </c>
      <c r="F1" s="30" t="s">
        <v>1</v>
      </c>
      <c r="G1" s="30" t="s">
        <v>2</v>
      </c>
      <c r="H1" s="30" t="s">
        <v>3</v>
      </c>
      <c r="I1" s="30" t="s">
        <v>4</v>
      </c>
      <c r="J1" s="30" t="s">
        <v>5</v>
      </c>
      <c r="K1" s="30" t="s">
        <v>6</v>
      </c>
      <c r="L1" s="30" t="s">
        <v>7</v>
      </c>
      <c r="M1" s="30" t="s">
        <v>8</v>
      </c>
      <c r="N1" s="30" t="s">
        <v>9</v>
      </c>
      <c r="O1" s="23"/>
      <c r="P1" s="23"/>
      <c r="Q1" s="23"/>
      <c r="R1" s="23"/>
      <c r="S1" s="23"/>
      <c r="T1" s="23"/>
      <c r="U1" s="23"/>
      <c r="V1" s="23"/>
    </row>
    <row r="2" spans="1:22" ht="12.75" customHeight="1" x14ac:dyDescent="0.2">
      <c r="A2" s="88" t="s">
        <v>10</v>
      </c>
      <c r="B2" s="88"/>
      <c r="C2" s="8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2.75" customHeight="1" x14ac:dyDescent="0.2">
      <c r="A3" s="88" t="s">
        <v>11</v>
      </c>
      <c r="B3" s="88"/>
      <c r="C3" s="8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2.75" customHeight="1" x14ac:dyDescent="0.2">
      <c r="A4" s="4"/>
      <c r="B4" s="89" t="s">
        <v>12</v>
      </c>
      <c r="C4" s="89"/>
      <c r="D4" s="4"/>
      <c r="E4" s="4">
        <f>Assumptions!H7</f>
        <v>273000</v>
      </c>
      <c r="F4" s="4">
        <f>Assumptions!O7</f>
        <v>277108.64999999997</v>
      </c>
      <c r="G4" s="4">
        <f>Assumptions!V7</f>
        <v>281279.13518249994</v>
      </c>
      <c r="H4" s="4">
        <f>Assumptions!AJ7</f>
        <v>289809.34757880989</v>
      </c>
      <c r="I4" s="4">
        <f>Assumptions!AJ7</f>
        <v>289809.34757880989</v>
      </c>
      <c r="J4" s="4">
        <f>Assumptions!AQ7</f>
        <v>294170.97825987096</v>
      </c>
      <c r="K4" s="4">
        <f>Assumptions!AX7</f>
        <v>298598.25148268195</v>
      </c>
      <c r="L4" s="4">
        <f>Assumptions!BE7</f>
        <v>303092.15516749624</v>
      </c>
      <c r="M4" s="4">
        <f>Assumptions!BL7</f>
        <v>307653.69210276706</v>
      </c>
      <c r="N4" s="4">
        <f>Assumptions!BS7</f>
        <v>312283.88016891369</v>
      </c>
      <c r="O4" s="4"/>
      <c r="P4" s="4"/>
      <c r="Q4" s="4"/>
      <c r="R4" s="4"/>
      <c r="S4" s="4"/>
      <c r="T4" s="4"/>
      <c r="U4" s="4"/>
      <c r="V4" s="4"/>
    </row>
    <row r="5" spans="1:22" ht="12.75" customHeight="1" x14ac:dyDescent="0.2">
      <c r="A5" s="4"/>
      <c r="B5" s="89" t="s">
        <v>13</v>
      </c>
      <c r="C5" s="89"/>
      <c r="D5" s="4"/>
      <c r="E5" s="4">
        <f>Assumptions!I7</f>
        <v>483225</v>
      </c>
      <c r="F5" s="4">
        <f>Assumptions!P7</f>
        <v>490497.53625</v>
      </c>
      <c r="G5" s="4">
        <f>Assumptions!W7</f>
        <v>497879.52417056239</v>
      </c>
      <c r="H5" s="4">
        <f>Assumptions!AD7</f>
        <v>505372.61100932927</v>
      </c>
      <c r="I5" s="4">
        <f>Assumptions!AK7</f>
        <v>512978.46880501969</v>
      </c>
      <c r="J5" s="4">
        <f>Assumptions!AR7</f>
        <v>520698.79476053512</v>
      </c>
      <c r="K5" s="4">
        <f>Assumptions!AY7</f>
        <v>528535.31162168109</v>
      </c>
      <c r="L5" s="4">
        <f>Assumptions!BF7</f>
        <v>536489.76806158747</v>
      </c>
      <c r="M5" s="4">
        <f>Assumptions!BM7</f>
        <v>544563.93907091429</v>
      </c>
      <c r="N5" s="4">
        <f>Assumptions!BT7</f>
        <v>552759.62635393138</v>
      </c>
      <c r="O5" s="4"/>
      <c r="P5" s="4"/>
      <c r="Q5" s="4"/>
      <c r="R5" s="4"/>
      <c r="S5" s="4"/>
      <c r="T5" s="4"/>
      <c r="U5" s="4"/>
      <c r="V5" s="4"/>
    </row>
    <row r="6" spans="1:22" ht="12.75" customHeight="1" x14ac:dyDescent="0.2">
      <c r="A6" s="4"/>
      <c r="B6" s="89" t="s">
        <v>14</v>
      </c>
      <c r="C6" s="89"/>
      <c r="D6" s="4"/>
      <c r="E6" s="4">
        <f>Assumptions!H13</f>
        <v>312000</v>
      </c>
      <c r="F6" s="4">
        <f>Assumptions!O13</f>
        <v>319831.19999999995</v>
      </c>
      <c r="G6" s="4">
        <f>Assumptions!V13</f>
        <v>327858.96311999997</v>
      </c>
      <c r="H6" s="4">
        <f>Assumptions!AC13</f>
        <v>336088.22309431189</v>
      </c>
      <c r="I6" s="4">
        <f>Assumptions!AJ13</f>
        <v>344524.03749397915</v>
      </c>
      <c r="J6" s="4">
        <f>Assumptions!AQ13</f>
        <v>353171.59083507798</v>
      </c>
      <c r="K6" s="4">
        <f>Assumptions!AX13</f>
        <v>362036.19776503841</v>
      </c>
      <c r="L6" s="4">
        <f>Assumptions!BE13</f>
        <v>371123.30632894085</v>
      </c>
      <c r="M6" s="4">
        <f>Assumptions!BL13</f>
        <v>380438.50131779723</v>
      </c>
      <c r="N6" s="4">
        <f>Assumptions!BS13</f>
        <v>389987.50770087383</v>
      </c>
      <c r="O6" s="4"/>
      <c r="P6" s="4"/>
      <c r="Q6" s="4"/>
      <c r="R6" s="4"/>
      <c r="S6" s="4"/>
      <c r="T6" s="4"/>
      <c r="U6" s="4"/>
      <c r="V6" s="4"/>
    </row>
    <row r="7" spans="1:22" ht="12.75" customHeight="1" x14ac:dyDescent="0.2">
      <c r="A7" s="4"/>
      <c r="B7" s="89" t="s">
        <v>15</v>
      </c>
      <c r="C7" s="89"/>
      <c r="D7" s="4"/>
      <c r="E7" s="4">
        <f>Assumptions!I13</f>
        <v>500820</v>
      </c>
      <c r="F7" s="4">
        <f>Assumptions!P13</f>
        <v>513390.58199999994</v>
      </c>
      <c r="G7" s="4">
        <f>Assumptions!W13</f>
        <v>526276.6856081998</v>
      </c>
      <c r="H7" s="4">
        <f>Assumptions!AD13</f>
        <v>539486.23041696567</v>
      </c>
      <c r="I7" s="4">
        <f>Assumptions!AK13</f>
        <v>553027.3348004315</v>
      </c>
      <c r="J7" s="4">
        <f>Assumptions!AR13</f>
        <v>566908.3209039222</v>
      </c>
      <c r="K7" s="4">
        <f>Assumptions!AY13</f>
        <v>581137.71975861071</v>
      </c>
      <c r="L7" s="4">
        <f>Assumptions!BF13</f>
        <v>595724.27652455168</v>
      </c>
      <c r="M7" s="4">
        <f>Assumptions!BM13</f>
        <v>610676.95586531796</v>
      </c>
      <c r="N7" s="4">
        <f>Assumptions!BT13</f>
        <v>626004.9474575374</v>
      </c>
      <c r="O7" s="4"/>
      <c r="P7" s="4"/>
      <c r="Q7" s="4"/>
      <c r="R7" s="4"/>
      <c r="S7" s="4"/>
      <c r="T7" s="4"/>
      <c r="U7" s="4"/>
      <c r="V7" s="4"/>
    </row>
    <row r="8" spans="1:22" ht="12.75" customHeight="1" x14ac:dyDescent="0.2">
      <c r="A8" s="4"/>
      <c r="B8" s="89" t="s">
        <v>16</v>
      </c>
      <c r="C8" s="89"/>
      <c r="D8" s="4"/>
      <c r="E8" s="4">
        <f>Assumptions!H20</f>
        <v>3360000</v>
      </c>
      <c r="F8" s="4">
        <f>Assumptions!O20</f>
        <v>3393600</v>
      </c>
      <c r="G8" s="4">
        <f>Assumptions!V20</f>
        <v>3427536</v>
      </c>
      <c r="H8" s="4">
        <f>Assumptions!AC20</f>
        <v>3461811.3600000003</v>
      </c>
      <c r="I8" s="4">
        <f>Assumptions!AJ20</f>
        <v>3496429.4736000001</v>
      </c>
      <c r="J8" s="4">
        <f>Assumptions!AQ20</f>
        <v>3531393.7683360004</v>
      </c>
      <c r="K8" s="4">
        <f>Assumptions!AX20</f>
        <v>3566707.7060193601</v>
      </c>
      <c r="L8" s="4">
        <f>Assumptions!BE20</f>
        <v>3602374.7830795539</v>
      </c>
      <c r="M8" s="4">
        <f>Assumptions!BL20</f>
        <v>3638398.5309103495</v>
      </c>
      <c r="N8" s="4">
        <f>Assumptions!BS20</f>
        <v>3674782.516219453</v>
      </c>
      <c r="O8" s="4"/>
      <c r="P8" s="4"/>
      <c r="Q8" s="4"/>
      <c r="R8" s="4"/>
      <c r="S8" s="4"/>
      <c r="T8" s="4"/>
      <c r="U8" s="4"/>
      <c r="V8" s="4"/>
    </row>
    <row r="9" spans="1:22" ht="12.75" customHeight="1" x14ac:dyDescent="0.2">
      <c r="A9" s="4"/>
      <c r="B9" s="90" t="s">
        <v>17</v>
      </c>
      <c r="C9" s="90"/>
      <c r="D9" s="4"/>
      <c r="E9" s="4">
        <f>Assumptions!H24</f>
        <v>200000</v>
      </c>
      <c r="F9" s="4">
        <f>Assumptions!O24</f>
        <v>253470</v>
      </c>
      <c r="G9" s="4">
        <f>Assumptions!V24</f>
        <v>262784.23200000002</v>
      </c>
      <c r="H9" s="4">
        <f>Assumptions!AC24</f>
        <v>272456.23985280003</v>
      </c>
      <c r="I9" s="4">
        <f>Assumptions!AJ24</f>
        <v>282500.1073204531</v>
      </c>
      <c r="J9" s="4">
        <f>Assumptions!AQ24</f>
        <v>292930.47974135145</v>
      </c>
      <c r="K9" s="4">
        <f>Assumptions!AX24</f>
        <v>303762.58656975708</v>
      </c>
      <c r="L9" s="4">
        <f>Assumptions!BE24</f>
        <v>315012.26482296741</v>
      </c>
      <c r="M9" s="4">
        <f>Assumptions!BL24</f>
        <v>326695.98347272328</v>
      </c>
      <c r="N9" s="4">
        <f>Assumptions!BS24</f>
        <v>338830.86881894741</v>
      </c>
      <c r="O9" s="4"/>
      <c r="P9" s="4"/>
      <c r="Q9" s="4"/>
      <c r="R9" s="4"/>
      <c r="S9" s="4"/>
      <c r="T9" s="4"/>
      <c r="U9" s="4"/>
      <c r="V9" s="4"/>
    </row>
    <row r="10" spans="1:22" ht="12.75" customHeight="1" x14ac:dyDescent="0.2">
      <c r="A10" s="4"/>
      <c r="B10" s="89" t="s">
        <v>18</v>
      </c>
      <c r="C10" s="89"/>
      <c r="D10" s="4"/>
      <c r="E10" s="4">
        <f>Assumptions!H33</f>
        <v>168750</v>
      </c>
      <c r="F10" s="4">
        <f>E10*(1+O10)</f>
        <v>168750</v>
      </c>
      <c r="G10" s="4">
        <f>Assumptions!V33</f>
        <v>177327.56418749999</v>
      </c>
      <c r="H10" s="4">
        <f>Assumptions!AC33</f>
        <v>181778.4860486062</v>
      </c>
      <c r="I10" s="4">
        <f>Assumptions!AJ33</f>
        <v>186341.12604842617</v>
      </c>
      <c r="J10" s="4">
        <f>Assumptions!AQ33</f>
        <v>191018.2883122417</v>
      </c>
      <c r="K10" s="4">
        <f>Assumptions!AX33</f>
        <v>195812.84734887895</v>
      </c>
      <c r="L10" s="4">
        <f>Assumptions!BE33</f>
        <v>200727.74981733577</v>
      </c>
      <c r="M10" s="4">
        <f>Assumptions!BL33</f>
        <v>205766.01633775092</v>
      </c>
      <c r="N10" s="4">
        <f>Assumptions!BS33</f>
        <v>210930.74334782836</v>
      </c>
      <c r="O10" s="4"/>
      <c r="P10" s="4"/>
      <c r="Q10" s="4"/>
      <c r="R10" s="4"/>
      <c r="S10" s="4"/>
      <c r="T10" s="4"/>
      <c r="U10" s="4"/>
      <c r="V10" s="4"/>
    </row>
    <row r="11" spans="1:22" ht="12.75" customHeight="1" x14ac:dyDescent="0.2">
      <c r="A11" s="4"/>
      <c r="B11" s="89" t="s">
        <v>19</v>
      </c>
      <c r="C11" s="89"/>
      <c r="D11" s="4"/>
      <c r="E11" s="4">
        <f>Assumptions!H38</f>
        <v>60000</v>
      </c>
      <c r="F11" s="4">
        <f>Assumptions!O38</f>
        <v>61200</v>
      </c>
      <c r="G11" s="4">
        <f>Assumptions!V38</f>
        <v>62424</v>
      </c>
      <c r="H11" s="4">
        <f>Assumptions!AC38</f>
        <v>63672.480000000003</v>
      </c>
      <c r="I11" s="4">
        <f>Assumptions!AJ38</f>
        <v>64945.929600000003</v>
      </c>
      <c r="J11" s="4">
        <f>Assumptions!AQ38</f>
        <v>66244.848192000005</v>
      </c>
      <c r="K11" s="4">
        <f>Assumptions!AX38</f>
        <v>67569.745155840006</v>
      </c>
      <c r="L11" s="4">
        <f>Assumptions!BE38</f>
        <v>68921.140058956807</v>
      </c>
      <c r="M11" s="4">
        <f>Assumptions!BL38</f>
        <v>70299.562860135949</v>
      </c>
      <c r="N11" s="4">
        <f>Assumptions!BS38</f>
        <v>71705.554117338674</v>
      </c>
      <c r="O11" s="4"/>
      <c r="P11" s="4"/>
      <c r="Q11" s="4"/>
      <c r="R11" s="4"/>
      <c r="S11" s="4"/>
      <c r="T11" s="4"/>
      <c r="U11" s="4"/>
      <c r="V11" s="4"/>
    </row>
    <row r="12" spans="1:22" ht="12.75" customHeight="1" x14ac:dyDescent="0.2">
      <c r="A12" s="4"/>
      <c r="B12" s="90" t="s">
        <v>20</v>
      </c>
      <c r="C12" s="90"/>
      <c r="D12" s="4"/>
      <c r="E12" s="3">
        <f>(((Assumptions!B41*Assumptions!B46)+(Assumptions!B42*Assumptions!B47))+(Assumptions!B43*Assumptions!B48))+(Assumptions!B44*Assumptions!B49)</f>
        <v>26700</v>
      </c>
      <c r="F12" s="3">
        <f>(((Assumptions!C41*Assumptions!C46)+(Assumptions!C42*Assumptions!C47))+(Assumptions!C43*Assumptions!C48))+(Assumptions!C44*Assumptions!C49)</f>
        <v>27112.352500000001</v>
      </c>
      <c r="G12" s="3">
        <f>(((Assumptions!D41*Assumptions!D46)+(Assumptions!D42*Assumptions!D47))+(Assumptions!D43*Assumptions!D48))+(Assumptions!D44*Assumptions!D49)</f>
        <v>27536.036001125001</v>
      </c>
      <c r="H12" s="3">
        <f>(((Assumptions!E41*Assumptions!E46)+(Assumptions!E42*Assumptions!E47))+(Assumptions!E43*Assumptions!E48))+(Assumptions!E44*Assumptions!E49)</f>
        <v>27971.419082378074</v>
      </c>
      <c r="I12" s="3">
        <f>(((Assumptions!F41*Assumptions!F46)+(Assumptions!F42*Assumptions!F47))+(Assumptions!F43*Assumptions!F48))+(Assumptions!F44*Assumptions!F49)</f>
        <v>28418.88408359827</v>
      </c>
      <c r="J12" s="3">
        <f>(((Assumptions!G41*Assumptions!G46)+(Assumptions!G42*Assumptions!G47))+(Assumptions!G43*Assumptions!G48))+(Assumptions!G44*Assumptions!G49)</f>
        <v>28878.82764475916</v>
      </c>
      <c r="K12" s="3">
        <f>(((Assumptions!H41*Assumptions!H46)+(Assumptions!H42*Assumptions!H47))+(Assumptions!H43*Assumptions!H48))+(Assumptions!H44*Assumptions!H49)</f>
        <v>29351.66126679465</v>
      </c>
      <c r="L12" s="3">
        <f>(((Assumptions!I41*Assumptions!I46)+(Assumptions!I42*Assumptions!I47))+(Assumptions!I43*Assumptions!I48))+(Assumptions!I44*Assumptions!I49)</f>
        <v>29837.811894817096</v>
      </c>
      <c r="M12" s="3">
        <f>(((Assumptions!J41*Assumptions!J46)+(Assumptions!J42*Assumptions!J47))+(Assumptions!J43*Assumptions!J48))+(Assumptions!J44*Assumptions!J49)</f>
        <v>30337.722524626966</v>
      </c>
      <c r="N12" s="3">
        <f>(((Assumptions!K41*Assumptions!K46)+(Assumptions!K42*Assumptions!K47))+(Assumptions!K43*Assumptions!K48))+(Assumptions!K44*Assumptions!K49)</f>
        <v>30851.852833449844</v>
      </c>
      <c r="P12" s="4"/>
      <c r="Q12" s="4"/>
      <c r="R12" s="4"/>
      <c r="S12" s="4"/>
      <c r="T12" s="4"/>
      <c r="U12" s="4"/>
      <c r="V12" s="4"/>
    </row>
    <row r="13" spans="1:22" ht="12.75" customHeight="1" x14ac:dyDescent="0.2">
      <c r="A13" s="88" t="s">
        <v>21</v>
      </c>
      <c r="B13" s="88"/>
      <c r="C13" s="88"/>
      <c r="D13" s="4"/>
      <c r="E13" s="52">
        <f t="shared" ref="E13:N13" si="0">SUM(E4:E11)</f>
        <v>5357795</v>
      </c>
      <c r="F13" s="52">
        <f t="shared" si="0"/>
        <v>5477847.9682499999</v>
      </c>
      <c r="G13" s="52">
        <f t="shared" si="0"/>
        <v>5563366.1042687614</v>
      </c>
      <c r="H13" s="52">
        <f t="shared" si="0"/>
        <v>5650474.9780008234</v>
      </c>
      <c r="I13" s="52">
        <f t="shared" si="0"/>
        <v>5730555.8252471201</v>
      </c>
      <c r="J13" s="52">
        <f t="shared" si="0"/>
        <v>5816537.0693409992</v>
      </c>
      <c r="K13" s="52">
        <f t="shared" si="0"/>
        <v>5904160.3657218488</v>
      </c>
      <c r="L13" s="52">
        <f t="shared" si="0"/>
        <v>5993465.4438613905</v>
      </c>
      <c r="M13" s="52">
        <f t="shared" si="0"/>
        <v>6084493.181937756</v>
      </c>
      <c r="N13" s="52">
        <f t="shared" si="0"/>
        <v>6177285.6441848231</v>
      </c>
      <c r="O13" s="4"/>
      <c r="P13" s="4"/>
      <c r="Q13" s="4"/>
      <c r="R13" s="4"/>
      <c r="S13" s="4"/>
      <c r="T13" s="4"/>
      <c r="U13" s="4"/>
      <c r="V13" s="4"/>
    </row>
    <row r="14" spans="1:22" ht="12.75" customHeight="1" x14ac:dyDescent="0.2">
      <c r="A14" s="4"/>
      <c r="B14" s="4"/>
      <c r="C14" s="4"/>
      <c r="D14" s="4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"/>
      <c r="P14" s="4"/>
      <c r="Q14" s="4"/>
      <c r="R14" s="4"/>
      <c r="S14" s="4"/>
      <c r="T14" s="4"/>
      <c r="U14" s="4"/>
      <c r="V14" s="4"/>
    </row>
    <row r="15" spans="1:22" ht="12.75" customHeight="1" x14ac:dyDescent="0.2">
      <c r="A15" s="90" t="s">
        <v>22</v>
      </c>
      <c r="B15" s="90"/>
      <c r="C15" s="90"/>
      <c r="D15" s="4"/>
      <c r="E15" s="4">
        <f>(((Assumptions!B56*Assumptions!B41)+(Assumptions!B42*Assumptions!B57))+(Assumptions!B43*Assumptions!B58))+(Assumptions!B44*Assumptions!B59)</f>
        <v>14180</v>
      </c>
      <c r="F15" s="4">
        <f>(((Assumptions!C56*Assumptions!C41)+(Assumptions!C42*Assumptions!C57))+(Assumptions!C43*Assumptions!C58))+(Assumptions!C44*Assumptions!C59)</f>
        <v>14375.784749999999</v>
      </c>
      <c r="G15" s="4">
        <f>(((Assumptions!D56*Assumptions!D41)+(Assumptions!D42*Assumptions!D57))+(Assumptions!D43*Assumptions!D58))+(Assumptions!D44*Assumptions!D59)</f>
        <v>14575.943375137502</v>
      </c>
      <c r="H15" s="4">
        <f>(((Assumptions!E56*Assumptions!E41)+(Assumptions!E42*Assumptions!E57))+(Assumptions!E43*Assumptions!E58))+(Assumptions!E44*Assumptions!E59)</f>
        <v>14780.599006396807</v>
      </c>
      <c r="I15" s="4">
        <f>(((Assumptions!F56*Assumptions!F41)+(Assumptions!F42*Assumptions!F57))+(Assumptions!F43*Assumptions!F58))+(Assumptions!F44*Assumptions!F59)</f>
        <v>14989.87906958074</v>
      </c>
      <c r="J15" s="4">
        <f>(((Assumptions!G56*Assumptions!G41)+(Assumptions!G42*Assumptions!G57))+(Assumptions!G43*Assumptions!G58))+(Assumptions!G44*Assumptions!G59)</f>
        <v>15203.915449309648</v>
      </c>
      <c r="K15" s="4">
        <f>(((Assumptions!H56*Assumptions!H41)+(Assumptions!H42*Assumptions!H57))+(Assumptions!H43*Assumptions!H58))+(Assumptions!H44*Assumptions!H59)</f>
        <v>15422.844659508297</v>
      </c>
      <c r="L15" s="4">
        <f>(((Assumptions!I56*Assumptions!I41)+(Assumptions!I42*Assumptions!I57))+(Assumptions!I43*Assumptions!I58))+(Assumptions!I44*Assumptions!I59)</f>
        <v>15646.808020640441</v>
      </c>
      <c r="M15" s="4">
        <f>(((Assumptions!J56*Assumptions!J41)+(Assumptions!J42*Assumptions!J57))+(Assumptions!J43*Assumptions!J58))+(Assumptions!J44*Assumptions!J59)</f>
        <v>15875.951843961375</v>
      </c>
      <c r="N15" s="4">
        <f>(((Assumptions!K56*Assumptions!K41)+(Assumptions!K42*Assumptions!K57))+(Assumptions!K43*Assumptions!K58))+(Assumptions!K44*Assumptions!K59)</f>
        <v>16110.42762306952</v>
      </c>
      <c r="O15">
        <v>0.4</v>
      </c>
      <c r="P15" s="4"/>
      <c r="Q15" s="4"/>
      <c r="R15" s="4"/>
      <c r="S15" s="4"/>
      <c r="T15" s="4"/>
      <c r="U15" s="4"/>
      <c r="V15" s="4"/>
    </row>
    <row r="16" spans="1:22" ht="12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2.75" customHeight="1" x14ac:dyDescent="0.2">
      <c r="A17" s="91" t="s">
        <v>23</v>
      </c>
      <c r="B17" s="91"/>
      <c r="C17" s="9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2.75" customHeight="1" x14ac:dyDescent="0.2">
      <c r="A18" s="43"/>
      <c r="B18" s="43"/>
      <c r="C18" s="4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2.75" customHeight="1" x14ac:dyDescent="0.2">
      <c r="A19" s="43"/>
      <c r="B19" s="90" t="s">
        <v>24</v>
      </c>
      <c r="C19" s="90"/>
      <c r="D19" s="4"/>
      <c r="E19" s="4">
        <f t="shared" ref="E19:N19" si="1">$O$19*E13</f>
        <v>2143118</v>
      </c>
      <c r="F19" s="4">
        <f t="shared" si="1"/>
        <v>2191139.1872999999</v>
      </c>
      <c r="G19" s="4">
        <f t="shared" si="1"/>
        <v>2225346.4417075044</v>
      </c>
      <c r="H19" s="4">
        <f t="shared" si="1"/>
        <v>2260189.9912003293</v>
      </c>
      <c r="I19" s="4">
        <f t="shared" si="1"/>
        <v>2292222.3300988483</v>
      </c>
      <c r="J19" s="4">
        <f t="shared" si="1"/>
        <v>2326614.8277363996</v>
      </c>
      <c r="K19" s="4">
        <f t="shared" si="1"/>
        <v>2361664.1462887395</v>
      </c>
      <c r="L19" s="4">
        <f t="shared" si="1"/>
        <v>2397386.1775445561</v>
      </c>
      <c r="M19" s="4">
        <f t="shared" si="1"/>
        <v>2433797.2727751024</v>
      </c>
      <c r="N19" s="4">
        <f t="shared" si="1"/>
        <v>2470914.2576739294</v>
      </c>
      <c r="O19" s="8">
        <v>0.4</v>
      </c>
      <c r="P19" s="4"/>
      <c r="Q19" s="4"/>
      <c r="R19" s="4"/>
      <c r="S19" s="4"/>
      <c r="T19" s="4"/>
      <c r="U19" s="4"/>
      <c r="V19" s="4"/>
    </row>
    <row r="20" spans="1:22" ht="12.75" customHeight="1" x14ac:dyDescent="0.2">
      <c r="A20" s="43"/>
      <c r="B20" s="90" t="s">
        <v>25</v>
      </c>
      <c r="C20" s="90"/>
      <c r="D20" s="4"/>
      <c r="E20" s="4">
        <v>600000</v>
      </c>
      <c r="F20" s="4">
        <f t="shared" ref="F20:N20" si="2">F13*$O$20</f>
        <v>613444.29582505487</v>
      </c>
      <c r="G20" s="4">
        <f t="shared" si="2"/>
        <v>623021.16123540688</v>
      </c>
      <c r="H20" s="4">
        <f t="shared" si="2"/>
        <v>632776.16758395836</v>
      </c>
      <c r="I20" s="4">
        <f t="shared" si="2"/>
        <v>641744.13077549112</v>
      </c>
      <c r="J20" s="4">
        <f t="shared" si="2"/>
        <v>651372.85797694756</v>
      </c>
      <c r="K20" s="4">
        <f t="shared" si="2"/>
        <v>661185.4726493099</v>
      </c>
      <c r="L20" s="4">
        <f t="shared" si="2"/>
        <v>671186.42395179998</v>
      </c>
      <c r="M20" s="4">
        <f t="shared" si="2"/>
        <v>681380.28968309797</v>
      </c>
      <c r="N20" s="4">
        <f t="shared" si="2"/>
        <v>691771.78046395839</v>
      </c>
      <c r="O20" s="8">
        <f>E20/E13</f>
        <v>0.11198636752619315</v>
      </c>
      <c r="P20" s="4"/>
      <c r="Q20" s="4"/>
      <c r="R20" s="4"/>
      <c r="S20" s="4"/>
      <c r="T20" s="4"/>
      <c r="U20" s="4"/>
      <c r="V20" s="4"/>
    </row>
    <row r="21" spans="1:22" ht="12.75" customHeight="1" x14ac:dyDescent="0.2">
      <c r="A21" s="43"/>
      <c r="B21" s="90" t="s">
        <v>26</v>
      </c>
      <c r="C21" s="90"/>
      <c r="D21" s="4"/>
      <c r="E21" s="4">
        <v>400000</v>
      </c>
      <c r="F21" s="4">
        <f t="shared" ref="F21:N21" si="3">SUM(F4:F8)*$O$21</f>
        <v>405305.93396895344</v>
      </c>
      <c r="G21" s="4">
        <f t="shared" si="3"/>
        <v>410694.5915958375</v>
      </c>
      <c r="H21" s="4">
        <f t="shared" si="3"/>
        <v>416516.20320767345</v>
      </c>
      <c r="I21" s="4">
        <f t="shared" si="3"/>
        <v>421726.2096230195</v>
      </c>
      <c r="J21" s="4">
        <f t="shared" si="3"/>
        <v>427372.31679527427</v>
      </c>
      <c r="K21" s="4">
        <f t="shared" si="3"/>
        <v>433107.44265044224</v>
      </c>
      <c r="L21" s="4">
        <f t="shared" si="3"/>
        <v>438933.24481007014</v>
      </c>
      <c r="M21" s="4">
        <f t="shared" si="3"/>
        <v>444851.41598562367</v>
      </c>
      <c r="N21" s="4">
        <f t="shared" si="3"/>
        <v>450863.68478280958</v>
      </c>
      <c r="O21" s="8">
        <f>E21/(SUM(E4:E8))</f>
        <v>8.11516226774152E-2</v>
      </c>
      <c r="P21" s="4"/>
      <c r="Q21" s="4"/>
      <c r="R21" s="4"/>
      <c r="S21" s="4"/>
      <c r="T21" s="4"/>
      <c r="U21" s="4"/>
      <c r="V21" s="4"/>
    </row>
    <row r="22" spans="1:22" ht="12.75" customHeight="1" x14ac:dyDescent="0.2">
      <c r="A22" s="43"/>
      <c r="B22" s="90" t="s">
        <v>27</v>
      </c>
      <c r="C22" s="90"/>
      <c r="D22" s="4"/>
      <c r="E22" s="4">
        <v>1750000</v>
      </c>
      <c r="F22" s="4">
        <f t="shared" ref="F22:N22" si="4">F13*$O$22</f>
        <v>1789212.5294897433</v>
      </c>
      <c r="G22" s="4">
        <f t="shared" si="4"/>
        <v>1817145.0536032699</v>
      </c>
      <c r="H22" s="4">
        <f t="shared" si="4"/>
        <v>1845597.1554532116</v>
      </c>
      <c r="I22" s="4">
        <f t="shared" si="4"/>
        <v>1871753.7147618488</v>
      </c>
      <c r="J22" s="4">
        <f t="shared" si="4"/>
        <v>1899837.5024327636</v>
      </c>
      <c r="K22" s="4">
        <f t="shared" si="4"/>
        <v>1928457.6285604869</v>
      </c>
      <c r="L22" s="4">
        <f t="shared" si="4"/>
        <v>1957627.0698594165</v>
      </c>
      <c r="M22" s="4">
        <f t="shared" si="4"/>
        <v>1987359.1782423689</v>
      </c>
      <c r="N22" s="4">
        <f t="shared" si="4"/>
        <v>2017667.6930198786</v>
      </c>
      <c r="O22" s="8">
        <f>E22/E13</f>
        <v>0.32662690528472998</v>
      </c>
      <c r="P22" s="4"/>
      <c r="Q22" s="4"/>
      <c r="R22" s="4"/>
      <c r="S22" s="4"/>
      <c r="T22" s="4"/>
      <c r="U22" s="4"/>
      <c r="V22" s="4"/>
    </row>
    <row r="23" spans="1:22" ht="12.75" customHeight="1" x14ac:dyDescent="0.2">
      <c r="A23" s="43"/>
      <c r="B23" s="89" t="s">
        <v>28</v>
      </c>
      <c r="C23" s="89"/>
      <c r="D23" s="4"/>
      <c r="E23" s="4">
        <f>E41/5</f>
        <v>15000</v>
      </c>
      <c r="F23" s="4">
        <f>F41/5</f>
        <v>15000</v>
      </c>
      <c r="G23" s="4">
        <f>G41/5</f>
        <v>15000</v>
      </c>
      <c r="H23" s="4">
        <f>H41/5</f>
        <v>15000</v>
      </c>
      <c r="I23" s="4">
        <f>I41/5</f>
        <v>15000</v>
      </c>
      <c r="J23" s="4">
        <f>I23</f>
        <v>15000</v>
      </c>
      <c r="K23" s="4">
        <f>J23</f>
        <v>15000</v>
      </c>
      <c r="L23" s="4">
        <f>K23</f>
        <v>15000</v>
      </c>
      <c r="M23" s="4">
        <f>L23</f>
        <v>15000</v>
      </c>
      <c r="N23" s="4">
        <f>M23</f>
        <v>15000</v>
      </c>
      <c r="O23" s="4"/>
      <c r="P23" s="4"/>
      <c r="Q23" s="4"/>
      <c r="R23" s="4"/>
      <c r="S23" s="4"/>
      <c r="T23" s="4"/>
      <c r="U23" s="4"/>
      <c r="V23" s="4"/>
    </row>
    <row r="24" spans="1:22" ht="12.75" customHeight="1" x14ac:dyDescent="0.2">
      <c r="A24" s="43"/>
      <c r="B24" s="90" t="s">
        <v>29</v>
      </c>
      <c r="C24" s="90"/>
      <c r="D24" s="4"/>
      <c r="E24" s="4">
        <f t="shared" ref="E24:N24" si="5">E43/30</f>
        <v>41666.666666666664</v>
      </c>
      <c r="F24" s="4">
        <f t="shared" si="5"/>
        <v>41666.666666666664</v>
      </c>
      <c r="G24" s="4">
        <f t="shared" si="5"/>
        <v>41666.666666666664</v>
      </c>
      <c r="H24" s="4">
        <f t="shared" si="5"/>
        <v>41666.666666666664</v>
      </c>
      <c r="I24" s="4">
        <f t="shared" si="5"/>
        <v>41666.666666666664</v>
      </c>
      <c r="J24" s="4">
        <f t="shared" si="5"/>
        <v>41666.666666666664</v>
      </c>
      <c r="K24" s="4">
        <f t="shared" si="5"/>
        <v>41666.666666666664</v>
      </c>
      <c r="L24" s="4">
        <f t="shared" si="5"/>
        <v>41666.666666666664</v>
      </c>
      <c r="M24" s="4">
        <f t="shared" si="5"/>
        <v>41666.666666666664</v>
      </c>
      <c r="N24" s="4">
        <f t="shared" si="5"/>
        <v>41666.666666666664</v>
      </c>
      <c r="O24" s="4"/>
      <c r="P24" s="4"/>
      <c r="Q24" s="4"/>
      <c r="R24" s="4"/>
      <c r="S24" s="4"/>
      <c r="T24" s="4"/>
      <c r="U24" s="4"/>
      <c r="V24" s="4"/>
    </row>
    <row r="25" spans="1:22" x14ac:dyDescent="0.2">
      <c r="A25" s="43"/>
      <c r="B25" s="90" t="s">
        <v>30</v>
      </c>
      <c r="C25" s="90"/>
      <c r="D25" s="4"/>
      <c r="E25" s="4">
        <f>'Loan Amortization'!H2</f>
        <v>132893.16153022519</v>
      </c>
      <c r="F25" s="4">
        <f>'Loan Amortization'!I2</f>
        <v>130688.34880921297</v>
      </c>
      <c r="G25" s="4">
        <f>'Loan Amortization'!J2</f>
        <v>128382.2473775502</v>
      </c>
      <c r="H25" s="4">
        <f>'Loan Amortization'!K2</f>
        <v>125970.20404959098</v>
      </c>
      <c r="I25" s="4">
        <f>'Loan Amortization'!L2</f>
        <v>123447.35187315494</v>
      </c>
      <c r="J25" s="4">
        <f>'Loan Amortization'!H6</f>
        <v>120808.60030913021</v>
      </c>
      <c r="K25" s="4">
        <f>'Loan Amortization'!I6</f>
        <v>118048.62495992861</v>
      </c>
      <c r="L25" s="4">
        <f>'Loan Amortization'!J6</f>
        <v>115161.85682606831</v>
      </c>
      <c r="M25" s="4">
        <f>'Loan Amortization'!K6</f>
        <v>112142.4710692057</v>
      </c>
      <c r="N25" s="4">
        <f>'Loan Amortization'!L6</f>
        <v>108984.37525894282</v>
      </c>
      <c r="O25" s="4"/>
      <c r="P25" s="4"/>
      <c r="Q25" s="4"/>
      <c r="R25" s="4"/>
      <c r="S25" s="4"/>
      <c r="T25" s="4"/>
      <c r="U25" s="4"/>
      <c r="V25" s="4"/>
    </row>
    <row r="26" spans="1:22" x14ac:dyDescent="0.2">
      <c r="A26" s="43"/>
      <c r="B26" s="90" t="s">
        <v>31</v>
      </c>
      <c r="C26" s="90"/>
      <c r="D26" s="4"/>
      <c r="E26" s="4">
        <f>E54*$O$54</f>
        <v>11055.190966352295</v>
      </c>
      <c r="F26" s="4">
        <f t="shared" ref="F26:N26" si="6">F54*$O$54</f>
        <v>0</v>
      </c>
      <c r="G26" s="4">
        <f t="shared" si="6"/>
        <v>0</v>
      </c>
      <c r="H26" s="4">
        <f t="shared" si="6"/>
        <v>0</v>
      </c>
      <c r="I26" s="4">
        <f t="shared" si="6"/>
        <v>0</v>
      </c>
      <c r="J26" s="4">
        <f t="shared" si="6"/>
        <v>0</v>
      </c>
      <c r="K26" s="4">
        <f t="shared" si="6"/>
        <v>0</v>
      </c>
      <c r="L26" s="4">
        <f t="shared" si="6"/>
        <v>0</v>
      </c>
      <c r="M26" s="4">
        <f t="shared" si="6"/>
        <v>0</v>
      </c>
      <c r="N26" s="4">
        <f t="shared" si="6"/>
        <v>0</v>
      </c>
      <c r="O26" s="4"/>
      <c r="P26" s="4"/>
      <c r="Q26" s="4"/>
      <c r="R26" s="4"/>
      <c r="S26" s="4"/>
      <c r="T26" s="4"/>
      <c r="U26" s="4"/>
      <c r="V26" s="4"/>
    </row>
    <row r="27" spans="1:22" x14ac:dyDescent="0.2">
      <c r="A27" s="89" t="s">
        <v>32</v>
      </c>
      <c r="B27" s="89"/>
      <c r="C27" s="89"/>
      <c r="D27" s="4"/>
      <c r="E27" s="4">
        <f t="shared" ref="E27:N27" si="7">SUM(E15:E26)</f>
        <v>5107913.0191632444</v>
      </c>
      <c r="F27" s="4">
        <f t="shared" si="7"/>
        <v>5200832.7468096316</v>
      </c>
      <c r="G27" s="4">
        <f t="shared" si="7"/>
        <v>5275832.1055613738</v>
      </c>
      <c r="H27" s="4">
        <f t="shared" si="7"/>
        <v>5352496.9871678269</v>
      </c>
      <c r="I27" s="4">
        <f t="shared" si="7"/>
        <v>5422550.2828686107</v>
      </c>
      <c r="J27" s="4">
        <f t="shared" si="7"/>
        <v>5497876.6873664912</v>
      </c>
      <c r="K27" s="4">
        <f t="shared" si="7"/>
        <v>5574552.8264350826</v>
      </c>
      <c r="L27" s="4">
        <f t="shared" si="7"/>
        <v>5652608.2476792177</v>
      </c>
      <c r="M27" s="4">
        <f t="shared" si="7"/>
        <v>5732073.246266027</v>
      </c>
      <c r="N27" s="4">
        <f t="shared" si="7"/>
        <v>5812978.8854892561</v>
      </c>
      <c r="O27" s="4"/>
      <c r="P27" s="4"/>
      <c r="Q27" s="4"/>
      <c r="R27" s="4"/>
      <c r="S27" s="4"/>
      <c r="T27" s="4"/>
      <c r="U27" s="4"/>
      <c r="V27" s="4"/>
    </row>
    <row r="28" spans="1:22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2">
      <c r="A29" s="89" t="s">
        <v>33</v>
      </c>
      <c r="B29" s="89"/>
      <c r="C29" s="89"/>
      <c r="D29" s="4"/>
      <c r="E29" s="4">
        <f t="shared" ref="E29:N29" si="8">(E13-E15)-E27</f>
        <v>235701.9808367556</v>
      </c>
      <c r="F29" s="4">
        <f t="shared" si="8"/>
        <v>262639.43669036869</v>
      </c>
      <c r="G29" s="4">
        <f t="shared" si="8"/>
        <v>272958.05533224996</v>
      </c>
      <c r="H29" s="4">
        <f t="shared" si="8"/>
        <v>283197.39182659984</v>
      </c>
      <c r="I29" s="4">
        <f t="shared" si="8"/>
        <v>293015.66330892872</v>
      </c>
      <c r="J29" s="4">
        <f t="shared" si="8"/>
        <v>303456.46652519796</v>
      </c>
      <c r="K29" s="4">
        <f t="shared" si="8"/>
        <v>314184.694627258</v>
      </c>
      <c r="L29" s="4">
        <f t="shared" si="8"/>
        <v>325210.38816153258</v>
      </c>
      <c r="M29" s="4">
        <f t="shared" si="8"/>
        <v>336543.98382776789</v>
      </c>
      <c r="N29" s="4">
        <f t="shared" si="8"/>
        <v>348196.33107249718</v>
      </c>
      <c r="O29" s="4"/>
      <c r="P29" s="4"/>
      <c r="Q29" s="4"/>
      <c r="R29" s="4"/>
      <c r="S29" s="4"/>
      <c r="T29" s="4"/>
      <c r="U29" s="4"/>
      <c r="V29" s="4"/>
    </row>
    <row r="30" spans="1:22" x14ac:dyDescent="0.2">
      <c r="A30" s="89" t="s">
        <v>34</v>
      </c>
      <c r="B30" s="89"/>
      <c r="C30" s="89"/>
      <c r="D30" s="4"/>
      <c r="E30" s="3">
        <f t="shared" ref="E30:N30" si="9">E29*$O$30</f>
        <v>82495.693292864453</v>
      </c>
      <c r="F30" s="3">
        <f t="shared" si="9"/>
        <v>91923.802841629033</v>
      </c>
      <c r="G30" s="3">
        <f t="shared" si="9"/>
        <v>95535.319366287484</v>
      </c>
      <c r="H30" s="3">
        <f t="shared" si="9"/>
        <v>99119.087139309937</v>
      </c>
      <c r="I30" s="3">
        <f t="shared" si="9"/>
        <v>102555.48215812504</v>
      </c>
      <c r="J30" s="3">
        <f t="shared" si="9"/>
        <v>106209.76328381928</v>
      </c>
      <c r="K30" s="3">
        <f t="shared" si="9"/>
        <v>109964.6431195403</v>
      </c>
      <c r="L30" s="3">
        <f t="shared" si="9"/>
        <v>113823.63585653639</v>
      </c>
      <c r="M30" s="3">
        <f t="shared" si="9"/>
        <v>117790.39433971875</v>
      </c>
      <c r="N30" s="3">
        <f t="shared" si="9"/>
        <v>121868.71587537401</v>
      </c>
      <c r="O30" s="8">
        <v>0.35</v>
      </c>
      <c r="P30" s="4"/>
      <c r="Q30" s="4"/>
      <c r="R30" s="4"/>
      <c r="S30" s="4"/>
      <c r="T30" s="4"/>
      <c r="U30" s="4"/>
      <c r="V30" s="4"/>
    </row>
    <row r="31" spans="1:22" x14ac:dyDescent="0.2">
      <c r="A31" s="88" t="s">
        <v>35</v>
      </c>
      <c r="B31" s="88"/>
      <c r="C31" s="88"/>
      <c r="D31" s="4"/>
      <c r="E31" s="52">
        <f t="shared" ref="E31:N31" si="10">E29-E30</f>
        <v>153206.28754389114</v>
      </c>
      <c r="F31" s="52">
        <f t="shared" si="10"/>
        <v>170715.63384873967</v>
      </c>
      <c r="G31" s="52">
        <f t="shared" si="10"/>
        <v>177422.73596596246</v>
      </c>
      <c r="H31" s="52">
        <f t="shared" si="10"/>
        <v>184078.3046872899</v>
      </c>
      <c r="I31" s="52">
        <f t="shared" si="10"/>
        <v>190460.18115080369</v>
      </c>
      <c r="J31" s="52">
        <f t="shared" si="10"/>
        <v>197246.70324137868</v>
      </c>
      <c r="K31" s="52">
        <f t="shared" si="10"/>
        <v>204220.0515077177</v>
      </c>
      <c r="L31" s="52">
        <f t="shared" si="10"/>
        <v>211386.75230499619</v>
      </c>
      <c r="M31" s="52">
        <f t="shared" si="10"/>
        <v>218753.58948804915</v>
      </c>
      <c r="N31" s="52">
        <f t="shared" si="10"/>
        <v>226327.61519712317</v>
      </c>
      <c r="O31" s="4"/>
      <c r="P31" s="4"/>
      <c r="Q31" s="4"/>
      <c r="R31" s="4"/>
      <c r="S31" s="4"/>
      <c r="T31" s="4"/>
      <c r="U31" s="4"/>
      <c r="V31" s="4"/>
    </row>
    <row r="32" spans="1:22" x14ac:dyDescent="0.2">
      <c r="A32" s="4"/>
      <c r="B32" s="4"/>
      <c r="C32" s="4"/>
      <c r="D32" s="4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"/>
      <c r="P32" s="4"/>
      <c r="Q32" s="4"/>
      <c r="R32" s="4"/>
      <c r="S32" s="4"/>
      <c r="T32" s="4"/>
      <c r="U32" s="4"/>
      <c r="V32" s="4"/>
    </row>
    <row r="33" spans="1:22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2">
      <c r="A34" s="88" t="s">
        <v>36</v>
      </c>
      <c r="B34" s="88"/>
      <c r="C34" s="8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2">
      <c r="A35" s="89" t="s">
        <v>37</v>
      </c>
      <c r="B35" s="89"/>
      <c r="C35" s="8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x14ac:dyDescent="0.2">
      <c r="A36" s="4"/>
      <c r="B36" s="89" t="s">
        <v>38</v>
      </c>
      <c r="C36" s="89"/>
      <c r="D36" s="4"/>
      <c r="E36" s="4">
        <v>100000</v>
      </c>
      <c r="F36" s="4">
        <v>100000</v>
      </c>
      <c r="G36" s="4">
        <v>100000</v>
      </c>
      <c r="H36" s="4">
        <v>100000</v>
      </c>
      <c r="I36" s="4">
        <v>100000</v>
      </c>
      <c r="J36" s="4">
        <v>100000</v>
      </c>
      <c r="K36" s="4">
        <v>100000</v>
      </c>
      <c r="L36" s="4">
        <v>100000</v>
      </c>
      <c r="M36" s="4">
        <v>100000</v>
      </c>
      <c r="N36" s="4">
        <v>100000</v>
      </c>
      <c r="O36" s="4"/>
      <c r="P36" s="4"/>
      <c r="Q36" s="4"/>
      <c r="R36" s="4"/>
      <c r="S36" s="4"/>
      <c r="T36" s="4"/>
      <c r="U36" s="4"/>
      <c r="V36" s="4"/>
    </row>
    <row r="37" spans="1:22" x14ac:dyDescent="0.2">
      <c r="A37" s="4"/>
      <c r="B37" s="90" t="s">
        <v>39</v>
      </c>
      <c r="C37" s="90"/>
      <c r="D37" s="4"/>
      <c r="E37" s="4">
        <v>0</v>
      </c>
      <c r="F37" s="4">
        <v>90109</v>
      </c>
      <c r="G37" s="4">
        <v>169502</v>
      </c>
      <c r="H37" s="4">
        <v>378168</v>
      </c>
      <c r="I37" s="4">
        <v>262420</v>
      </c>
      <c r="J37" s="4">
        <v>215469</v>
      </c>
      <c r="K37" s="4">
        <v>236341</v>
      </c>
      <c r="L37" s="4">
        <v>251901</v>
      </c>
      <c r="M37" s="4">
        <v>263215</v>
      </c>
      <c r="N37" s="4">
        <v>270875</v>
      </c>
      <c r="O37" s="4"/>
      <c r="P37" s="4"/>
      <c r="Q37" s="4"/>
      <c r="R37" s="4"/>
      <c r="S37" s="4"/>
      <c r="T37" s="4"/>
      <c r="U37" s="4"/>
      <c r="V37" s="4"/>
    </row>
    <row r="38" spans="1:22" x14ac:dyDescent="0.2">
      <c r="A38" s="4"/>
      <c r="B38" s="90" t="s">
        <v>40</v>
      </c>
      <c r="C38" s="90"/>
      <c r="D38" s="4"/>
      <c r="E38" s="4">
        <f>E9*(Assumptions!$B$26/365)</f>
        <v>16438.35616438356</v>
      </c>
      <c r="F38" s="4">
        <f>F9*(Assumptions!$B$26/365)</f>
        <v>20833.150684931505</v>
      </c>
      <c r="G38" s="4">
        <f>G9*(Assumptions!$B$26/365)</f>
        <v>21598.704000000002</v>
      </c>
      <c r="H38" s="4">
        <f>H9*(Assumptions!$B$26/365)</f>
        <v>22393.663549545206</v>
      </c>
      <c r="I38" s="4">
        <f>I9*(Assumptions!$B$26/365)</f>
        <v>23219.186903050937</v>
      </c>
      <c r="J38" s="4">
        <f>J9*(Assumptions!$B$26/365)</f>
        <v>24076.477786960393</v>
      </c>
      <c r="K38" s="4">
        <f>K9*(Assumptions!$B$26/365)</f>
        <v>24966.787937240308</v>
      </c>
      <c r="L38" s="4">
        <f>L9*(Assumptions!$B$26/365)</f>
        <v>25891.419026545263</v>
      </c>
      <c r="M38" s="4">
        <f>M9*(Assumptions!$B$26/365)</f>
        <v>26851.724668990952</v>
      </c>
      <c r="N38" s="4">
        <f>N9*(Assumptions!$B$26/365)</f>
        <v>27849.112505666908</v>
      </c>
      <c r="O38" s="4"/>
      <c r="P38" s="4"/>
      <c r="Q38" s="4"/>
      <c r="R38" s="4"/>
      <c r="S38" s="4"/>
      <c r="T38" s="4"/>
      <c r="U38" s="4"/>
      <c r="V38" s="4"/>
    </row>
    <row r="39" spans="1:22" x14ac:dyDescent="0.2">
      <c r="A39" s="4"/>
      <c r="B39" s="90" t="s">
        <v>41</v>
      </c>
      <c r="C39" s="90"/>
      <c r="D39" s="4"/>
      <c r="E39" s="4">
        <f>(((Assumptions!C66*Assumptions!C51)+(Assumptions!C67*Assumptions!C52))+(Assumptions!C68*Assumptions!C53))+(Assumptions!C54*Assumptions!C69)</f>
        <v>800.06678082191786</v>
      </c>
      <c r="F39" s="4">
        <f>(((Assumptions!D66*Assumptions!D51)+(Assumptions!D67*Assumptions!D52))+(Assumptions!D68*Assumptions!D53))+(Assumptions!D54*Assumptions!D69)</f>
        <v>809.1749098234161</v>
      </c>
      <c r="G39" s="4">
        <f>(((Assumptions!E66*Assumptions!E51)+(Assumptions!E67*Assumptions!E52))+(Assumptions!E68*Assumptions!E53))+(Assumptions!E54*Assumptions!E69)</f>
        <v>818.42560426524597</v>
      </c>
      <c r="H39" s="4">
        <f>(((Assumptions!F66*Assumptions!F51)+(Assumptions!F67*Assumptions!F52))+(Assumptions!F68*Assumptions!F53))+(Assumptions!F54*Assumptions!F69)</f>
        <v>827.82257525384637</v>
      </c>
      <c r="I39" s="4">
        <f>(((Assumptions!G66*Assumptions!G51)+(Assumptions!G67*Assumptions!G52))+(Assumptions!G68*Assumptions!G53))+(Assumptions!G54*Assumptions!G69)</f>
        <v>837.36968297334738</v>
      </c>
      <c r="J39" s="4">
        <f>(((Assumptions!H66*Assumptions!H51)+(Assumptions!H67*Assumptions!H52))+(Assumptions!H68*Assumptions!H53))+(Assumptions!H54*Assumptions!H69)</f>
        <v>847.07094378685622</v>
      </c>
      <c r="K39" s="4">
        <f>(((Assumptions!I66*Assumptions!I51)+(Assumptions!I67*Assumptions!I52))+(Assumptions!I68*Assumptions!I53))+(Assumptions!I54*Assumptions!I69)</f>
        <v>856.93053769224707</v>
      </c>
      <c r="L39" s="4">
        <f>(((Assumptions!J66*Assumptions!J51)+(Assumptions!J67*Assumptions!J52))+(Assumptions!J68*Assumptions!J53))+(Assumptions!J54*Assumptions!J69)</f>
        <v>866.95281615034673</v>
      </c>
      <c r="M39" s="4">
        <f>(((Assumptions!K66*Assumptions!K51)+(Assumptions!K67*Assumptions!K52))+(Assumptions!K68*Assumptions!K53))+(Assumptions!K54*Assumptions!K69)</f>
        <v>877.14231030433712</v>
      </c>
      <c r="N39" s="4">
        <f>(((Assumptions!L66*Assumptions!L51)+(Assumptions!L67*Assumptions!L52))+(Assumptions!L68*Assumptions!L53))+(Assumptions!L54*Assumptions!L69)</f>
        <v>887.50373961012895</v>
      </c>
      <c r="O39" s="4"/>
      <c r="P39" s="4"/>
      <c r="Q39" s="4"/>
      <c r="R39" s="4"/>
      <c r="S39" s="4"/>
      <c r="T39" s="4"/>
      <c r="U39" s="4"/>
      <c r="V39" s="4"/>
    </row>
    <row r="40" spans="1:22" x14ac:dyDescent="0.2">
      <c r="A40" s="4"/>
      <c r="B40" s="89" t="s">
        <v>42</v>
      </c>
      <c r="C40" s="89"/>
      <c r="D40" s="4"/>
      <c r="E40" s="4">
        <v>3000000</v>
      </c>
      <c r="F40" s="4">
        <f>E40</f>
        <v>3000000</v>
      </c>
      <c r="G40" s="60">
        <f t="shared" ref="G40:N40" si="11">F40</f>
        <v>3000000</v>
      </c>
      <c r="H40" s="60">
        <f t="shared" si="11"/>
        <v>3000000</v>
      </c>
      <c r="I40" s="60">
        <f t="shared" si="11"/>
        <v>3000000</v>
      </c>
      <c r="J40" s="60">
        <f t="shared" si="11"/>
        <v>3000000</v>
      </c>
      <c r="K40" s="60">
        <f t="shared" si="11"/>
        <v>3000000</v>
      </c>
      <c r="L40" s="60">
        <f t="shared" si="11"/>
        <v>3000000</v>
      </c>
      <c r="M40" s="60">
        <f t="shared" si="11"/>
        <v>3000000</v>
      </c>
      <c r="N40" s="60">
        <f t="shared" si="11"/>
        <v>3000000</v>
      </c>
      <c r="O40" s="4"/>
      <c r="P40" s="4"/>
      <c r="Q40" s="4"/>
      <c r="R40" s="4"/>
      <c r="S40" s="4"/>
      <c r="T40" s="4"/>
      <c r="U40" s="4"/>
      <c r="V40" s="4"/>
    </row>
    <row r="41" spans="1:22" x14ac:dyDescent="0.2">
      <c r="A41" s="4"/>
      <c r="B41" s="89" t="s">
        <v>43</v>
      </c>
      <c r="C41" s="89"/>
      <c r="D41" s="4"/>
      <c r="E41" s="4">
        <f>1500*50</f>
        <v>75000</v>
      </c>
      <c r="F41" s="4">
        <f t="shared" ref="F41:N41" si="12">E41</f>
        <v>75000</v>
      </c>
      <c r="G41" s="4">
        <f t="shared" si="12"/>
        <v>75000</v>
      </c>
      <c r="H41" s="4">
        <f t="shared" si="12"/>
        <v>75000</v>
      </c>
      <c r="I41" s="4">
        <f t="shared" si="12"/>
        <v>75000</v>
      </c>
      <c r="J41" s="4">
        <f t="shared" si="12"/>
        <v>75000</v>
      </c>
      <c r="K41" s="4">
        <f t="shared" si="12"/>
        <v>75000</v>
      </c>
      <c r="L41" s="4">
        <f t="shared" si="12"/>
        <v>75000</v>
      </c>
      <c r="M41" s="4">
        <f t="shared" si="12"/>
        <v>75000</v>
      </c>
      <c r="N41" s="4">
        <f t="shared" si="12"/>
        <v>75000</v>
      </c>
      <c r="P41" s="4"/>
      <c r="Q41" s="4"/>
      <c r="R41" s="4"/>
      <c r="S41" s="4"/>
      <c r="T41" s="4"/>
      <c r="U41" s="4"/>
      <c r="V41" s="4"/>
    </row>
    <row r="42" spans="1:22" x14ac:dyDescent="0.2">
      <c r="A42" s="4"/>
      <c r="B42" s="89" t="s">
        <v>44</v>
      </c>
      <c r="C42" s="89"/>
      <c r="D42" s="4"/>
      <c r="E42" s="4">
        <f>E41/5</f>
        <v>15000</v>
      </c>
      <c r="F42" s="4">
        <f>E42+F23</f>
        <v>30000</v>
      </c>
      <c r="G42" s="4">
        <f>F42+G23</f>
        <v>45000</v>
      </c>
      <c r="H42" s="4">
        <f>G42+H23</f>
        <v>60000</v>
      </c>
      <c r="I42" s="4">
        <f>H42+I23</f>
        <v>75000</v>
      </c>
      <c r="J42" s="4">
        <f>E42</f>
        <v>15000</v>
      </c>
      <c r="K42" s="4">
        <f>F42</f>
        <v>30000</v>
      </c>
      <c r="L42" s="4">
        <f>G42</f>
        <v>45000</v>
      </c>
      <c r="M42" s="4">
        <f>H42</f>
        <v>60000</v>
      </c>
      <c r="N42" s="4">
        <f>I42</f>
        <v>75000</v>
      </c>
      <c r="O42" s="24">
        <v>5</v>
      </c>
      <c r="P42" s="4"/>
      <c r="Q42" s="4"/>
      <c r="R42" s="4"/>
      <c r="S42" s="4"/>
      <c r="T42" s="4"/>
      <c r="U42" s="4"/>
      <c r="V42" s="4"/>
    </row>
    <row r="43" spans="1:22" x14ac:dyDescent="0.2">
      <c r="A43" s="4"/>
      <c r="B43" s="90" t="s">
        <v>45</v>
      </c>
      <c r="C43" s="90"/>
      <c r="D43" s="4"/>
      <c r="E43" s="4">
        <v>1250000</v>
      </c>
      <c r="F43" s="4">
        <f t="shared" ref="F43:N43" si="13">E43</f>
        <v>1250000</v>
      </c>
      <c r="G43" s="4">
        <f t="shared" si="13"/>
        <v>1250000</v>
      </c>
      <c r="H43" s="4">
        <f>G43-H86</f>
        <v>1250000</v>
      </c>
      <c r="I43" s="4">
        <f t="shared" si="13"/>
        <v>1250000</v>
      </c>
      <c r="J43" s="4">
        <f t="shared" si="13"/>
        <v>1250000</v>
      </c>
      <c r="K43" s="4">
        <f t="shared" si="13"/>
        <v>1250000</v>
      </c>
      <c r="L43" s="4">
        <f t="shared" si="13"/>
        <v>1250000</v>
      </c>
      <c r="M43" s="4">
        <f t="shared" si="13"/>
        <v>1250000</v>
      </c>
      <c r="N43" s="4">
        <f t="shared" si="13"/>
        <v>1250000</v>
      </c>
      <c r="O43" s="4"/>
      <c r="P43" s="4"/>
      <c r="Q43" s="4"/>
      <c r="R43" s="4"/>
      <c r="S43" s="4"/>
      <c r="T43" s="4"/>
      <c r="U43" s="4"/>
      <c r="V43" s="4"/>
    </row>
    <row r="44" spans="1:22" x14ac:dyDescent="0.2">
      <c r="A44" s="4"/>
      <c r="B44" s="90" t="s">
        <v>44</v>
      </c>
      <c r="C44" s="90"/>
      <c r="D44" s="4"/>
      <c r="E44" s="4">
        <f>E24</f>
        <v>41666.666666666664</v>
      </c>
      <c r="F44" s="4">
        <f t="shared" ref="F44:N44" si="14">E44+F24</f>
        <v>83333.333333333328</v>
      </c>
      <c r="G44" s="4">
        <f t="shared" si="14"/>
        <v>125000</v>
      </c>
      <c r="H44" s="4">
        <f t="shared" si="14"/>
        <v>166666.66666666666</v>
      </c>
      <c r="I44" s="4">
        <f t="shared" si="14"/>
        <v>208333.33333333331</v>
      </c>
      <c r="J44" s="4">
        <f t="shared" si="14"/>
        <v>249999.99999999997</v>
      </c>
      <c r="K44" s="4">
        <f t="shared" si="14"/>
        <v>291666.66666666663</v>
      </c>
      <c r="L44" s="4">
        <f t="shared" si="14"/>
        <v>333333.33333333331</v>
      </c>
      <c r="M44" s="4">
        <f t="shared" si="14"/>
        <v>375000</v>
      </c>
      <c r="N44" s="4">
        <f t="shared" si="14"/>
        <v>416666.66666666669</v>
      </c>
      <c r="O44" s="4"/>
      <c r="P44" s="4"/>
      <c r="Q44" s="4"/>
      <c r="R44" s="4"/>
      <c r="S44" s="4"/>
      <c r="T44" s="4"/>
      <c r="U44" s="4"/>
      <c r="V44" s="4"/>
    </row>
    <row r="45" spans="1:22" x14ac:dyDescent="0.2">
      <c r="A45" s="4"/>
      <c r="B45" s="89" t="s">
        <v>46</v>
      </c>
      <c r="C45" s="89"/>
      <c r="D45" s="4"/>
      <c r="E45" s="3">
        <f>-D82</f>
        <v>310000</v>
      </c>
      <c r="F45" s="3">
        <f>E45</f>
        <v>310000</v>
      </c>
      <c r="G45" s="3">
        <f t="shared" ref="G45:N45" si="15">F45</f>
        <v>310000</v>
      </c>
      <c r="H45" s="3">
        <f t="shared" si="15"/>
        <v>310000</v>
      </c>
      <c r="I45" s="3">
        <f t="shared" si="15"/>
        <v>310000</v>
      </c>
      <c r="J45" s="3">
        <f t="shared" si="15"/>
        <v>310000</v>
      </c>
      <c r="K45" s="3">
        <f t="shared" si="15"/>
        <v>310000</v>
      </c>
      <c r="L45" s="3">
        <f t="shared" si="15"/>
        <v>310000</v>
      </c>
      <c r="M45" s="3">
        <f t="shared" si="15"/>
        <v>310000</v>
      </c>
      <c r="N45" s="3">
        <f t="shared" si="15"/>
        <v>310000</v>
      </c>
      <c r="O45" s="4"/>
      <c r="P45" s="4"/>
      <c r="Q45" s="4"/>
      <c r="R45" s="4"/>
      <c r="S45" s="4"/>
      <c r="T45" s="4"/>
      <c r="U45" s="4"/>
      <c r="V45" s="4"/>
    </row>
    <row r="46" spans="1:22" x14ac:dyDescent="0.2">
      <c r="A46" s="88" t="s">
        <v>47</v>
      </c>
      <c r="B46" s="88"/>
      <c r="C46" s="88"/>
      <c r="D46" s="4"/>
      <c r="E46" s="52">
        <f>((SUM(E36:E41)-E42)+E43)-E44+E45</f>
        <v>4695571.7562785381</v>
      </c>
      <c r="F46" s="52">
        <f t="shared" ref="F46:N46" si="16">((SUM(F36:F41)-F42)+F43)-F44+F45</f>
        <v>4733417.9922614219</v>
      </c>
      <c r="G46" s="52">
        <f t="shared" si="16"/>
        <v>4756919.1296042651</v>
      </c>
      <c r="H46" s="52">
        <f t="shared" si="16"/>
        <v>4909722.8194581317</v>
      </c>
      <c r="I46" s="52">
        <f t="shared" si="16"/>
        <v>4738143.2232526913</v>
      </c>
      <c r="J46" s="52">
        <f t="shared" si="16"/>
        <v>4710392.5487307478</v>
      </c>
      <c r="K46" s="52">
        <f t="shared" si="16"/>
        <v>4675498.051808265</v>
      </c>
      <c r="L46" s="52">
        <f t="shared" si="16"/>
        <v>4635326.0385093624</v>
      </c>
      <c r="M46" s="52">
        <f t="shared" si="16"/>
        <v>4590943.8669792954</v>
      </c>
      <c r="N46" s="52">
        <f t="shared" si="16"/>
        <v>4542944.9495786102</v>
      </c>
      <c r="O46" s="4"/>
      <c r="P46" s="4"/>
      <c r="Q46" s="4"/>
      <c r="R46" s="4"/>
      <c r="S46" s="4"/>
      <c r="T46" s="4"/>
      <c r="U46" s="4"/>
      <c r="V46" s="4"/>
    </row>
    <row r="47" spans="1:22" x14ac:dyDescent="0.2">
      <c r="A47" s="4"/>
      <c r="B47" s="4"/>
      <c r="C47" s="4"/>
      <c r="D47" s="4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"/>
      <c r="P47" s="4"/>
      <c r="Q47" s="4"/>
      <c r="R47" s="4"/>
      <c r="S47" s="4"/>
      <c r="T47" s="4"/>
      <c r="U47" s="4"/>
      <c r="V47" s="4"/>
    </row>
    <row r="48" spans="1:22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x14ac:dyDescent="0.2">
      <c r="A49" s="88" t="s">
        <v>48</v>
      </c>
      <c r="B49" s="88"/>
      <c r="C49" s="8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x14ac:dyDescent="0.2">
      <c r="A51" s="4"/>
      <c r="B51" s="89" t="s">
        <v>49</v>
      </c>
      <c r="C51" s="89"/>
      <c r="D51" s="4"/>
      <c r="E51" s="4">
        <f t="shared" ref="E51:N51" si="17">E30</f>
        <v>82495.693292864453</v>
      </c>
      <c r="F51" s="4">
        <f t="shared" si="17"/>
        <v>91923.802841629033</v>
      </c>
      <c r="G51" s="4">
        <f t="shared" si="17"/>
        <v>95535.319366287484</v>
      </c>
      <c r="H51" s="4">
        <f t="shared" si="17"/>
        <v>99119.087139309937</v>
      </c>
      <c r="I51" s="4">
        <f t="shared" si="17"/>
        <v>102555.48215812504</v>
      </c>
      <c r="J51" s="4">
        <f t="shared" si="17"/>
        <v>106209.76328381928</v>
      </c>
      <c r="K51" s="4">
        <f t="shared" si="17"/>
        <v>109964.6431195403</v>
      </c>
      <c r="L51" s="4">
        <f t="shared" si="17"/>
        <v>113823.63585653639</v>
      </c>
      <c r="M51" s="4">
        <f t="shared" si="17"/>
        <v>117790.39433971875</v>
      </c>
      <c r="N51" s="4">
        <f t="shared" si="17"/>
        <v>121868.71587537401</v>
      </c>
      <c r="O51" s="4"/>
      <c r="P51" s="4"/>
      <c r="Q51" s="4"/>
      <c r="R51" s="4"/>
      <c r="S51" s="4"/>
      <c r="T51" s="4"/>
      <c r="U51" s="4"/>
      <c r="V51" s="4"/>
    </row>
    <row r="52" spans="1:22" x14ac:dyDescent="0.2">
      <c r="A52" s="4"/>
      <c r="B52" s="90" t="s">
        <v>50</v>
      </c>
      <c r="C52" s="90"/>
      <c r="D52" s="4"/>
      <c r="E52" s="4">
        <f>E15*((((Assumptions!C51/365)+(Assumptions!C52/365))+(Assumptions!C53/365))+(Assumptions!C54/365))</f>
        <v>2019.1931506849314</v>
      </c>
      <c r="F52" s="4">
        <f>F15*((((Assumptions!D51/365)+(Assumptions!D52/365))+(Assumptions!D53/365))+(Assumptions!D54/365))</f>
        <v>2046.1147975740153</v>
      </c>
      <c r="G52" s="4">
        <f>G15*((((Assumptions!E51/365)+(Assumptions!E52/365))+(Assumptions!E53/365))+(Assumptions!E54/365))</f>
        <v>2073.6602429711493</v>
      </c>
      <c r="H52" s="4">
        <f>H15*((((Assumptions!F51/365)+(Assumptions!F52/365))+(Assumptions!F53/365))+(Assumptions!F54/365))</f>
        <v>2101.8474713906949</v>
      </c>
      <c r="I52" s="4">
        <f>I15*((((Assumptions!G51/365)+(Assumptions!G52/365))+(Assumptions!G53/365))+(Assumptions!G54/365))</f>
        <v>2130.6951102047992</v>
      </c>
      <c r="J52" s="4">
        <f>J15*((((Assumptions!H51/365)+(Assumptions!H52/365))+(Assumptions!H53/365))+(Assumptions!H54/365))</f>
        <v>2160.2224547814453</v>
      </c>
      <c r="K52" s="4">
        <f>K15*((((Assumptions!I51/365)+(Assumptions!I52/365))+(Assumptions!I53/365))+(Assumptions!I54/365))</f>
        <v>2190.4494946565687</v>
      </c>
      <c r="L52" s="4">
        <f>L15*((((Assumptions!J51/365)+(Assumptions!J52/365))+(Assumptions!J53/365))+(Assumptions!J54/365))</f>
        <v>2221.3969407841273</v>
      </c>
      <c r="M52" s="4">
        <f>M15*((((Assumptions!K51/365)+(Assumptions!K52/365))+(Assumptions!K53/365))+(Assumptions!K54/365))</f>
        <v>2253.0862539099176</v>
      </c>
      <c r="N52" s="4">
        <f>N15*((((Assumptions!L51/365)+(Assumptions!L52/365))+(Assumptions!L53/365))+(Assumptions!L54/365))</f>
        <v>2285.5396741169307</v>
      </c>
      <c r="O52" s="4"/>
      <c r="P52" s="4"/>
      <c r="Q52" s="4"/>
      <c r="R52" s="4"/>
      <c r="S52" s="4"/>
      <c r="T52" s="4"/>
      <c r="U52" s="4"/>
      <c r="V52" s="4"/>
    </row>
    <row r="53" spans="1:22" x14ac:dyDescent="0.2">
      <c r="A53" s="4"/>
      <c r="B53" s="90" t="s">
        <v>51</v>
      </c>
      <c r="C53" s="90"/>
      <c r="D53" s="4"/>
      <c r="E53" s="4">
        <f>'Loan Amortization'!H3</f>
        <v>2927006.505922385</v>
      </c>
      <c r="F53" s="4">
        <f>'Loan Amortization'!I3</f>
        <v>2876808.1991237588</v>
      </c>
      <c r="G53" s="4">
        <f>'Loan Amortization'!J3</f>
        <v>2824303.7908934695</v>
      </c>
      <c r="H53" s="4">
        <f>'Loan Amortization'!K3</f>
        <v>2769387.3393352213</v>
      </c>
      <c r="I53" s="4">
        <f>'Loan Amortization'!L3</f>
        <v>2711948.0356005379</v>
      </c>
      <c r="J53" s="4">
        <f>'Loan Amortization'!H7</f>
        <v>2651869.9803018281</v>
      </c>
      <c r="K53" s="4">
        <f>'Loan Amortization'!I7</f>
        <v>2589031.949653917</v>
      </c>
      <c r="L53" s="4">
        <f>'Loan Amortization'!J7</f>
        <v>2523307.1508721458</v>
      </c>
      <c r="M53" s="4">
        <f>'Loan Amortization'!K7</f>
        <v>2454562.9663335118</v>
      </c>
      <c r="N53" s="4">
        <f>'Loan Amortization'!L7</f>
        <v>2382660.6859846152</v>
      </c>
      <c r="O53" s="4"/>
      <c r="P53" s="4"/>
      <c r="Q53" s="4"/>
      <c r="R53" s="4"/>
      <c r="S53" s="4"/>
      <c r="T53" s="4"/>
      <c r="U53" s="4"/>
      <c r="V53" s="4"/>
    </row>
    <row r="54" spans="1:22" x14ac:dyDescent="0.2">
      <c r="A54" s="4"/>
      <c r="B54" s="90" t="s">
        <v>52</v>
      </c>
      <c r="C54" s="90"/>
      <c r="D54" s="4"/>
      <c r="E54" s="4">
        <v>92126.591386269123</v>
      </c>
      <c r="F54" s="4"/>
      <c r="G54" s="4"/>
      <c r="H54" s="4"/>
      <c r="I54" s="4"/>
      <c r="J54" s="4"/>
      <c r="K54" s="4"/>
      <c r="L54" s="4"/>
      <c r="M54" s="4"/>
      <c r="N54" s="4"/>
      <c r="O54" s="8">
        <v>0.12</v>
      </c>
      <c r="P54" s="4"/>
      <c r="Q54" s="4"/>
      <c r="R54" s="4"/>
      <c r="S54" s="4"/>
      <c r="T54" s="4"/>
      <c r="U54" s="4"/>
      <c r="V54" s="4"/>
    </row>
    <row r="55" spans="1:22" x14ac:dyDescent="0.2">
      <c r="A55" s="4"/>
      <c r="B55" s="89" t="s">
        <v>53</v>
      </c>
      <c r="C55" s="89"/>
      <c r="D55" s="4"/>
      <c r="E55" s="4">
        <v>1500000</v>
      </c>
      <c r="F55" s="4">
        <f t="shared" ref="F55:N55" si="18">E55</f>
        <v>1500000</v>
      </c>
      <c r="G55" s="4">
        <f t="shared" si="18"/>
        <v>1500000</v>
      </c>
      <c r="H55" s="4">
        <f t="shared" si="18"/>
        <v>1500000</v>
      </c>
      <c r="I55" s="4">
        <f t="shared" si="18"/>
        <v>1500000</v>
      </c>
      <c r="J55" s="4">
        <f t="shared" si="18"/>
        <v>1500000</v>
      </c>
      <c r="K55" s="4">
        <f t="shared" si="18"/>
        <v>1500000</v>
      </c>
      <c r="L55" s="4">
        <f t="shared" si="18"/>
        <v>1500000</v>
      </c>
      <c r="M55" s="4">
        <f t="shared" si="18"/>
        <v>1500000</v>
      </c>
      <c r="N55" s="4">
        <f t="shared" si="18"/>
        <v>1500000</v>
      </c>
      <c r="O55" s="4"/>
      <c r="P55" s="4"/>
      <c r="Q55" s="4"/>
      <c r="R55" s="4"/>
      <c r="S55" s="4"/>
      <c r="T55" s="4"/>
      <c r="U55" s="4"/>
      <c r="V55" s="4"/>
    </row>
    <row r="56" spans="1:22" x14ac:dyDescent="0.2">
      <c r="A56" s="4"/>
      <c r="B56" s="89" t="s">
        <v>54</v>
      </c>
      <c r="C56" s="89"/>
      <c r="D56" s="4"/>
      <c r="E56" s="4">
        <f>E31</f>
        <v>153206.28754389114</v>
      </c>
      <c r="F56" s="4">
        <f t="shared" ref="F56:N56" si="19">(F31+E56)-E57</f>
        <v>262639.40637507429</v>
      </c>
      <c r="G56" s="4">
        <f t="shared" si="19"/>
        <v>335006.37979100703</v>
      </c>
      <c r="H56" s="4">
        <f t="shared" si="19"/>
        <v>385082.13256189408</v>
      </c>
      <c r="I56" s="4">
        <f t="shared" si="19"/>
        <v>421509.46068794007</v>
      </c>
      <c r="J56" s="4">
        <f t="shared" si="19"/>
        <v>450152.37965414277</v>
      </c>
      <c r="K56" s="4">
        <f t="shared" si="19"/>
        <v>474311.47930020338</v>
      </c>
      <c r="L56" s="4">
        <f t="shared" si="19"/>
        <v>495973.63988511823</v>
      </c>
      <c r="M56" s="4">
        <f t="shared" si="19"/>
        <v>516337.77341912012</v>
      </c>
      <c r="N56" s="4">
        <f t="shared" si="19"/>
        <v>536130.27924859524</v>
      </c>
      <c r="O56" s="4"/>
      <c r="P56" s="4"/>
      <c r="Q56" s="4"/>
      <c r="R56" s="4"/>
      <c r="S56" s="4"/>
      <c r="T56" s="4"/>
      <c r="U56" s="4"/>
      <c r="V56" s="4"/>
    </row>
    <row r="57" spans="1:22" x14ac:dyDescent="0.2">
      <c r="A57" s="4"/>
      <c r="B57" s="92" t="s">
        <v>55</v>
      </c>
      <c r="C57" s="89"/>
      <c r="D57" s="4"/>
      <c r="E57" s="3">
        <f t="shared" ref="E57:N57" si="20">E56*0.4</f>
        <v>61282.515017556463</v>
      </c>
      <c r="F57" s="3">
        <f t="shared" si="20"/>
        <v>105055.76255002973</v>
      </c>
      <c r="G57" s="3">
        <f t="shared" si="20"/>
        <v>134002.55191640282</v>
      </c>
      <c r="H57" s="3">
        <f t="shared" si="20"/>
        <v>154032.85302475764</v>
      </c>
      <c r="I57" s="3">
        <f t="shared" si="20"/>
        <v>168603.78427517603</v>
      </c>
      <c r="J57" s="3">
        <f t="shared" si="20"/>
        <v>180060.95186165711</v>
      </c>
      <c r="K57" s="3">
        <f t="shared" si="20"/>
        <v>189724.59172008137</v>
      </c>
      <c r="L57" s="3">
        <f t="shared" si="20"/>
        <v>198389.4559540473</v>
      </c>
      <c r="M57" s="3">
        <f t="shared" si="20"/>
        <v>206535.10936764805</v>
      </c>
      <c r="N57" s="3">
        <f t="shared" si="20"/>
        <v>214452.1116994381</v>
      </c>
      <c r="O57" s="4"/>
      <c r="P57" s="4"/>
      <c r="Q57" s="4"/>
      <c r="R57" s="4"/>
      <c r="S57" s="4"/>
      <c r="T57" s="4"/>
      <c r="U57" s="4"/>
      <c r="V57" s="4"/>
    </row>
    <row r="58" spans="1:22" x14ac:dyDescent="0.2">
      <c r="A58" s="88" t="s">
        <v>56</v>
      </c>
      <c r="B58" s="88"/>
      <c r="C58" s="88"/>
      <c r="D58" s="4"/>
      <c r="E58" s="52">
        <f>SUM(E51:E56)-E57</f>
        <v>4695571.7562785391</v>
      </c>
      <c r="F58" s="52">
        <f t="shared" ref="F58:N58" si="21">SUM(F50:F56)</f>
        <v>4733417.523138037</v>
      </c>
      <c r="G58" s="52">
        <f t="shared" si="21"/>
        <v>4756919.1502937349</v>
      </c>
      <c r="H58" s="52">
        <f>SUM(H51:H57)</f>
        <v>4909723.2595325736</v>
      </c>
      <c r="I58" s="52">
        <f t="shared" si="21"/>
        <v>4738143.6735568075</v>
      </c>
      <c r="J58" s="52">
        <f t="shared" si="21"/>
        <v>4710392.3456945717</v>
      </c>
      <c r="K58" s="52">
        <f t="shared" si="21"/>
        <v>4675498.5215683179</v>
      </c>
      <c r="L58" s="52">
        <f t="shared" si="21"/>
        <v>4635325.8235545848</v>
      </c>
      <c r="M58" s="52">
        <f t="shared" si="21"/>
        <v>4590944.2203462608</v>
      </c>
      <c r="N58" s="52">
        <f t="shared" si="21"/>
        <v>4542945.2207827009</v>
      </c>
      <c r="O58" s="4"/>
      <c r="P58" s="4"/>
      <c r="Q58" s="4"/>
      <c r="R58" s="4"/>
      <c r="S58" s="4"/>
      <c r="T58" s="4"/>
      <c r="U58" s="4"/>
      <c r="V58" s="4"/>
    </row>
    <row r="59" spans="1:22" x14ac:dyDescent="0.2">
      <c r="A59" s="4"/>
      <c r="B59" s="4"/>
      <c r="C59" s="4"/>
      <c r="D59" s="4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"/>
      <c r="P59" s="4"/>
      <c r="Q59" s="4"/>
      <c r="R59" s="4"/>
      <c r="S59" s="4"/>
      <c r="T59" s="4"/>
      <c r="U59" s="4"/>
      <c r="V59" s="4"/>
    </row>
    <row r="60" spans="1:22" ht="25.5" customHeight="1" x14ac:dyDescent="0.2">
      <c r="A60" s="97" t="s">
        <v>57</v>
      </c>
      <c r="B60" s="97"/>
      <c r="C60" s="4"/>
      <c r="D60" s="4"/>
      <c r="E60" s="4">
        <f t="shared" ref="E60:N60" si="22">E46-E58</f>
        <v>0</v>
      </c>
      <c r="F60" s="4">
        <f t="shared" si="22"/>
        <v>0.46912338491529226</v>
      </c>
      <c r="G60" s="4">
        <f t="shared" si="22"/>
        <v>-2.0689469762146473E-2</v>
      </c>
      <c r="H60" s="4">
        <f>H46-H58</f>
        <v>-0.44007444195449352</v>
      </c>
      <c r="I60" s="4">
        <f t="shared" si="22"/>
        <v>-0.4503041161224246</v>
      </c>
      <c r="J60" s="4">
        <f t="shared" si="22"/>
        <v>0.20303617604076862</v>
      </c>
      <c r="K60" s="4">
        <f t="shared" si="22"/>
        <v>-0.46976005285978317</v>
      </c>
      <c r="L60" s="4">
        <f t="shared" si="22"/>
        <v>0.21495477762073278</v>
      </c>
      <c r="M60" s="4">
        <f t="shared" si="22"/>
        <v>-0.35336696542799473</v>
      </c>
      <c r="N60" s="4">
        <f t="shared" si="22"/>
        <v>-0.27120409067720175</v>
      </c>
      <c r="O60" s="4"/>
      <c r="P60" s="4"/>
      <c r="Q60" s="4"/>
      <c r="R60" s="4"/>
      <c r="S60" s="4"/>
      <c r="T60" s="4"/>
      <c r="U60" s="4"/>
      <c r="V60" s="4"/>
    </row>
    <row r="61" spans="1:22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x14ac:dyDescent="0.2">
      <c r="A62" s="93" t="s">
        <v>58</v>
      </c>
      <c r="B62" s="94"/>
      <c r="C62" s="9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x14ac:dyDescent="0.2">
      <c r="A63" s="95" t="s">
        <v>59</v>
      </c>
      <c r="B63" s="96"/>
      <c r="C63" s="96"/>
      <c r="D63" s="19">
        <f>E53/(SUM(E55:E56,E53)-E57)</f>
        <v>0.64772110335085353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x14ac:dyDescent="0.2">
      <c r="A64" s="95" t="s">
        <v>60</v>
      </c>
      <c r="B64" s="96"/>
      <c r="C64" s="96"/>
      <c r="D64" s="19">
        <f>1-D63</f>
        <v>0.35227889664914647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x14ac:dyDescent="0.2">
      <c r="A65" s="95" t="s">
        <v>61</v>
      </c>
      <c r="B65" s="96"/>
      <c r="C65" s="96"/>
      <c r="D65" s="19">
        <f>D67+(D66*(D68-D67))</f>
        <v>0.14351831537830276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x14ac:dyDescent="0.2">
      <c r="A66" s="95" t="s">
        <v>62</v>
      </c>
      <c r="B66" s="96"/>
      <c r="C66" s="96"/>
      <c r="D66" s="22">
        <f>'Beta Calculations'!C9</f>
        <v>1.3724257264255861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x14ac:dyDescent="0.2">
      <c r="A67" s="95" t="s">
        <v>63</v>
      </c>
      <c r="B67" s="96"/>
      <c r="C67" s="96"/>
      <c r="D67" s="59">
        <v>0.02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x14ac:dyDescent="0.2">
      <c r="A68" s="95" t="s">
        <v>64</v>
      </c>
      <c r="B68" s="96"/>
      <c r="C68" s="96"/>
      <c r="D68" s="19">
        <v>0.11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x14ac:dyDescent="0.2">
      <c r="A69" s="95" t="s">
        <v>65</v>
      </c>
      <c r="B69" s="96"/>
      <c r="C69" s="96"/>
      <c r="D69" s="19">
        <f>O30</f>
        <v>0.35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x14ac:dyDescent="0.2">
      <c r="A70" s="95"/>
      <c r="B70" s="96"/>
      <c r="C70" s="9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x14ac:dyDescent="0.2">
      <c r="A71" s="93" t="s">
        <v>66</v>
      </c>
      <c r="B71" s="94"/>
      <c r="C71" s="94"/>
      <c r="D71" s="19">
        <f>ROUNDUP(((D63*(1-D69))*'Loan Amortization'!B3)+(D64*D65),5)</f>
        <v>6.9510000000000002E-2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x14ac:dyDescent="0.2">
      <c r="A73" s="88" t="s">
        <v>67</v>
      </c>
      <c r="B73" s="88"/>
      <c r="C73" s="88"/>
      <c r="D73" s="54">
        <v>0</v>
      </c>
      <c r="E73" s="54">
        <v>1</v>
      </c>
      <c r="F73" s="54">
        <v>2</v>
      </c>
      <c r="G73" s="54">
        <v>3</v>
      </c>
      <c r="H73" s="54">
        <v>4</v>
      </c>
      <c r="I73" s="54">
        <v>5</v>
      </c>
      <c r="J73" s="54">
        <v>6</v>
      </c>
      <c r="K73" s="54">
        <v>7</v>
      </c>
      <c r="L73" s="54">
        <v>8</v>
      </c>
      <c r="M73" s="54">
        <v>9</v>
      </c>
      <c r="N73" s="54">
        <v>10</v>
      </c>
      <c r="O73" s="4"/>
      <c r="P73" s="4"/>
      <c r="Q73" s="4"/>
      <c r="R73" s="4"/>
      <c r="S73" s="4"/>
      <c r="T73" s="4"/>
      <c r="U73" s="4"/>
      <c r="V73" s="4"/>
    </row>
    <row r="74" spans="1:22" x14ac:dyDescent="0.2">
      <c r="A74" s="95" t="s">
        <v>68</v>
      </c>
      <c r="B74" s="96"/>
      <c r="C74" s="9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x14ac:dyDescent="0.2">
      <c r="A75" s="4"/>
      <c r="B75" s="89" t="s">
        <v>69</v>
      </c>
      <c r="C75" s="89"/>
      <c r="D75" s="1"/>
      <c r="E75" s="58">
        <f>(E13-E15)- SUM(E19:E22)</f>
        <v>450497</v>
      </c>
      <c r="F75" s="1">
        <f t="shared" ref="F75:N75" si="23">(F13-F15)- SUM(F19:F22)</f>
        <v>464370.23691624869</v>
      </c>
      <c r="G75" s="1">
        <f t="shared" si="23"/>
        <v>472582.9127516048</v>
      </c>
      <c r="H75" s="1">
        <f t="shared" si="23"/>
        <v>480614.86154925358</v>
      </c>
      <c r="I75" s="1">
        <f t="shared" si="23"/>
        <v>488119.56091833115</v>
      </c>
      <c r="J75" s="1">
        <f t="shared" si="23"/>
        <v>496135.6489503039</v>
      </c>
      <c r="K75" s="1">
        <f t="shared" si="23"/>
        <v>504322.83091336209</v>
      </c>
      <c r="L75" s="1">
        <f t="shared" si="23"/>
        <v>512685.71967490762</v>
      </c>
      <c r="M75" s="1">
        <f t="shared" si="23"/>
        <v>521229.07340760157</v>
      </c>
      <c r="N75" s="1">
        <f t="shared" si="23"/>
        <v>529957.800621178</v>
      </c>
      <c r="O75" s="4"/>
      <c r="P75" s="4"/>
      <c r="Q75" s="4"/>
      <c r="R75" s="4"/>
      <c r="S75" s="4"/>
      <c r="T75" s="4"/>
      <c r="U75" s="4"/>
      <c r="V75" s="4"/>
    </row>
    <row r="76" spans="1:22" x14ac:dyDescent="0.2">
      <c r="A76" s="4"/>
      <c r="B76" s="89" t="s">
        <v>70</v>
      </c>
      <c r="C76" s="89"/>
      <c r="D76" s="1"/>
      <c r="E76" s="53">
        <f t="shared" ref="E76:N76" si="24">E23+E24</f>
        <v>56666.666666666664</v>
      </c>
      <c r="F76" s="53">
        <f t="shared" si="24"/>
        <v>56666.666666666664</v>
      </c>
      <c r="G76" s="53">
        <f t="shared" si="24"/>
        <v>56666.666666666664</v>
      </c>
      <c r="H76" s="53">
        <f t="shared" si="24"/>
        <v>56666.666666666664</v>
      </c>
      <c r="I76" s="53">
        <f t="shared" si="24"/>
        <v>56666.666666666664</v>
      </c>
      <c r="J76" s="53">
        <f t="shared" si="24"/>
        <v>56666.666666666664</v>
      </c>
      <c r="K76" s="53">
        <f t="shared" si="24"/>
        <v>56666.666666666664</v>
      </c>
      <c r="L76" s="53">
        <f t="shared" si="24"/>
        <v>56666.666666666664</v>
      </c>
      <c r="M76" s="53">
        <f t="shared" si="24"/>
        <v>56666.666666666664</v>
      </c>
      <c r="N76" s="53">
        <f t="shared" si="24"/>
        <v>56666.666666666664</v>
      </c>
      <c r="O76" s="4"/>
      <c r="P76" s="4"/>
      <c r="Q76" s="4"/>
      <c r="R76" s="4"/>
      <c r="S76" s="4"/>
      <c r="T76" s="4"/>
      <c r="U76" s="4"/>
      <c r="V76" s="4"/>
    </row>
    <row r="77" spans="1:22" x14ac:dyDescent="0.2">
      <c r="A77" s="4"/>
      <c r="B77" s="89" t="s">
        <v>71</v>
      </c>
      <c r="C77" s="89"/>
      <c r="D77" s="1"/>
      <c r="E77" s="31">
        <f t="shared" ref="E77:N77" si="25">E75-E76</f>
        <v>393830.33333333331</v>
      </c>
      <c r="F77" s="31">
        <f t="shared" si="25"/>
        <v>407703.570249582</v>
      </c>
      <c r="G77" s="31">
        <f t="shared" si="25"/>
        <v>415916.24608493812</v>
      </c>
      <c r="H77" s="31">
        <f t="shared" si="25"/>
        <v>423948.19488258689</v>
      </c>
      <c r="I77" s="31">
        <f t="shared" si="25"/>
        <v>431452.89425166446</v>
      </c>
      <c r="J77" s="31">
        <f t="shared" si="25"/>
        <v>439468.98228363722</v>
      </c>
      <c r="K77" s="31">
        <f t="shared" si="25"/>
        <v>447656.16424669541</v>
      </c>
      <c r="L77" s="31">
        <f t="shared" si="25"/>
        <v>456019.05300824094</v>
      </c>
      <c r="M77" s="31">
        <f t="shared" si="25"/>
        <v>464562.40674093488</v>
      </c>
      <c r="N77" s="31">
        <f t="shared" si="25"/>
        <v>473291.13395451132</v>
      </c>
      <c r="O77" s="4"/>
      <c r="P77" s="4"/>
      <c r="Q77" s="4"/>
      <c r="R77" s="4"/>
      <c r="S77" s="4"/>
      <c r="T77" s="4"/>
      <c r="U77" s="4"/>
      <c r="V77" s="4"/>
    </row>
    <row r="78" spans="1:22" x14ac:dyDescent="0.2">
      <c r="A78" s="4"/>
      <c r="B78" s="89" t="s">
        <v>72</v>
      </c>
      <c r="C78" s="89"/>
      <c r="D78" s="1"/>
      <c r="E78" s="1">
        <f t="shared" ref="E78:N78" si="26">E77*$O$30</f>
        <v>137840.61666666664</v>
      </c>
      <c r="F78" s="1">
        <f t="shared" si="26"/>
        <v>142696.2495873537</v>
      </c>
      <c r="G78" s="1">
        <f t="shared" si="26"/>
        <v>145570.68612972833</v>
      </c>
      <c r="H78" s="1">
        <f t="shared" si="26"/>
        <v>148381.86820890539</v>
      </c>
      <c r="I78" s="1">
        <f t="shared" si="26"/>
        <v>151008.51298808254</v>
      </c>
      <c r="J78" s="1">
        <f t="shared" si="26"/>
        <v>153814.14379927301</v>
      </c>
      <c r="K78" s="1">
        <f t="shared" si="26"/>
        <v>156679.65748634338</v>
      </c>
      <c r="L78" s="1">
        <f t="shared" si="26"/>
        <v>159606.66855288431</v>
      </c>
      <c r="M78" s="1">
        <f t="shared" si="26"/>
        <v>162596.84235932719</v>
      </c>
      <c r="N78" s="1">
        <f t="shared" si="26"/>
        <v>165651.89688407895</v>
      </c>
      <c r="O78" s="4"/>
      <c r="P78" s="4"/>
      <c r="Q78" s="4"/>
      <c r="R78" s="4"/>
      <c r="S78" s="4"/>
      <c r="T78" s="4"/>
      <c r="U78" s="4"/>
      <c r="V78" s="4"/>
    </row>
    <row r="79" spans="1:22" x14ac:dyDescent="0.2">
      <c r="A79" s="4"/>
      <c r="B79" s="89" t="s">
        <v>73</v>
      </c>
      <c r="C79" s="89"/>
      <c r="D79" s="1"/>
      <c r="E79" s="53">
        <f t="shared" ref="E79:N79" si="27">E76</f>
        <v>56666.666666666664</v>
      </c>
      <c r="F79" s="53">
        <f t="shared" si="27"/>
        <v>56666.666666666664</v>
      </c>
      <c r="G79" s="53">
        <f t="shared" si="27"/>
        <v>56666.666666666664</v>
      </c>
      <c r="H79" s="53">
        <f t="shared" si="27"/>
        <v>56666.666666666664</v>
      </c>
      <c r="I79" s="53">
        <f t="shared" si="27"/>
        <v>56666.666666666664</v>
      </c>
      <c r="J79" s="53">
        <f t="shared" si="27"/>
        <v>56666.666666666664</v>
      </c>
      <c r="K79" s="53">
        <f t="shared" si="27"/>
        <v>56666.666666666664</v>
      </c>
      <c r="L79" s="53">
        <f t="shared" si="27"/>
        <v>56666.666666666664</v>
      </c>
      <c r="M79" s="53">
        <f t="shared" si="27"/>
        <v>56666.666666666664</v>
      </c>
      <c r="N79" s="53">
        <f t="shared" si="27"/>
        <v>56666.666666666664</v>
      </c>
      <c r="O79" s="4"/>
      <c r="P79" s="4"/>
      <c r="Q79" s="4"/>
      <c r="R79" s="4"/>
      <c r="S79" s="4"/>
      <c r="T79" s="4"/>
      <c r="U79" s="4"/>
      <c r="V79" s="4"/>
    </row>
    <row r="80" spans="1:22" x14ac:dyDescent="0.2">
      <c r="A80" s="4"/>
      <c r="B80" s="89" t="s">
        <v>74</v>
      </c>
      <c r="C80" s="89"/>
      <c r="D80" s="1"/>
      <c r="E80" s="31">
        <f t="shared" ref="E80:N80" si="28">(E77-E78)+E79</f>
        <v>312656.38333333336</v>
      </c>
      <c r="F80" s="31">
        <f t="shared" si="28"/>
        <v>321673.98732889496</v>
      </c>
      <c r="G80" s="31">
        <f t="shared" si="28"/>
        <v>327012.22662187647</v>
      </c>
      <c r="H80" s="31">
        <f t="shared" si="28"/>
        <v>332232.99334034818</v>
      </c>
      <c r="I80" s="31">
        <f t="shared" si="28"/>
        <v>337111.04793024861</v>
      </c>
      <c r="J80" s="31">
        <f t="shared" si="28"/>
        <v>342321.5051510309</v>
      </c>
      <c r="K80" s="31">
        <f t="shared" si="28"/>
        <v>347643.17342701874</v>
      </c>
      <c r="L80" s="31">
        <f t="shared" si="28"/>
        <v>353079.05112202332</v>
      </c>
      <c r="M80" s="31">
        <f t="shared" si="28"/>
        <v>358632.23104827438</v>
      </c>
      <c r="N80" s="31">
        <f t="shared" si="28"/>
        <v>364305.90373709908</v>
      </c>
      <c r="O80" s="4"/>
      <c r="P80" s="4"/>
      <c r="Q80" s="4"/>
      <c r="R80" s="4"/>
      <c r="S80" s="4"/>
      <c r="T80" s="4"/>
      <c r="U80" s="4"/>
      <c r="V80" s="4"/>
    </row>
    <row r="81" spans="1:22" x14ac:dyDescent="0.2">
      <c r="A81" s="95" t="s">
        <v>75</v>
      </c>
      <c r="B81" s="96"/>
      <c r="C81" s="96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4"/>
      <c r="Q81" s="4"/>
      <c r="R81" s="4"/>
      <c r="S81" s="4"/>
      <c r="T81" s="4"/>
      <c r="U81" s="4"/>
      <c r="V81" s="4"/>
    </row>
    <row r="82" spans="1:22" x14ac:dyDescent="0.2">
      <c r="A82" s="62"/>
      <c r="B82" s="101" t="s">
        <v>160</v>
      </c>
      <c r="C82" s="101"/>
      <c r="D82" s="1">
        <v>-310000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4"/>
      <c r="P82" s="4"/>
      <c r="Q82" s="4"/>
      <c r="R82" s="4"/>
      <c r="S82" s="4"/>
      <c r="T82" s="4"/>
      <c r="U82" s="4"/>
      <c r="V82" s="4"/>
    </row>
    <row r="83" spans="1:22" x14ac:dyDescent="0.2">
      <c r="A83" s="4"/>
      <c r="B83" s="89" t="s">
        <v>76</v>
      </c>
      <c r="C83" s="89"/>
      <c r="D83" s="1">
        <f>-E43</f>
        <v>-1250000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4"/>
      <c r="P83" s="4"/>
      <c r="Q83" s="4"/>
      <c r="R83" s="4"/>
      <c r="S83" s="4"/>
      <c r="T83" s="4"/>
      <c r="U83" s="4"/>
      <c r="V83" s="4"/>
    </row>
    <row r="84" spans="1:22" x14ac:dyDescent="0.2">
      <c r="A84" s="4"/>
      <c r="B84" s="89" t="s">
        <v>77</v>
      </c>
      <c r="C84" s="89"/>
      <c r="D84" s="1">
        <f>-E41</f>
        <v>-75000</v>
      </c>
      <c r="E84" s="1"/>
      <c r="F84" s="1"/>
      <c r="G84" s="1"/>
      <c r="H84" s="1"/>
      <c r="I84" s="1"/>
      <c r="J84" s="1">
        <f>-K41</f>
        <v>-75000</v>
      </c>
      <c r="K84" s="1"/>
      <c r="L84" s="1"/>
      <c r="M84" s="1"/>
      <c r="N84" s="1"/>
      <c r="O84" s="4"/>
      <c r="P84" s="4"/>
      <c r="Q84" s="4"/>
      <c r="R84" s="4"/>
      <c r="S84" s="4"/>
      <c r="T84" s="4"/>
      <c r="U84" s="4"/>
      <c r="V84" s="4"/>
    </row>
    <row r="85" spans="1:22" x14ac:dyDescent="0.2">
      <c r="A85" s="4"/>
      <c r="B85" s="89" t="s">
        <v>78</v>
      </c>
      <c r="C85" s="89"/>
      <c r="D85" s="1">
        <f>-E40</f>
        <v>-3000000</v>
      </c>
      <c r="E85" s="1"/>
      <c r="F85" s="1"/>
      <c r="G85" s="1"/>
      <c r="H85" s="1"/>
      <c r="I85" s="1"/>
      <c r="J85" s="1"/>
      <c r="K85" s="1"/>
      <c r="L85" s="1"/>
      <c r="M85" s="1"/>
      <c r="N85" s="1"/>
      <c r="P85" s="68" t="s">
        <v>168</v>
      </c>
      <c r="Q85" s="68" t="s">
        <v>42</v>
      </c>
      <c r="R85" s="68" t="s">
        <v>46</v>
      </c>
      <c r="S85" s="4"/>
      <c r="T85" s="4"/>
      <c r="U85" s="4"/>
      <c r="V85" s="4"/>
    </row>
    <row r="86" spans="1:22" x14ac:dyDescent="0.2">
      <c r="A86" s="60"/>
      <c r="B86" s="98" t="s">
        <v>169</v>
      </c>
      <c r="C86" s="99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P86" s="68"/>
      <c r="Q86" s="68"/>
      <c r="R86" s="60"/>
      <c r="S86" s="60"/>
      <c r="T86" s="60"/>
      <c r="U86" s="60"/>
      <c r="V86" s="60"/>
    </row>
    <row r="87" spans="1:22" x14ac:dyDescent="0.2">
      <c r="A87" s="4"/>
      <c r="B87" s="89" t="s">
        <v>79</v>
      </c>
      <c r="C87" s="89"/>
      <c r="D87" s="1"/>
      <c r="E87" s="1"/>
      <c r="F87" s="1"/>
      <c r="G87" s="1"/>
      <c r="H87" s="1"/>
      <c r="I87" s="1"/>
      <c r="J87" s="1"/>
      <c r="K87" s="1"/>
      <c r="L87" s="1"/>
      <c r="M87" s="1"/>
      <c r="N87" s="1">
        <f>P87*P88</f>
        <v>916666.66666666663</v>
      </c>
      <c r="O87" s="4" t="s">
        <v>80</v>
      </c>
      <c r="P87" s="4">
        <f>N43-N44</f>
        <v>833333.33333333326</v>
      </c>
      <c r="Q87" s="4">
        <f>N40</f>
        <v>3000000</v>
      </c>
      <c r="R87" s="4">
        <f>N45</f>
        <v>310000</v>
      </c>
      <c r="S87" s="4"/>
      <c r="T87" s="4"/>
      <c r="U87" s="4"/>
      <c r="V87" s="4"/>
    </row>
    <row r="88" spans="1:22" x14ac:dyDescent="0.2">
      <c r="A88" s="4"/>
      <c r="B88" s="89" t="s">
        <v>81</v>
      </c>
      <c r="C88" s="89"/>
      <c r="D88" s="1"/>
      <c r="E88" s="1"/>
      <c r="F88" s="1"/>
      <c r="G88" s="1"/>
      <c r="H88" s="1"/>
      <c r="I88" s="1">
        <v>10000</v>
      </c>
      <c r="J88" s="1"/>
      <c r="K88" s="1"/>
      <c r="L88" s="1"/>
      <c r="M88" s="1"/>
      <c r="N88" s="1">
        <v>10000</v>
      </c>
      <c r="O88" s="4" t="s">
        <v>82</v>
      </c>
      <c r="P88" s="19">
        <v>1.1000000000000001</v>
      </c>
      <c r="Q88" s="19">
        <v>1.1499999999999999</v>
      </c>
      <c r="R88" s="59">
        <v>0.75</v>
      </c>
      <c r="S88" s="4"/>
      <c r="T88" s="4"/>
      <c r="U88" s="4"/>
      <c r="V88" s="4"/>
    </row>
    <row r="89" spans="1:22" x14ac:dyDescent="0.2">
      <c r="A89" s="4"/>
      <c r="B89" s="89" t="s">
        <v>83</v>
      </c>
      <c r="C89" s="89"/>
      <c r="D89" s="1"/>
      <c r="E89" s="1"/>
      <c r="F89" s="1"/>
      <c r="G89" s="1"/>
      <c r="H89" s="1"/>
      <c r="I89" s="1"/>
      <c r="J89" s="1"/>
      <c r="K89" s="1"/>
      <c r="L89" s="1"/>
      <c r="M89" s="1"/>
      <c r="N89" s="1">
        <f>Q87*Q88</f>
        <v>3449999.9999999995</v>
      </c>
      <c r="O89" s="4" t="s">
        <v>84</v>
      </c>
      <c r="P89" s="1">
        <f>P87-N87</f>
        <v>-83333.333333333372</v>
      </c>
      <c r="Q89" s="70">
        <f>Q87-N89</f>
        <v>-449999.99999999953</v>
      </c>
      <c r="R89" s="60">
        <f>R87-N90</f>
        <v>77500</v>
      </c>
      <c r="S89" s="4"/>
      <c r="T89" s="4"/>
      <c r="U89" s="4"/>
      <c r="V89" s="4"/>
    </row>
    <row r="90" spans="1:22" x14ac:dyDescent="0.2">
      <c r="A90" s="60"/>
      <c r="B90" s="98" t="s">
        <v>170</v>
      </c>
      <c r="C90" s="98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>
        <f>R87*R88</f>
        <v>232500</v>
      </c>
      <c r="O90" s="60"/>
      <c r="P90" s="61"/>
      <c r="Q90" s="61"/>
      <c r="R90" s="60"/>
      <c r="S90" s="60"/>
      <c r="T90" s="60"/>
      <c r="U90" s="60"/>
      <c r="V90" s="60"/>
    </row>
    <row r="91" spans="1:22" x14ac:dyDescent="0.2">
      <c r="A91" s="4"/>
      <c r="B91" s="89" t="s">
        <v>85</v>
      </c>
      <c r="C91" s="89"/>
      <c r="D91" s="1"/>
      <c r="E91" s="1"/>
      <c r="F91" s="1"/>
      <c r="G91" s="1"/>
      <c r="H91" s="1"/>
      <c r="I91" s="1"/>
      <c r="J91" s="1"/>
      <c r="K91" s="1"/>
      <c r="L91" s="1"/>
      <c r="M91" s="1"/>
      <c r="N91" s="1">
        <f>P89*0.35</f>
        <v>-29166.666666666679</v>
      </c>
      <c r="P91" s="4"/>
      <c r="Q91" s="4"/>
      <c r="R91" s="4"/>
      <c r="S91" s="4"/>
      <c r="T91" s="4"/>
      <c r="U91" s="4"/>
      <c r="V91" s="4"/>
    </row>
    <row r="92" spans="1:22" x14ac:dyDescent="0.2">
      <c r="B92" s="89" t="s">
        <v>86</v>
      </c>
      <c r="C92" s="89"/>
      <c r="D92" s="1"/>
      <c r="E92" s="1"/>
      <c r="F92" s="1"/>
      <c r="G92" s="1"/>
      <c r="H92" s="1"/>
      <c r="I92" s="1">
        <f>-I88*$D$69</f>
        <v>-3500</v>
      </c>
      <c r="J92" s="1"/>
      <c r="K92" s="1"/>
      <c r="L92" s="1"/>
      <c r="M92" s="1"/>
      <c r="N92" s="1">
        <f>-N88*$D$69</f>
        <v>-3500</v>
      </c>
      <c r="O92" s="4"/>
      <c r="P92" s="4"/>
      <c r="Q92" s="4"/>
      <c r="R92" s="4"/>
      <c r="S92" s="4"/>
      <c r="T92" s="4"/>
      <c r="U92" s="4"/>
      <c r="V92" s="4"/>
    </row>
    <row r="93" spans="1:22" x14ac:dyDescent="0.2">
      <c r="B93" s="89" t="s">
        <v>87</v>
      </c>
      <c r="C93" s="89"/>
      <c r="D93" s="1"/>
      <c r="E93" s="1"/>
      <c r="F93" s="1"/>
      <c r="G93" s="1"/>
      <c r="H93" s="1"/>
      <c r="I93" s="1"/>
      <c r="J93" s="1"/>
      <c r="K93" s="1"/>
      <c r="L93" s="1"/>
      <c r="M93" s="1"/>
      <c r="N93" s="1">
        <f>Q89*0.35</f>
        <v>-157499.99999999983</v>
      </c>
      <c r="O93" s="4"/>
      <c r="P93" s="4"/>
      <c r="Q93" s="4"/>
      <c r="R93" s="4"/>
      <c r="S93" s="4"/>
      <c r="T93" s="4"/>
      <c r="U93" s="4"/>
      <c r="V93" s="4"/>
    </row>
    <row r="94" spans="1:22" x14ac:dyDescent="0.2">
      <c r="A94" s="95" t="s">
        <v>88</v>
      </c>
      <c r="B94" s="96"/>
      <c r="C94" s="9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"/>
      <c r="P94" s="4"/>
      <c r="Q94" s="4"/>
      <c r="R94" s="4"/>
      <c r="S94" s="4"/>
      <c r="T94" s="4"/>
      <c r="U94" s="4"/>
      <c r="V94" s="4"/>
    </row>
    <row r="95" spans="1:22" x14ac:dyDescent="0.2">
      <c r="A95" s="4" t="s">
        <v>89</v>
      </c>
      <c r="B95" s="89" t="s">
        <v>40</v>
      </c>
      <c r="C95" s="89"/>
      <c r="D95" s="1"/>
      <c r="E95" s="1">
        <f t="shared" ref="E95:N95" si="29">-(E38-D38)</f>
        <v>-16438.35616438356</v>
      </c>
      <c r="F95" s="1">
        <f t="shared" si="29"/>
        <v>-4394.7945205479446</v>
      </c>
      <c r="G95" s="1">
        <f t="shared" si="29"/>
        <v>-765.55331506849689</v>
      </c>
      <c r="H95" s="1">
        <f t="shared" si="29"/>
        <v>-794.95954954520494</v>
      </c>
      <c r="I95" s="1">
        <f t="shared" si="29"/>
        <v>-825.52335350573048</v>
      </c>
      <c r="J95" s="1">
        <f t="shared" si="29"/>
        <v>-857.29088390945617</v>
      </c>
      <c r="K95" s="1">
        <f t="shared" si="29"/>
        <v>-890.31015027991452</v>
      </c>
      <c r="L95" s="1">
        <f t="shared" si="29"/>
        <v>-924.63108930495582</v>
      </c>
      <c r="M95" s="1">
        <f t="shared" si="29"/>
        <v>-960.30564244568814</v>
      </c>
      <c r="N95" s="1">
        <f t="shared" si="29"/>
        <v>-997.38783667595635</v>
      </c>
      <c r="O95" s="4"/>
      <c r="P95" s="4"/>
      <c r="Q95" s="4"/>
      <c r="R95" s="4"/>
      <c r="S95" s="4"/>
      <c r="T95" s="4"/>
      <c r="U95" s="4"/>
      <c r="V95" s="4"/>
    </row>
    <row r="96" spans="1:22" x14ac:dyDescent="0.2">
      <c r="A96" s="4" t="s">
        <v>89</v>
      </c>
      <c r="B96" s="89" t="s">
        <v>41</v>
      </c>
      <c r="C96" s="89"/>
      <c r="D96" s="1"/>
      <c r="E96" s="1">
        <f t="shared" ref="E96:N96" si="30">-(E39-D39)</f>
        <v>-800.06678082191786</v>
      </c>
      <c r="F96" s="1">
        <f t="shared" si="30"/>
        <v>-9.1081290014982415</v>
      </c>
      <c r="G96" s="1">
        <f t="shared" si="30"/>
        <v>-9.2506944418298644</v>
      </c>
      <c r="H96" s="1">
        <f t="shared" si="30"/>
        <v>-9.3969709886004011</v>
      </c>
      <c r="I96" s="1">
        <f t="shared" si="30"/>
        <v>-9.5471077195010139</v>
      </c>
      <c r="J96" s="1">
        <f t="shared" si="30"/>
        <v>-9.7012608135088385</v>
      </c>
      <c r="K96" s="1">
        <f t="shared" si="30"/>
        <v>-9.8595939053908523</v>
      </c>
      <c r="L96" s="1">
        <f t="shared" si="30"/>
        <v>-10.022278458099663</v>
      </c>
      <c r="M96" s="1">
        <f t="shared" si="30"/>
        <v>-10.189494153990381</v>
      </c>
      <c r="N96" s="1">
        <f t="shared" si="30"/>
        <v>-10.36142930579183</v>
      </c>
      <c r="O96" s="4"/>
      <c r="P96" s="4"/>
      <c r="Q96" s="4"/>
      <c r="R96" s="4"/>
      <c r="S96" s="4"/>
      <c r="T96" s="4"/>
      <c r="U96" s="4"/>
      <c r="V96" s="4"/>
    </row>
    <row r="97" spans="1:22" x14ac:dyDescent="0.2">
      <c r="A97" s="4" t="s">
        <v>90</v>
      </c>
      <c r="B97" s="89" t="s">
        <v>91</v>
      </c>
      <c r="C97" s="89"/>
      <c r="D97" s="1"/>
      <c r="E97" s="1">
        <f t="shared" ref="E97:N97" si="31">(E78-D78)</f>
        <v>137840.61666666664</v>
      </c>
      <c r="F97" s="1">
        <f t="shared" si="31"/>
        <v>4855.6329206870578</v>
      </c>
      <c r="G97" s="1">
        <f t="shared" si="31"/>
        <v>2874.4365423746349</v>
      </c>
      <c r="H97" s="1">
        <f t="shared" si="31"/>
        <v>2811.1820791770588</v>
      </c>
      <c r="I97" s="1">
        <f t="shared" si="31"/>
        <v>2626.6447791771498</v>
      </c>
      <c r="J97" s="1">
        <f t="shared" si="31"/>
        <v>2805.6308111904655</v>
      </c>
      <c r="K97" s="1">
        <f t="shared" si="31"/>
        <v>2865.5136870703718</v>
      </c>
      <c r="L97" s="1">
        <f t="shared" si="31"/>
        <v>2927.0110665409302</v>
      </c>
      <c r="M97" s="1">
        <f t="shared" si="31"/>
        <v>2990.1738064428791</v>
      </c>
      <c r="N97" s="1">
        <f t="shared" si="31"/>
        <v>3055.0545247517584</v>
      </c>
      <c r="O97" s="4"/>
      <c r="P97" s="4"/>
      <c r="Q97" s="4"/>
      <c r="R97" s="4"/>
      <c r="S97" s="4"/>
      <c r="T97" s="4"/>
      <c r="U97" s="4"/>
      <c r="V97" s="4"/>
    </row>
    <row r="98" spans="1:22" x14ac:dyDescent="0.2">
      <c r="A98" s="4" t="s">
        <v>90</v>
      </c>
      <c r="B98" s="89" t="s">
        <v>92</v>
      </c>
      <c r="C98" s="89"/>
      <c r="D98" s="1"/>
      <c r="E98" s="1">
        <f t="shared" ref="E98:N98" si="32">E52-D52</f>
        <v>2019.1931506849314</v>
      </c>
      <c r="F98" s="1">
        <f t="shared" si="32"/>
        <v>26.921646889083831</v>
      </c>
      <c r="G98" s="1">
        <f t="shared" si="32"/>
        <v>27.545445397134017</v>
      </c>
      <c r="H98" s="1">
        <f t="shared" si="32"/>
        <v>28.18722841954559</v>
      </c>
      <c r="I98" s="1">
        <f t="shared" si="32"/>
        <v>28.847638814104357</v>
      </c>
      <c r="J98" s="1">
        <f t="shared" si="32"/>
        <v>29.527344576646101</v>
      </c>
      <c r="K98" s="1">
        <f t="shared" si="32"/>
        <v>30.22703987512341</v>
      </c>
      <c r="L98" s="1">
        <f t="shared" si="32"/>
        <v>30.947446127558578</v>
      </c>
      <c r="M98" s="1">
        <f t="shared" si="32"/>
        <v>31.68931312579025</v>
      </c>
      <c r="N98" s="1">
        <f t="shared" si="32"/>
        <v>32.453420207013096</v>
      </c>
      <c r="O98" s="4"/>
      <c r="P98" s="4"/>
      <c r="Q98" s="4"/>
      <c r="R98" s="4"/>
      <c r="S98" s="4"/>
      <c r="T98" s="4"/>
      <c r="U98" s="4"/>
      <c r="V98" s="4"/>
    </row>
    <row r="99" spans="1:22" x14ac:dyDescent="0.2">
      <c r="A99" s="95" t="s">
        <v>93</v>
      </c>
      <c r="B99" s="96"/>
      <c r="C99" s="9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"/>
      <c r="P99" s="4"/>
      <c r="Q99" s="4"/>
      <c r="R99" s="4"/>
      <c r="S99" s="4"/>
      <c r="T99" s="4"/>
      <c r="U99" s="4"/>
      <c r="V99" s="4"/>
    </row>
    <row r="100" spans="1:22" x14ac:dyDescent="0.2">
      <c r="A100" s="4" t="s">
        <v>90</v>
      </c>
      <c r="B100" s="89" t="s">
        <v>40</v>
      </c>
      <c r="C100" s="8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f>N38</f>
        <v>27849.112505666908</v>
      </c>
      <c r="O100" s="4"/>
      <c r="P100" s="4"/>
      <c r="Q100" s="4"/>
      <c r="R100" s="4"/>
      <c r="S100" s="4"/>
      <c r="T100" s="4"/>
      <c r="U100" s="4"/>
      <c r="V100" s="4"/>
    </row>
    <row r="101" spans="1:22" x14ac:dyDescent="0.2">
      <c r="A101" s="4" t="s">
        <v>90</v>
      </c>
      <c r="B101" s="89" t="s">
        <v>41</v>
      </c>
      <c r="C101" s="8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f>N39</f>
        <v>887.50373961012895</v>
      </c>
      <c r="O101" s="4"/>
      <c r="P101" s="4"/>
      <c r="Q101" s="4"/>
      <c r="R101" s="4"/>
      <c r="S101" s="4"/>
      <c r="T101" s="4"/>
      <c r="U101" s="4"/>
      <c r="V101" s="4"/>
    </row>
    <row r="102" spans="1:22" x14ac:dyDescent="0.2">
      <c r="A102" s="4" t="s">
        <v>89</v>
      </c>
      <c r="B102" s="89" t="s">
        <v>50</v>
      </c>
      <c r="C102" s="8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f>-N52</f>
        <v>-2285.5396741169307</v>
      </c>
      <c r="O102" s="4"/>
      <c r="P102" s="4"/>
      <c r="Q102" s="4"/>
      <c r="R102" s="4"/>
      <c r="S102" s="4"/>
      <c r="T102" s="4"/>
      <c r="U102" s="4"/>
      <c r="V102" s="4"/>
    </row>
    <row r="103" spans="1:22" x14ac:dyDescent="0.2">
      <c r="A103" s="4" t="s">
        <v>89</v>
      </c>
      <c r="B103" s="89" t="s">
        <v>94</v>
      </c>
      <c r="C103" s="8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f>-N78</f>
        <v>-165651.89688407895</v>
      </c>
      <c r="O103" s="4"/>
      <c r="P103" s="4"/>
      <c r="Q103" s="4"/>
      <c r="R103" s="4"/>
      <c r="S103" s="4"/>
      <c r="T103" s="4"/>
      <c r="U103" s="4"/>
      <c r="V103" s="4"/>
    </row>
    <row r="104" spans="1:22" x14ac:dyDescent="0.2">
      <c r="A104" s="4"/>
      <c r="B104" s="4"/>
      <c r="C104" s="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"/>
      <c r="P104" s="4"/>
      <c r="Q104" s="4"/>
      <c r="R104" s="4"/>
      <c r="S104" s="4"/>
      <c r="T104" s="4"/>
      <c r="U104" s="4"/>
      <c r="V104" s="4"/>
    </row>
    <row r="105" spans="1:22" x14ac:dyDescent="0.2">
      <c r="A105" s="89" t="s">
        <v>95</v>
      </c>
      <c r="B105" s="89"/>
      <c r="C105" s="89"/>
      <c r="D105" s="1">
        <f t="shared" ref="D105:N105" si="33">SUM(D80:D104)</f>
        <v>-4635000</v>
      </c>
      <c r="E105" s="1">
        <f t="shared" si="33"/>
        <v>435277.77020547941</v>
      </c>
      <c r="F105" s="1">
        <f t="shared" si="33"/>
        <v>322152.63924692164</v>
      </c>
      <c r="G105" s="1">
        <f t="shared" si="33"/>
        <v>329139.40460013796</v>
      </c>
      <c r="H105" s="1">
        <f t="shared" si="33"/>
        <v>334268.00612741098</v>
      </c>
      <c r="I105" s="1">
        <f t="shared" si="33"/>
        <v>345431.46988701465</v>
      </c>
      <c r="J105" s="1">
        <f t="shared" si="33"/>
        <v>269289.67116207507</v>
      </c>
      <c r="K105" s="1">
        <f t="shared" si="33"/>
        <v>349638.74440977897</v>
      </c>
      <c r="L105" s="1">
        <f t="shared" si="33"/>
        <v>355102.35626692872</v>
      </c>
      <c r="M105" s="1">
        <f t="shared" si="33"/>
        <v>360683.59903124336</v>
      </c>
      <c r="N105" s="1">
        <f t="shared" si="33"/>
        <v>4646184.8421031553</v>
      </c>
      <c r="O105" s="4"/>
      <c r="P105" s="4"/>
      <c r="Q105" s="4"/>
      <c r="R105" s="4"/>
      <c r="S105" s="4"/>
      <c r="T105" s="4"/>
      <c r="U105" s="4"/>
      <c r="V105" s="4"/>
    </row>
    <row r="106" spans="1:22" ht="25.5" x14ac:dyDescent="0.2">
      <c r="A106" s="4" t="s">
        <v>96</v>
      </c>
      <c r="B106" s="4"/>
      <c r="C106" s="4"/>
      <c r="D106" s="19">
        <f>ROUNDUP((IRR(D105:N105)),5)</f>
        <v>6.9529999999999995E-2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"/>
      <c r="P106" s="4"/>
      <c r="Q106" s="4"/>
      <c r="R106" s="4"/>
      <c r="S106" s="4"/>
      <c r="T106" s="4"/>
      <c r="U106" s="4"/>
      <c r="V106" s="4"/>
    </row>
    <row r="107" spans="1:22" x14ac:dyDescent="0.2">
      <c r="A107" s="4"/>
      <c r="B107" s="4"/>
      <c r="C107" s="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"/>
      <c r="P107" s="4"/>
      <c r="Q107" s="4"/>
      <c r="R107" s="4"/>
      <c r="S107" s="4"/>
      <c r="T107" s="4"/>
      <c r="U107" s="4"/>
      <c r="V107" s="4"/>
    </row>
    <row r="108" spans="1:22" x14ac:dyDescent="0.2">
      <c r="A108" s="89" t="s">
        <v>97</v>
      </c>
      <c r="B108" s="89"/>
      <c r="C108" s="89"/>
      <c r="D108" s="1">
        <f t="shared" ref="D108:N108" si="34">-PV($D$110,D73,,D105)</f>
        <v>-4635000</v>
      </c>
      <c r="E108" s="1">
        <f t="shared" si="34"/>
        <v>406988.03209458484</v>
      </c>
      <c r="F108" s="1">
        <f t="shared" si="34"/>
        <v>281638.48173418525</v>
      </c>
      <c r="G108" s="1">
        <f t="shared" si="34"/>
        <v>269045.250850201</v>
      </c>
      <c r="H108" s="1">
        <f t="shared" si="34"/>
        <v>255479.12049522129</v>
      </c>
      <c r="I108" s="1">
        <f t="shared" si="34"/>
        <v>246852.56971780045</v>
      </c>
      <c r="J108" s="1">
        <f t="shared" si="34"/>
        <v>179932.90775770947</v>
      </c>
      <c r="K108" s="1">
        <f t="shared" si="34"/>
        <v>218436.69889541779</v>
      </c>
      <c r="L108" s="1">
        <f t="shared" si="34"/>
        <v>207431.52353528916</v>
      </c>
      <c r="M108" s="1">
        <f t="shared" si="34"/>
        <v>196998.42230474809</v>
      </c>
      <c r="N108" s="1">
        <f t="shared" si="34"/>
        <v>2372728.1758773937</v>
      </c>
      <c r="O108" s="4"/>
      <c r="P108" s="4"/>
      <c r="Q108" s="4"/>
      <c r="R108" s="4"/>
      <c r="S108" s="4"/>
      <c r="T108" s="4"/>
      <c r="U108" s="4"/>
      <c r="V108" s="4"/>
    </row>
    <row r="109" spans="1:22" x14ac:dyDescent="0.2">
      <c r="A109" s="89" t="s">
        <v>98</v>
      </c>
      <c r="B109" s="89"/>
      <c r="C109" s="89"/>
      <c r="D109" s="1">
        <f>SUM(D108:N108)</f>
        <v>531.18326255073771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"/>
      <c r="P109" s="4"/>
      <c r="Q109" s="4"/>
      <c r="R109" s="4"/>
      <c r="S109" s="4"/>
      <c r="T109" s="4"/>
      <c r="U109" s="4"/>
      <c r="V109" s="4"/>
    </row>
    <row r="110" spans="1:22" x14ac:dyDescent="0.2">
      <c r="A110" s="89" t="s">
        <v>58</v>
      </c>
      <c r="B110" s="89"/>
      <c r="C110" s="4"/>
      <c r="D110" s="19">
        <f>D71</f>
        <v>6.9510000000000002E-2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"/>
      <c r="P110" s="4"/>
      <c r="Q110" s="4"/>
      <c r="R110" s="4"/>
      <c r="S110" s="4"/>
      <c r="T110" s="4"/>
      <c r="U110" s="4"/>
      <c r="V110" s="4"/>
    </row>
    <row r="111" spans="1:22" x14ac:dyDescent="0.2">
      <c r="A111" s="4"/>
      <c r="B111" s="4"/>
      <c r="C111" s="4" t="s">
        <v>99</v>
      </c>
      <c r="D111" s="69">
        <f>D106-D110</f>
        <v>1.9999999999992246E-5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"/>
      <c r="P111" s="4"/>
      <c r="Q111" s="4"/>
      <c r="R111" s="4"/>
      <c r="S111" s="4"/>
      <c r="T111" s="4"/>
      <c r="U111" s="4"/>
      <c r="V111" s="4"/>
    </row>
    <row r="112" spans="1:22" x14ac:dyDescent="0.2">
      <c r="A112" s="4"/>
      <c r="B112" s="4"/>
      <c r="C112" s="89"/>
      <c r="D112" s="100"/>
      <c r="E112" s="100"/>
      <c r="F112" s="1"/>
      <c r="G112" s="1"/>
      <c r="H112" s="1"/>
      <c r="I112" s="1"/>
      <c r="J112" s="1"/>
      <c r="K112" s="1"/>
      <c r="L112" s="1"/>
      <c r="M112" s="1"/>
      <c r="N112" s="1"/>
      <c r="O112" s="4"/>
      <c r="P112" s="4"/>
      <c r="Q112" s="4"/>
      <c r="R112" s="4"/>
      <c r="S112" s="4"/>
      <c r="T112" s="4"/>
      <c r="U112" s="4"/>
      <c r="V112" s="4"/>
    </row>
    <row r="113" spans="1:22" x14ac:dyDescent="0.2">
      <c r="A113" s="4"/>
      <c r="B113" s="4"/>
      <c r="C113" s="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"/>
      <c r="P113" s="4"/>
      <c r="Q113" s="4"/>
      <c r="R113" s="4"/>
      <c r="S113" s="4"/>
      <c r="T113" s="4"/>
      <c r="U113" s="4"/>
      <c r="V113" s="4"/>
    </row>
    <row r="114" spans="1:22" x14ac:dyDescent="0.2">
      <c r="A114" s="4"/>
      <c r="B114" s="4"/>
      <c r="C114" s="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"/>
      <c r="P114" s="4"/>
      <c r="Q114" s="4"/>
      <c r="R114" s="4"/>
      <c r="S114" s="4"/>
      <c r="T114" s="4"/>
      <c r="U114" s="4"/>
      <c r="V114" s="4"/>
    </row>
    <row r="115" spans="1:22" x14ac:dyDescent="0.2">
      <c r="A115" s="4"/>
      <c r="B115" s="4"/>
      <c r="C115" s="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"/>
      <c r="P115" s="4"/>
      <c r="Q115" s="4"/>
      <c r="R115" s="4"/>
      <c r="S115" s="4"/>
      <c r="T115" s="4"/>
      <c r="U115" s="4"/>
      <c r="V115" s="4"/>
    </row>
    <row r="116" spans="1:22" x14ac:dyDescent="0.2">
      <c r="A116" s="4"/>
      <c r="B116" s="4"/>
      <c r="C116" s="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"/>
      <c r="P116" s="4"/>
      <c r="Q116" s="4"/>
      <c r="R116" s="4"/>
      <c r="S116" s="4"/>
      <c r="T116" s="4"/>
      <c r="U116" s="4"/>
      <c r="V116" s="4"/>
    </row>
    <row r="117" spans="1:22" x14ac:dyDescent="0.2">
      <c r="A117" s="4"/>
      <c r="B117" s="4"/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"/>
      <c r="P117" s="4"/>
      <c r="Q117" s="4"/>
      <c r="R117" s="4"/>
      <c r="S117" s="4"/>
      <c r="T117" s="4"/>
      <c r="U117" s="4"/>
      <c r="V117" s="4"/>
    </row>
    <row r="118" spans="1:22" x14ac:dyDescent="0.2">
      <c r="A118" s="4"/>
      <c r="B118" s="4"/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"/>
      <c r="P118" s="4"/>
      <c r="Q118" s="4"/>
      <c r="R118" s="4"/>
      <c r="S118" s="4"/>
      <c r="T118" s="4"/>
      <c r="U118" s="4"/>
      <c r="V118" s="4"/>
    </row>
    <row r="119" spans="1:22" x14ac:dyDescent="0.2">
      <c r="A119" s="4"/>
      <c r="B119" s="4"/>
      <c r="C119" s="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"/>
      <c r="P119" s="4"/>
      <c r="Q119" s="4"/>
      <c r="R119" s="4"/>
      <c r="S119" s="4"/>
      <c r="T119" s="4"/>
      <c r="U119" s="4"/>
      <c r="V119" s="4"/>
    </row>
    <row r="120" spans="1:22" x14ac:dyDescent="0.2">
      <c r="A120" s="4"/>
      <c r="B120" s="4"/>
      <c r="C120" s="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"/>
      <c r="P120" s="4"/>
      <c r="Q120" s="4"/>
      <c r="R120" s="4"/>
      <c r="S120" s="4"/>
      <c r="T120" s="4"/>
      <c r="U120" s="4"/>
      <c r="V120" s="4"/>
    </row>
    <row r="121" spans="1:22" x14ac:dyDescent="0.2">
      <c r="A121" s="4"/>
      <c r="B121" s="4"/>
      <c r="C121" s="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"/>
      <c r="P121" s="4"/>
      <c r="Q121" s="4"/>
      <c r="R121" s="4"/>
      <c r="S121" s="4"/>
      <c r="T121" s="4"/>
      <c r="U121" s="4"/>
      <c r="V121" s="4"/>
    </row>
    <row r="122" spans="1:22" x14ac:dyDescent="0.2">
      <c r="A122" s="4"/>
      <c r="B122" s="4"/>
      <c r="C122" s="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"/>
      <c r="P122" s="4"/>
      <c r="Q122" s="4"/>
      <c r="R122" s="4"/>
      <c r="S122" s="4"/>
      <c r="T122" s="4"/>
      <c r="U122" s="4"/>
      <c r="V122" s="4"/>
    </row>
    <row r="123" spans="1:22" x14ac:dyDescent="0.2">
      <c r="A123" s="4"/>
      <c r="B123" s="4"/>
      <c r="C123" s="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"/>
      <c r="P123" s="4"/>
      <c r="Q123" s="4"/>
      <c r="R123" s="4"/>
      <c r="S123" s="4"/>
      <c r="T123" s="4"/>
      <c r="U123" s="4"/>
      <c r="V123" s="4"/>
    </row>
    <row r="124" spans="1:22" x14ac:dyDescent="0.2">
      <c r="A124" s="4"/>
      <c r="B124" s="4"/>
      <c r="C124" s="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"/>
      <c r="P124" s="4"/>
      <c r="Q124" s="4"/>
      <c r="R124" s="4"/>
      <c r="S124" s="4"/>
      <c r="T124" s="4"/>
      <c r="U124" s="4"/>
      <c r="V124" s="4"/>
    </row>
    <row r="125" spans="1:22" x14ac:dyDescent="0.2">
      <c r="A125" s="4"/>
      <c r="B125" s="4"/>
      <c r="C125" s="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"/>
      <c r="P125" s="4"/>
      <c r="Q125" s="4"/>
      <c r="R125" s="4"/>
      <c r="S125" s="4"/>
      <c r="T125" s="4"/>
      <c r="U125" s="4"/>
      <c r="V125" s="4"/>
    </row>
    <row r="126" spans="1:22" x14ac:dyDescent="0.2">
      <c r="A126" s="4"/>
      <c r="B126" s="4"/>
      <c r="C126" s="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"/>
      <c r="P126" s="4"/>
      <c r="Q126" s="4"/>
      <c r="R126" s="4"/>
      <c r="S126" s="4"/>
      <c r="T126" s="4"/>
      <c r="U126" s="4"/>
      <c r="V126" s="4"/>
    </row>
    <row r="127" spans="1:22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</sheetData>
  <mergeCells count="95">
    <mergeCell ref="B86:C86"/>
    <mergeCell ref="B90:C90"/>
    <mergeCell ref="A110:B110"/>
    <mergeCell ref="C112:E112"/>
    <mergeCell ref="B82:C82"/>
    <mergeCell ref="B102:C102"/>
    <mergeCell ref="B103:C103"/>
    <mergeCell ref="A105:C105"/>
    <mergeCell ref="A108:C108"/>
    <mergeCell ref="A109:C109"/>
    <mergeCell ref="B97:C97"/>
    <mergeCell ref="B98:C98"/>
    <mergeCell ref="A99:C99"/>
    <mergeCell ref="B100:C100"/>
    <mergeCell ref="B101:C101"/>
    <mergeCell ref="B92:C92"/>
    <mergeCell ref="B93:C93"/>
    <mergeCell ref="A94:C94"/>
    <mergeCell ref="B95:C95"/>
    <mergeCell ref="B96:C96"/>
    <mergeCell ref="B87:C87"/>
    <mergeCell ref="B88:C88"/>
    <mergeCell ref="B89:C89"/>
    <mergeCell ref="B91:C91"/>
    <mergeCell ref="B80:C80"/>
    <mergeCell ref="A81:C81"/>
    <mergeCell ref="B83:C83"/>
    <mergeCell ref="B84:C84"/>
    <mergeCell ref="B85:C85"/>
    <mergeCell ref="B75:C75"/>
    <mergeCell ref="B76:C76"/>
    <mergeCell ref="B77:C77"/>
    <mergeCell ref="B78:C78"/>
    <mergeCell ref="B79:C79"/>
    <mergeCell ref="A69:C69"/>
    <mergeCell ref="A70:C70"/>
    <mergeCell ref="A71:C71"/>
    <mergeCell ref="A73:C73"/>
    <mergeCell ref="A74:C74"/>
    <mergeCell ref="A64:C64"/>
    <mergeCell ref="A65:C65"/>
    <mergeCell ref="A66:C66"/>
    <mergeCell ref="A67:C67"/>
    <mergeCell ref="A68:C68"/>
    <mergeCell ref="B56:C56"/>
    <mergeCell ref="B57:C57"/>
    <mergeCell ref="A58:C58"/>
    <mergeCell ref="A62:C62"/>
    <mergeCell ref="A63:C63"/>
    <mergeCell ref="A60:B60"/>
    <mergeCell ref="B51:C51"/>
    <mergeCell ref="B52:C52"/>
    <mergeCell ref="B53:C53"/>
    <mergeCell ref="B54:C54"/>
    <mergeCell ref="B55:C55"/>
    <mergeCell ref="B43:C43"/>
    <mergeCell ref="B44:C44"/>
    <mergeCell ref="B45:C45"/>
    <mergeCell ref="A46:C46"/>
    <mergeCell ref="A49:C49"/>
    <mergeCell ref="B38:C38"/>
    <mergeCell ref="B39:C39"/>
    <mergeCell ref="B40:C40"/>
    <mergeCell ref="B41:C41"/>
    <mergeCell ref="B42:C42"/>
    <mergeCell ref="A31:C31"/>
    <mergeCell ref="A34:C34"/>
    <mergeCell ref="A35:C35"/>
    <mergeCell ref="B36:C36"/>
    <mergeCell ref="B37:C37"/>
    <mergeCell ref="B25:C25"/>
    <mergeCell ref="B26:C26"/>
    <mergeCell ref="A27:C27"/>
    <mergeCell ref="A29:C29"/>
    <mergeCell ref="A30:C30"/>
    <mergeCell ref="B20:C20"/>
    <mergeCell ref="B21:C21"/>
    <mergeCell ref="B22:C22"/>
    <mergeCell ref="B23:C23"/>
    <mergeCell ref="B24:C24"/>
    <mergeCell ref="B12:C12"/>
    <mergeCell ref="A13:C13"/>
    <mergeCell ref="A15:C15"/>
    <mergeCell ref="A17:C17"/>
    <mergeCell ref="B19:C19"/>
    <mergeCell ref="B7:C7"/>
    <mergeCell ref="B8:C8"/>
    <mergeCell ref="B9:C9"/>
    <mergeCell ref="B10:C10"/>
    <mergeCell ref="B11:C11"/>
    <mergeCell ref="A2:C2"/>
    <mergeCell ref="A3:C3"/>
    <mergeCell ref="B4:C4"/>
    <mergeCell ref="B5:C5"/>
    <mergeCell ref="B6:C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1"/>
  <sheetViews>
    <sheetView topLeftCell="A46" workbookViewId="0">
      <selection activeCell="B71" sqref="B71"/>
    </sheetView>
  </sheetViews>
  <sheetFormatPr defaultColWidth="17.140625" defaultRowHeight="12.75" customHeight="1" x14ac:dyDescent="0.2"/>
  <cols>
    <col min="1" max="1" width="25.7109375" customWidth="1"/>
    <col min="2" max="2" width="19.28515625" customWidth="1"/>
    <col min="6" max="6" width="21" customWidth="1"/>
    <col min="7" max="7" width="19" customWidth="1"/>
    <col min="8" max="8" width="20.140625" customWidth="1"/>
  </cols>
  <sheetData>
    <row r="1" spans="1:74" ht="15" x14ac:dyDescent="0.25">
      <c r="A1" s="56" t="s">
        <v>100</v>
      </c>
      <c r="B1" s="9"/>
      <c r="C1" s="2">
        <v>2013</v>
      </c>
      <c r="D1" s="9"/>
      <c r="E1" s="9"/>
      <c r="F1" s="9"/>
      <c r="G1" s="9"/>
      <c r="H1" s="9"/>
      <c r="I1" s="9"/>
      <c r="J1" s="2">
        <v>2014</v>
      </c>
      <c r="K1" s="9"/>
      <c r="L1" s="9"/>
      <c r="M1" s="9"/>
      <c r="N1" s="9"/>
      <c r="O1" s="9"/>
      <c r="P1" s="9"/>
      <c r="Q1" s="32">
        <v>2015</v>
      </c>
      <c r="R1" s="6"/>
      <c r="S1" s="6"/>
      <c r="T1" s="6"/>
      <c r="U1" s="6"/>
      <c r="V1" s="6"/>
      <c r="W1" s="6"/>
      <c r="X1" s="2">
        <v>2016</v>
      </c>
      <c r="Y1" s="9"/>
      <c r="Z1" s="9"/>
      <c r="AA1" s="9"/>
      <c r="AB1" s="9"/>
      <c r="AC1" s="9"/>
      <c r="AD1" s="9"/>
      <c r="AE1" s="2">
        <v>2017</v>
      </c>
      <c r="AF1" s="9"/>
      <c r="AG1" s="9"/>
      <c r="AH1" s="9"/>
      <c r="AI1" s="9"/>
      <c r="AJ1" s="9"/>
      <c r="AK1" s="9"/>
      <c r="AL1" s="2">
        <v>2018</v>
      </c>
      <c r="AM1" s="9"/>
      <c r="AN1" s="9"/>
      <c r="AO1" s="9"/>
      <c r="AP1" s="9"/>
      <c r="AQ1" s="9"/>
      <c r="AR1" s="9"/>
      <c r="AS1" s="2">
        <v>2019</v>
      </c>
      <c r="AT1" s="9"/>
      <c r="AU1" s="9"/>
      <c r="AV1" s="9"/>
      <c r="AW1" s="9"/>
      <c r="AX1" s="9"/>
      <c r="AY1" s="9"/>
      <c r="AZ1" s="2">
        <v>2020</v>
      </c>
      <c r="BA1" s="9"/>
      <c r="BB1" s="9"/>
      <c r="BC1" s="9"/>
      <c r="BD1" s="9"/>
      <c r="BE1" s="9"/>
      <c r="BF1" s="9"/>
      <c r="BG1" s="2">
        <v>2021</v>
      </c>
      <c r="BH1" s="9"/>
      <c r="BI1" s="9"/>
      <c r="BJ1" s="9"/>
      <c r="BK1" s="9"/>
      <c r="BL1" s="9"/>
      <c r="BM1" s="9"/>
      <c r="BN1" s="2">
        <v>2022</v>
      </c>
      <c r="BO1" s="9"/>
      <c r="BP1" s="9"/>
      <c r="BQ1" s="9"/>
      <c r="BR1" s="9"/>
      <c r="BS1" s="9"/>
      <c r="BT1" s="9"/>
      <c r="BU1" s="9" t="s">
        <v>101</v>
      </c>
      <c r="BV1" s="9"/>
    </row>
    <row r="2" spans="1:74" ht="12.75" customHeight="1" x14ac:dyDescent="0.2">
      <c r="A2" s="40"/>
      <c r="B2" s="15"/>
      <c r="C2" s="15" t="s">
        <v>102</v>
      </c>
      <c r="D2" s="15" t="s">
        <v>103</v>
      </c>
      <c r="E2" s="15" t="s">
        <v>104</v>
      </c>
      <c r="F2" s="15" t="s">
        <v>105</v>
      </c>
      <c r="G2" s="15" t="s">
        <v>106</v>
      </c>
      <c r="H2" s="15" t="s">
        <v>107</v>
      </c>
      <c r="I2" s="15" t="s">
        <v>108</v>
      </c>
      <c r="J2" s="15" t="str">
        <f>C2</f>
        <v>Non-Resident</v>
      </c>
      <c r="K2" s="15" t="str">
        <f>D2</f>
        <v>Resident</v>
      </c>
      <c r="L2" s="15" t="s">
        <v>104</v>
      </c>
      <c r="M2" s="15" t="s">
        <v>105</v>
      </c>
      <c r="N2" s="15" t="s">
        <v>106</v>
      </c>
      <c r="O2" s="15" t="s">
        <v>107</v>
      </c>
      <c r="P2" s="15" t="s">
        <v>108</v>
      </c>
      <c r="Q2" s="17" t="str">
        <f>C2</f>
        <v>Non-Resident</v>
      </c>
      <c r="R2" s="17" t="str">
        <f>K2</f>
        <v>Resident</v>
      </c>
      <c r="S2" s="36" t="s">
        <v>104</v>
      </c>
      <c r="T2" s="46" t="s">
        <v>105</v>
      </c>
      <c r="U2" s="46" t="s">
        <v>106</v>
      </c>
      <c r="V2" s="46" t="s">
        <v>107</v>
      </c>
      <c r="W2" s="46" t="s">
        <v>108</v>
      </c>
      <c r="X2" s="15" t="str">
        <f>Q2</f>
        <v>Non-Resident</v>
      </c>
      <c r="Y2" s="15" t="str">
        <f>R2</f>
        <v>Resident</v>
      </c>
      <c r="Z2" s="15" t="s">
        <v>104</v>
      </c>
      <c r="AA2" s="15" t="s">
        <v>105</v>
      </c>
      <c r="AB2" s="15" t="s">
        <v>106</v>
      </c>
      <c r="AC2" s="15" t="s">
        <v>107</v>
      </c>
      <c r="AD2" s="15" t="s">
        <v>108</v>
      </c>
      <c r="AE2" s="15" t="str">
        <f>X2</f>
        <v>Non-Resident</v>
      </c>
      <c r="AF2" s="15" t="str">
        <f>Y2</f>
        <v>Resident</v>
      </c>
      <c r="AG2" s="15" t="s">
        <v>104</v>
      </c>
      <c r="AH2" s="15" t="s">
        <v>105</v>
      </c>
      <c r="AI2" s="15" t="s">
        <v>106</v>
      </c>
      <c r="AJ2" s="15" t="s">
        <v>107</v>
      </c>
      <c r="AK2" s="15" t="s">
        <v>108</v>
      </c>
      <c r="AL2" s="15" t="str">
        <f>AE2</f>
        <v>Non-Resident</v>
      </c>
      <c r="AM2" s="15" t="str">
        <f>AF2</f>
        <v>Resident</v>
      </c>
      <c r="AN2" s="15" t="s">
        <v>104</v>
      </c>
      <c r="AO2" s="15" t="s">
        <v>105</v>
      </c>
      <c r="AP2" s="15" t="s">
        <v>106</v>
      </c>
      <c r="AQ2" s="15" t="s">
        <v>107</v>
      </c>
      <c r="AR2" s="15" t="s">
        <v>108</v>
      </c>
      <c r="AS2" s="15" t="str">
        <f>AL2</f>
        <v>Non-Resident</v>
      </c>
      <c r="AT2" s="15" t="str">
        <f>AM2</f>
        <v>Resident</v>
      </c>
      <c r="AU2" s="15" t="s">
        <v>104</v>
      </c>
      <c r="AV2" s="15" t="s">
        <v>105</v>
      </c>
      <c r="AW2" s="15" t="s">
        <v>106</v>
      </c>
      <c r="AX2" s="15" t="s">
        <v>107</v>
      </c>
      <c r="AY2" s="15" t="s">
        <v>108</v>
      </c>
      <c r="AZ2" s="15" t="str">
        <f>AS2</f>
        <v>Non-Resident</v>
      </c>
      <c r="BA2" s="15" t="str">
        <f>AT2</f>
        <v>Resident</v>
      </c>
      <c r="BB2" s="15" t="s">
        <v>104</v>
      </c>
      <c r="BC2" s="15" t="s">
        <v>105</v>
      </c>
      <c r="BD2" s="15" t="s">
        <v>106</v>
      </c>
      <c r="BE2" s="15" t="s">
        <v>107</v>
      </c>
      <c r="BF2" s="15" t="s">
        <v>108</v>
      </c>
      <c r="BG2" s="15" t="str">
        <f>AZ2</f>
        <v>Non-Resident</v>
      </c>
      <c r="BH2" s="15" t="str">
        <f>BA2</f>
        <v>Resident</v>
      </c>
      <c r="BI2" s="15" t="s">
        <v>104</v>
      </c>
      <c r="BJ2" s="15" t="s">
        <v>105</v>
      </c>
      <c r="BK2" s="15" t="s">
        <v>106</v>
      </c>
      <c r="BL2" s="15" t="s">
        <v>107</v>
      </c>
      <c r="BM2" s="15" t="s">
        <v>108</v>
      </c>
      <c r="BN2" s="15" t="str">
        <f>BG2</f>
        <v>Non-Resident</v>
      </c>
      <c r="BO2" s="15" t="str">
        <f>BH2</f>
        <v>Resident</v>
      </c>
      <c r="BP2" s="15" t="s">
        <v>104</v>
      </c>
      <c r="BQ2" s="15" t="s">
        <v>105</v>
      </c>
      <c r="BR2" s="15" t="s">
        <v>106</v>
      </c>
      <c r="BS2" s="15" t="s">
        <v>107</v>
      </c>
      <c r="BT2" s="15" t="s">
        <v>108</v>
      </c>
      <c r="BU2" s="15"/>
      <c r="BV2" s="15"/>
    </row>
    <row r="3" spans="1:74" ht="12.75" customHeight="1" x14ac:dyDescent="0.2">
      <c r="A3" s="12" t="s">
        <v>109</v>
      </c>
      <c r="B3" s="37"/>
      <c r="C3" s="29">
        <v>55</v>
      </c>
      <c r="D3" s="29">
        <v>45</v>
      </c>
      <c r="E3" s="16">
        <v>0.2</v>
      </c>
      <c r="F3" s="41">
        <f>E3*$C$16</f>
        <v>1200</v>
      </c>
      <c r="G3" s="41">
        <f>E3*$D$16</f>
        <v>2550</v>
      </c>
      <c r="H3" s="41">
        <f t="shared" ref="H3:I6" si="0">F3*C3</f>
        <v>66000</v>
      </c>
      <c r="I3" s="41">
        <f t="shared" si="0"/>
        <v>114750</v>
      </c>
      <c r="J3" s="29">
        <f>C3*(1+$BU$3)</f>
        <v>55.55</v>
      </c>
      <c r="K3" s="29">
        <f>D3*(1+BU3)</f>
        <v>45.45</v>
      </c>
      <c r="L3" s="16">
        <v>0.2</v>
      </c>
      <c r="M3" s="41">
        <f>L3*J16</f>
        <v>1205.9999999999998</v>
      </c>
      <c r="N3" s="41">
        <f>L3*K16</f>
        <v>2562.75</v>
      </c>
      <c r="O3" s="41">
        <f t="shared" ref="O3:P6" si="1">M3*J3</f>
        <v>66993.299999999988</v>
      </c>
      <c r="P3" s="41">
        <f t="shared" si="1"/>
        <v>116476.9875</v>
      </c>
      <c r="Q3" s="29">
        <f t="shared" ref="Q3:R6" si="2">J3*(1+$BU$3)</f>
        <v>56.105499999999999</v>
      </c>
      <c r="R3" s="29">
        <f t="shared" si="2"/>
        <v>45.904500000000006</v>
      </c>
      <c r="S3" s="16">
        <v>0.2</v>
      </c>
      <c r="T3" s="41">
        <f>S3*Q16</f>
        <v>1212.0299999999997</v>
      </c>
      <c r="U3" s="41">
        <f>S3*R16</f>
        <v>2575.5637499999993</v>
      </c>
      <c r="V3" s="41">
        <f t="shared" ref="V3:W6" si="3">T3*Q3</f>
        <v>68001.549164999989</v>
      </c>
      <c r="W3" s="41">
        <f t="shared" si="3"/>
        <v>118229.96616187498</v>
      </c>
      <c r="X3" s="29">
        <f t="shared" ref="X3:Y6" si="4">Q3*(1+$BU$3)</f>
        <v>56.666555000000002</v>
      </c>
      <c r="Y3" s="29">
        <f t="shared" si="4"/>
        <v>46.363545000000009</v>
      </c>
      <c r="Z3" s="16">
        <v>0.2</v>
      </c>
      <c r="AA3" s="41">
        <f>Z3*X16</f>
        <v>1218.0901499999998</v>
      </c>
      <c r="AB3" s="41">
        <f>Z3*Y16</f>
        <v>2588.4415687499991</v>
      </c>
      <c r="AC3" s="41">
        <f t="shared" ref="AC3:AD6" si="5">AA3*X3</f>
        <v>69024.972479933233</v>
      </c>
      <c r="AD3" s="41">
        <f t="shared" si="5"/>
        <v>120009.32715261119</v>
      </c>
      <c r="AE3" s="29">
        <f t="shared" ref="AE3:AF6" si="6">X3*(1+$BU$3)</f>
        <v>57.233220550000006</v>
      </c>
      <c r="AF3" s="29">
        <f t="shared" si="6"/>
        <v>46.827180450000007</v>
      </c>
      <c r="AG3" s="16">
        <v>0.2</v>
      </c>
      <c r="AH3" s="41">
        <f>AG3*AE16</f>
        <v>1224.1806007499997</v>
      </c>
      <c r="AI3" s="41">
        <f>AG3*AF16</f>
        <v>2601.3837765937487</v>
      </c>
      <c r="AJ3" s="41">
        <f t="shared" ref="AJ3:AK6" si="7">AH3*AE3</f>
        <v>70063.798315756241</v>
      </c>
      <c r="AK3" s="41">
        <f t="shared" si="7"/>
        <v>121815.46752625798</v>
      </c>
      <c r="AL3" s="29">
        <f t="shared" ref="AL3:AM6" si="8">AE3*(1+$BU$3)</f>
        <v>57.80555275550001</v>
      </c>
      <c r="AM3" s="29">
        <f t="shared" si="8"/>
        <v>47.295452254500006</v>
      </c>
      <c r="AN3" s="16">
        <v>0.2</v>
      </c>
      <c r="AO3" s="41">
        <f>AN3*AL16</f>
        <v>1230.3015037537496</v>
      </c>
      <c r="AP3" s="41">
        <f>AN3*AM16</f>
        <v>2614.3906954767172</v>
      </c>
      <c r="AQ3" s="41">
        <f t="shared" ref="AQ3:AR6" si="9">AO3*AL3</f>
        <v>71118.25848040836</v>
      </c>
      <c r="AR3" s="41">
        <f t="shared" si="9"/>
        <v>123648.79031252814</v>
      </c>
      <c r="AS3" s="29">
        <f t="shared" ref="AS3:AT6" si="10">AL3*(1+$BU$3)</f>
        <v>58.383608283055011</v>
      </c>
      <c r="AT3" s="29">
        <f t="shared" si="10"/>
        <v>47.768406777045008</v>
      </c>
      <c r="AU3" s="16">
        <v>0.2</v>
      </c>
      <c r="AV3" s="41">
        <f>AU3*AS16</f>
        <v>1236.4530112725181</v>
      </c>
      <c r="AW3" s="41">
        <f>AU3*AT16</f>
        <v>2627.4626489541006</v>
      </c>
      <c r="AX3" s="41">
        <f t="shared" ref="AX3:AY6" si="11">AV3*AS3</f>
        <v>72188.588270538501</v>
      </c>
      <c r="AY3" s="41">
        <f t="shared" si="11"/>
        <v>125509.70460673168</v>
      </c>
      <c r="AZ3" s="29">
        <f t="shared" ref="AZ3:BA6" si="12">AS3*(1+$BU$3)</f>
        <v>58.967444365885562</v>
      </c>
      <c r="BA3" s="29">
        <f t="shared" si="12"/>
        <v>48.246090844815456</v>
      </c>
      <c r="BB3" s="16">
        <v>0.2</v>
      </c>
      <c r="BC3" s="41">
        <f>BB3*AZ16</f>
        <v>1242.6352763288805</v>
      </c>
      <c r="BD3" s="41">
        <f>BB3*BA16</f>
        <v>2640.5999621988708</v>
      </c>
      <c r="BE3" s="41">
        <f t="shared" ref="BE3:BF6" si="13">BC3*AZ3</f>
        <v>73275.0265240101</v>
      </c>
      <c r="BF3" s="41">
        <f t="shared" si="13"/>
        <v>127398.62566106298</v>
      </c>
      <c r="BG3" s="29">
        <f t="shared" ref="BG3:BH6" si="14">AZ3*(1+$BU$3)</f>
        <v>59.55711880954442</v>
      </c>
      <c r="BH3" s="29">
        <f t="shared" si="14"/>
        <v>48.728551753263609</v>
      </c>
      <c r="BI3" s="16">
        <v>0.2</v>
      </c>
      <c r="BJ3" s="41">
        <f>BI3*BG16</f>
        <v>1248.8484527105247</v>
      </c>
      <c r="BK3" s="41">
        <f>BI3*BH16</f>
        <v>2653.802962009865</v>
      </c>
      <c r="BL3" s="41">
        <f t="shared" ref="BL3:BM6" si="15">BJ3*BG3</f>
        <v>74377.815673196441</v>
      </c>
      <c r="BM3" s="41">
        <f t="shared" si="15"/>
        <v>129315.97497726197</v>
      </c>
      <c r="BN3" s="29">
        <f t="shared" ref="BN3:BO6" si="16">BG3*(1+$BU$3)</f>
        <v>60.152689997639868</v>
      </c>
      <c r="BO3" s="29">
        <f t="shared" si="16"/>
        <v>49.215837270796243</v>
      </c>
      <c r="BP3" s="16">
        <v>0.2</v>
      </c>
      <c r="BQ3" s="41">
        <f>BP3*BN16</f>
        <v>1255.0926949740772</v>
      </c>
      <c r="BR3" s="41">
        <f>BP3*BO16</f>
        <v>2667.0719768199142</v>
      </c>
      <c r="BS3" s="41">
        <f t="shared" ref="BS3:BT6" si="17">BQ3*BN3</f>
        <v>75497.201799078044</v>
      </c>
      <c r="BT3" s="41">
        <f t="shared" si="17"/>
        <v>131262.18040066975</v>
      </c>
      <c r="BU3" s="28">
        <v>0.01</v>
      </c>
      <c r="BV3" s="38"/>
    </row>
    <row r="4" spans="1:74" ht="12.75" customHeight="1" x14ac:dyDescent="0.2">
      <c r="A4" s="5" t="s">
        <v>110</v>
      </c>
      <c r="B4" s="5"/>
      <c r="C4" s="35">
        <v>45</v>
      </c>
      <c r="D4" s="35">
        <v>38</v>
      </c>
      <c r="E4" s="44">
        <v>0.3</v>
      </c>
      <c r="F4" s="48">
        <f>E4*$C$16</f>
        <v>1800</v>
      </c>
      <c r="G4" s="48">
        <f>E4*$D$16</f>
        <v>3825</v>
      </c>
      <c r="H4" s="48">
        <f t="shared" si="0"/>
        <v>81000</v>
      </c>
      <c r="I4" s="48">
        <f t="shared" si="0"/>
        <v>145350</v>
      </c>
      <c r="J4" s="35">
        <f>C4*(1+$BU$3)</f>
        <v>45.45</v>
      </c>
      <c r="K4" s="35">
        <f>D4*(1+$BU$3)</f>
        <v>38.380000000000003</v>
      </c>
      <c r="L4" s="44">
        <v>0.3</v>
      </c>
      <c r="M4" s="48">
        <f>L4*J16</f>
        <v>1808.9999999999998</v>
      </c>
      <c r="N4" s="48">
        <f>L4*K16</f>
        <v>3844.1249999999991</v>
      </c>
      <c r="O4" s="48">
        <f t="shared" si="1"/>
        <v>82219.049999999988</v>
      </c>
      <c r="P4" s="48">
        <f t="shared" si="1"/>
        <v>147537.51749999999</v>
      </c>
      <c r="Q4" s="35">
        <f t="shared" si="2"/>
        <v>45.904500000000006</v>
      </c>
      <c r="R4" s="35">
        <f t="shared" si="2"/>
        <v>38.763800000000003</v>
      </c>
      <c r="S4" s="44">
        <v>0.3</v>
      </c>
      <c r="T4" s="48">
        <f>S4*Q16</f>
        <v>1818.0449999999996</v>
      </c>
      <c r="U4" s="48">
        <f>S4*R16</f>
        <v>3863.345624999999</v>
      </c>
      <c r="V4" s="48">
        <f t="shared" si="3"/>
        <v>83456.44670249999</v>
      </c>
      <c r="W4" s="48">
        <f t="shared" si="3"/>
        <v>149757.95713837497</v>
      </c>
      <c r="X4" s="35">
        <f t="shared" si="4"/>
        <v>46.363545000000009</v>
      </c>
      <c r="Y4" s="35">
        <f t="shared" si="4"/>
        <v>39.151438000000006</v>
      </c>
      <c r="Z4" s="44">
        <v>0.3</v>
      </c>
      <c r="AA4" s="48">
        <f>Z4*X16</f>
        <v>1827.1352249999993</v>
      </c>
      <c r="AB4" s="48">
        <f>Z4*Y16</f>
        <v>3882.6623531249984</v>
      </c>
      <c r="AC4" s="48">
        <f t="shared" si="5"/>
        <v>84712.466225372613</v>
      </c>
      <c r="AD4" s="48">
        <f t="shared" si="5"/>
        <v>152011.81439330749</v>
      </c>
      <c r="AE4" s="35">
        <f t="shared" si="6"/>
        <v>46.827180450000007</v>
      </c>
      <c r="AF4" s="35">
        <f t="shared" si="6"/>
        <v>39.54295238000001</v>
      </c>
      <c r="AG4" s="44">
        <v>0.3</v>
      </c>
      <c r="AH4" s="48">
        <f>AG4*AE16</f>
        <v>1836.2709011249992</v>
      </c>
      <c r="AI4" s="48">
        <f>AG4*AF16</f>
        <v>3902.0756648906226</v>
      </c>
      <c r="AJ4" s="48">
        <f t="shared" si="7"/>
        <v>85987.388842064465</v>
      </c>
      <c r="AK4" s="48">
        <f t="shared" si="7"/>
        <v>154299.59219992676</v>
      </c>
      <c r="AL4" s="35">
        <f t="shared" si="8"/>
        <v>47.295452254500006</v>
      </c>
      <c r="AM4" s="35">
        <f t="shared" si="8"/>
        <v>39.938381903800007</v>
      </c>
      <c r="AN4" s="44">
        <v>0.3</v>
      </c>
      <c r="AO4" s="48">
        <f>AN4*AL16</f>
        <v>1845.452255630624</v>
      </c>
      <c r="AP4" s="48">
        <f>AN4*AM16</f>
        <v>3921.5860432150757</v>
      </c>
      <c r="AQ4" s="48">
        <f t="shared" si="9"/>
        <v>87281.499044137512</v>
      </c>
      <c r="AR4" s="48">
        <f t="shared" si="9"/>
        <v>156621.80106253564</v>
      </c>
      <c r="AS4" s="35">
        <f t="shared" si="10"/>
        <v>47.768406777045008</v>
      </c>
      <c r="AT4" s="35">
        <f t="shared" si="10"/>
        <v>40.337765722838007</v>
      </c>
      <c r="AU4" s="44">
        <v>0.3</v>
      </c>
      <c r="AV4" s="48">
        <f>AU4*AS16</f>
        <v>1854.679516908777</v>
      </c>
      <c r="AW4" s="48">
        <f>AU4*AT16</f>
        <v>3941.1939734311509</v>
      </c>
      <c r="AX4" s="48">
        <f t="shared" si="11"/>
        <v>88595.085604751788</v>
      </c>
      <c r="AY4" s="48">
        <f t="shared" si="11"/>
        <v>158978.95916852681</v>
      </c>
      <c r="AZ4" s="35">
        <f t="shared" si="12"/>
        <v>48.246090844815456</v>
      </c>
      <c r="BA4" s="35">
        <f t="shared" si="12"/>
        <v>40.74114338006639</v>
      </c>
      <c r="BB4" s="44">
        <v>0.3</v>
      </c>
      <c r="BC4" s="48">
        <f>BB4*AZ16</f>
        <v>1863.9529144933208</v>
      </c>
      <c r="BD4" s="48">
        <f>BB4*BA16</f>
        <v>3960.899943298306</v>
      </c>
      <c r="BE4" s="48">
        <f t="shared" si="13"/>
        <v>89928.441643103288</v>
      </c>
      <c r="BF4" s="48">
        <f t="shared" si="13"/>
        <v>161371.59250401313</v>
      </c>
      <c r="BG4" s="35">
        <f t="shared" si="14"/>
        <v>48.728551753263609</v>
      </c>
      <c r="BH4" s="35">
        <f t="shared" si="14"/>
        <v>41.148554813867051</v>
      </c>
      <c r="BI4" s="44">
        <v>0.3</v>
      </c>
      <c r="BJ4" s="48">
        <f>BI4*BG16</f>
        <v>1873.2726790657871</v>
      </c>
      <c r="BK4" s="48">
        <f>BI4*BH16</f>
        <v>3980.7044430147971</v>
      </c>
      <c r="BL4" s="48">
        <f t="shared" si="15"/>
        <v>91281.864689831971</v>
      </c>
      <c r="BM4" s="48">
        <f t="shared" si="15"/>
        <v>163800.23497119849</v>
      </c>
      <c r="BN4" s="35">
        <f t="shared" si="16"/>
        <v>49.215837270796243</v>
      </c>
      <c r="BO4" s="35">
        <f t="shared" si="16"/>
        <v>41.560040362005722</v>
      </c>
      <c r="BP4" s="44">
        <v>0.3</v>
      </c>
      <c r="BQ4" s="48">
        <f>BP4*BN16</f>
        <v>1882.6390424611157</v>
      </c>
      <c r="BR4" s="48">
        <f>BP4*BO16</f>
        <v>4000.6079652298704</v>
      </c>
      <c r="BS4" s="48">
        <f t="shared" si="17"/>
        <v>92655.656753413932</v>
      </c>
      <c r="BT4" s="48">
        <f t="shared" si="17"/>
        <v>166265.428507515</v>
      </c>
    </row>
    <row r="5" spans="1:74" ht="12.75" customHeight="1" x14ac:dyDescent="0.2">
      <c r="A5" s="5" t="s">
        <v>111</v>
      </c>
      <c r="B5" s="5"/>
      <c r="C5" s="35">
        <v>40</v>
      </c>
      <c r="D5" s="35">
        <v>33</v>
      </c>
      <c r="E5" s="44">
        <v>0.3</v>
      </c>
      <c r="F5" s="48">
        <f>E5*$C$16</f>
        <v>1800</v>
      </c>
      <c r="G5" s="48">
        <f>E5*$D$16</f>
        <v>3825</v>
      </c>
      <c r="H5" s="48">
        <f t="shared" si="0"/>
        <v>72000</v>
      </c>
      <c r="I5" s="48">
        <f t="shared" si="0"/>
        <v>126225</v>
      </c>
      <c r="J5" s="35">
        <f>C5*(1+$BU$3)</f>
        <v>40.4</v>
      </c>
      <c r="K5" s="35">
        <f>D5*(1+$BU$3)</f>
        <v>33.33</v>
      </c>
      <c r="L5" s="44">
        <v>0.3</v>
      </c>
      <c r="M5" s="48">
        <f>L5*J16</f>
        <v>1808.9999999999998</v>
      </c>
      <c r="N5" s="48">
        <f>L5*K16</f>
        <v>3844.1249999999991</v>
      </c>
      <c r="O5" s="48">
        <f t="shared" si="1"/>
        <v>73083.599999999991</v>
      </c>
      <c r="P5" s="48">
        <f t="shared" si="1"/>
        <v>128124.68624999997</v>
      </c>
      <c r="Q5" s="35">
        <f t="shared" si="2"/>
        <v>40.804000000000002</v>
      </c>
      <c r="R5" s="35">
        <f t="shared" si="2"/>
        <v>33.6633</v>
      </c>
      <c r="S5" s="44">
        <v>0.3</v>
      </c>
      <c r="T5" s="48">
        <f>S5*Q16</f>
        <v>1818.0449999999996</v>
      </c>
      <c r="U5" s="48">
        <f>S5*R16</f>
        <v>3863.345624999999</v>
      </c>
      <c r="V5" s="48">
        <f t="shared" si="3"/>
        <v>74183.50817999999</v>
      </c>
      <c r="W5" s="48">
        <f t="shared" si="3"/>
        <v>130052.96277806247</v>
      </c>
      <c r="X5" s="35">
        <f t="shared" si="4"/>
        <v>41.212040000000002</v>
      </c>
      <c r="Y5" s="35">
        <f t="shared" si="4"/>
        <v>33.999932999999999</v>
      </c>
      <c r="Z5" s="44">
        <v>0.3</v>
      </c>
      <c r="AA5" s="48">
        <f>Z5*X16</f>
        <v>1827.1352249999993</v>
      </c>
      <c r="AB5" s="48">
        <f>Z5*Y16</f>
        <v>3882.6623531249984</v>
      </c>
      <c r="AC5" s="48">
        <f t="shared" si="5"/>
        <v>75299.969978108973</v>
      </c>
      <c r="AD5" s="48">
        <f t="shared" si="5"/>
        <v>132010.25986787229</v>
      </c>
      <c r="AE5" s="35">
        <f t="shared" si="6"/>
        <v>41.624160400000001</v>
      </c>
      <c r="AF5" s="35">
        <f t="shared" si="6"/>
        <v>34.339932329999996</v>
      </c>
      <c r="AG5" s="44">
        <v>0.3</v>
      </c>
      <c r="AH5" s="48">
        <f>AG5*AE16</f>
        <v>1836.2709011249992</v>
      </c>
      <c r="AI5" s="48">
        <f>AG5*AF16</f>
        <v>3902.0756648906226</v>
      </c>
      <c r="AJ5" s="48">
        <f t="shared" si="7"/>
        <v>76433.234526279513</v>
      </c>
      <c r="AK5" s="48">
        <f t="shared" si="7"/>
        <v>133997.01427888373</v>
      </c>
      <c r="AL5" s="35">
        <f t="shared" si="8"/>
        <v>42.040402004000001</v>
      </c>
      <c r="AM5" s="35">
        <f t="shared" si="8"/>
        <v>34.683331653299994</v>
      </c>
      <c r="AN5" s="44">
        <v>0.3</v>
      </c>
      <c r="AO5" s="48">
        <f>AN5*AL16</f>
        <v>1845.452255630624</v>
      </c>
      <c r="AP5" s="48">
        <f>AN5*AM16</f>
        <v>3921.5860432150757</v>
      </c>
      <c r="AQ5" s="48">
        <f t="shared" si="9"/>
        <v>77583.554705900009</v>
      </c>
      <c r="AR5" s="48">
        <f t="shared" si="9"/>
        <v>136013.66934378093</v>
      </c>
      <c r="AS5" s="35">
        <f t="shared" si="10"/>
        <v>42.460806024040004</v>
      </c>
      <c r="AT5" s="35">
        <f t="shared" si="10"/>
        <v>35.030164969832995</v>
      </c>
      <c r="AU5" s="44">
        <v>0.3</v>
      </c>
      <c r="AV5" s="48">
        <f>AU5*AS16</f>
        <v>1854.679516908777</v>
      </c>
      <c r="AW5" s="48">
        <f>AU5*AT16</f>
        <v>3941.1939734311509</v>
      </c>
      <c r="AX5" s="48">
        <f t="shared" si="11"/>
        <v>78751.18720422381</v>
      </c>
      <c r="AY5" s="48">
        <f t="shared" si="11"/>
        <v>138060.67506740481</v>
      </c>
      <c r="AZ5" s="35">
        <f t="shared" si="12"/>
        <v>42.885414084280406</v>
      </c>
      <c r="BA5" s="35">
        <f t="shared" si="12"/>
        <v>35.380466619531326</v>
      </c>
      <c r="BB5" s="44">
        <v>0.3</v>
      </c>
      <c r="BC5" s="48">
        <f>BB5*AZ16</f>
        <v>1863.9529144933208</v>
      </c>
      <c r="BD5" s="48">
        <f>BB5*BA16</f>
        <v>3960.899943298306</v>
      </c>
      <c r="BE5" s="48">
        <f t="shared" si="13"/>
        <v>79936.392571647375</v>
      </c>
      <c r="BF5" s="48">
        <f t="shared" si="13"/>
        <v>140138.48822716923</v>
      </c>
      <c r="BG5" s="35">
        <f t="shared" si="14"/>
        <v>43.314268225123207</v>
      </c>
      <c r="BH5" s="35">
        <f t="shared" si="14"/>
        <v>35.734271285726642</v>
      </c>
      <c r="BI5" s="44">
        <v>0.3</v>
      </c>
      <c r="BJ5" s="48">
        <f>BI5*BG16</f>
        <v>1873.2726790657871</v>
      </c>
      <c r="BK5" s="48">
        <f>BI5*BH16</f>
        <v>3980.7044430147971</v>
      </c>
      <c r="BL5" s="48">
        <f t="shared" si="15"/>
        <v>81139.435279850644</v>
      </c>
      <c r="BM5" s="48">
        <f t="shared" si="15"/>
        <v>142247.57247498812</v>
      </c>
      <c r="BN5" s="35">
        <f t="shared" si="16"/>
        <v>43.747410907374437</v>
      </c>
      <c r="BO5" s="35">
        <f t="shared" si="16"/>
        <v>36.09161399858391</v>
      </c>
      <c r="BP5" s="44">
        <v>0.3</v>
      </c>
      <c r="BQ5" s="48">
        <f>BP5*BN16</f>
        <v>1882.6390424611157</v>
      </c>
      <c r="BR5" s="48">
        <f>BP5*BO16</f>
        <v>4000.6079652298704</v>
      </c>
      <c r="BS5" s="48">
        <f t="shared" si="17"/>
        <v>82360.583780812376</v>
      </c>
      <c r="BT5" s="48">
        <f t="shared" si="17"/>
        <v>144388.39844073667</v>
      </c>
    </row>
    <row r="6" spans="1:74" ht="12.75" customHeight="1" x14ac:dyDescent="0.2">
      <c r="A6" s="5" t="s">
        <v>112</v>
      </c>
      <c r="B6" s="5"/>
      <c r="C6" s="35">
        <v>45</v>
      </c>
      <c r="D6" s="35">
        <v>38</v>
      </c>
      <c r="E6" s="44">
        <v>0.2</v>
      </c>
      <c r="F6" s="25">
        <f>E6*$C$16</f>
        <v>1200</v>
      </c>
      <c r="G6" s="25">
        <f>E6*$D$16</f>
        <v>2550</v>
      </c>
      <c r="H6" s="25">
        <f t="shared" si="0"/>
        <v>54000</v>
      </c>
      <c r="I6" s="25">
        <f t="shared" si="0"/>
        <v>96900</v>
      </c>
      <c r="J6" s="35">
        <f>C6*(1+$BU$3)</f>
        <v>45.45</v>
      </c>
      <c r="K6" s="35">
        <f>D6*(1+$BU$3)</f>
        <v>38.380000000000003</v>
      </c>
      <c r="L6" s="44">
        <v>0.2</v>
      </c>
      <c r="M6" s="25">
        <f>L6*J16</f>
        <v>1205.9999999999998</v>
      </c>
      <c r="N6" s="25">
        <f>L6*K16</f>
        <v>2562.75</v>
      </c>
      <c r="O6" s="25">
        <f t="shared" si="1"/>
        <v>54812.69999999999</v>
      </c>
      <c r="P6" s="25">
        <f t="shared" si="1"/>
        <v>98358.345000000001</v>
      </c>
      <c r="Q6" s="35">
        <f t="shared" si="2"/>
        <v>45.904500000000006</v>
      </c>
      <c r="R6" s="35">
        <f t="shared" si="2"/>
        <v>38.763800000000003</v>
      </c>
      <c r="S6" s="44">
        <v>0.2</v>
      </c>
      <c r="T6" s="25">
        <f>S6*Q16</f>
        <v>1212.0299999999997</v>
      </c>
      <c r="U6" s="25">
        <f>S6*R16</f>
        <v>2575.5637499999993</v>
      </c>
      <c r="V6" s="25">
        <f t="shared" si="3"/>
        <v>55637.631134999996</v>
      </c>
      <c r="W6" s="25">
        <f t="shared" si="3"/>
        <v>99838.638092249981</v>
      </c>
      <c r="X6" s="35">
        <f t="shared" si="4"/>
        <v>46.363545000000009</v>
      </c>
      <c r="Y6" s="35">
        <f t="shared" si="4"/>
        <v>39.151438000000006</v>
      </c>
      <c r="Z6" s="44">
        <v>0.2</v>
      </c>
      <c r="AA6" s="25">
        <f>Z6*X16</f>
        <v>1218.0901499999998</v>
      </c>
      <c r="AB6" s="25">
        <f>Z6*Y16</f>
        <v>2588.4415687499991</v>
      </c>
      <c r="AC6" s="25">
        <f t="shared" si="5"/>
        <v>56474.977483581752</v>
      </c>
      <c r="AD6" s="25">
        <f t="shared" si="5"/>
        <v>101341.20959553834</v>
      </c>
      <c r="AE6" s="35">
        <f t="shared" si="6"/>
        <v>46.827180450000007</v>
      </c>
      <c r="AF6" s="35">
        <f t="shared" si="6"/>
        <v>39.54295238000001</v>
      </c>
      <c r="AG6" s="44">
        <v>0.2</v>
      </c>
      <c r="AH6" s="25">
        <f>AG6*AE16</f>
        <v>1224.1806007499997</v>
      </c>
      <c r="AI6" s="25">
        <f>AG6*AF16</f>
        <v>2601.3837765937487</v>
      </c>
      <c r="AJ6" s="25">
        <f t="shared" si="7"/>
        <v>57324.925894709653</v>
      </c>
      <c r="AK6" s="25">
        <f t="shared" si="7"/>
        <v>102866.39479995119</v>
      </c>
      <c r="AL6" s="35">
        <f t="shared" si="8"/>
        <v>47.295452254500006</v>
      </c>
      <c r="AM6" s="35">
        <f t="shared" si="8"/>
        <v>39.938381903800007</v>
      </c>
      <c r="AN6" s="44">
        <v>0.2</v>
      </c>
      <c r="AO6" s="25">
        <f>AN6*AL16</f>
        <v>1230.3015037537496</v>
      </c>
      <c r="AP6" s="25">
        <f>AN6*AM16</f>
        <v>2614.3906954767172</v>
      </c>
      <c r="AQ6" s="25">
        <f t="shared" si="9"/>
        <v>58187.666029425025</v>
      </c>
      <c r="AR6" s="25">
        <f t="shared" si="9"/>
        <v>104414.53404169044</v>
      </c>
      <c r="AS6" s="35">
        <f t="shared" si="10"/>
        <v>47.768406777045008</v>
      </c>
      <c r="AT6" s="35">
        <f t="shared" si="10"/>
        <v>40.337765722838007</v>
      </c>
      <c r="AU6" s="44">
        <v>0.2</v>
      </c>
      <c r="AV6" s="25">
        <f>AU6*AS16</f>
        <v>1236.4530112725181</v>
      </c>
      <c r="AW6" s="25">
        <f>AU6*AT16</f>
        <v>2627.4626489541006</v>
      </c>
      <c r="AX6" s="25">
        <f t="shared" si="11"/>
        <v>59063.390403167861</v>
      </c>
      <c r="AY6" s="25">
        <f t="shared" si="11"/>
        <v>105985.97277901787</v>
      </c>
      <c r="AZ6" s="35">
        <f t="shared" si="12"/>
        <v>48.246090844815456</v>
      </c>
      <c r="BA6" s="35">
        <f t="shared" si="12"/>
        <v>40.74114338006639</v>
      </c>
      <c r="BB6" s="44">
        <v>0.2</v>
      </c>
      <c r="BC6" s="25">
        <f>BB6*AZ16</f>
        <v>1242.6352763288805</v>
      </c>
      <c r="BD6" s="25">
        <f>BB6*BA16</f>
        <v>2640.5999621988708</v>
      </c>
      <c r="BE6" s="25">
        <f t="shared" si="13"/>
        <v>59952.294428735528</v>
      </c>
      <c r="BF6" s="25">
        <f t="shared" si="13"/>
        <v>107581.06166934209</v>
      </c>
      <c r="BG6" s="35">
        <f t="shared" si="14"/>
        <v>48.728551753263609</v>
      </c>
      <c r="BH6" s="35">
        <f t="shared" si="14"/>
        <v>41.148554813867051</v>
      </c>
      <c r="BI6" s="44">
        <v>0.2</v>
      </c>
      <c r="BJ6" s="25">
        <f>BI6*BG16</f>
        <v>1248.8484527105247</v>
      </c>
      <c r="BK6" s="25">
        <f>BI6*BH16</f>
        <v>2653.802962009865</v>
      </c>
      <c r="BL6" s="25">
        <f t="shared" si="15"/>
        <v>60854.576459887983</v>
      </c>
      <c r="BM6" s="25">
        <f t="shared" si="15"/>
        <v>109200.15664746567</v>
      </c>
      <c r="BN6" s="35">
        <f t="shared" si="16"/>
        <v>49.215837270796243</v>
      </c>
      <c r="BO6" s="35">
        <f t="shared" si="16"/>
        <v>41.560040362005722</v>
      </c>
      <c r="BP6" s="44">
        <v>0.2</v>
      </c>
      <c r="BQ6" s="25">
        <f>BP6*BN16</f>
        <v>1255.0926949740772</v>
      </c>
      <c r="BR6" s="25">
        <f>BP6*BO16</f>
        <v>2667.0719768199142</v>
      </c>
      <c r="BS6" s="25">
        <f t="shared" si="17"/>
        <v>61770.437835609286</v>
      </c>
      <c r="BT6" s="25">
        <f t="shared" si="17"/>
        <v>110843.61900501003</v>
      </c>
    </row>
    <row r="7" spans="1:74" ht="12.75" customHeight="1" x14ac:dyDescent="0.2">
      <c r="A7" s="7" t="s">
        <v>113</v>
      </c>
      <c r="B7" s="7"/>
      <c r="C7" s="39"/>
      <c r="D7" s="39"/>
      <c r="E7" s="57"/>
      <c r="F7" s="34">
        <f>SUM(F3:F6)</f>
        <v>6000</v>
      </c>
      <c r="G7" s="34">
        <f>SUM(G3:G6)</f>
        <v>12750</v>
      </c>
      <c r="H7" s="34">
        <f>SUM(H3:H6)</f>
        <v>273000</v>
      </c>
      <c r="I7" s="34">
        <f>SUM(I3:I6)</f>
        <v>483225</v>
      </c>
      <c r="J7" s="39"/>
      <c r="K7" s="39"/>
      <c r="L7" s="57"/>
      <c r="M7" s="34">
        <f>SUM(M3:M6)</f>
        <v>6029.9999999999991</v>
      </c>
      <c r="N7" s="34">
        <f>SUM(N3:N6)</f>
        <v>12813.749999999998</v>
      </c>
      <c r="O7" s="34">
        <f>SUM(O3:O6)</f>
        <v>277108.64999999997</v>
      </c>
      <c r="P7" s="34">
        <f>SUM(P3:P6)</f>
        <v>490497.53625</v>
      </c>
      <c r="Q7" s="39"/>
      <c r="R7" s="39"/>
      <c r="S7" s="57"/>
      <c r="T7" s="34">
        <f>SUM(T3:T6)</f>
        <v>6060.1499999999987</v>
      </c>
      <c r="U7" s="34">
        <f>SUM(U3:U6)</f>
        <v>12877.818749999997</v>
      </c>
      <c r="V7" s="34">
        <f>SUM(V3:V6)</f>
        <v>281279.13518249994</v>
      </c>
      <c r="W7" s="34">
        <f>SUM(W3:W6)</f>
        <v>497879.52417056239</v>
      </c>
      <c r="X7" s="39"/>
      <c r="Y7" s="39"/>
      <c r="Z7" s="57"/>
      <c r="AA7" s="34">
        <f>SUM(AA3:AA6)</f>
        <v>6090.4507499999982</v>
      </c>
      <c r="AB7" s="34">
        <f>SUM(AB3:AB6)</f>
        <v>12942.207843749995</v>
      </c>
      <c r="AC7" s="34">
        <f>SUM(AC3:AC6)</f>
        <v>285512.38616699656</v>
      </c>
      <c r="AD7" s="34">
        <f>SUM(AD3:AD6)</f>
        <v>505372.61100932927</v>
      </c>
      <c r="AE7" s="39"/>
      <c r="AF7" s="39"/>
      <c r="AG7" s="57"/>
      <c r="AH7" s="34">
        <f>SUM(AH3:AH6)</f>
        <v>6120.9030037499979</v>
      </c>
      <c r="AI7" s="34">
        <f>SUM(AI3:AI6)</f>
        <v>13006.918882968745</v>
      </c>
      <c r="AJ7" s="34">
        <f>SUM(AJ3:AJ6)</f>
        <v>289809.34757880989</v>
      </c>
      <c r="AK7" s="34">
        <f>SUM(AK3:AK6)</f>
        <v>512978.46880501969</v>
      </c>
      <c r="AL7" s="39"/>
      <c r="AM7" s="39"/>
      <c r="AN7" s="57"/>
      <c r="AO7" s="34">
        <f>SUM(AO3:AO6)</f>
        <v>6151.5075187687471</v>
      </c>
      <c r="AP7" s="34">
        <f>SUM(AP3:AP6)</f>
        <v>13071.953477383586</v>
      </c>
      <c r="AQ7" s="34">
        <f>SUM(AQ3:AQ6)</f>
        <v>294170.97825987096</v>
      </c>
      <c r="AR7" s="34">
        <f>SUM(AR3:AR6)</f>
        <v>520698.79476053512</v>
      </c>
      <c r="AS7" s="39"/>
      <c r="AT7" s="39"/>
      <c r="AU7" s="57"/>
      <c r="AV7" s="34">
        <f>SUM(AV3:AV6)</f>
        <v>6182.2650563625903</v>
      </c>
      <c r="AW7" s="34">
        <f>SUM(AW3:AW6)</f>
        <v>13137.313244770503</v>
      </c>
      <c r="AX7" s="34">
        <f>SUM(AX3:AX6)</f>
        <v>298598.25148268195</v>
      </c>
      <c r="AY7" s="34">
        <f>SUM(AY3:AY6)</f>
        <v>528535.31162168109</v>
      </c>
      <c r="AZ7" s="39"/>
      <c r="BA7" s="39"/>
      <c r="BB7" s="57"/>
      <c r="BC7" s="34">
        <f>SUM(BC3:BC6)</f>
        <v>6213.1763816444027</v>
      </c>
      <c r="BD7" s="34">
        <f>SUM(BD3:BD6)</f>
        <v>13202.999810994354</v>
      </c>
      <c r="BE7" s="34">
        <f>SUM(BE3:BE6)</f>
        <v>303092.15516749624</v>
      </c>
      <c r="BF7" s="34">
        <f>SUM(BF3:BF6)</f>
        <v>536489.76806158747</v>
      </c>
      <c r="BG7" s="39"/>
      <c r="BH7" s="39"/>
      <c r="BI7" s="57"/>
      <c r="BJ7" s="34">
        <f>SUM(BJ3:BJ6)</f>
        <v>6244.2422635526236</v>
      </c>
      <c r="BK7" s="34">
        <f>SUM(BK3:BK6)</f>
        <v>13269.014810049324</v>
      </c>
      <c r="BL7" s="34">
        <f>SUM(BL3:BL6)</f>
        <v>307653.69210276706</v>
      </c>
      <c r="BM7" s="34">
        <f>SUM(BM3:BM6)</f>
        <v>544563.93907091429</v>
      </c>
      <c r="BN7" s="39"/>
      <c r="BO7" s="39"/>
      <c r="BP7" s="57"/>
      <c r="BQ7" s="34">
        <f>SUM(BQ3:BQ6)</f>
        <v>6275.4634748703857</v>
      </c>
      <c r="BR7" s="34">
        <f>SUM(BR3:BR6)</f>
        <v>13335.359884099569</v>
      </c>
      <c r="BS7" s="34">
        <f>SUM(BS3:BS6)</f>
        <v>312283.88016891369</v>
      </c>
      <c r="BT7" s="34">
        <f>SUM(BT3:BT6)</f>
        <v>552759.62635393138</v>
      </c>
    </row>
    <row r="8" spans="1:74" ht="12.75" customHeight="1" x14ac:dyDescent="0.2">
      <c r="C8" s="42">
        <f>B8</f>
        <v>0</v>
      </c>
      <c r="D8" s="42">
        <f>D7</f>
        <v>0</v>
      </c>
      <c r="E8" s="19"/>
      <c r="F8" s="54"/>
      <c r="G8" s="54"/>
      <c r="H8" s="4"/>
      <c r="I8" s="4"/>
      <c r="J8" s="42"/>
      <c r="K8" s="42"/>
      <c r="L8" s="19"/>
      <c r="M8" s="54"/>
      <c r="N8" s="54"/>
      <c r="O8" s="4"/>
      <c r="P8" s="4"/>
      <c r="Q8" s="42"/>
      <c r="R8" s="42"/>
      <c r="S8" s="19"/>
      <c r="T8" s="54"/>
      <c r="U8" s="54"/>
      <c r="V8" s="4"/>
      <c r="W8" s="4"/>
      <c r="X8" s="42"/>
      <c r="Y8" s="42"/>
      <c r="Z8" s="19"/>
      <c r="AA8" s="54"/>
      <c r="AB8" s="54"/>
      <c r="AC8" s="4"/>
      <c r="AD8" s="4"/>
      <c r="AE8" s="42"/>
      <c r="AF8" s="42"/>
      <c r="AG8" s="19"/>
      <c r="AH8" s="54"/>
      <c r="AI8" s="54"/>
      <c r="AJ8" s="4"/>
      <c r="AK8" s="4"/>
      <c r="AL8" s="42"/>
      <c r="AM8" s="42"/>
      <c r="AN8" s="19"/>
      <c r="AO8" s="54"/>
      <c r="AP8" s="54"/>
      <c r="AQ8" s="4"/>
      <c r="AR8" s="4"/>
      <c r="AS8" s="42"/>
      <c r="AT8" s="42"/>
      <c r="AU8" s="19"/>
      <c r="AV8" s="54"/>
      <c r="AW8" s="54"/>
      <c r="AX8" s="4"/>
      <c r="AY8" s="4"/>
      <c r="AZ8" s="42"/>
      <c r="BA8" s="42"/>
      <c r="BB8" s="19"/>
      <c r="BC8" s="54"/>
      <c r="BD8" s="54"/>
      <c r="BE8" s="4"/>
      <c r="BF8" s="4"/>
      <c r="BG8" s="42"/>
      <c r="BH8" s="42"/>
      <c r="BI8" s="19"/>
      <c r="BJ8" s="54"/>
      <c r="BK8" s="54"/>
      <c r="BL8" s="4"/>
      <c r="BM8" s="4"/>
      <c r="BN8" s="42"/>
      <c r="BO8" s="42"/>
      <c r="BP8" s="19"/>
      <c r="BQ8" s="54"/>
      <c r="BR8" s="54"/>
      <c r="BS8" s="4"/>
      <c r="BT8" s="4"/>
    </row>
    <row r="9" spans="1:74" ht="12.75" customHeight="1" x14ac:dyDescent="0.2">
      <c r="A9" s="12" t="s">
        <v>114</v>
      </c>
      <c r="B9" s="5"/>
      <c r="C9" s="35">
        <v>75</v>
      </c>
      <c r="D9" s="35">
        <v>58</v>
      </c>
      <c r="E9" s="44">
        <v>0.4</v>
      </c>
      <c r="F9" s="48">
        <f>$C$17*E9</f>
        <v>1920</v>
      </c>
      <c r="G9" s="48">
        <f>E9*$D$17</f>
        <v>4080</v>
      </c>
      <c r="H9" s="10">
        <f t="shared" ref="H9:I12" si="18">F9*C9</f>
        <v>144000</v>
      </c>
      <c r="I9" s="10">
        <f t="shared" si="18"/>
        <v>236640</v>
      </c>
      <c r="J9" s="35">
        <f t="shared" ref="J9:K12" si="19">C9*(1+$BU$9)</f>
        <v>76.5</v>
      </c>
      <c r="K9" s="35">
        <f t="shared" si="19"/>
        <v>59.160000000000004</v>
      </c>
      <c r="L9" s="44">
        <v>0.4</v>
      </c>
      <c r="M9" s="48">
        <f>J17*L9</f>
        <v>1929.5999999999997</v>
      </c>
      <c r="N9" s="48">
        <f>L9*K17</f>
        <v>4100.3999999999996</v>
      </c>
      <c r="O9" s="10">
        <f t="shared" ref="O9:P12" si="20">M9*J9</f>
        <v>147614.39999999997</v>
      </c>
      <c r="P9" s="10">
        <f t="shared" si="20"/>
        <v>242579.66399999999</v>
      </c>
      <c r="Q9" s="35">
        <f t="shared" ref="Q9:R12" si="21">J9*(1+$BU$9)</f>
        <v>78.03</v>
      </c>
      <c r="R9" s="35">
        <f t="shared" si="21"/>
        <v>60.343200000000003</v>
      </c>
      <c r="S9" s="44">
        <v>0.4</v>
      </c>
      <c r="T9" s="48">
        <f>Q17*S9</f>
        <v>1939.2479999999996</v>
      </c>
      <c r="U9" s="48">
        <f>S9*R17</f>
        <v>4120.9019999999991</v>
      </c>
      <c r="V9" s="10">
        <f t="shared" ref="V9:W12" si="22">T9*Q9</f>
        <v>151319.52143999998</v>
      </c>
      <c r="W9" s="10">
        <f t="shared" si="22"/>
        <v>248668.41356639995</v>
      </c>
      <c r="X9" s="35">
        <f t="shared" ref="X9:Y12" si="23">Q9*(1+$BU$9)</f>
        <v>79.590600000000009</v>
      </c>
      <c r="Y9" s="35">
        <f t="shared" si="23"/>
        <v>61.550064000000006</v>
      </c>
      <c r="Z9" s="44">
        <v>0.4</v>
      </c>
      <c r="AA9" s="48">
        <f>X17*Z9</f>
        <v>1948.9442399999994</v>
      </c>
      <c r="AB9" s="48">
        <f>Z9*Y17</f>
        <v>4141.5065099999983</v>
      </c>
      <c r="AC9" s="10">
        <f t="shared" ref="AC9:AD12" si="24">AA9*X9</f>
        <v>155117.64142814398</v>
      </c>
      <c r="AD9" s="10">
        <f t="shared" si="24"/>
        <v>254909.99074691656</v>
      </c>
      <c r="AE9" s="35">
        <f t="shared" ref="AE9:AF12" si="25">X9*(1+$BU$9)</f>
        <v>81.182412000000014</v>
      </c>
      <c r="AF9" s="35">
        <f t="shared" si="25"/>
        <v>62.781065280000007</v>
      </c>
      <c r="AG9" s="44">
        <v>0.4</v>
      </c>
      <c r="AH9" s="48">
        <f>AE17*AG9</f>
        <v>1958.6889611999993</v>
      </c>
      <c r="AI9" s="48">
        <f>AG9*AF17</f>
        <v>4162.2140425499983</v>
      </c>
      <c r="AJ9" s="10">
        <f t="shared" ref="AJ9:AK12" si="26">AH9*AE9</f>
        <v>159011.0942279904</v>
      </c>
      <c r="AK9" s="10">
        <f t="shared" si="26"/>
        <v>261308.23151466416</v>
      </c>
      <c r="AL9" s="35">
        <f t="shared" ref="AL9:AM12" si="27">AE9*(1+$BU$9)</f>
        <v>82.806060240000022</v>
      </c>
      <c r="AM9" s="35">
        <f t="shared" si="27"/>
        <v>64.036686585600009</v>
      </c>
      <c r="AN9" s="44">
        <v>0.4</v>
      </c>
      <c r="AO9" s="48">
        <f>AL17*AN9</f>
        <v>1968.4824060059991</v>
      </c>
      <c r="AP9" s="48">
        <f>AN9*AM17</f>
        <v>4183.025112762748</v>
      </c>
      <c r="AQ9" s="10">
        <f t="shared" ref="AQ9:AR12" si="28">AO9*AL9</f>
        <v>163002.27269311293</v>
      </c>
      <c r="AR9" s="10">
        <f t="shared" si="28"/>
        <v>267867.06812568224</v>
      </c>
      <c r="AS9" s="35">
        <f t="shared" ref="AS9:AT12" si="29">AL9*(1+$BU$9)</f>
        <v>84.462181444800024</v>
      </c>
      <c r="AT9" s="35">
        <f t="shared" si="29"/>
        <v>65.317420317312013</v>
      </c>
      <c r="AU9" s="44">
        <v>0.4</v>
      </c>
      <c r="AV9" s="48">
        <f>AS17*AU9</f>
        <v>1978.3248180360288</v>
      </c>
      <c r="AW9" s="48">
        <f>AU9*AT17</f>
        <v>4203.9402383265615</v>
      </c>
      <c r="AX9" s="10">
        <f t="shared" ref="AX9:AY12" si="30">AV9*AS9</f>
        <v>167093.62973771006</v>
      </c>
      <c r="AY9" s="10">
        <f t="shared" si="30"/>
        <v>274590.53153563687</v>
      </c>
      <c r="AZ9" s="35">
        <f t="shared" ref="AZ9:BA12" si="31">AS9*(1+$BU$9)</f>
        <v>86.151425073696032</v>
      </c>
      <c r="BA9" s="35">
        <f t="shared" si="31"/>
        <v>66.623768723658259</v>
      </c>
      <c r="BB9" s="44">
        <v>0.4</v>
      </c>
      <c r="BC9" s="48">
        <f>AZ17*BB9</f>
        <v>1988.2164421262087</v>
      </c>
      <c r="BD9" s="48">
        <f>BB9*BA17</f>
        <v>4224.9599395181931</v>
      </c>
      <c r="BE9" s="10">
        <f t="shared" ref="BE9:BF12" si="32">BC9*AZ9</f>
        <v>171287.67984412657</v>
      </c>
      <c r="BF9" s="10">
        <f t="shared" si="32"/>
        <v>281482.75387718127</v>
      </c>
      <c r="BG9" s="35">
        <f t="shared" ref="BG9:BH12" si="33">AZ9*(1+$BU$9)</f>
        <v>87.874453575169952</v>
      </c>
      <c r="BH9" s="35">
        <f t="shared" si="33"/>
        <v>67.956244098131421</v>
      </c>
      <c r="BI9" s="44">
        <v>0.4</v>
      </c>
      <c r="BJ9" s="48">
        <f>BG17*BI9</f>
        <v>1998.1575243368393</v>
      </c>
      <c r="BK9" s="48">
        <f>BI9*BH17</f>
        <v>4246.0847392157839</v>
      </c>
      <c r="BL9" s="10">
        <f t="shared" ref="BL9:BM12" si="34">BJ9*BG9</f>
        <v>175587.00060821412</v>
      </c>
      <c r="BM9" s="10">
        <f t="shared" si="34"/>
        <v>288547.9709994985</v>
      </c>
      <c r="BN9" s="35">
        <f t="shared" ref="BN9:BO12" si="35">BG9*(1+$BU$9)</f>
        <v>89.631942646673352</v>
      </c>
      <c r="BO9" s="35">
        <f t="shared" si="35"/>
        <v>69.31536898009405</v>
      </c>
      <c r="BP9" s="44">
        <v>0.4</v>
      </c>
      <c r="BQ9" s="48">
        <f>BN17*BP9</f>
        <v>2008.1483119585232</v>
      </c>
      <c r="BR9" s="48">
        <f>BP9*BO17</f>
        <v>4267.3151629118629</v>
      </c>
      <c r="BS9" s="10">
        <f t="shared" ref="BS9:BT12" si="36">BQ9*BN9</f>
        <v>179994.23432348025</v>
      </c>
      <c r="BT9" s="10">
        <f t="shared" si="36"/>
        <v>295790.5250715859</v>
      </c>
      <c r="BU9" s="8">
        <v>0.02</v>
      </c>
    </row>
    <row r="10" spans="1:74" ht="12.75" customHeight="1" x14ac:dyDescent="0.2">
      <c r="A10" s="5" t="s">
        <v>110</v>
      </c>
      <c r="B10" s="5"/>
      <c r="C10" s="35">
        <v>65</v>
      </c>
      <c r="D10" s="35">
        <v>48</v>
      </c>
      <c r="E10" s="44">
        <v>0.3</v>
      </c>
      <c r="F10" s="48">
        <f>$C$17*E10</f>
        <v>1440</v>
      </c>
      <c r="G10" s="48">
        <f>E10*$D$17</f>
        <v>3060</v>
      </c>
      <c r="H10" s="10">
        <f t="shared" si="18"/>
        <v>93600</v>
      </c>
      <c r="I10" s="10">
        <f t="shared" si="18"/>
        <v>146880</v>
      </c>
      <c r="J10" s="35">
        <f t="shared" si="19"/>
        <v>66.3</v>
      </c>
      <c r="K10" s="35">
        <f t="shared" si="19"/>
        <v>48.96</v>
      </c>
      <c r="L10" s="44">
        <v>0.3</v>
      </c>
      <c r="M10" s="48">
        <f>J17*L10</f>
        <v>1447.1999999999996</v>
      </c>
      <c r="N10" s="48">
        <f>L10*K17</f>
        <v>3075.2999999999993</v>
      </c>
      <c r="O10" s="10">
        <f t="shared" si="20"/>
        <v>95949.359999999971</v>
      </c>
      <c r="P10" s="10">
        <f t="shared" si="20"/>
        <v>150566.68799999997</v>
      </c>
      <c r="Q10" s="35">
        <f t="shared" si="21"/>
        <v>67.626000000000005</v>
      </c>
      <c r="R10" s="35">
        <f t="shared" si="21"/>
        <v>49.9392</v>
      </c>
      <c r="S10" s="44">
        <v>0.3</v>
      </c>
      <c r="T10" s="48">
        <f>Q17*S10</f>
        <v>1454.4359999999997</v>
      </c>
      <c r="U10" s="48">
        <f>S10*R17</f>
        <v>3090.6764999999991</v>
      </c>
      <c r="V10" s="10">
        <f t="shared" si="22"/>
        <v>98357.688935999991</v>
      </c>
      <c r="W10" s="10">
        <f t="shared" si="22"/>
        <v>154345.91186879994</v>
      </c>
      <c r="X10" s="35">
        <f t="shared" si="23"/>
        <v>68.978520000000003</v>
      </c>
      <c r="Y10" s="35">
        <f t="shared" si="23"/>
        <v>50.937984</v>
      </c>
      <c r="Z10" s="44">
        <v>0.3</v>
      </c>
      <c r="AA10" s="48">
        <f>X17*Z10</f>
        <v>1461.7081799999994</v>
      </c>
      <c r="AB10" s="48">
        <f>Z10*Y17</f>
        <v>3106.129882499999</v>
      </c>
      <c r="AC10" s="10">
        <f t="shared" si="24"/>
        <v>100826.46692829356</v>
      </c>
      <c r="AD10" s="10">
        <f t="shared" si="24"/>
        <v>158219.99425670682</v>
      </c>
      <c r="AE10" s="35">
        <f t="shared" si="25"/>
        <v>70.358090400000009</v>
      </c>
      <c r="AF10" s="35">
        <f t="shared" si="25"/>
        <v>51.956743680000002</v>
      </c>
      <c r="AG10" s="44">
        <v>0.3</v>
      </c>
      <c r="AH10" s="48">
        <f>AE17*AG10</f>
        <v>1469.0167208999994</v>
      </c>
      <c r="AI10" s="48">
        <f>AG10*AF17</f>
        <v>3121.6605319124983</v>
      </c>
      <c r="AJ10" s="10">
        <f t="shared" si="26"/>
        <v>103357.21124819374</v>
      </c>
      <c r="AK10" s="10">
        <f t="shared" si="26"/>
        <v>162191.31611255015</v>
      </c>
      <c r="AL10" s="35">
        <f t="shared" si="27"/>
        <v>71.765252208000007</v>
      </c>
      <c r="AM10" s="35">
        <f t="shared" si="27"/>
        <v>52.995878553600001</v>
      </c>
      <c r="AN10" s="44">
        <v>0.3</v>
      </c>
      <c r="AO10" s="48">
        <f>AL17*AN10</f>
        <v>1476.3618045044991</v>
      </c>
      <c r="AP10" s="48">
        <f>AN10*AM17</f>
        <v>3137.2688345720603</v>
      </c>
      <c r="AQ10" s="10">
        <f t="shared" si="28"/>
        <v>105951.47725052339</v>
      </c>
      <c r="AR10" s="10">
        <f t="shared" si="28"/>
        <v>166262.31814697513</v>
      </c>
      <c r="AS10" s="35">
        <f t="shared" si="29"/>
        <v>73.20055725216001</v>
      </c>
      <c r="AT10" s="35">
        <f t="shared" si="29"/>
        <v>54.055796124672</v>
      </c>
      <c r="AU10" s="44">
        <v>0.3</v>
      </c>
      <c r="AV10" s="48">
        <f>AS17*AU10</f>
        <v>1483.7436135270214</v>
      </c>
      <c r="AW10" s="48">
        <f>AU10*AT17</f>
        <v>3152.9551787449204</v>
      </c>
      <c r="AX10" s="10">
        <f t="shared" si="30"/>
        <v>108610.8593295115</v>
      </c>
      <c r="AY10" s="10">
        <f t="shared" si="30"/>
        <v>170435.50233246418</v>
      </c>
      <c r="AZ10" s="35">
        <f t="shared" si="31"/>
        <v>74.664568397203212</v>
      </c>
      <c r="BA10" s="35">
        <f t="shared" si="31"/>
        <v>55.136912047165438</v>
      </c>
      <c r="BB10" s="44">
        <v>0.3</v>
      </c>
      <c r="BC10" s="48">
        <f>AZ17*BB10</f>
        <v>1491.1623315946563</v>
      </c>
      <c r="BD10" s="48">
        <f>BB10*BA17</f>
        <v>3168.719954638645</v>
      </c>
      <c r="BE10" s="10">
        <f t="shared" si="32"/>
        <v>111336.99189868223</v>
      </c>
      <c r="BF10" s="10">
        <f t="shared" si="32"/>
        <v>174713.43344100902</v>
      </c>
      <c r="BG10" s="35">
        <f t="shared" si="33"/>
        <v>76.157859765147279</v>
      </c>
      <c r="BH10" s="35">
        <f t="shared" si="33"/>
        <v>56.239650288108749</v>
      </c>
      <c r="BI10" s="44">
        <v>0.3</v>
      </c>
      <c r="BJ10" s="48">
        <f>BG17*BI10</f>
        <v>1498.6181432526294</v>
      </c>
      <c r="BK10" s="48">
        <f>BI10*BH17</f>
        <v>3184.5635544118381</v>
      </c>
      <c r="BL10" s="10">
        <f t="shared" si="34"/>
        <v>114131.55039533915</v>
      </c>
      <c r="BM10" s="10">
        <f t="shared" si="34"/>
        <v>179098.74062037835</v>
      </c>
      <c r="BN10" s="35">
        <f t="shared" si="35"/>
        <v>77.681016960450222</v>
      </c>
      <c r="BO10" s="35">
        <f t="shared" si="35"/>
        <v>57.364443293870927</v>
      </c>
      <c r="BP10" s="44">
        <v>0.3</v>
      </c>
      <c r="BQ10" s="48">
        <f>BN17*BP10</f>
        <v>1506.1112339688923</v>
      </c>
      <c r="BR10" s="48">
        <f>BP10*BO17</f>
        <v>3200.4863721838969</v>
      </c>
      <c r="BS10" s="10">
        <f t="shared" si="36"/>
        <v>116996.25231026213</v>
      </c>
      <c r="BT10" s="10">
        <f t="shared" si="36"/>
        <v>183594.11900994985</v>
      </c>
    </row>
    <row r="11" spans="1:74" ht="12.75" customHeight="1" x14ac:dyDescent="0.2">
      <c r="A11" s="5" t="s">
        <v>111</v>
      </c>
      <c r="B11" s="5"/>
      <c r="C11" s="35">
        <v>50</v>
      </c>
      <c r="D11" s="35">
        <v>35</v>
      </c>
      <c r="E11" s="44">
        <v>0.2</v>
      </c>
      <c r="F11" s="48">
        <f>$C$17*E11</f>
        <v>960</v>
      </c>
      <c r="G11" s="48">
        <f>E11*$D$17</f>
        <v>2040</v>
      </c>
      <c r="H11" s="10">
        <f t="shared" si="18"/>
        <v>48000</v>
      </c>
      <c r="I11" s="10">
        <f t="shared" si="18"/>
        <v>71400</v>
      </c>
      <c r="J11" s="35">
        <f t="shared" si="19"/>
        <v>51</v>
      </c>
      <c r="K11" s="35">
        <f t="shared" si="19"/>
        <v>35.700000000000003</v>
      </c>
      <c r="L11" s="44">
        <v>0.2</v>
      </c>
      <c r="M11" s="48">
        <f>J17*L11</f>
        <v>964.79999999999984</v>
      </c>
      <c r="N11" s="48">
        <f>L11*K17</f>
        <v>2050.1999999999998</v>
      </c>
      <c r="O11" s="10">
        <f t="shared" si="20"/>
        <v>49204.799999999988</v>
      </c>
      <c r="P11" s="10">
        <f t="shared" si="20"/>
        <v>73192.14</v>
      </c>
      <c r="Q11" s="35">
        <f t="shared" si="21"/>
        <v>52.02</v>
      </c>
      <c r="R11" s="35">
        <f t="shared" si="21"/>
        <v>36.414000000000001</v>
      </c>
      <c r="S11" s="44">
        <v>0.2</v>
      </c>
      <c r="T11" s="48">
        <f>Q17*S11</f>
        <v>969.6239999999998</v>
      </c>
      <c r="U11" s="48">
        <f>S11*R17</f>
        <v>2060.4509999999996</v>
      </c>
      <c r="V11" s="10">
        <f t="shared" si="22"/>
        <v>50439.840479999992</v>
      </c>
      <c r="W11" s="10">
        <f t="shared" si="22"/>
        <v>75029.262713999982</v>
      </c>
      <c r="X11" s="35">
        <f t="shared" si="23"/>
        <v>53.060400000000001</v>
      </c>
      <c r="Y11" s="35">
        <f t="shared" si="23"/>
        <v>37.14228</v>
      </c>
      <c r="Z11" s="44">
        <v>0.2</v>
      </c>
      <c r="AA11" s="48">
        <f>X17*Z11</f>
        <v>974.47211999999968</v>
      </c>
      <c r="AB11" s="48">
        <f>Z11*Y17</f>
        <v>2070.7532549999992</v>
      </c>
      <c r="AC11" s="10">
        <f t="shared" si="24"/>
        <v>51705.880476047983</v>
      </c>
      <c r="AD11" s="10">
        <f t="shared" si="24"/>
        <v>76912.497208121364</v>
      </c>
      <c r="AE11" s="35">
        <f t="shared" si="25"/>
        <v>54.121608000000002</v>
      </c>
      <c r="AF11" s="35">
        <f t="shared" si="25"/>
        <v>37.885125600000002</v>
      </c>
      <c r="AG11" s="44">
        <v>0.2</v>
      </c>
      <c r="AH11" s="48">
        <f>AE17*AG11</f>
        <v>979.34448059999966</v>
      </c>
      <c r="AI11" s="48">
        <f>AG11*AF17</f>
        <v>2081.1070212749992</v>
      </c>
      <c r="AJ11" s="10">
        <f t="shared" si="26"/>
        <v>53003.698075996785</v>
      </c>
      <c r="AK11" s="10">
        <f t="shared" si="26"/>
        <v>78843.000888045222</v>
      </c>
      <c r="AL11" s="35">
        <f t="shared" si="27"/>
        <v>55.204040160000005</v>
      </c>
      <c r="AM11" s="35">
        <f t="shared" si="27"/>
        <v>38.642828112000004</v>
      </c>
      <c r="AN11" s="44">
        <v>0.2</v>
      </c>
      <c r="AO11" s="48">
        <f>AL17*AN11</f>
        <v>984.24120300299955</v>
      </c>
      <c r="AP11" s="48">
        <f>AN11*AM17</f>
        <v>2091.512556381374</v>
      </c>
      <c r="AQ11" s="10">
        <f t="shared" si="28"/>
        <v>54334.090897704307</v>
      </c>
      <c r="AR11" s="10">
        <f t="shared" si="28"/>
        <v>80821.96021033515</v>
      </c>
      <c r="AS11" s="35">
        <f t="shared" si="29"/>
        <v>56.308120963200004</v>
      </c>
      <c r="AT11" s="35">
        <f t="shared" si="29"/>
        <v>39.415684674240005</v>
      </c>
      <c r="AU11" s="44">
        <v>0.2</v>
      </c>
      <c r="AV11" s="48">
        <f>AS17*AU11</f>
        <v>989.16240901801439</v>
      </c>
      <c r="AW11" s="48">
        <f>AU11*AT17</f>
        <v>2101.9701191632807</v>
      </c>
      <c r="AX11" s="10">
        <f t="shared" si="30"/>
        <v>55697.876579236676</v>
      </c>
      <c r="AY11" s="10">
        <f t="shared" si="30"/>
        <v>82850.591411614558</v>
      </c>
      <c r="AZ11" s="35">
        <f t="shared" si="31"/>
        <v>57.434283382464002</v>
      </c>
      <c r="BA11" s="35">
        <f t="shared" si="31"/>
        <v>40.203998367724807</v>
      </c>
      <c r="BB11" s="44">
        <v>0.2</v>
      </c>
      <c r="BC11" s="48">
        <f>AZ17*BB11</f>
        <v>994.10822106310434</v>
      </c>
      <c r="BD11" s="48">
        <f>BB11*BA17</f>
        <v>2112.4799697590965</v>
      </c>
      <c r="BE11" s="10">
        <f t="shared" si="32"/>
        <v>57095.893281375502</v>
      </c>
      <c r="BF11" s="10">
        <f t="shared" si="32"/>
        <v>84930.141256046074</v>
      </c>
      <c r="BG11" s="35">
        <f t="shared" si="33"/>
        <v>58.582969050113284</v>
      </c>
      <c r="BH11" s="35">
        <f t="shared" si="33"/>
        <v>41.008078335079304</v>
      </c>
      <c r="BI11" s="44">
        <v>0.2</v>
      </c>
      <c r="BJ11" s="48">
        <f>BG17*BI11</f>
        <v>999.07876216841964</v>
      </c>
      <c r="BK11" s="48">
        <f>BI11*BH17</f>
        <v>2123.0423696078919</v>
      </c>
      <c r="BL11" s="10">
        <f t="shared" si="34"/>
        <v>58529.000202738018</v>
      </c>
      <c r="BM11" s="10">
        <f t="shared" si="34"/>
        <v>87061.887801572826</v>
      </c>
      <c r="BN11" s="35">
        <f t="shared" si="35"/>
        <v>59.754628431115549</v>
      </c>
      <c r="BO11" s="35">
        <f t="shared" si="35"/>
        <v>41.82823990178089</v>
      </c>
      <c r="BP11" s="44">
        <v>0.2</v>
      </c>
      <c r="BQ11" s="48">
        <f>BN17*BP11</f>
        <v>1004.0741559792616</v>
      </c>
      <c r="BR11" s="48">
        <f>BP11*BO17</f>
        <v>2133.6575814559314</v>
      </c>
      <c r="BS11" s="10">
        <f t="shared" si="36"/>
        <v>59998.078107826732</v>
      </c>
      <c r="BT11" s="10">
        <f t="shared" si="36"/>
        <v>89247.141185392305</v>
      </c>
    </row>
    <row r="12" spans="1:74" ht="12.75" customHeight="1" x14ac:dyDescent="0.2">
      <c r="A12" s="5" t="s">
        <v>112</v>
      </c>
      <c r="B12" s="10"/>
      <c r="C12" s="35">
        <v>55</v>
      </c>
      <c r="D12" s="35">
        <v>45</v>
      </c>
      <c r="E12" s="44">
        <v>0.1</v>
      </c>
      <c r="F12" s="25">
        <f>$C$17*E12</f>
        <v>480</v>
      </c>
      <c r="G12" s="25">
        <f>E12*$D$17</f>
        <v>1020</v>
      </c>
      <c r="H12" s="49">
        <f t="shared" si="18"/>
        <v>26400</v>
      </c>
      <c r="I12" s="49">
        <f t="shared" si="18"/>
        <v>45900</v>
      </c>
      <c r="J12" s="35">
        <f t="shared" si="19"/>
        <v>56.1</v>
      </c>
      <c r="K12" s="35">
        <f t="shared" si="19"/>
        <v>45.9</v>
      </c>
      <c r="L12" s="44">
        <v>0.1</v>
      </c>
      <c r="M12" s="25">
        <f>J17*L12</f>
        <v>482.39999999999992</v>
      </c>
      <c r="N12" s="25">
        <f>L12*K17</f>
        <v>1025.0999999999999</v>
      </c>
      <c r="O12" s="49">
        <f t="shared" si="20"/>
        <v>27062.639999999996</v>
      </c>
      <c r="P12" s="49">
        <f t="shared" si="20"/>
        <v>47052.09</v>
      </c>
      <c r="Q12" s="35">
        <f t="shared" si="21"/>
        <v>57.222000000000001</v>
      </c>
      <c r="R12" s="35">
        <f t="shared" si="21"/>
        <v>46.817999999999998</v>
      </c>
      <c r="S12" s="44">
        <v>0.1</v>
      </c>
      <c r="T12" s="25">
        <f>Q17*S12</f>
        <v>484.8119999999999</v>
      </c>
      <c r="U12" s="25">
        <f>S12*R17</f>
        <v>1030.2254999999998</v>
      </c>
      <c r="V12" s="49">
        <f t="shared" si="22"/>
        <v>27741.912263999995</v>
      </c>
      <c r="W12" s="49">
        <f t="shared" si="22"/>
        <v>48233.09745899999</v>
      </c>
      <c r="X12" s="35">
        <f t="shared" si="23"/>
        <v>58.366440000000004</v>
      </c>
      <c r="Y12" s="35">
        <f t="shared" si="23"/>
        <v>47.754359999999998</v>
      </c>
      <c r="Z12" s="44">
        <v>0.1</v>
      </c>
      <c r="AA12" s="25">
        <f>X17*Z12</f>
        <v>487.23605999999984</v>
      </c>
      <c r="AB12" s="25">
        <f>Z12*Y17</f>
        <v>1035.3766274999996</v>
      </c>
      <c r="AC12" s="49">
        <f t="shared" si="24"/>
        <v>28438.234261826394</v>
      </c>
      <c r="AD12" s="49">
        <f t="shared" si="24"/>
        <v>49443.74820522088</v>
      </c>
      <c r="AE12" s="35">
        <f t="shared" si="25"/>
        <v>59.533768800000004</v>
      </c>
      <c r="AF12" s="35">
        <f t="shared" si="25"/>
        <v>48.7094472</v>
      </c>
      <c r="AG12" s="44">
        <v>0.1</v>
      </c>
      <c r="AH12" s="25">
        <f>AE17*AG12</f>
        <v>489.67224029999983</v>
      </c>
      <c r="AI12" s="25">
        <f>AG12*AF17</f>
        <v>1040.5535106374996</v>
      </c>
      <c r="AJ12" s="49">
        <f t="shared" si="26"/>
        <v>29152.033941798236</v>
      </c>
      <c r="AK12" s="49">
        <f t="shared" si="26"/>
        <v>50684.786285171926</v>
      </c>
      <c r="AL12" s="35">
        <f t="shared" si="27"/>
        <v>60.724444176000006</v>
      </c>
      <c r="AM12" s="35">
        <f t="shared" si="27"/>
        <v>49.683636143999998</v>
      </c>
      <c r="AN12" s="44">
        <v>0.1</v>
      </c>
      <c r="AO12" s="25">
        <f>AL17*AN12</f>
        <v>492.12060150149978</v>
      </c>
      <c r="AP12" s="25">
        <f>AN12*AM17</f>
        <v>1045.756278190687</v>
      </c>
      <c r="AQ12" s="49">
        <f t="shared" si="28"/>
        <v>29883.749993737369</v>
      </c>
      <c r="AR12" s="49">
        <f t="shared" si="28"/>
        <v>51956.974420929735</v>
      </c>
      <c r="AS12" s="35">
        <f t="shared" si="29"/>
        <v>61.938933059520004</v>
      </c>
      <c r="AT12" s="35">
        <f t="shared" si="29"/>
        <v>50.677308866879997</v>
      </c>
      <c r="AU12" s="44">
        <v>0.1</v>
      </c>
      <c r="AV12" s="25">
        <f>AS17*AU12</f>
        <v>494.58120450900719</v>
      </c>
      <c r="AW12" s="25">
        <f>AU12*AT17</f>
        <v>1050.9850595816404</v>
      </c>
      <c r="AX12" s="49">
        <f t="shared" si="30"/>
        <v>30633.832118580169</v>
      </c>
      <c r="AY12" s="49">
        <f t="shared" si="30"/>
        <v>53261.094478895066</v>
      </c>
      <c r="AZ12" s="35">
        <f t="shared" si="31"/>
        <v>63.177711720710406</v>
      </c>
      <c r="BA12" s="35">
        <f t="shared" si="31"/>
        <v>51.690855044217599</v>
      </c>
      <c r="BB12" s="44">
        <v>0.1</v>
      </c>
      <c r="BC12" s="25">
        <f>AZ17*BB12</f>
        <v>497.05411053155217</v>
      </c>
      <c r="BD12" s="25">
        <f>BB12*BA17</f>
        <v>1056.2399848795483</v>
      </c>
      <c r="BE12" s="49">
        <f t="shared" si="32"/>
        <v>31402.741304756528</v>
      </c>
      <c r="BF12" s="49">
        <f t="shared" si="32"/>
        <v>54597.94795031532</v>
      </c>
      <c r="BG12" s="35">
        <f t="shared" si="33"/>
        <v>64.441265955124621</v>
      </c>
      <c r="BH12" s="35">
        <f t="shared" si="33"/>
        <v>52.724672145101955</v>
      </c>
      <c r="BI12" s="44">
        <v>0.1</v>
      </c>
      <c r="BJ12" s="25">
        <f>BG17*BI12</f>
        <v>499.53938108420982</v>
      </c>
      <c r="BK12" s="25">
        <f>BI12*BH17</f>
        <v>1061.521184803946</v>
      </c>
      <c r="BL12" s="49">
        <f t="shared" si="34"/>
        <v>32190.950111505914</v>
      </c>
      <c r="BM12" s="49">
        <f t="shared" si="34"/>
        <v>55968.356443868237</v>
      </c>
      <c r="BN12" s="35">
        <f t="shared" si="35"/>
        <v>65.730091274227121</v>
      </c>
      <c r="BO12" s="35">
        <f t="shared" si="35"/>
        <v>53.779165588003998</v>
      </c>
      <c r="BP12" s="44">
        <v>0.1</v>
      </c>
      <c r="BQ12" s="25">
        <f>BN17*BP12</f>
        <v>502.0370779896308</v>
      </c>
      <c r="BR12" s="25">
        <f>BP12*BO17</f>
        <v>1066.8287907279657</v>
      </c>
      <c r="BS12" s="49">
        <f t="shared" si="36"/>
        <v>32998.94295930471</v>
      </c>
      <c r="BT12" s="49">
        <f t="shared" si="36"/>
        <v>57373.162190609335</v>
      </c>
    </row>
    <row r="13" spans="1:74" ht="12.75" customHeight="1" x14ac:dyDescent="0.2">
      <c r="A13" s="7" t="s">
        <v>113</v>
      </c>
      <c r="B13" s="7"/>
      <c r="C13" s="7"/>
      <c r="D13" s="7"/>
      <c r="E13" s="7"/>
      <c r="F13" s="51">
        <f>SUM(F9:F12)</f>
        <v>4800</v>
      </c>
      <c r="G13" s="51">
        <f>SUM(G9:G12)</f>
        <v>10200</v>
      </c>
      <c r="H13" s="51">
        <f>SUM(H9:H12)</f>
        <v>312000</v>
      </c>
      <c r="I13" s="26">
        <f>SUM(I9:I12)</f>
        <v>500820</v>
      </c>
      <c r="J13" s="7"/>
      <c r="K13" s="7"/>
      <c r="L13" s="7"/>
      <c r="M13" s="34">
        <f>SUM(M9:M12)</f>
        <v>4823.9999999999991</v>
      </c>
      <c r="N13" s="34">
        <f>SUM(N9:N12)</f>
        <v>10250.999999999998</v>
      </c>
      <c r="O13" s="26">
        <f>SUM(O9:O12)</f>
        <v>319831.19999999995</v>
      </c>
      <c r="P13" s="26">
        <f>SUM(P9:P12)</f>
        <v>513390.58199999994</v>
      </c>
      <c r="Q13" s="7"/>
      <c r="R13" s="7"/>
      <c r="S13" s="7"/>
      <c r="T13" s="34">
        <f>SUM(T9:T12)</f>
        <v>4848.119999999999</v>
      </c>
      <c r="U13" s="34">
        <f>SUM(U9:U12)</f>
        <v>10302.254999999997</v>
      </c>
      <c r="V13" s="26">
        <f>SUM(V9:V12)</f>
        <v>327858.96311999997</v>
      </c>
      <c r="W13" s="26">
        <f>SUM(W9:W12)</f>
        <v>526276.6856081998</v>
      </c>
      <c r="X13" s="7"/>
      <c r="Y13" s="7"/>
      <c r="Z13" s="7"/>
      <c r="AA13" s="34">
        <f>SUM(AA9:AA12)</f>
        <v>4872.3605999999982</v>
      </c>
      <c r="AB13" s="34">
        <f>SUM(AB9:AB12)</f>
        <v>10353.766274999996</v>
      </c>
      <c r="AC13" s="26">
        <f>SUM(AC9:AC12)</f>
        <v>336088.22309431189</v>
      </c>
      <c r="AD13" s="26">
        <f>SUM(AD9:AD12)</f>
        <v>539486.23041696567</v>
      </c>
      <c r="AE13" s="7"/>
      <c r="AF13" s="7"/>
      <c r="AG13" s="7"/>
      <c r="AH13" s="34">
        <f>SUM(AH9:AH12)</f>
        <v>4896.7224029999979</v>
      </c>
      <c r="AI13" s="34">
        <f>SUM(AI9:AI12)</f>
        <v>10405.535106374995</v>
      </c>
      <c r="AJ13" s="26">
        <f>SUM(AJ9:AJ12)</f>
        <v>344524.03749397915</v>
      </c>
      <c r="AK13" s="26">
        <f>SUM(AK9:AK12)</f>
        <v>553027.3348004315</v>
      </c>
      <c r="AL13" s="7"/>
      <c r="AM13" s="7"/>
      <c r="AN13" s="7"/>
      <c r="AO13" s="34">
        <f>SUM(AO9:AO12)</f>
        <v>4921.2060150149973</v>
      </c>
      <c r="AP13" s="34">
        <f>SUM(AP9:AP12)</f>
        <v>10457.56278190687</v>
      </c>
      <c r="AQ13" s="26">
        <f>SUM(AQ9:AQ12)</f>
        <v>353171.59083507798</v>
      </c>
      <c r="AR13" s="26">
        <f>SUM(AR9:AR12)</f>
        <v>566908.3209039222</v>
      </c>
      <c r="AS13" s="7"/>
      <c r="AT13" s="7"/>
      <c r="AU13" s="7"/>
      <c r="AV13" s="34">
        <f>SUM(AV9:AV12)</f>
        <v>4945.8120450900715</v>
      </c>
      <c r="AW13" s="34">
        <f>SUM(AW9:AW12)</f>
        <v>10509.850595816404</v>
      </c>
      <c r="AX13" s="26">
        <f>SUM(AX9:AX12)</f>
        <v>362036.19776503841</v>
      </c>
      <c r="AY13" s="26">
        <f>SUM(AY9:AY12)</f>
        <v>581137.71975861071</v>
      </c>
      <c r="AZ13" s="7"/>
      <c r="BA13" s="7"/>
      <c r="BB13" s="7"/>
      <c r="BC13" s="34">
        <f>SUM(BC9:BC12)</f>
        <v>4970.5411053155212</v>
      </c>
      <c r="BD13" s="34">
        <f>SUM(BD9:BD12)</f>
        <v>10562.399848795483</v>
      </c>
      <c r="BE13" s="26">
        <f>SUM(BE9:BE12)</f>
        <v>371123.30632894085</v>
      </c>
      <c r="BF13" s="26">
        <f>SUM(BF9:BF12)</f>
        <v>595724.27652455168</v>
      </c>
      <c r="BG13" s="7"/>
      <c r="BH13" s="7"/>
      <c r="BI13" s="7"/>
      <c r="BJ13" s="34">
        <f>SUM(BJ9:BJ12)</f>
        <v>4995.393810842098</v>
      </c>
      <c r="BK13" s="34">
        <f>SUM(BK9:BK12)</f>
        <v>10615.21184803946</v>
      </c>
      <c r="BL13" s="26">
        <f>SUM(BL9:BL12)</f>
        <v>380438.50131779723</v>
      </c>
      <c r="BM13" s="26">
        <f>SUM(BM9:BM12)</f>
        <v>610676.95586531796</v>
      </c>
      <c r="BN13" s="7"/>
      <c r="BO13" s="7"/>
      <c r="BP13" s="7"/>
      <c r="BQ13" s="34">
        <f>SUM(BQ9:BQ12)</f>
        <v>5020.3707798963078</v>
      </c>
      <c r="BR13" s="34">
        <f>SUM(BR9:BR12)</f>
        <v>10668.287907279657</v>
      </c>
      <c r="BS13" s="26">
        <f>SUM(BS9:BS12)</f>
        <v>389987.50770087383</v>
      </c>
      <c r="BT13" s="26">
        <f>SUM(BT9:BT12)</f>
        <v>626004.9474575374</v>
      </c>
    </row>
    <row r="15" spans="1:74" ht="12.75" customHeight="1" x14ac:dyDescent="0.2">
      <c r="A15" s="21" t="s">
        <v>115</v>
      </c>
    </row>
    <row r="16" spans="1:74" ht="12.75" customHeight="1" x14ac:dyDescent="0.2">
      <c r="A16" s="45" t="s">
        <v>116</v>
      </c>
      <c r="B16" s="50">
        <v>18750</v>
      </c>
      <c r="C16" s="27">
        <f>B16*0.32</f>
        <v>6000</v>
      </c>
      <c r="D16" s="27">
        <f>B16-C16</f>
        <v>12750</v>
      </c>
      <c r="E16" s="11"/>
      <c r="F16" s="27"/>
      <c r="G16" s="27"/>
      <c r="H16" s="27"/>
      <c r="I16" s="27"/>
      <c r="J16" s="27">
        <f>C16*(1+$BU$16)</f>
        <v>6029.9999999999991</v>
      </c>
      <c r="K16" s="27">
        <f>D16*(1+$BU$16)</f>
        <v>12813.749999999998</v>
      </c>
      <c r="L16" s="11"/>
      <c r="M16" s="27"/>
      <c r="N16" s="27"/>
      <c r="O16" s="27"/>
      <c r="P16" s="27"/>
      <c r="Q16" s="27">
        <f>J16*(1+$BU$16)</f>
        <v>6060.1499999999987</v>
      </c>
      <c r="R16" s="27">
        <f>K16*(1+$BU$16)</f>
        <v>12877.818749999997</v>
      </c>
      <c r="S16" s="11"/>
      <c r="T16" s="27"/>
      <c r="U16" s="27"/>
      <c r="V16" s="27"/>
      <c r="W16" s="27"/>
      <c r="X16" s="27">
        <f>Q16*(1+$BU$16)</f>
        <v>6090.4507499999982</v>
      </c>
      <c r="Y16" s="27">
        <f>R16*(1+$BU$16)</f>
        <v>12942.207843749995</v>
      </c>
      <c r="Z16" s="11"/>
      <c r="AA16" s="27"/>
      <c r="AB16" s="27"/>
      <c r="AC16" s="27"/>
      <c r="AD16" s="27"/>
      <c r="AE16" s="27">
        <f>X16*(1+$BU$16)</f>
        <v>6120.9030037499979</v>
      </c>
      <c r="AF16" s="27">
        <f>Y16*(1+$BU$16)</f>
        <v>13006.918882968743</v>
      </c>
      <c r="AG16" s="11"/>
      <c r="AH16" s="27"/>
      <c r="AI16" s="27"/>
      <c r="AJ16" s="27"/>
      <c r="AK16" s="27"/>
      <c r="AL16" s="27">
        <f>AE16*(1+$BU$16)</f>
        <v>6151.5075187687471</v>
      </c>
      <c r="AM16" s="27">
        <f>AF16*(1+$BU$16)</f>
        <v>13071.953477383586</v>
      </c>
      <c r="AN16" s="11"/>
      <c r="AO16" s="27"/>
      <c r="AP16" s="27"/>
      <c r="AQ16" s="27"/>
      <c r="AR16" s="27"/>
      <c r="AS16" s="27">
        <f>AL16*(1+$BU$16)</f>
        <v>6182.2650563625903</v>
      </c>
      <c r="AT16" s="27">
        <f>AM16*(1+$BU$16)</f>
        <v>13137.313244770503</v>
      </c>
      <c r="AU16" s="11"/>
      <c r="AV16" s="27"/>
      <c r="AW16" s="27"/>
      <c r="AX16" s="27"/>
      <c r="AY16" s="27"/>
      <c r="AZ16" s="27">
        <f>AS16*(1+$BU$16)</f>
        <v>6213.1763816444027</v>
      </c>
      <c r="BA16" s="27">
        <f>AT16*(1+$BU$16)</f>
        <v>13202.999810994354</v>
      </c>
      <c r="BB16" s="11"/>
      <c r="BC16" s="27"/>
      <c r="BD16" s="27"/>
      <c r="BE16" s="27"/>
      <c r="BF16" s="27"/>
      <c r="BG16" s="27">
        <f>AZ16*(1+$BU$16)</f>
        <v>6244.2422635526236</v>
      </c>
      <c r="BH16" s="27">
        <f>BA16*(1+$BU$16)</f>
        <v>13269.014810049324</v>
      </c>
      <c r="BI16" s="11"/>
      <c r="BJ16" s="27"/>
      <c r="BK16" s="27"/>
      <c r="BL16" s="27"/>
      <c r="BM16" s="27"/>
      <c r="BN16" s="27">
        <f>BG16*(1+$BU$16)</f>
        <v>6275.4634748703857</v>
      </c>
      <c r="BO16" s="27">
        <f>BH16*(1+$BU$16)</f>
        <v>13335.359884099569</v>
      </c>
      <c r="BP16" s="11"/>
      <c r="BQ16" s="27"/>
      <c r="BR16" s="27"/>
      <c r="BS16" s="27"/>
      <c r="BT16" s="27"/>
      <c r="BU16" s="19">
        <v>5.0000000000000001E-3</v>
      </c>
    </row>
    <row r="17" spans="1:73" ht="12.75" customHeight="1" x14ac:dyDescent="0.2">
      <c r="A17" s="45" t="s">
        <v>117</v>
      </c>
      <c r="B17" s="50">
        <v>15000</v>
      </c>
      <c r="C17" s="27">
        <f>B17*0.32</f>
        <v>4800</v>
      </c>
      <c r="D17" s="27">
        <f>B17-C17</f>
        <v>10200</v>
      </c>
      <c r="E17" s="11"/>
      <c r="F17" s="27"/>
      <c r="G17" s="27"/>
      <c r="H17" s="27"/>
      <c r="I17" s="27"/>
      <c r="J17" s="27">
        <f>C17*(1+$BU$16)</f>
        <v>4823.9999999999991</v>
      </c>
      <c r="K17" s="27">
        <f>D17*(1+$BU$16)</f>
        <v>10250.999999999998</v>
      </c>
      <c r="L17" s="11"/>
      <c r="M17" s="27"/>
      <c r="N17" s="27"/>
      <c r="O17" s="27"/>
      <c r="P17" s="27"/>
      <c r="Q17" s="27">
        <f>J17*(1+$BU$16)</f>
        <v>4848.119999999999</v>
      </c>
      <c r="R17" s="27">
        <f>K17*(1+$BU$16)</f>
        <v>10302.254999999997</v>
      </c>
      <c r="S17" s="11"/>
      <c r="T17" s="27"/>
      <c r="U17" s="27"/>
      <c r="V17" s="27"/>
      <c r="W17" s="27"/>
      <c r="X17" s="27">
        <f>Q17*(1+$BU$16)</f>
        <v>4872.3605999999982</v>
      </c>
      <c r="Y17" s="27">
        <f>R17*(1+$BU$16)</f>
        <v>10353.766274999996</v>
      </c>
      <c r="Z17" s="11"/>
      <c r="AA17" s="27"/>
      <c r="AB17" s="27"/>
      <c r="AC17" s="27"/>
      <c r="AD17" s="27"/>
      <c r="AE17" s="27">
        <f>X17*(1+$BU$16)</f>
        <v>4896.7224029999979</v>
      </c>
      <c r="AF17" s="27">
        <f>Y17*(1+$BU$16)</f>
        <v>10405.535106374995</v>
      </c>
      <c r="AG17" s="11"/>
      <c r="AH17" s="27"/>
      <c r="AI17" s="27"/>
      <c r="AJ17" s="27"/>
      <c r="AK17" s="27"/>
      <c r="AL17" s="27">
        <f>AE17*(1+$BU$16)</f>
        <v>4921.2060150149973</v>
      </c>
      <c r="AM17" s="27">
        <f>AF17*(1+$BU$16)</f>
        <v>10457.562781906869</v>
      </c>
      <c r="AN17" s="11"/>
      <c r="AO17" s="27"/>
      <c r="AP17" s="27"/>
      <c r="AQ17" s="27"/>
      <c r="AR17" s="27"/>
      <c r="AS17" s="27">
        <f>AL17*(1+$BU$16)</f>
        <v>4945.8120450900715</v>
      </c>
      <c r="AT17" s="27">
        <f>AM17*(1+$BU$16)</f>
        <v>10509.850595816402</v>
      </c>
      <c r="AU17" s="11"/>
      <c r="AV17" s="27"/>
      <c r="AW17" s="27"/>
      <c r="AX17" s="27"/>
      <c r="AY17" s="27"/>
      <c r="AZ17" s="27">
        <f>AS17*(1+$BU$16)</f>
        <v>4970.5411053155212</v>
      </c>
      <c r="BA17" s="27">
        <f>AT17*(1+$BU$16)</f>
        <v>10562.399848795483</v>
      </c>
      <c r="BB17" s="11"/>
      <c r="BC17" s="27"/>
      <c r="BD17" s="27"/>
      <c r="BE17" s="27"/>
      <c r="BF17" s="27"/>
      <c r="BG17" s="27">
        <f>AZ17*(1+$BU$16)</f>
        <v>4995.393810842098</v>
      </c>
      <c r="BH17" s="27">
        <f>BA17*(1+$BU$16)</f>
        <v>10615.21184803946</v>
      </c>
      <c r="BI17" s="11"/>
      <c r="BJ17" s="27"/>
      <c r="BK17" s="27"/>
      <c r="BL17" s="27"/>
      <c r="BM17" s="27"/>
      <c r="BN17" s="27">
        <f>BG17*(1+$BU$16)</f>
        <v>5020.3707798963078</v>
      </c>
      <c r="BO17" s="27">
        <f>BH17*(1+$BU$16)</f>
        <v>10668.287907279657</v>
      </c>
      <c r="BP17" s="11"/>
      <c r="BQ17" s="27"/>
      <c r="BR17" s="27"/>
      <c r="BS17" s="27"/>
      <c r="BT17" s="27"/>
    </row>
    <row r="18" spans="1:73" ht="12.75" customHeight="1" x14ac:dyDescent="0.2">
      <c r="B18" s="1"/>
      <c r="C18" s="11"/>
      <c r="D18" s="11"/>
      <c r="E18" s="27"/>
      <c r="F18" s="27"/>
      <c r="G18" s="27"/>
      <c r="H18" s="27"/>
      <c r="I18" s="27"/>
      <c r="J18" s="11"/>
      <c r="K18" s="11"/>
      <c r="L18" s="27"/>
      <c r="M18" s="27"/>
      <c r="N18" s="27"/>
      <c r="O18" s="27"/>
      <c r="P18" s="27"/>
      <c r="Q18" s="11"/>
      <c r="R18" s="11"/>
      <c r="S18" s="27"/>
      <c r="T18" s="27"/>
      <c r="U18" s="27"/>
      <c r="V18" s="27"/>
      <c r="W18" s="27"/>
      <c r="X18" s="11"/>
      <c r="Y18" s="11"/>
      <c r="Z18" s="27"/>
      <c r="AA18" s="27"/>
      <c r="AB18" s="27"/>
      <c r="AC18" s="27"/>
      <c r="AD18" s="27"/>
      <c r="AE18" s="11"/>
      <c r="AF18" s="11"/>
      <c r="AG18" s="27"/>
      <c r="AH18" s="27"/>
      <c r="AI18" s="27"/>
      <c r="AJ18" s="27"/>
      <c r="AK18" s="27"/>
      <c r="AL18" s="11"/>
      <c r="AM18" s="11"/>
      <c r="AN18" s="27"/>
      <c r="AO18" s="27"/>
      <c r="AP18" s="27"/>
      <c r="AQ18" s="27"/>
      <c r="AR18" s="27"/>
      <c r="AS18" s="11"/>
      <c r="AT18" s="11"/>
      <c r="AU18" s="27"/>
      <c r="AV18" s="27"/>
      <c r="AW18" s="27"/>
      <c r="AX18" s="27"/>
      <c r="AY18" s="27"/>
      <c r="AZ18" s="11"/>
      <c r="BA18" s="11"/>
      <c r="BB18" s="27"/>
      <c r="BC18" s="27"/>
      <c r="BD18" s="27"/>
      <c r="BE18" s="27"/>
      <c r="BF18" s="27"/>
      <c r="BG18" s="11"/>
      <c r="BH18" s="11"/>
      <c r="BI18" s="27"/>
      <c r="BJ18" s="27"/>
      <c r="BK18" s="27"/>
      <c r="BL18" s="27"/>
      <c r="BM18" s="27"/>
      <c r="BN18" s="11"/>
      <c r="BO18" s="11"/>
      <c r="BP18" s="27"/>
      <c r="BQ18" s="27"/>
      <c r="BR18" s="27"/>
      <c r="BS18" s="27"/>
      <c r="BT18" s="27"/>
    </row>
    <row r="19" spans="1:73" ht="12.75" customHeight="1" x14ac:dyDescent="0.2">
      <c r="A19" s="21" t="s">
        <v>118</v>
      </c>
      <c r="B19" s="1"/>
      <c r="C19" s="11"/>
      <c r="D19" s="11"/>
      <c r="E19" s="27"/>
      <c r="F19" s="27"/>
      <c r="G19" s="27"/>
      <c r="H19" s="27"/>
      <c r="I19" s="27"/>
      <c r="J19" s="11"/>
      <c r="K19" s="11"/>
      <c r="L19" s="27"/>
      <c r="M19" s="27"/>
      <c r="N19" s="27"/>
      <c r="O19" s="27"/>
      <c r="P19" s="27"/>
      <c r="Q19" s="11"/>
      <c r="R19" s="11"/>
      <c r="S19" s="27"/>
      <c r="T19" s="27"/>
      <c r="U19" s="27"/>
      <c r="V19" s="27"/>
      <c r="W19" s="27"/>
      <c r="X19" s="11"/>
      <c r="Y19" s="11"/>
      <c r="Z19" s="27"/>
      <c r="AA19" s="27"/>
      <c r="AB19" s="27"/>
      <c r="AC19" s="27"/>
      <c r="AD19" s="27"/>
      <c r="AE19" s="11"/>
      <c r="AF19" s="11"/>
      <c r="AG19" s="27"/>
      <c r="AH19" s="27"/>
      <c r="AI19" s="27"/>
      <c r="AJ19" s="27"/>
      <c r="AK19" s="27"/>
      <c r="AL19" s="11"/>
      <c r="AM19" s="11"/>
      <c r="AN19" s="27"/>
      <c r="AO19" s="27"/>
      <c r="AP19" s="27"/>
      <c r="AQ19" s="27"/>
      <c r="AR19" s="27"/>
      <c r="AS19" s="11"/>
      <c r="AT19" s="11"/>
      <c r="AU19" s="27"/>
      <c r="AV19" s="27"/>
      <c r="AW19" s="27"/>
      <c r="AX19" s="27"/>
      <c r="AY19" s="27"/>
      <c r="AZ19" s="11"/>
      <c r="BA19" s="11"/>
      <c r="BB19" s="27"/>
      <c r="BC19" s="27"/>
      <c r="BD19" s="27"/>
      <c r="BE19" s="27"/>
      <c r="BF19" s="27"/>
      <c r="BG19" s="11"/>
      <c r="BH19" s="11"/>
      <c r="BI19" s="27"/>
      <c r="BJ19" s="27"/>
      <c r="BK19" s="27"/>
      <c r="BL19" s="27"/>
      <c r="BM19" s="27"/>
      <c r="BN19" s="11"/>
      <c r="BO19" s="11"/>
      <c r="BP19" s="27"/>
      <c r="BQ19" s="27"/>
      <c r="BR19" s="27"/>
      <c r="BS19" s="27"/>
      <c r="BT19" s="27"/>
    </row>
    <row r="20" spans="1:73" ht="12.75" customHeight="1" x14ac:dyDescent="0.2">
      <c r="A20" s="45" t="s">
        <v>119</v>
      </c>
      <c r="B20" s="50">
        <v>4200</v>
      </c>
      <c r="C20" s="11">
        <f>B20</f>
        <v>4200</v>
      </c>
      <c r="D20" s="27"/>
      <c r="E20" s="27"/>
      <c r="F20" s="27"/>
      <c r="G20" s="27"/>
      <c r="H20" s="102">
        <f>C20*C21</f>
        <v>3360000</v>
      </c>
      <c r="I20" s="102"/>
      <c r="J20" s="102">
        <f>C20*(1+$BU$20)</f>
        <v>4242</v>
      </c>
      <c r="K20" s="102"/>
      <c r="L20" s="27"/>
      <c r="M20" s="27"/>
      <c r="N20" s="27"/>
      <c r="O20" s="102">
        <f>J20*J21</f>
        <v>3393600</v>
      </c>
      <c r="P20" s="102"/>
      <c r="Q20" s="102">
        <f>J20*(1+$BU$20)</f>
        <v>4284.42</v>
      </c>
      <c r="R20" s="102"/>
      <c r="S20" s="27"/>
      <c r="T20" s="27"/>
      <c r="U20" s="27"/>
      <c r="V20" s="102">
        <f>Q20*Q21</f>
        <v>3427536</v>
      </c>
      <c r="W20" s="102"/>
      <c r="X20" s="102">
        <f>Q20*(1+$BU$20)</f>
        <v>4327.2642000000005</v>
      </c>
      <c r="Y20" s="102"/>
      <c r="Z20" s="27"/>
      <c r="AA20" s="27"/>
      <c r="AB20" s="27"/>
      <c r="AC20" s="102">
        <f>X20*X21</f>
        <v>3461811.3600000003</v>
      </c>
      <c r="AD20" s="102"/>
      <c r="AE20" s="102">
        <f>X20*(1+$BU$20)</f>
        <v>4370.5368420000004</v>
      </c>
      <c r="AF20" s="102"/>
      <c r="AG20" s="27"/>
      <c r="AH20" s="27"/>
      <c r="AI20" s="27"/>
      <c r="AJ20" s="102">
        <f>AE20*AE21</f>
        <v>3496429.4736000001</v>
      </c>
      <c r="AK20" s="102"/>
      <c r="AL20" s="102">
        <f>AE20*(1+$BU$20)</f>
        <v>4414.2422104200004</v>
      </c>
      <c r="AM20" s="102"/>
      <c r="AN20" s="27"/>
      <c r="AO20" s="27"/>
      <c r="AP20" s="27"/>
      <c r="AQ20" s="102">
        <f>AL20*AL21</f>
        <v>3531393.7683360004</v>
      </c>
      <c r="AR20" s="102"/>
      <c r="AS20" s="102">
        <f>AL20*(1+$BU$20)</f>
        <v>4458.3846325242002</v>
      </c>
      <c r="AT20" s="102"/>
      <c r="AU20" s="27"/>
      <c r="AV20" s="27"/>
      <c r="AW20" s="27"/>
      <c r="AX20" s="102">
        <f>AS20*AS21</f>
        <v>3566707.7060193601</v>
      </c>
      <c r="AY20" s="102"/>
      <c r="AZ20" s="102">
        <f>AS20*(1+$BU$20)</f>
        <v>4502.9684788494424</v>
      </c>
      <c r="BA20" s="102"/>
      <c r="BB20" s="27"/>
      <c r="BC20" s="27"/>
      <c r="BD20" s="27"/>
      <c r="BE20" s="102">
        <f>AZ20*AZ21</f>
        <v>3602374.7830795539</v>
      </c>
      <c r="BF20" s="102"/>
      <c r="BG20" s="102">
        <f>AZ20*(1+$BU$20)</f>
        <v>4547.9981636379371</v>
      </c>
      <c r="BH20" s="102"/>
      <c r="BI20" s="27"/>
      <c r="BJ20" s="27"/>
      <c r="BK20" s="27"/>
      <c r="BL20" s="102">
        <f>BG20*BG21</f>
        <v>3638398.5309103495</v>
      </c>
      <c r="BM20" s="102"/>
      <c r="BN20" s="102">
        <f>BG20*(1+$BU$20)</f>
        <v>4593.4781452743164</v>
      </c>
      <c r="BO20" s="102"/>
      <c r="BP20" s="27"/>
      <c r="BQ20" s="27"/>
      <c r="BR20" s="27"/>
      <c r="BS20" s="102">
        <f>BN20*BN21</f>
        <v>3674782.516219453</v>
      </c>
      <c r="BT20" s="102"/>
      <c r="BU20" s="8">
        <v>0.01</v>
      </c>
    </row>
    <row r="21" spans="1:73" ht="12.75" customHeight="1" x14ac:dyDescent="0.2">
      <c r="A21" s="45" t="s">
        <v>120</v>
      </c>
      <c r="B21" s="50">
        <v>800</v>
      </c>
      <c r="C21" s="11">
        <f>B21</f>
        <v>800</v>
      </c>
      <c r="D21" s="11"/>
      <c r="E21" s="27"/>
      <c r="F21" s="27"/>
      <c r="G21" s="27"/>
      <c r="H21" s="102"/>
      <c r="I21" s="102"/>
      <c r="J21" s="102">
        <f>C21*(1+$BU$21)</f>
        <v>800</v>
      </c>
      <c r="K21" s="102"/>
      <c r="L21" s="27"/>
      <c r="M21" s="27"/>
      <c r="N21" s="27"/>
      <c r="O21" s="27"/>
      <c r="P21" s="27"/>
      <c r="Q21" s="102">
        <f>J21*(1+$BU$21)</f>
        <v>800</v>
      </c>
      <c r="R21" s="102"/>
      <c r="S21" s="27"/>
      <c r="T21" s="27"/>
      <c r="U21" s="27"/>
      <c r="V21" s="27"/>
      <c r="W21" s="27"/>
      <c r="X21" s="102">
        <f>Q21*(1+$BU$21)</f>
        <v>800</v>
      </c>
      <c r="Y21" s="102"/>
      <c r="Z21" s="27"/>
      <c r="AA21" s="27"/>
      <c r="AB21" s="27"/>
      <c r="AC21" s="27"/>
      <c r="AD21" s="27"/>
      <c r="AE21" s="102">
        <f>X21*(1+$BU$21)</f>
        <v>800</v>
      </c>
      <c r="AF21" s="102"/>
      <c r="AG21" s="27"/>
      <c r="AH21" s="27"/>
      <c r="AI21" s="27"/>
      <c r="AJ21" s="27"/>
      <c r="AK21" s="27"/>
      <c r="AL21" s="102">
        <f>AE21*(1+$BU$21)</f>
        <v>800</v>
      </c>
      <c r="AM21" s="102"/>
      <c r="AN21" s="27"/>
      <c r="AO21" s="27"/>
      <c r="AP21" s="27"/>
      <c r="AQ21" s="27"/>
      <c r="AR21" s="27"/>
      <c r="AS21" s="102">
        <f>AL21*(1+$BU$21)</f>
        <v>800</v>
      </c>
      <c r="AT21" s="102"/>
      <c r="AU21" s="27"/>
      <c r="AV21" s="27"/>
      <c r="AW21" s="27"/>
      <c r="AX21" s="27"/>
      <c r="AY21" s="27"/>
      <c r="AZ21" s="102">
        <f>AS21*(1+$BU$21)</f>
        <v>800</v>
      </c>
      <c r="BA21" s="102"/>
      <c r="BB21" s="27"/>
      <c r="BC21" s="27"/>
      <c r="BD21" s="27"/>
      <c r="BE21" s="27"/>
      <c r="BF21" s="27"/>
      <c r="BG21" s="102">
        <f>AZ21*(1+$BU$21)</f>
        <v>800</v>
      </c>
      <c r="BH21" s="102"/>
      <c r="BI21" s="27"/>
      <c r="BJ21" s="27"/>
      <c r="BK21" s="27"/>
      <c r="BL21" s="27"/>
      <c r="BM21" s="27"/>
      <c r="BN21" s="102">
        <f>BG21*(1+$BU$21)</f>
        <v>800</v>
      </c>
      <c r="BO21" s="102"/>
      <c r="BP21" s="27"/>
      <c r="BQ21" s="27"/>
      <c r="BR21" s="27"/>
      <c r="BS21" s="27"/>
      <c r="BT21" s="27"/>
      <c r="BU21" s="19">
        <v>0</v>
      </c>
    </row>
    <row r="22" spans="1:73" ht="12.75" customHeight="1" x14ac:dyDescent="0.2">
      <c r="B22" s="1"/>
      <c r="C22" s="11"/>
      <c r="D22" s="11"/>
      <c r="E22" s="27"/>
      <c r="F22" s="27"/>
      <c r="G22" s="27"/>
      <c r="H22" s="27"/>
      <c r="I22" s="27"/>
      <c r="J22" s="11"/>
      <c r="K22" s="11"/>
      <c r="L22" s="27"/>
      <c r="M22" s="27"/>
      <c r="N22" s="27"/>
      <c r="O22" s="27"/>
      <c r="P22" s="27"/>
      <c r="Q22" s="11"/>
      <c r="R22" s="11"/>
      <c r="S22" s="27"/>
      <c r="T22" s="27"/>
      <c r="U22" s="27"/>
      <c r="V22" s="27"/>
      <c r="W22" s="27"/>
      <c r="X22" s="11"/>
      <c r="Y22" s="11"/>
      <c r="Z22" s="27"/>
      <c r="AA22" s="27"/>
      <c r="AB22" s="27"/>
      <c r="AC22" s="27"/>
      <c r="AD22" s="27"/>
      <c r="AE22" s="11"/>
      <c r="AF22" s="11"/>
      <c r="AG22" s="27"/>
      <c r="AH22" s="27"/>
      <c r="AI22" s="27"/>
      <c r="AJ22" s="27"/>
      <c r="AK22" s="27"/>
      <c r="AL22" s="11"/>
      <c r="AM22" s="11"/>
      <c r="AN22" s="27"/>
      <c r="AO22" s="27"/>
      <c r="AP22" s="27"/>
      <c r="AQ22" s="27"/>
      <c r="AR22" s="27"/>
      <c r="AS22" s="11"/>
      <c r="AT22" s="11"/>
      <c r="AU22" s="27"/>
      <c r="AV22" s="27"/>
      <c r="AW22" s="27"/>
      <c r="AX22" s="27"/>
      <c r="AY22" s="27"/>
      <c r="AZ22" s="11"/>
      <c r="BA22" s="11"/>
      <c r="BB22" s="27"/>
      <c r="BC22" s="27"/>
      <c r="BD22" s="27"/>
      <c r="BE22" s="27"/>
      <c r="BF22" s="27"/>
      <c r="BG22" s="11"/>
      <c r="BH22" s="11"/>
      <c r="BI22" s="27"/>
      <c r="BJ22" s="27"/>
      <c r="BK22" s="27"/>
      <c r="BL22" s="27"/>
      <c r="BM22" s="27"/>
      <c r="BN22" s="11"/>
      <c r="BO22" s="11"/>
      <c r="BP22" s="27"/>
      <c r="BQ22" s="27"/>
      <c r="BR22" s="27"/>
      <c r="BS22" s="27"/>
      <c r="BT22" s="27"/>
    </row>
    <row r="23" spans="1:73" ht="12.75" customHeight="1" x14ac:dyDescent="0.2">
      <c r="A23" s="21" t="s">
        <v>121</v>
      </c>
      <c r="B23" s="1"/>
      <c r="C23" s="11"/>
      <c r="D23" s="11"/>
      <c r="E23" s="27"/>
      <c r="F23" s="27"/>
      <c r="G23" s="27"/>
      <c r="H23" s="27"/>
      <c r="I23" s="27"/>
      <c r="J23" s="11"/>
      <c r="K23" s="11"/>
      <c r="L23" s="27"/>
      <c r="M23" s="27"/>
      <c r="N23" s="27"/>
      <c r="O23" s="27"/>
      <c r="P23" s="27"/>
      <c r="Q23" s="11"/>
      <c r="R23" s="11"/>
      <c r="S23" s="27"/>
      <c r="T23" s="27"/>
      <c r="U23" s="27"/>
      <c r="V23" s="27"/>
      <c r="W23" s="27"/>
      <c r="X23" s="11"/>
      <c r="Y23" s="11"/>
      <c r="Z23" s="27"/>
      <c r="AA23" s="27"/>
      <c r="AB23" s="27"/>
      <c r="AC23" s="27"/>
      <c r="AD23" s="27"/>
      <c r="AE23" s="11"/>
      <c r="AF23" s="11"/>
      <c r="AG23" s="27"/>
      <c r="AH23" s="27"/>
      <c r="AI23" s="27"/>
      <c r="AJ23" s="27"/>
      <c r="AK23" s="27"/>
      <c r="AL23" s="11"/>
      <c r="AM23" s="11"/>
      <c r="AN23" s="27"/>
      <c r="AO23" s="27"/>
      <c r="AP23" s="27"/>
      <c r="AQ23" s="27"/>
      <c r="AR23" s="27"/>
      <c r="AS23" s="11"/>
      <c r="AT23" s="11"/>
      <c r="AU23" s="27"/>
      <c r="AV23" s="27"/>
      <c r="AW23" s="27"/>
      <c r="AX23" s="27"/>
      <c r="AY23" s="27"/>
      <c r="AZ23" s="11"/>
      <c r="BA23" s="11"/>
      <c r="BB23" s="27"/>
      <c r="BC23" s="27"/>
      <c r="BD23" s="27"/>
      <c r="BE23" s="27"/>
      <c r="BF23" s="27"/>
      <c r="BG23" s="11"/>
      <c r="BH23" s="11"/>
      <c r="BI23" s="27"/>
      <c r="BJ23" s="27"/>
      <c r="BK23" s="27"/>
      <c r="BL23" s="27"/>
      <c r="BM23" s="27"/>
      <c r="BN23" s="11"/>
      <c r="BO23" s="11"/>
      <c r="BP23" s="27"/>
      <c r="BQ23" s="27"/>
      <c r="BR23" s="27"/>
      <c r="BS23" s="27"/>
      <c r="BT23" s="27"/>
    </row>
    <row r="24" spans="1:73" ht="12.75" customHeight="1" x14ac:dyDescent="0.2">
      <c r="A24" s="45" t="s">
        <v>122</v>
      </c>
      <c r="B24" s="18">
        <v>10000</v>
      </c>
      <c r="C24" s="103">
        <f>B24</f>
        <v>10000</v>
      </c>
      <c r="D24" s="103"/>
      <c r="E24" s="27"/>
      <c r="F24" s="27"/>
      <c r="G24" s="27"/>
      <c r="H24" s="102">
        <f>(C24*C25)</f>
        <v>200000</v>
      </c>
      <c r="I24" s="102"/>
      <c r="J24" s="102">
        <f>C24*(1+$BU$24)</f>
        <v>10200</v>
      </c>
      <c r="K24" s="102"/>
      <c r="L24" s="27"/>
      <c r="M24" s="27"/>
      <c r="N24" s="27"/>
      <c r="O24" s="102">
        <f>(J24*J25)+SUM(N29:P29)</f>
        <v>253470</v>
      </c>
      <c r="P24" s="102"/>
      <c r="Q24" s="102">
        <f>J24*(1+$BU$24)</f>
        <v>10404</v>
      </c>
      <c r="R24" s="102"/>
      <c r="S24" s="27"/>
      <c r="T24" s="27"/>
      <c r="U24" s="27"/>
      <c r="V24" s="102">
        <f>(Q24*Q25)+SUM(U29:W29)</f>
        <v>262784.23200000002</v>
      </c>
      <c r="W24" s="102"/>
      <c r="X24" s="102">
        <f>Q24*(1+$BU$24)</f>
        <v>10612.08</v>
      </c>
      <c r="Y24" s="102"/>
      <c r="Z24" s="27"/>
      <c r="AA24" s="27"/>
      <c r="AB24" s="27"/>
      <c r="AC24" s="102">
        <f>(X24*X25)+SUM(AB29:AD29)</f>
        <v>272456.23985280003</v>
      </c>
      <c r="AD24" s="102"/>
      <c r="AE24" s="102">
        <f>X24*(1+$BU$24)</f>
        <v>10824.321599999999</v>
      </c>
      <c r="AF24" s="102"/>
      <c r="AG24" s="27"/>
      <c r="AH24" s="27"/>
      <c r="AI24" s="27"/>
      <c r="AJ24" s="102">
        <f>(AE24*AE25)+SUM(AI29:AK29)</f>
        <v>282500.1073204531</v>
      </c>
      <c r="AK24" s="102"/>
      <c r="AL24" s="102">
        <f>AE24*(1+$BU$24)</f>
        <v>11040.808031999999</v>
      </c>
      <c r="AM24" s="102"/>
      <c r="AN24" s="27"/>
      <c r="AO24" s="27"/>
      <c r="AP24" s="27"/>
      <c r="AQ24" s="102">
        <f>(AL24*AL25)+SUM(AP29:AR29)</f>
        <v>292930.47974135145</v>
      </c>
      <c r="AR24" s="102"/>
      <c r="AS24" s="102">
        <f>AL24*(1+$BU$24)</f>
        <v>11261.62419264</v>
      </c>
      <c r="AT24" s="102"/>
      <c r="AU24" s="27"/>
      <c r="AV24" s="27"/>
      <c r="AW24" s="27"/>
      <c r="AX24" s="102">
        <f>(AS24*AS25)+SUM(AW29:AY29)</f>
        <v>303762.58656975708</v>
      </c>
      <c r="AY24" s="102"/>
      <c r="AZ24" s="102">
        <f>AS24*(1+$BU$24)</f>
        <v>11486.8566764928</v>
      </c>
      <c r="BA24" s="102"/>
      <c r="BB24" s="27"/>
      <c r="BC24" s="27"/>
      <c r="BD24" s="27"/>
      <c r="BE24" s="102">
        <f>(AZ24*AZ25)+SUM(BD29:BF29)</f>
        <v>315012.26482296741</v>
      </c>
      <c r="BF24" s="102"/>
      <c r="BG24" s="102">
        <f>AZ24*(1+$BU$24)</f>
        <v>11716.593810022656</v>
      </c>
      <c r="BH24" s="102"/>
      <c r="BI24" s="27"/>
      <c r="BJ24" s="27"/>
      <c r="BK24" s="27"/>
      <c r="BL24" s="102">
        <f>(BG24*BG25)+SUM(BK29:BM29)</f>
        <v>326695.98347272328</v>
      </c>
      <c r="BM24" s="102"/>
      <c r="BN24" s="102">
        <f>BG24*(1+$BU$24)</f>
        <v>11950.925686223109</v>
      </c>
      <c r="BO24" s="102"/>
      <c r="BP24" s="27"/>
      <c r="BQ24" s="27"/>
      <c r="BR24" s="27"/>
      <c r="BS24" s="102">
        <f>(BN24*BN25)+SUM(BR29:BT29)</f>
        <v>338830.86881894741</v>
      </c>
      <c r="BT24" s="102"/>
      <c r="BU24">
        <v>0.02</v>
      </c>
    </row>
    <row r="25" spans="1:73" ht="12.75" customHeight="1" x14ac:dyDescent="0.2">
      <c r="A25" s="45" t="s">
        <v>123</v>
      </c>
      <c r="B25" s="50">
        <v>20</v>
      </c>
      <c r="C25" s="103">
        <f>B25</f>
        <v>20</v>
      </c>
      <c r="D25" s="103"/>
      <c r="E25" s="27"/>
      <c r="F25" s="27"/>
      <c r="G25" s="27"/>
      <c r="H25" s="27"/>
      <c r="I25" s="27"/>
      <c r="J25" s="102">
        <f>C25*(1+$BU$24)</f>
        <v>20.399999999999999</v>
      </c>
      <c r="K25" s="102"/>
      <c r="L25" s="27"/>
      <c r="M25" s="27"/>
      <c r="N25" s="27"/>
      <c r="O25" s="27"/>
      <c r="P25" s="27"/>
      <c r="Q25" s="102">
        <f>J25*(1+$BU$24)</f>
        <v>20.808</v>
      </c>
      <c r="R25" s="102"/>
      <c r="S25" s="27"/>
      <c r="T25" s="27"/>
      <c r="U25" s="27"/>
      <c r="V25" s="27"/>
      <c r="W25" s="27"/>
      <c r="X25" s="102">
        <f>Q25*(1+$BU$24)</f>
        <v>21.224160000000001</v>
      </c>
      <c r="Y25" s="102"/>
      <c r="Z25" s="27"/>
      <c r="AA25" s="27"/>
      <c r="AB25" s="27"/>
      <c r="AC25" s="27"/>
      <c r="AD25" s="27"/>
      <c r="AE25" s="102">
        <f>X25*(1+$BU$24)</f>
        <v>21.648643200000002</v>
      </c>
      <c r="AF25" s="102"/>
      <c r="AG25" s="27"/>
      <c r="AH25" s="27"/>
      <c r="AI25" s="27"/>
      <c r="AJ25" s="27"/>
      <c r="AK25" s="27"/>
      <c r="AL25" s="102">
        <f>AE25*(1+$BU$24)</f>
        <v>22.081616064000002</v>
      </c>
      <c r="AM25" s="102"/>
      <c r="AN25" s="27"/>
      <c r="AO25" s="27"/>
      <c r="AP25" s="27"/>
      <c r="AQ25" s="27"/>
      <c r="AR25" s="27"/>
      <c r="AS25" s="102">
        <f>AL25*(1+$BU$24)</f>
        <v>22.523248385280002</v>
      </c>
      <c r="AT25" s="102"/>
      <c r="AU25" s="27"/>
      <c r="AV25" s="27"/>
      <c r="AW25" s="27"/>
      <c r="AX25" s="27"/>
      <c r="AY25" s="27"/>
      <c r="AZ25" s="102">
        <f>AS25*(1+$BU$24)</f>
        <v>22.973713352985602</v>
      </c>
      <c r="BA25" s="102"/>
      <c r="BB25" s="27"/>
      <c r="BC25" s="27"/>
      <c r="BD25" s="27"/>
      <c r="BE25" s="27"/>
      <c r="BF25" s="27"/>
      <c r="BG25" s="102">
        <f>AZ25*(1+$BU$24)</f>
        <v>23.433187620045313</v>
      </c>
      <c r="BH25" s="102"/>
      <c r="BI25" s="27"/>
      <c r="BJ25" s="27"/>
      <c r="BK25" s="27"/>
      <c r="BL25" s="27"/>
      <c r="BM25" s="27"/>
      <c r="BN25" s="102">
        <f>BG25*(1+$BU$24)</f>
        <v>23.90185137244622</v>
      </c>
      <c r="BO25" s="102"/>
      <c r="BP25" s="27"/>
      <c r="BQ25" s="27"/>
      <c r="BR25" s="27"/>
      <c r="BS25" s="27"/>
      <c r="BT25" s="27"/>
      <c r="BU25">
        <v>0</v>
      </c>
    </row>
    <row r="26" spans="1:73" x14ac:dyDescent="0.2">
      <c r="A26" s="45" t="s">
        <v>124</v>
      </c>
      <c r="B26" s="45">
        <v>30</v>
      </c>
      <c r="C26" s="11"/>
      <c r="D26" s="11"/>
      <c r="E26" s="27"/>
      <c r="F26" s="11"/>
      <c r="G26" s="27"/>
      <c r="H26" s="27"/>
      <c r="I26" s="27"/>
      <c r="J26" s="27"/>
      <c r="K26" s="27"/>
      <c r="L26" s="27"/>
      <c r="M26" s="11"/>
      <c r="N26" s="27"/>
      <c r="O26" s="27"/>
      <c r="P26" s="27"/>
      <c r="Q26" s="27"/>
      <c r="R26" s="27"/>
      <c r="S26" s="27"/>
      <c r="T26" s="11"/>
      <c r="U26" s="27"/>
      <c r="V26" s="27"/>
      <c r="W26" s="27"/>
      <c r="X26" s="27"/>
      <c r="Y26" s="27"/>
      <c r="Z26" s="27"/>
      <c r="AA26" s="11"/>
      <c r="AB26" s="27"/>
      <c r="AC26" s="27"/>
      <c r="AD26" s="27"/>
      <c r="AE26" s="27"/>
      <c r="AF26" s="27"/>
      <c r="AG26" s="27"/>
      <c r="AH26" s="11"/>
      <c r="AI26" s="27"/>
      <c r="AJ26" s="27"/>
      <c r="AK26" s="27"/>
      <c r="AL26" s="27"/>
      <c r="AM26" s="27"/>
      <c r="AN26" s="27"/>
      <c r="AO26" s="11"/>
      <c r="AP26" s="27"/>
      <c r="AQ26" s="27"/>
      <c r="AR26" s="27"/>
      <c r="AS26" s="27"/>
      <c r="AT26" s="27"/>
      <c r="AU26" s="27"/>
      <c r="AV26" s="11"/>
      <c r="AW26" s="27"/>
      <c r="AX26" s="27"/>
      <c r="AY26" s="27"/>
      <c r="AZ26" s="27"/>
      <c r="BA26" s="27"/>
      <c r="BB26" s="27"/>
      <c r="BC26" s="11"/>
      <c r="BD26" s="27"/>
      <c r="BE26" s="27"/>
      <c r="BF26" s="27"/>
      <c r="BG26" s="27"/>
      <c r="BH26" s="27"/>
      <c r="BI26" s="27"/>
      <c r="BJ26" s="11"/>
      <c r="BK26" s="27"/>
      <c r="BL26" s="27"/>
      <c r="BM26" s="27"/>
      <c r="BN26" s="27"/>
      <c r="BO26" s="27"/>
      <c r="BP26" s="27"/>
      <c r="BQ26" s="11"/>
      <c r="BR26" s="27"/>
      <c r="BS26" s="27"/>
      <c r="BT26" s="27"/>
    </row>
    <row r="27" spans="1:73" x14ac:dyDescent="0.2">
      <c r="C27" s="11"/>
      <c r="D27" s="11"/>
      <c r="E27" s="27"/>
      <c r="F27" s="11"/>
      <c r="G27" s="27"/>
      <c r="H27" s="27"/>
      <c r="I27" s="27"/>
      <c r="J27" s="27"/>
      <c r="K27" s="27"/>
      <c r="L27" s="27"/>
      <c r="M27" s="11"/>
      <c r="N27" s="27"/>
      <c r="O27" s="27"/>
      <c r="P27" s="27"/>
      <c r="Q27" s="27"/>
      <c r="R27" s="27"/>
      <c r="S27" s="27"/>
      <c r="T27" s="11"/>
      <c r="U27" s="27"/>
      <c r="V27" s="27"/>
      <c r="W27" s="27"/>
      <c r="X27" s="27"/>
      <c r="Y27" s="27"/>
      <c r="Z27" s="27"/>
      <c r="AA27" s="11"/>
      <c r="AB27" s="27"/>
      <c r="AC27" s="27"/>
      <c r="AD27" s="27"/>
      <c r="AE27" s="27"/>
      <c r="AF27" s="27"/>
      <c r="AG27" s="27"/>
      <c r="AH27" s="11"/>
      <c r="AI27" s="27"/>
      <c r="AJ27" s="27"/>
      <c r="AK27" s="27"/>
      <c r="AL27" s="27"/>
      <c r="AM27" s="27"/>
      <c r="AN27" s="27"/>
      <c r="AO27" s="11"/>
      <c r="AP27" s="27"/>
      <c r="AQ27" s="27"/>
      <c r="AR27" s="27"/>
      <c r="AS27" s="27"/>
      <c r="AT27" s="27"/>
      <c r="AU27" s="27"/>
      <c r="AV27" s="11"/>
      <c r="AW27" s="27"/>
      <c r="AX27" s="27"/>
      <c r="AY27" s="27"/>
      <c r="AZ27" s="27"/>
      <c r="BA27" s="27"/>
      <c r="BB27" s="27"/>
      <c r="BC27" s="11"/>
      <c r="BD27" s="27"/>
      <c r="BE27" s="27"/>
      <c r="BF27" s="27"/>
      <c r="BG27" s="27"/>
      <c r="BH27" s="27"/>
      <c r="BI27" s="27"/>
      <c r="BJ27" s="11"/>
      <c r="BK27" s="27"/>
      <c r="BL27" s="27"/>
      <c r="BM27" s="27"/>
      <c r="BN27" s="27"/>
      <c r="BO27" s="27"/>
      <c r="BP27" s="27"/>
      <c r="BQ27" s="11"/>
      <c r="BR27" s="27"/>
      <c r="BS27" s="27"/>
      <c r="BT27" s="27"/>
    </row>
    <row r="28" spans="1:73" x14ac:dyDescent="0.2">
      <c r="A28" s="21" t="s">
        <v>125</v>
      </c>
      <c r="C28" s="27" t="s">
        <v>126</v>
      </c>
      <c r="D28" s="27" t="s">
        <v>127</v>
      </c>
      <c r="E28" s="33" t="s">
        <v>128</v>
      </c>
      <c r="F28" s="11"/>
      <c r="G28" s="27" t="str">
        <f>C28</f>
        <v>50 participants</v>
      </c>
      <c r="H28" s="27" t="str">
        <f>D28</f>
        <v>150 Participants</v>
      </c>
      <c r="I28" s="27" t="str">
        <f>E28</f>
        <v>200 Participants</v>
      </c>
      <c r="J28" s="27" t="s">
        <v>126</v>
      </c>
      <c r="K28" s="27" t="s">
        <v>127</v>
      </c>
      <c r="L28" s="33" t="s">
        <v>128</v>
      </c>
      <c r="M28" s="11"/>
      <c r="N28" s="27" t="str">
        <f>J28</f>
        <v>50 participants</v>
      </c>
      <c r="O28" s="27" t="str">
        <f>K28</f>
        <v>150 Participants</v>
      </c>
      <c r="P28" s="27" t="str">
        <f>L28</f>
        <v>200 Participants</v>
      </c>
      <c r="Q28" s="27" t="s">
        <v>126</v>
      </c>
      <c r="R28" s="27" t="s">
        <v>127</v>
      </c>
      <c r="S28" s="33" t="s">
        <v>128</v>
      </c>
      <c r="T28" s="11"/>
      <c r="U28" s="27" t="str">
        <f>Q28</f>
        <v>50 participants</v>
      </c>
      <c r="V28" s="27" t="str">
        <f>R28</f>
        <v>150 Participants</v>
      </c>
      <c r="W28" s="27" t="str">
        <f>S28</f>
        <v>200 Participants</v>
      </c>
      <c r="X28" s="27" t="s">
        <v>126</v>
      </c>
      <c r="Y28" s="27" t="s">
        <v>127</v>
      </c>
      <c r="Z28" s="33" t="s">
        <v>128</v>
      </c>
      <c r="AA28" s="11"/>
      <c r="AB28" s="27" t="str">
        <f>X28</f>
        <v>50 participants</v>
      </c>
      <c r="AC28" s="27" t="str">
        <f>Y28</f>
        <v>150 Participants</v>
      </c>
      <c r="AD28" s="27" t="str">
        <f>Z28</f>
        <v>200 Participants</v>
      </c>
      <c r="AE28" s="27" t="s">
        <v>126</v>
      </c>
      <c r="AF28" s="27" t="s">
        <v>127</v>
      </c>
      <c r="AG28" s="33" t="s">
        <v>128</v>
      </c>
      <c r="AH28" s="11"/>
      <c r="AI28" s="27" t="str">
        <f>AE28</f>
        <v>50 participants</v>
      </c>
      <c r="AJ28" s="27" t="str">
        <f>AF28</f>
        <v>150 Participants</v>
      </c>
      <c r="AK28" s="27" t="str">
        <f>AG28</f>
        <v>200 Participants</v>
      </c>
      <c r="AL28" s="27" t="s">
        <v>126</v>
      </c>
      <c r="AM28" s="27" t="s">
        <v>127</v>
      </c>
      <c r="AN28" s="33" t="s">
        <v>128</v>
      </c>
      <c r="AO28" s="11"/>
      <c r="AP28" s="27" t="str">
        <f>AL28</f>
        <v>50 participants</v>
      </c>
      <c r="AQ28" s="27" t="str">
        <f>AM28</f>
        <v>150 Participants</v>
      </c>
      <c r="AR28" s="27" t="str">
        <f>AN28</f>
        <v>200 Participants</v>
      </c>
      <c r="AS28" s="27" t="s">
        <v>126</v>
      </c>
      <c r="AT28" s="27" t="s">
        <v>127</v>
      </c>
      <c r="AU28" s="33" t="s">
        <v>128</v>
      </c>
      <c r="AV28" s="11"/>
      <c r="AW28" s="27" t="str">
        <f>AS28</f>
        <v>50 participants</v>
      </c>
      <c r="AX28" s="27" t="str">
        <f>AT28</f>
        <v>150 Participants</v>
      </c>
      <c r="AY28" s="27" t="str">
        <f>AU28</f>
        <v>200 Participants</v>
      </c>
      <c r="AZ28" s="27" t="s">
        <v>126</v>
      </c>
      <c r="BA28" s="27" t="s">
        <v>127</v>
      </c>
      <c r="BB28" s="33" t="s">
        <v>128</v>
      </c>
      <c r="BC28" s="11"/>
      <c r="BD28" s="27" t="str">
        <f>AZ28</f>
        <v>50 participants</v>
      </c>
      <c r="BE28" s="27" t="str">
        <f>BA28</f>
        <v>150 Participants</v>
      </c>
      <c r="BF28" s="27" t="str">
        <f>BB28</f>
        <v>200 Participants</v>
      </c>
      <c r="BG28" s="27" t="s">
        <v>126</v>
      </c>
      <c r="BH28" s="27" t="s">
        <v>127</v>
      </c>
      <c r="BI28" s="33" t="s">
        <v>128</v>
      </c>
      <c r="BJ28" s="11"/>
      <c r="BK28" s="27" t="str">
        <f>BG28</f>
        <v>50 participants</v>
      </c>
      <c r="BL28" s="27" t="str">
        <f>BH28</f>
        <v>150 Participants</v>
      </c>
      <c r="BM28" s="27" t="str">
        <f>BI28</f>
        <v>200 Participants</v>
      </c>
      <c r="BN28" s="27" t="s">
        <v>126</v>
      </c>
      <c r="BO28" s="27" t="s">
        <v>127</v>
      </c>
      <c r="BP28" s="33" t="s">
        <v>128</v>
      </c>
      <c r="BQ28" s="11"/>
      <c r="BR28" s="27" t="str">
        <f>BN28</f>
        <v>50 participants</v>
      </c>
      <c r="BS28" s="27" t="str">
        <f>BO28</f>
        <v>150 Participants</v>
      </c>
      <c r="BT28" s="27" t="str">
        <f>BP28</f>
        <v>200 Participants</v>
      </c>
    </row>
    <row r="29" spans="1:73" x14ac:dyDescent="0.2">
      <c r="A29" s="45" t="s">
        <v>129</v>
      </c>
      <c r="B29" s="45"/>
      <c r="C29" s="27">
        <v>4000</v>
      </c>
      <c r="D29" s="27">
        <v>5000</v>
      </c>
      <c r="E29" s="27">
        <v>5500</v>
      </c>
      <c r="F29" s="11"/>
      <c r="G29" s="27">
        <f>C29*C30</f>
        <v>24000</v>
      </c>
      <c r="H29" s="27">
        <f>D29*D30</f>
        <v>15000</v>
      </c>
      <c r="I29" s="27">
        <f>E29*E30</f>
        <v>5500</v>
      </c>
      <c r="J29" s="27">
        <f>C29*(1+$BU$29)</f>
        <v>4080</v>
      </c>
      <c r="K29" s="27">
        <f>D29*(1+$BU$29)</f>
        <v>5100</v>
      </c>
      <c r="L29" s="27">
        <f>E29*(1+$BU$29)</f>
        <v>5610</v>
      </c>
      <c r="M29" s="11"/>
      <c r="N29" s="27">
        <f>J29*J30</f>
        <v>24480</v>
      </c>
      <c r="O29" s="27">
        <f>K29*K30</f>
        <v>15300</v>
      </c>
      <c r="P29" s="27">
        <f>L29*L30</f>
        <v>5610</v>
      </c>
      <c r="Q29" s="27">
        <f>J29*(1+$BU$29)</f>
        <v>4161.6000000000004</v>
      </c>
      <c r="R29" s="27">
        <f>K29*(1+$BU$29)</f>
        <v>5202</v>
      </c>
      <c r="S29" s="27">
        <f>L29*(1+$BU$29)</f>
        <v>5722.2</v>
      </c>
      <c r="T29" s="11"/>
      <c r="U29" s="27">
        <f>Q29*Q30</f>
        <v>24969.600000000002</v>
      </c>
      <c r="V29" s="27">
        <f>R29*R30</f>
        <v>15606</v>
      </c>
      <c r="W29" s="27">
        <f>S29*S30</f>
        <v>5722.2</v>
      </c>
      <c r="X29" s="27">
        <f>Q29*(1+$BU$29)</f>
        <v>4244.8320000000003</v>
      </c>
      <c r="Y29" s="27">
        <f>R29*(1+$BU$29)</f>
        <v>5306.04</v>
      </c>
      <c r="Z29" s="27">
        <f>S29*(1+$BU$29)</f>
        <v>5836.6440000000002</v>
      </c>
      <c r="AA29" s="11"/>
      <c r="AB29" s="27">
        <f>X29*X30</f>
        <v>25468.992000000002</v>
      </c>
      <c r="AC29" s="27">
        <f>Y29*Y30</f>
        <v>15918.119999999999</v>
      </c>
      <c r="AD29" s="27">
        <f>Z29*Z30</f>
        <v>5836.6440000000002</v>
      </c>
      <c r="AE29" s="27">
        <f>X29*(1+$BU$29)</f>
        <v>4329.7286400000003</v>
      </c>
      <c r="AF29" s="27">
        <f>Y29*(1+$BU$29)</f>
        <v>5412.1607999999997</v>
      </c>
      <c r="AG29" s="27">
        <f>Z29*(1+$BU$29)</f>
        <v>5953.3768800000007</v>
      </c>
      <c r="AH29" s="11"/>
      <c r="AI29" s="27">
        <f>AE29*AE30</f>
        <v>25978.37184</v>
      </c>
      <c r="AJ29" s="27">
        <f>AF29*AF30</f>
        <v>16236.482399999999</v>
      </c>
      <c r="AK29" s="27">
        <f>AG29*AG30</f>
        <v>5953.3768800000007</v>
      </c>
      <c r="AL29" s="27">
        <f>AE29*(1+$BU$29)</f>
        <v>4416.3232128</v>
      </c>
      <c r="AM29" s="27">
        <f>AF29*(1+$BU$29)</f>
        <v>5520.4040159999995</v>
      </c>
      <c r="AN29" s="27">
        <f>AG29*(1+$BU$29)</f>
        <v>6072.4444176000006</v>
      </c>
      <c r="AO29" s="11"/>
      <c r="AP29" s="27">
        <f>AL29*AL30</f>
        <v>26497.9392768</v>
      </c>
      <c r="AQ29" s="27">
        <f>AM29*AM30</f>
        <v>16561.212047999998</v>
      </c>
      <c r="AR29" s="27">
        <f>AN29*AN30</f>
        <v>6072.4444176000006</v>
      </c>
      <c r="AS29" s="27">
        <f>AL29*(1+$BU$29)</f>
        <v>4504.6496770559997</v>
      </c>
      <c r="AT29" s="27">
        <f>AM29*(1+$BU$29)</f>
        <v>5630.8120963199999</v>
      </c>
      <c r="AU29" s="27">
        <f>AN29*(1+$BU$29)</f>
        <v>6193.8933059520004</v>
      </c>
      <c r="AV29" s="11"/>
      <c r="AW29" s="27">
        <f>AS29*AS30</f>
        <v>27027.898062335997</v>
      </c>
      <c r="AX29" s="27">
        <f>AT29*AT30</f>
        <v>16892.436288960002</v>
      </c>
      <c r="AY29" s="27">
        <f>AU29*AU30</f>
        <v>6193.8933059520004</v>
      </c>
      <c r="AZ29" s="27">
        <f>AS29*(1+$BU$29)</f>
        <v>4594.7426705971202</v>
      </c>
      <c r="BA29" s="27">
        <f>AT29*(1+$BU$29)</f>
        <v>5743.4283382464</v>
      </c>
      <c r="BB29" s="27">
        <f>AU29*(1+$BU$29)</f>
        <v>6317.7711720710404</v>
      </c>
      <c r="BC29" s="11"/>
      <c r="BD29" s="27">
        <f>AZ29*AZ30</f>
        <v>27568.456023582723</v>
      </c>
      <c r="BE29" s="27">
        <f>BA29*BA30</f>
        <v>17230.285014739202</v>
      </c>
      <c r="BF29" s="27">
        <f>BB29*BB30</f>
        <v>6317.7711720710404</v>
      </c>
      <c r="BG29" s="27">
        <f>AZ29*(1+$BU$29)</f>
        <v>4686.6375240090629</v>
      </c>
      <c r="BH29" s="27">
        <f>BA29*(1+$BU$29)</f>
        <v>5858.2969050113279</v>
      </c>
      <c r="BI29" s="27">
        <f>BB29*(1+$BU$29)</f>
        <v>6444.1265955124609</v>
      </c>
      <c r="BJ29" s="11"/>
      <c r="BK29" s="27">
        <f>BG29*BG30</f>
        <v>28119.825144054375</v>
      </c>
      <c r="BL29" s="27">
        <f>BH29*BH30</f>
        <v>17574.890715033984</v>
      </c>
      <c r="BM29" s="27">
        <f>BI29*BI30</f>
        <v>6444.1265955124609</v>
      </c>
      <c r="BN29" s="27">
        <f>BG29*(1+$BU$29)</f>
        <v>4780.3702744892444</v>
      </c>
      <c r="BO29" s="27">
        <f>BH29*(1+$BU$29)</f>
        <v>5975.4628431115543</v>
      </c>
      <c r="BP29" s="27">
        <f>BI29*(1+$BU$29)</f>
        <v>6573.0091274227107</v>
      </c>
      <c r="BQ29" s="11"/>
      <c r="BR29" s="27">
        <f>BN29*BN30</f>
        <v>28682.221646935468</v>
      </c>
      <c r="BS29" s="27">
        <f>BO29*BO30</f>
        <v>17926.388529334661</v>
      </c>
      <c r="BT29" s="27">
        <f>BP29*BP30</f>
        <v>6573.0091274227107</v>
      </c>
      <c r="BU29">
        <v>0.02</v>
      </c>
    </row>
    <row r="30" spans="1:73" x14ac:dyDescent="0.2">
      <c r="A30" s="45" t="s">
        <v>130</v>
      </c>
      <c r="B30" s="45"/>
      <c r="C30" s="27">
        <v>6</v>
      </c>
      <c r="D30" s="27">
        <v>3</v>
      </c>
      <c r="E30" s="27">
        <v>1</v>
      </c>
      <c r="F30" s="11"/>
      <c r="G30" s="27"/>
      <c r="H30" s="27"/>
      <c r="I30" s="27"/>
      <c r="J30" s="27">
        <f>C30*(1+$BU$30)</f>
        <v>6</v>
      </c>
      <c r="K30" s="27">
        <f>D30*(1+$BU$30)</f>
        <v>3</v>
      </c>
      <c r="L30" s="27">
        <f>E30*(1+$BU$30)</f>
        <v>1</v>
      </c>
      <c r="M30" s="11"/>
      <c r="N30" s="27"/>
      <c r="O30" s="27"/>
      <c r="P30" s="27"/>
      <c r="Q30" s="27">
        <f>J30*(1+$BU$30)</f>
        <v>6</v>
      </c>
      <c r="R30" s="27">
        <f>K30*(1+$BU$30)</f>
        <v>3</v>
      </c>
      <c r="S30" s="27">
        <f>L30*(1+$BU$30)</f>
        <v>1</v>
      </c>
      <c r="T30" s="11"/>
      <c r="U30" s="27"/>
      <c r="V30" s="27"/>
      <c r="W30" s="27"/>
      <c r="X30" s="27">
        <f>Q30*(1+$BU$30)</f>
        <v>6</v>
      </c>
      <c r="Y30" s="27">
        <f>R30*(1+$BU$30)</f>
        <v>3</v>
      </c>
      <c r="Z30" s="27">
        <f>S30*(1+$BU$30)</f>
        <v>1</v>
      </c>
      <c r="AA30" s="11"/>
      <c r="AB30" s="27"/>
      <c r="AC30" s="27"/>
      <c r="AD30" s="27"/>
      <c r="AE30" s="27">
        <f>X30*(1+$BU$30)</f>
        <v>6</v>
      </c>
      <c r="AF30" s="27">
        <f>Y30*(1+$BU$30)</f>
        <v>3</v>
      </c>
      <c r="AG30" s="27">
        <f>Z30*(1+$BU$30)</f>
        <v>1</v>
      </c>
      <c r="AH30" s="11"/>
      <c r="AI30" s="27"/>
      <c r="AJ30" s="27"/>
      <c r="AK30" s="27"/>
      <c r="AL30" s="27">
        <f>AE30*(1+$BU$30)</f>
        <v>6</v>
      </c>
      <c r="AM30" s="27">
        <f>AF30*(1+$BU$30)</f>
        <v>3</v>
      </c>
      <c r="AN30" s="27">
        <f>AG30*(1+$BU$30)</f>
        <v>1</v>
      </c>
      <c r="AO30" s="11"/>
      <c r="AP30" s="27"/>
      <c r="AQ30" s="27"/>
      <c r="AR30" s="27"/>
      <c r="AS30" s="27">
        <f>AL30*(1+$BU$30)</f>
        <v>6</v>
      </c>
      <c r="AT30" s="27">
        <f>AM30*(1+$BU$30)</f>
        <v>3</v>
      </c>
      <c r="AU30" s="27">
        <f>AN30*(1+$BU$30)</f>
        <v>1</v>
      </c>
      <c r="AV30" s="11"/>
      <c r="AW30" s="27"/>
      <c r="AX30" s="27"/>
      <c r="AY30" s="27"/>
      <c r="AZ30" s="27">
        <f>AS30*(1+$BU$30)</f>
        <v>6</v>
      </c>
      <c r="BA30" s="27">
        <f>AT30*(1+$BU$30)</f>
        <v>3</v>
      </c>
      <c r="BB30" s="27">
        <f>AU30*(1+$BU$30)</f>
        <v>1</v>
      </c>
      <c r="BC30" s="11"/>
      <c r="BD30" s="27"/>
      <c r="BE30" s="27"/>
      <c r="BF30" s="27"/>
      <c r="BG30" s="27">
        <f>AZ30*(1+$BU$30)</f>
        <v>6</v>
      </c>
      <c r="BH30" s="27">
        <f>BA30*(1+$BU$30)</f>
        <v>3</v>
      </c>
      <c r="BI30" s="27">
        <f>BB30*(1+$BU$30)</f>
        <v>1</v>
      </c>
      <c r="BJ30" s="11"/>
      <c r="BK30" s="27"/>
      <c r="BL30" s="27"/>
      <c r="BM30" s="27"/>
      <c r="BN30" s="27">
        <f>BG30*(1+$BU$30)</f>
        <v>6</v>
      </c>
      <c r="BO30" s="27">
        <f>BH30*(1+$BU$30)</f>
        <v>3</v>
      </c>
      <c r="BP30" s="27">
        <f>BI30*(1+$BU$30)</f>
        <v>1</v>
      </c>
      <c r="BQ30" s="11"/>
      <c r="BR30" s="27"/>
      <c r="BS30" s="27"/>
      <c r="BT30" s="27"/>
      <c r="BU30">
        <v>0</v>
      </c>
    </row>
    <row r="31" spans="1:73" x14ac:dyDescent="0.2">
      <c r="B31" s="1"/>
      <c r="C31" s="11"/>
      <c r="D31" s="11"/>
      <c r="E31" s="27"/>
      <c r="F31" s="27"/>
      <c r="G31" s="27"/>
      <c r="H31" s="27"/>
      <c r="I31" s="27"/>
      <c r="J31" s="11"/>
      <c r="K31" s="11"/>
      <c r="L31" s="27"/>
      <c r="M31" s="27"/>
      <c r="N31" s="27"/>
      <c r="O31" s="27"/>
      <c r="P31" s="27"/>
      <c r="Q31" s="11"/>
      <c r="R31" s="11"/>
      <c r="S31" s="27"/>
      <c r="T31" s="27"/>
      <c r="U31" s="27"/>
      <c r="V31" s="27"/>
      <c r="W31" s="27"/>
      <c r="X31" s="11"/>
      <c r="Y31" s="11"/>
      <c r="Z31" s="27"/>
      <c r="AA31" s="27"/>
      <c r="AB31" s="27"/>
      <c r="AC31" s="27"/>
      <c r="AD31" s="27"/>
      <c r="AE31" s="11"/>
      <c r="AF31" s="11"/>
      <c r="AG31" s="27"/>
      <c r="AH31" s="27"/>
      <c r="AI31" s="27"/>
      <c r="AJ31" s="27"/>
      <c r="AK31" s="27"/>
      <c r="AL31" s="11"/>
      <c r="AM31" s="11"/>
      <c r="AN31" s="27"/>
      <c r="AO31" s="27"/>
      <c r="AP31" s="27"/>
      <c r="AQ31" s="27"/>
      <c r="AR31" s="27"/>
      <c r="AS31" s="11"/>
      <c r="AT31" s="11"/>
      <c r="AU31" s="27"/>
      <c r="AV31" s="27"/>
      <c r="AW31" s="27"/>
      <c r="AX31" s="27"/>
      <c r="AY31" s="27"/>
      <c r="AZ31" s="11"/>
      <c r="BA31" s="11"/>
      <c r="BB31" s="27"/>
      <c r="BC31" s="27"/>
      <c r="BD31" s="27"/>
      <c r="BE31" s="27"/>
      <c r="BF31" s="27"/>
      <c r="BG31" s="11"/>
      <c r="BH31" s="11"/>
      <c r="BI31" s="27"/>
      <c r="BJ31" s="27"/>
      <c r="BK31" s="27"/>
      <c r="BL31" s="27"/>
      <c r="BM31" s="27"/>
      <c r="BN31" s="11"/>
      <c r="BO31" s="11"/>
      <c r="BP31" s="27"/>
      <c r="BQ31" s="27"/>
      <c r="BR31" s="27"/>
      <c r="BS31" s="27"/>
      <c r="BT31" s="27"/>
    </row>
    <row r="32" spans="1:73" x14ac:dyDescent="0.2">
      <c r="A32" s="21" t="s">
        <v>131</v>
      </c>
      <c r="B32" s="1"/>
      <c r="C32" s="11"/>
      <c r="D32" s="11"/>
      <c r="E32" s="27"/>
      <c r="F32" s="27"/>
      <c r="G32" s="27"/>
      <c r="H32" s="27"/>
      <c r="I32" s="27"/>
      <c r="J32" s="11"/>
      <c r="K32" s="11"/>
      <c r="L32" s="27"/>
      <c r="M32" s="27"/>
      <c r="N32" s="27"/>
      <c r="O32" s="27"/>
      <c r="P32" s="27"/>
      <c r="Q32" s="11"/>
      <c r="R32" s="11"/>
      <c r="S32" s="27"/>
      <c r="T32" s="27"/>
      <c r="U32" s="27"/>
      <c r="V32" s="27"/>
      <c r="W32" s="27"/>
      <c r="X32" s="11"/>
      <c r="Y32" s="11"/>
      <c r="Z32" s="27"/>
      <c r="AA32" s="27"/>
      <c r="AB32" s="27"/>
      <c r="AC32" s="27"/>
      <c r="AD32" s="27"/>
      <c r="AE32" s="11"/>
      <c r="AF32" s="11"/>
      <c r="AG32" s="27"/>
      <c r="AH32" s="27"/>
      <c r="AI32" s="27"/>
      <c r="AJ32" s="27"/>
      <c r="AK32" s="27"/>
      <c r="AL32" s="11"/>
      <c r="AM32" s="11"/>
      <c r="AN32" s="27"/>
      <c r="AO32" s="27"/>
      <c r="AP32" s="27"/>
      <c r="AQ32" s="27"/>
      <c r="AR32" s="27"/>
      <c r="AS32" s="11"/>
      <c r="AT32" s="11"/>
      <c r="AU32" s="27"/>
      <c r="AV32" s="27"/>
      <c r="AW32" s="27"/>
      <c r="AX32" s="27"/>
      <c r="AY32" s="27"/>
      <c r="AZ32" s="11"/>
      <c r="BA32" s="11"/>
      <c r="BB32" s="27"/>
      <c r="BC32" s="27"/>
      <c r="BD32" s="27"/>
      <c r="BE32" s="27"/>
      <c r="BF32" s="27"/>
      <c r="BG32" s="11"/>
      <c r="BH32" s="11"/>
      <c r="BI32" s="27"/>
      <c r="BJ32" s="27"/>
      <c r="BK32" s="27"/>
      <c r="BL32" s="27"/>
      <c r="BM32" s="27"/>
      <c r="BN32" s="11"/>
      <c r="BO32" s="11"/>
      <c r="BP32" s="27"/>
      <c r="BQ32" s="27"/>
      <c r="BR32" s="27"/>
      <c r="BS32" s="27"/>
      <c r="BT32" s="27"/>
    </row>
    <row r="33" spans="1:73" x14ac:dyDescent="0.2">
      <c r="A33" s="45" t="s">
        <v>132</v>
      </c>
      <c r="B33" s="50">
        <v>50</v>
      </c>
      <c r="C33" s="11">
        <f>B33</f>
        <v>50</v>
      </c>
      <c r="D33" s="11"/>
      <c r="E33" s="27"/>
      <c r="F33" s="27"/>
      <c r="G33" s="27"/>
      <c r="H33" s="102">
        <f>C33*C35</f>
        <v>168750</v>
      </c>
      <c r="I33" s="102"/>
      <c r="J33" s="11">
        <f>C33*(1+$BU$33)</f>
        <v>51</v>
      </c>
      <c r="K33" s="11"/>
      <c r="L33" s="27"/>
      <c r="M33" s="27"/>
      <c r="N33" s="27"/>
      <c r="O33" s="102">
        <f>J33*J35</f>
        <v>172985.62499999997</v>
      </c>
      <c r="P33" s="102"/>
      <c r="Q33" s="11">
        <f>J33*(1+$BU$33)</f>
        <v>52.02</v>
      </c>
      <c r="R33" s="11"/>
      <c r="S33" s="27"/>
      <c r="T33" s="27"/>
      <c r="U33" s="27"/>
      <c r="V33" s="102">
        <f>Q33*Q35</f>
        <v>177327.56418749999</v>
      </c>
      <c r="W33" s="102"/>
      <c r="X33" s="11">
        <f>Q33*(1+$BU$33)</f>
        <v>53.060400000000001</v>
      </c>
      <c r="Y33" s="11"/>
      <c r="Z33" s="27"/>
      <c r="AA33" s="27"/>
      <c r="AB33" s="27"/>
      <c r="AC33" s="102">
        <f>X33*X35</f>
        <v>181778.4860486062</v>
      </c>
      <c r="AD33" s="102"/>
      <c r="AE33" s="11">
        <f>X33*(1+$BU$33)</f>
        <v>54.121608000000002</v>
      </c>
      <c r="AF33" s="11"/>
      <c r="AG33" s="27"/>
      <c r="AH33" s="27"/>
      <c r="AI33" s="27"/>
      <c r="AJ33" s="102">
        <f>AE33*AE35</f>
        <v>186341.12604842617</v>
      </c>
      <c r="AK33" s="102"/>
      <c r="AL33" s="11">
        <f>AE33*(1+$BU$33)</f>
        <v>55.204040160000005</v>
      </c>
      <c r="AM33" s="11"/>
      <c r="AN33" s="27"/>
      <c r="AO33" s="27"/>
      <c r="AP33" s="27"/>
      <c r="AQ33" s="102">
        <f>AL33*AL35</f>
        <v>191018.2883122417</v>
      </c>
      <c r="AR33" s="102"/>
      <c r="AS33" s="11">
        <f>AL33*(1+$BU$33)</f>
        <v>56.308120963200004</v>
      </c>
      <c r="AT33" s="11"/>
      <c r="AU33" s="27"/>
      <c r="AV33" s="27"/>
      <c r="AW33" s="27"/>
      <c r="AX33" s="102">
        <f>AS33*AS35</f>
        <v>195812.84734887895</v>
      </c>
      <c r="AY33" s="102"/>
      <c r="AZ33" s="11">
        <f>AS33*(1+$BU$33)</f>
        <v>57.434283382464002</v>
      </c>
      <c r="BA33" s="11"/>
      <c r="BB33" s="27"/>
      <c r="BC33" s="27"/>
      <c r="BD33" s="27"/>
      <c r="BE33" s="102">
        <f>AZ33*AZ35</f>
        <v>200727.74981733577</v>
      </c>
      <c r="BF33" s="102"/>
      <c r="BG33" s="11">
        <f>AZ33*(1+$BU$33)</f>
        <v>58.582969050113284</v>
      </c>
      <c r="BH33" s="11"/>
      <c r="BI33" s="27"/>
      <c r="BJ33" s="27"/>
      <c r="BK33" s="27"/>
      <c r="BL33" s="102">
        <f>BG33*BG35</f>
        <v>205766.01633775092</v>
      </c>
      <c r="BM33" s="102"/>
      <c r="BN33" s="11">
        <f>BG33*(1+$BU$33)</f>
        <v>59.754628431115549</v>
      </c>
      <c r="BO33" s="11"/>
      <c r="BP33" s="27"/>
      <c r="BQ33" s="27"/>
      <c r="BR33" s="27"/>
      <c r="BS33" s="102">
        <f>BN33*BN35</f>
        <v>210930.74334782836</v>
      </c>
      <c r="BT33" s="102"/>
      <c r="BU33" s="19">
        <v>0.02</v>
      </c>
    </row>
    <row r="34" spans="1:73" x14ac:dyDescent="0.2">
      <c r="A34" s="45" t="s">
        <v>133</v>
      </c>
      <c r="B34" s="50">
        <f>B33*0.7</f>
        <v>35</v>
      </c>
      <c r="C34" s="27">
        <f>C33*0.7</f>
        <v>35</v>
      </c>
      <c r="D34" s="27"/>
      <c r="E34" s="27"/>
      <c r="F34" s="27"/>
      <c r="G34" s="27"/>
      <c r="H34" s="102">
        <f>C34*C35</f>
        <v>118125</v>
      </c>
      <c r="I34" s="102"/>
      <c r="J34" s="27">
        <f>J33*0.7</f>
        <v>35.699999999999996</v>
      </c>
      <c r="K34" s="27"/>
      <c r="L34" s="27"/>
      <c r="M34" s="27"/>
      <c r="N34" s="27"/>
      <c r="O34" s="102">
        <f>J34*J35</f>
        <v>121089.93749999997</v>
      </c>
      <c r="P34" s="102"/>
      <c r="Q34" s="27">
        <f>Q33*0.7</f>
        <v>36.414000000000001</v>
      </c>
      <c r="R34" s="27"/>
      <c r="S34" s="27"/>
      <c r="T34" s="27"/>
      <c r="U34" s="27"/>
      <c r="V34" s="102">
        <f>Q34*Q35</f>
        <v>124129.29493124998</v>
      </c>
      <c r="W34" s="102"/>
      <c r="X34" s="27">
        <f>X33*0.7</f>
        <v>37.14228</v>
      </c>
      <c r="Y34" s="27"/>
      <c r="Z34" s="27"/>
      <c r="AA34" s="27"/>
      <c r="AB34" s="27"/>
      <c r="AC34" s="102">
        <f>X34*X35</f>
        <v>127244.94023402433</v>
      </c>
      <c r="AD34" s="102"/>
      <c r="AE34" s="27">
        <f>AE33*0.7</f>
        <v>37.885125600000002</v>
      </c>
      <c r="AF34" s="27"/>
      <c r="AG34" s="27"/>
      <c r="AH34" s="27"/>
      <c r="AI34" s="27"/>
      <c r="AJ34" s="102">
        <f>AE34*AE35</f>
        <v>130438.78823389833</v>
      </c>
      <c r="AK34" s="102"/>
      <c r="AL34" s="27">
        <f>AL33*0.7</f>
        <v>38.642828112000004</v>
      </c>
      <c r="AM34" s="27"/>
      <c r="AN34" s="27"/>
      <c r="AO34" s="27"/>
      <c r="AP34" s="27"/>
      <c r="AQ34" s="102">
        <f>AL34*AL35</f>
        <v>133712.80181856919</v>
      </c>
      <c r="AR34" s="102"/>
      <c r="AS34" s="27">
        <f>AS33*0.7</f>
        <v>39.415684674239998</v>
      </c>
      <c r="AT34" s="27"/>
      <c r="AU34" s="27"/>
      <c r="AV34" s="27"/>
      <c r="AW34" s="27"/>
      <c r="AX34" s="102">
        <f>AS34*AS35</f>
        <v>137068.99314421526</v>
      </c>
      <c r="AY34" s="102"/>
      <c r="AZ34" s="27">
        <f>AZ33*0.7</f>
        <v>40.2039983677248</v>
      </c>
      <c r="BA34" s="27"/>
      <c r="BB34" s="27"/>
      <c r="BC34" s="27"/>
      <c r="BD34" s="27"/>
      <c r="BE34" s="102">
        <f>AZ34*AZ35</f>
        <v>140509.42487213505</v>
      </c>
      <c r="BF34" s="102"/>
      <c r="BG34" s="27">
        <f>BG33*0.7</f>
        <v>41.008078335079297</v>
      </c>
      <c r="BH34" s="27"/>
      <c r="BI34" s="27"/>
      <c r="BJ34" s="27"/>
      <c r="BK34" s="27"/>
      <c r="BL34" s="102">
        <f>BG34*BG35</f>
        <v>144036.21143642563</v>
      </c>
      <c r="BM34" s="102"/>
      <c r="BN34" s="27">
        <f>BN33*0.7</f>
        <v>41.828239901780883</v>
      </c>
      <c r="BO34" s="27"/>
      <c r="BP34" s="27"/>
      <c r="BQ34" s="27"/>
      <c r="BR34" s="27"/>
      <c r="BS34" s="102">
        <f>BN34*BN35</f>
        <v>147651.52034347985</v>
      </c>
      <c r="BT34" s="102"/>
    </row>
    <row r="35" spans="1:73" x14ac:dyDescent="0.2">
      <c r="A35" s="45" t="s">
        <v>134</v>
      </c>
      <c r="B35" s="45">
        <v>0.1</v>
      </c>
      <c r="C35" s="27">
        <f>SUM(C16:D17)*$B$35</f>
        <v>3375</v>
      </c>
      <c r="D35" s="27"/>
      <c r="E35" s="27"/>
      <c r="F35" s="27"/>
      <c r="G35" s="27"/>
      <c r="H35" s="33"/>
      <c r="I35" s="33"/>
      <c r="J35" s="27">
        <f>SUM(J16:K17)*$B$35</f>
        <v>3391.8749999999995</v>
      </c>
      <c r="K35" s="27"/>
      <c r="L35" s="27"/>
      <c r="M35" s="27"/>
      <c r="N35" s="27"/>
      <c r="O35" s="27"/>
      <c r="P35" s="27"/>
      <c r="Q35" s="27">
        <f>SUM(Q16:R17)*$B$35</f>
        <v>3408.8343749999995</v>
      </c>
      <c r="R35" s="27"/>
      <c r="S35" s="27"/>
      <c r="T35" s="27"/>
      <c r="U35" s="27"/>
      <c r="V35" s="27"/>
      <c r="W35" s="27"/>
      <c r="X35" s="27">
        <f>SUM(X16:Y17)*$B$35</f>
        <v>3425.8785468749988</v>
      </c>
      <c r="Y35" s="27"/>
      <c r="Z35" s="27"/>
      <c r="AA35" s="27"/>
      <c r="AB35" s="27"/>
      <c r="AC35" s="27"/>
      <c r="AD35" s="27"/>
      <c r="AE35" s="27">
        <f>SUM(AE16:AF17)*$B$35</f>
        <v>3443.0079396093734</v>
      </c>
      <c r="AF35" s="27"/>
      <c r="AG35" s="27"/>
      <c r="AH35" s="27"/>
      <c r="AI35" s="27"/>
      <c r="AJ35" s="27"/>
      <c r="AK35" s="27"/>
      <c r="AL35" s="27">
        <f>SUM(AL16:AM17)*$B$35</f>
        <v>3460.2229793074202</v>
      </c>
      <c r="AM35" s="27"/>
      <c r="AN35" s="27"/>
      <c r="AO35" s="27"/>
      <c r="AP35" s="27"/>
      <c r="AQ35" s="27"/>
      <c r="AR35" s="27"/>
      <c r="AS35" s="27">
        <f>SUM(AS16:AT17)*$B$35</f>
        <v>3477.5240942039572</v>
      </c>
      <c r="AT35" s="27"/>
      <c r="AU35" s="27"/>
      <c r="AV35" s="27"/>
      <c r="AW35" s="27"/>
      <c r="AX35" s="27"/>
      <c r="AY35" s="27"/>
      <c r="AZ35" s="27">
        <f>SUM(AZ16:BA17)*$B$35</f>
        <v>3494.9117146749763</v>
      </c>
      <c r="BA35" s="27"/>
      <c r="BB35" s="27"/>
      <c r="BC35" s="27"/>
      <c r="BD35" s="27"/>
      <c r="BE35" s="27"/>
      <c r="BF35" s="27"/>
      <c r="BG35" s="27">
        <f>SUM(BG16:BH17)*$B$35</f>
        <v>3512.3862732483512</v>
      </c>
      <c r="BH35" s="27"/>
      <c r="BI35" s="27"/>
      <c r="BJ35" s="27"/>
      <c r="BK35" s="27"/>
      <c r="BL35" s="27"/>
      <c r="BM35" s="27"/>
      <c r="BN35" s="27">
        <f>SUM(BN16:BO17)*$B$35</f>
        <v>3529.9482046145918</v>
      </c>
      <c r="BO35" s="27"/>
      <c r="BP35" s="27"/>
      <c r="BQ35" s="27"/>
      <c r="BR35" s="27"/>
      <c r="BS35" s="27"/>
      <c r="BT35" s="27"/>
    </row>
    <row r="36" spans="1:73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</row>
    <row r="37" spans="1:73" x14ac:dyDescent="0.2">
      <c r="A37" s="21" t="s">
        <v>135</v>
      </c>
      <c r="B37" s="1"/>
      <c r="E37" s="1"/>
      <c r="F37" s="1"/>
      <c r="G37" s="1"/>
      <c r="H37" s="1"/>
      <c r="I37" s="1"/>
      <c r="L37" s="1"/>
      <c r="M37" s="1"/>
      <c r="N37" s="1"/>
      <c r="O37" s="1"/>
      <c r="P37" s="1"/>
      <c r="S37" s="1"/>
      <c r="T37" s="1"/>
      <c r="U37" s="1"/>
      <c r="V37" s="1"/>
      <c r="W37" s="1"/>
      <c r="Z37" s="1"/>
      <c r="AA37" s="1"/>
      <c r="AB37" s="1"/>
      <c r="AC37" s="1"/>
      <c r="AD37" s="1"/>
      <c r="AG37" s="1"/>
      <c r="AH37" s="1"/>
      <c r="AI37" s="1"/>
      <c r="AJ37" s="1"/>
      <c r="AK37" s="1"/>
      <c r="AN37" s="1"/>
      <c r="AO37" s="1"/>
      <c r="AP37" s="1"/>
      <c r="AQ37" s="1"/>
      <c r="AR37" s="1"/>
      <c r="AU37" s="1"/>
      <c r="AV37" s="1"/>
      <c r="AW37" s="1"/>
      <c r="AX37" s="1"/>
      <c r="AY37" s="1"/>
      <c r="BB37" s="1"/>
      <c r="BC37" s="1"/>
      <c r="BD37" s="1"/>
      <c r="BE37" s="1"/>
      <c r="BF37" s="1"/>
      <c r="BI37" s="1"/>
      <c r="BJ37" s="1"/>
      <c r="BK37" s="1"/>
      <c r="BL37" s="1"/>
      <c r="BM37" s="1"/>
      <c r="BP37" s="1"/>
      <c r="BQ37" s="1"/>
      <c r="BR37" s="1"/>
      <c r="BS37" s="1"/>
      <c r="BT37" s="1"/>
    </row>
    <row r="38" spans="1:73" x14ac:dyDescent="0.2">
      <c r="A38" s="45" t="s">
        <v>136</v>
      </c>
      <c r="B38" s="50">
        <v>60000</v>
      </c>
      <c r="E38" s="1"/>
      <c r="F38" s="1"/>
      <c r="G38" s="1"/>
      <c r="H38" s="104">
        <f>B38</f>
        <v>60000</v>
      </c>
      <c r="I38" s="104"/>
      <c r="L38" s="1"/>
      <c r="M38" s="1"/>
      <c r="N38" s="1"/>
      <c r="O38" s="104">
        <f>H38*(1+$BU$38)</f>
        <v>61200</v>
      </c>
      <c r="P38" s="104"/>
      <c r="S38" s="1"/>
      <c r="T38" s="1"/>
      <c r="U38" s="1"/>
      <c r="V38" s="104">
        <f>O38*(1+$BU$38)</f>
        <v>62424</v>
      </c>
      <c r="W38" s="104"/>
      <c r="Z38" s="1"/>
      <c r="AA38" s="1"/>
      <c r="AB38" s="1"/>
      <c r="AC38" s="104">
        <f>V38*(1+$BU$38)</f>
        <v>63672.480000000003</v>
      </c>
      <c r="AD38" s="104"/>
      <c r="AG38" s="1"/>
      <c r="AH38" s="1"/>
      <c r="AI38" s="1"/>
      <c r="AJ38" s="104">
        <f>AC38*(1+$BU$38)</f>
        <v>64945.929600000003</v>
      </c>
      <c r="AK38" s="104"/>
      <c r="AN38" s="1"/>
      <c r="AO38" s="1"/>
      <c r="AP38" s="1"/>
      <c r="AQ38" s="104">
        <f>AJ38*(1+$BU$38)</f>
        <v>66244.848192000005</v>
      </c>
      <c r="AR38" s="104"/>
      <c r="AU38" s="1"/>
      <c r="AV38" s="1"/>
      <c r="AW38" s="1"/>
      <c r="AX38" s="104">
        <f>AQ38*(1+$BU$38)</f>
        <v>67569.745155840006</v>
      </c>
      <c r="AY38" s="104"/>
      <c r="BB38" s="1"/>
      <c r="BC38" s="1"/>
      <c r="BD38" s="1"/>
      <c r="BE38" s="104">
        <f>AX38*(1+$BU$38)</f>
        <v>68921.140058956807</v>
      </c>
      <c r="BF38" s="104"/>
      <c r="BI38" s="1"/>
      <c r="BJ38" s="1"/>
      <c r="BK38" s="1"/>
      <c r="BL38" s="104">
        <f>BE38*(1+$BU$38)</f>
        <v>70299.562860135949</v>
      </c>
      <c r="BM38" s="104"/>
      <c r="BP38" s="1"/>
      <c r="BQ38" s="1"/>
      <c r="BR38" s="1"/>
      <c r="BS38" s="104">
        <f>BL38*(1+$BU$38)</f>
        <v>71705.554117338674</v>
      </c>
      <c r="BT38" s="104"/>
      <c r="BU38">
        <v>0.02</v>
      </c>
    </row>
    <row r="39" spans="1:73" x14ac:dyDescent="0.2">
      <c r="A39" s="45" t="s">
        <v>137</v>
      </c>
      <c r="B39" s="45"/>
      <c r="M39" t="s">
        <v>101</v>
      </c>
      <c r="BE39" s="104" t="s">
        <v>138</v>
      </c>
      <c r="BF39" s="104"/>
    </row>
    <row r="40" spans="1:73" x14ac:dyDescent="0.2">
      <c r="A40" s="45" t="s">
        <v>139</v>
      </c>
      <c r="B40" s="45"/>
      <c r="C40">
        <v>2013</v>
      </c>
      <c r="D40">
        <v>2014</v>
      </c>
      <c r="E40">
        <v>2015</v>
      </c>
      <c r="F40">
        <v>2016</v>
      </c>
      <c r="G40">
        <v>2017</v>
      </c>
      <c r="H40">
        <v>2018</v>
      </c>
      <c r="I40">
        <v>2019</v>
      </c>
      <c r="J40">
        <v>2020</v>
      </c>
      <c r="K40">
        <v>2021</v>
      </c>
      <c r="L40">
        <v>2022</v>
      </c>
    </row>
    <row r="41" spans="1:73" x14ac:dyDescent="0.2">
      <c r="A41" s="45" t="s">
        <v>140</v>
      </c>
      <c r="B41" s="45">
        <v>25</v>
      </c>
      <c r="C41" s="1">
        <f t="shared" ref="C41:L41" si="37">B41*(1+$M$41)</f>
        <v>25.5</v>
      </c>
      <c r="D41" s="1">
        <f t="shared" si="37"/>
        <v>26.01</v>
      </c>
      <c r="E41" s="1">
        <f t="shared" si="37"/>
        <v>26.530200000000001</v>
      </c>
      <c r="F41" s="1">
        <f t="shared" si="37"/>
        <v>27.060804000000001</v>
      </c>
      <c r="G41" s="1">
        <f t="shared" si="37"/>
        <v>27.602020080000003</v>
      </c>
      <c r="H41" s="1">
        <f t="shared" si="37"/>
        <v>28.154060481600002</v>
      </c>
      <c r="I41" s="1">
        <f t="shared" si="37"/>
        <v>28.717141691232001</v>
      </c>
      <c r="J41" s="1">
        <f t="shared" si="37"/>
        <v>29.291484525056642</v>
      </c>
      <c r="K41" s="1">
        <f t="shared" si="37"/>
        <v>29.877314215557774</v>
      </c>
      <c r="L41" s="1">
        <f t="shared" si="37"/>
        <v>30.474860499868932</v>
      </c>
      <c r="M41">
        <v>0.02</v>
      </c>
    </row>
    <row r="42" spans="1:73" x14ac:dyDescent="0.2">
      <c r="A42" s="45" t="s">
        <v>141</v>
      </c>
      <c r="B42" s="45">
        <v>500</v>
      </c>
      <c r="C42" s="1">
        <f t="shared" ref="C42:L42" si="38">B42*(1+$M$42)</f>
        <v>515</v>
      </c>
      <c r="D42" s="1">
        <f t="shared" si="38"/>
        <v>530.45000000000005</v>
      </c>
      <c r="E42" s="1">
        <f t="shared" si="38"/>
        <v>546.36350000000004</v>
      </c>
      <c r="F42" s="1">
        <f t="shared" si="38"/>
        <v>562.75440500000002</v>
      </c>
      <c r="G42" s="1">
        <f t="shared" si="38"/>
        <v>579.63703715000008</v>
      </c>
      <c r="H42" s="1">
        <f t="shared" si="38"/>
        <v>597.02614826450008</v>
      </c>
      <c r="I42" s="1">
        <f t="shared" si="38"/>
        <v>614.93693271243512</v>
      </c>
      <c r="J42" s="1">
        <f t="shared" si="38"/>
        <v>633.38504069380815</v>
      </c>
      <c r="K42" s="1">
        <f t="shared" si="38"/>
        <v>652.38659191462239</v>
      </c>
      <c r="L42" s="1">
        <f t="shared" si="38"/>
        <v>671.95818967206105</v>
      </c>
      <c r="M42">
        <v>0.03</v>
      </c>
    </row>
    <row r="43" spans="1:73" x14ac:dyDescent="0.2">
      <c r="A43" s="45" t="s">
        <v>142</v>
      </c>
      <c r="B43" s="45">
        <v>125</v>
      </c>
      <c r="C43" s="1">
        <f t="shared" ref="C43:L43" si="39">B43*(1+$M$43)</f>
        <v>124.375</v>
      </c>
      <c r="D43" s="1">
        <f t="shared" si="39"/>
        <v>123.753125</v>
      </c>
      <c r="E43" s="1">
        <f t="shared" si="39"/>
        <v>123.134359375</v>
      </c>
      <c r="F43" s="1">
        <f t="shared" si="39"/>
        <v>122.518687578125</v>
      </c>
      <c r="G43" s="1">
        <f t="shared" si="39"/>
        <v>121.90609414023437</v>
      </c>
      <c r="H43" s="1">
        <f t="shared" si="39"/>
        <v>121.2965636695332</v>
      </c>
      <c r="I43" s="1">
        <f t="shared" si="39"/>
        <v>120.69008085118553</v>
      </c>
      <c r="J43" s="1">
        <f t="shared" si="39"/>
        <v>120.0866304469296</v>
      </c>
      <c r="K43" s="1">
        <f t="shared" si="39"/>
        <v>119.48619729469496</v>
      </c>
      <c r="L43" s="1">
        <f t="shared" si="39"/>
        <v>118.88876630822149</v>
      </c>
      <c r="M43" s="19">
        <v>-5.0000000000000001E-3</v>
      </c>
    </row>
    <row r="44" spans="1:73" x14ac:dyDescent="0.2">
      <c r="A44" s="45" t="s">
        <v>143</v>
      </c>
      <c r="B44" s="45">
        <v>700</v>
      </c>
      <c r="C44" s="1">
        <f t="shared" ref="C44:L44" si="40">B44*(1+$M$44)</f>
        <v>693</v>
      </c>
      <c r="D44" s="1">
        <f t="shared" si="40"/>
        <v>686.07</v>
      </c>
      <c r="E44" s="1">
        <f t="shared" si="40"/>
        <v>679.2093000000001</v>
      </c>
      <c r="F44" s="1">
        <f t="shared" si="40"/>
        <v>672.41720700000008</v>
      </c>
      <c r="G44" s="1">
        <f t="shared" si="40"/>
        <v>665.69303493000007</v>
      </c>
      <c r="H44" s="1">
        <f t="shared" si="40"/>
        <v>659.03610458070011</v>
      </c>
      <c r="I44" s="1">
        <f t="shared" si="40"/>
        <v>652.44574353489315</v>
      </c>
      <c r="J44" s="1">
        <f t="shared" si="40"/>
        <v>645.9212860995442</v>
      </c>
      <c r="K44" s="1">
        <f t="shared" si="40"/>
        <v>639.46207323854878</v>
      </c>
      <c r="L44" s="1">
        <f t="shared" si="40"/>
        <v>633.06745250616325</v>
      </c>
      <c r="M44">
        <v>-0.01</v>
      </c>
    </row>
    <row r="45" spans="1:73" x14ac:dyDescent="0.2">
      <c r="A45" s="21" t="s">
        <v>144</v>
      </c>
      <c r="C45" s="1"/>
    </row>
    <row r="46" spans="1:73" x14ac:dyDescent="0.2">
      <c r="A46" s="45" t="s">
        <v>140</v>
      </c>
      <c r="B46" s="45">
        <v>450</v>
      </c>
      <c r="C46" s="1">
        <f t="shared" ref="C46:L46" si="41">B46*(1+$M$46)</f>
        <v>446.625</v>
      </c>
      <c r="D46" s="1">
        <f t="shared" si="41"/>
        <v>443.27531250000004</v>
      </c>
      <c r="E46" s="1">
        <f t="shared" si="41"/>
        <v>439.95074765625009</v>
      </c>
      <c r="F46" s="1">
        <f t="shared" si="41"/>
        <v>436.65111704882821</v>
      </c>
      <c r="G46" s="1">
        <f t="shared" si="41"/>
        <v>433.37623367096199</v>
      </c>
      <c r="H46" s="1">
        <f t="shared" si="41"/>
        <v>430.12591191842978</v>
      </c>
      <c r="I46" s="1">
        <f t="shared" si="41"/>
        <v>426.89996757904157</v>
      </c>
      <c r="J46" s="1">
        <f t="shared" si="41"/>
        <v>423.69821782219879</v>
      </c>
      <c r="K46" s="1">
        <f t="shared" si="41"/>
        <v>420.5204811885323</v>
      </c>
      <c r="L46" s="1">
        <f t="shared" si="41"/>
        <v>417.36657757961831</v>
      </c>
      <c r="M46">
        <v>-7.4999999999999997E-3</v>
      </c>
    </row>
    <row r="47" spans="1:73" x14ac:dyDescent="0.2">
      <c r="A47" s="45" t="s">
        <v>141</v>
      </c>
      <c r="B47" s="45">
        <v>10</v>
      </c>
      <c r="C47" s="1">
        <f t="shared" ref="C47:L47" si="42">B47*(1+$M$47)</f>
        <v>10.1</v>
      </c>
      <c r="D47" s="1">
        <f t="shared" si="42"/>
        <v>10.201000000000001</v>
      </c>
      <c r="E47" s="1">
        <f t="shared" si="42"/>
        <v>10.30301</v>
      </c>
      <c r="F47" s="1">
        <f t="shared" si="42"/>
        <v>10.4060401</v>
      </c>
      <c r="G47" s="1">
        <f t="shared" si="42"/>
        <v>10.510100501</v>
      </c>
      <c r="H47" s="1">
        <f t="shared" si="42"/>
        <v>10.615201506010001</v>
      </c>
      <c r="I47" s="1">
        <f t="shared" si="42"/>
        <v>10.721353521070101</v>
      </c>
      <c r="J47" s="1">
        <f t="shared" si="42"/>
        <v>10.828567056280802</v>
      </c>
      <c r="K47" s="1">
        <f t="shared" si="42"/>
        <v>10.936852726843609</v>
      </c>
      <c r="L47" s="1">
        <f t="shared" si="42"/>
        <v>11.046221254112046</v>
      </c>
      <c r="M47">
        <v>0.01</v>
      </c>
    </row>
    <row r="48" spans="1:73" x14ac:dyDescent="0.2">
      <c r="A48" s="45" t="s">
        <v>142</v>
      </c>
      <c r="B48" s="45">
        <v>50</v>
      </c>
      <c r="C48" s="1">
        <f t="shared" ref="C48:L48" si="43">B48*(1+$M$48)</f>
        <v>51</v>
      </c>
      <c r="D48" s="1">
        <f t="shared" si="43"/>
        <v>52.02</v>
      </c>
      <c r="E48" s="1">
        <f t="shared" si="43"/>
        <v>53.060400000000001</v>
      </c>
      <c r="F48" s="1">
        <f t="shared" si="43"/>
        <v>54.121608000000002</v>
      </c>
      <c r="G48" s="1">
        <f t="shared" si="43"/>
        <v>55.204040160000005</v>
      </c>
      <c r="H48" s="1">
        <f t="shared" si="43"/>
        <v>56.308120963200004</v>
      </c>
      <c r="I48" s="1">
        <f t="shared" si="43"/>
        <v>57.434283382464002</v>
      </c>
      <c r="J48" s="1">
        <f t="shared" si="43"/>
        <v>58.582969050113284</v>
      </c>
      <c r="K48" s="1">
        <f t="shared" si="43"/>
        <v>59.754628431115549</v>
      </c>
      <c r="L48" s="1">
        <f t="shared" si="43"/>
        <v>60.949720999737863</v>
      </c>
      <c r="M48">
        <v>0.02</v>
      </c>
    </row>
    <row r="49" spans="1:13" x14ac:dyDescent="0.2">
      <c r="A49" s="45" t="s">
        <v>143</v>
      </c>
      <c r="B49" s="45">
        <v>6</v>
      </c>
      <c r="C49" s="1">
        <f t="shared" ref="C49:L49" si="44">B49*(1+$M$49)</f>
        <v>6.0299999999999994</v>
      </c>
      <c r="D49" s="1">
        <f t="shared" si="44"/>
        <v>6.0601499999999984</v>
      </c>
      <c r="E49" s="1">
        <f t="shared" si="44"/>
        <v>6.0904507499999978</v>
      </c>
      <c r="F49" s="1">
        <f t="shared" si="44"/>
        <v>6.120903003749997</v>
      </c>
      <c r="G49" s="1">
        <f t="shared" si="44"/>
        <v>6.1515075187687467</v>
      </c>
      <c r="H49" s="1">
        <f t="shared" si="44"/>
        <v>6.1822650563625894</v>
      </c>
      <c r="I49" s="1">
        <f t="shared" si="44"/>
        <v>6.2131763816444021</v>
      </c>
      <c r="J49" s="1">
        <f t="shared" si="44"/>
        <v>6.2442422635526231</v>
      </c>
      <c r="K49" s="1">
        <f t="shared" si="44"/>
        <v>6.2754634748703859</v>
      </c>
      <c r="L49" s="1">
        <f t="shared" si="44"/>
        <v>6.3068407922447376</v>
      </c>
      <c r="M49">
        <v>5.0000000000000001E-3</v>
      </c>
    </row>
    <row r="50" spans="1:13" x14ac:dyDescent="0.2">
      <c r="A50" s="21" t="s">
        <v>145</v>
      </c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 x14ac:dyDescent="0.2">
      <c r="A51" s="45" t="s">
        <v>140</v>
      </c>
      <c r="B51" s="45">
        <v>30</v>
      </c>
      <c r="C51" s="1">
        <f t="shared" ref="C51:L51" si="45">B51*(1+$M$51)</f>
        <v>29.925000000000001</v>
      </c>
      <c r="D51" s="1">
        <f t="shared" si="45"/>
        <v>29.850187500000001</v>
      </c>
      <c r="E51" s="1">
        <f t="shared" si="45"/>
        <v>29.775562031250001</v>
      </c>
      <c r="F51" s="1">
        <f t="shared" si="45"/>
        <v>29.701123126171876</v>
      </c>
      <c r="G51" s="1">
        <f t="shared" si="45"/>
        <v>29.626870318356449</v>
      </c>
      <c r="H51" s="1">
        <f t="shared" si="45"/>
        <v>29.55280314256056</v>
      </c>
      <c r="I51" s="1">
        <f t="shared" si="45"/>
        <v>29.478921134704159</v>
      </c>
      <c r="J51" s="1">
        <f t="shared" si="45"/>
        <v>29.405223831867399</v>
      </c>
      <c r="K51" s="1">
        <f t="shared" si="45"/>
        <v>29.331710772287732</v>
      </c>
      <c r="L51" s="1">
        <f t="shared" si="45"/>
        <v>29.258381495357014</v>
      </c>
      <c r="M51" s="19">
        <f>-0.25/100</f>
        <v>-2.5000000000000001E-3</v>
      </c>
    </row>
    <row r="52" spans="1:13" x14ac:dyDescent="0.2">
      <c r="A52" s="45" t="s">
        <v>141</v>
      </c>
      <c r="B52" s="45">
        <v>5</v>
      </c>
      <c r="C52" s="1">
        <f t="shared" ref="C52:L52" si="46">B52*(1+$M$52)</f>
        <v>5.05</v>
      </c>
      <c r="D52" s="1">
        <f t="shared" si="46"/>
        <v>5.1005000000000003</v>
      </c>
      <c r="E52" s="1">
        <f t="shared" si="46"/>
        <v>5.1515050000000002</v>
      </c>
      <c r="F52" s="1">
        <f t="shared" si="46"/>
        <v>5.2030200500000001</v>
      </c>
      <c r="G52" s="1">
        <f t="shared" si="46"/>
        <v>5.2550502505000001</v>
      </c>
      <c r="H52" s="1">
        <f t="shared" si="46"/>
        <v>5.3076007530050004</v>
      </c>
      <c r="I52" s="1">
        <f t="shared" si="46"/>
        <v>5.3606767605350507</v>
      </c>
      <c r="J52" s="1">
        <f t="shared" si="46"/>
        <v>5.4142835281404009</v>
      </c>
      <c r="K52" s="1">
        <f t="shared" si="46"/>
        <v>5.4684263634218047</v>
      </c>
      <c r="L52" s="1">
        <f t="shared" si="46"/>
        <v>5.5231106270560231</v>
      </c>
      <c r="M52">
        <v>0.01</v>
      </c>
    </row>
    <row r="53" spans="1:13" x14ac:dyDescent="0.2">
      <c r="A53" s="45" t="s">
        <v>142</v>
      </c>
      <c r="B53" s="45">
        <v>14</v>
      </c>
      <c r="C53" s="1">
        <f t="shared" ref="C53:L53" si="47">B53*(1+$M$53)</f>
        <v>14</v>
      </c>
      <c r="D53" s="1">
        <f t="shared" si="47"/>
        <v>14</v>
      </c>
      <c r="E53" s="1">
        <f t="shared" si="47"/>
        <v>14</v>
      </c>
      <c r="F53" s="1">
        <f t="shared" si="47"/>
        <v>14</v>
      </c>
      <c r="G53" s="1">
        <f t="shared" si="47"/>
        <v>14</v>
      </c>
      <c r="H53" s="1">
        <f t="shared" si="47"/>
        <v>14</v>
      </c>
      <c r="I53" s="1">
        <f t="shared" si="47"/>
        <v>14</v>
      </c>
      <c r="J53" s="1">
        <f t="shared" si="47"/>
        <v>14</v>
      </c>
      <c r="K53" s="1">
        <f t="shared" si="47"/>
        <v>14</v>
      </c>
      <c r="L53" s="1">
        <f t="shared" si="47"/>
        <v>14</v>
      </c>
      <c r="M53">
        <v>0</v>
      </c>
    </row>
    <row r="54" spans="1:13" x14ac:dyDescent="0.2">
      <c r="A54" s="45" t="s">
        <v>143</v>
      </c>
      <c r="B54" s="45">
        <v>3</v>
      </c>
      <c r="C54" s="1">
        <f t="shared" ref="C54:L54" si="48">B54*(1+$M$54)</f>
        <v>3</v>
      </c>
      <c r="D54" s="1">
        <f t="shared" si="48"/>
        <v>3</v>
      </c>
      <c r="E54" s="1">
        <f t="shared" si="48"/>
        <v>3</v>
      </c>
      <c r="F54" s="1">
        <f t="shared" si="48"/>
        <v>3</v>
      </c>
      <c r="G54" s="1">
        <f t="shared" si="48"/>
        <v>3</v>
      </c>
      <c r="H54" s="1">
        <f t="shared" si="48"/>
        <v>3</v>
      </c>
      <c r="I54" s="1">
        <f t="shared" si="48"/>
        <v>3</v>
      </c>
      <c r="J54" s="1">
        <f t="shared" si="48"/>
        <v>3</v>
      </c>
      <c r="K54" s="1">
        <f t="shared" si="48"/>
        <v>3</v>
      </c>
      <c r="L54" s="1">
        <f t="shared" si="48"/>
        <v>3</v>
      </c>
      <c r="M54">
        <v>0</v>
      </c>
    </row>
    <row r="55" spans="1:13" x14ac:dyDescent="0.2">
      <c r="A55" s="21" t="s">
        <v>146</v>
      </c>
    </row>
    <row r="56" spans="1:13" x14ac:dyDescent="0.2">
      <c r="A56" s="45" t="s">
        <v>140</v>
      </c>
      <c r="B56" s="50">
        <f t="shared" ref="B56:L56" si="49">B46*0.7</f>
        <v>315</v>
      </c>
      <c r="C56" s="1">
        <f t="shared" si="49"/>
        <v>312.63749999999999</v>
      </c>
      <c r="D56" s="1">
        <f t="shared" si="49"/>
        <v>310.29271875000001</v>
      </c>
      <c r="E56" s="1">
        <f t="shared" si="49"/>
        <v>307.96552335937503</v>
      </c>
      <c r="F56" s="1">
        <f t="shared" si="49"/>
        <v>305.65578193417974</v>
      </c>
      <c r="G56" s="1">
        <f t="shared" si="49"/>
        <v>303.36336356967337</v>
      </c>
      <c r="H56" s="1">
        <f t="shared" si="49"/>
        <v>301.08813834290083</v>
      </c>
      <c r="I56" s="1">
        <f t="shared" si="49"/>
        <v>298.82997730532907</v>
      </c>
      <c r="J56" s="1">
        <f t="shared" si="49"/>
        <v>296.58875247553914</v>
      </c>
      <c r="K56" s="1">
        <f t="shared" si="49"/>
        <v>294.36433683197259</v>
      </c>
      <c r="L56" s="1">
        <f t="shared" si="49"/>
        <v>292.1566043057328</v>
      </c>
    </row>
    <row r="57" spans="1:13" x14ac:dyDescent="0.2">
      <c r="A57" s="45" t="s">
        <v>141</v>
      </c>
      <c r="B57" s="50">
        <f t="shared" ref="B57:L57" si="50">0.3*B47</f>
        <v>3</v>
      </c>
      <c r="C57" s="1">
        <f t="shared" si="50"/>
        <v>3.03</v>
      </c>
      <c r="D57" s="1">
        <f t="shared" si="50"/>
        <v>3.0603000000000002</v>
      </c>
      <c r="E57" s="1">
        <f t="shared" si="50"/>
        <v>3.090903</v>
      </c>
      <c r="F57" s="1">
        <f t="shared" si="50"/>
        <v>3.1218120300000001</v>
      </c>
      <c r="G57" s="1">
        <f t="shared" si="50"/>
        <v>3.1530301502999998</v>
      </c>
      <c r="H57" s="1">
        <f t="shared" si="50"/>
        <v>3.1845604518030002</v>
      </c>
      <c r="I57" s="1">
        <f t="shared" si="50"/>
        <v>3.2164060563210302</v>
      </c>
      <c r="J57" s="1">
        <f t="shared" si="50"/>
        <v>3.2485701168842405</v>
      </c>
      <c r="K57" s="1">
        <f t="shared" si="50"/>
        <v>3.2810558180530829</v>
      </c>
      <c r="L57" s="1">
        <f t="shared" si="50"/>
        <v>3.3138663762336136</v>
      </c>
    </row>
    <row r="58" spans="1:13" x14ac:dyDescent="0.2">
      <c r="A58" s="45" t="s">
        <v>142</v>
      </c>
      <c r="B58" s="50">
        <f t="shared" ref="B58:L58" si="51">0.5*B48</f>
        <v>25</v>
      </c>
      <c r="C58" s="1">
        <f t="shared" si="51"/>
        <v>25.5</v>
      </c>
      <c r="D58" s="1">
        <f t="shared" si="51"/>
        <v>26.01</v>
      </c>
      <c r="E58" s="1">
        <f t="shared" si="51"/>
        <v>26.530200000000001</v>
      </c>
      <c r="F58" s="1">
        <f t="shared" si="51"/>
        <v>27.060804000000001</v>
      </c>
      <c r="G58" s="1">
        <f t="shared" si="51"/>
        <v>27.602020080000003</v>
      </c>
      <c r="H58" s="1">
        <f t="shared" si="51"/>
        <v>28.154060481600002</v>
      </c>
      <c r="I58" s="1">
        <f t="shared" si="51"/>
        <v>28.717141691232001</v>
      </c>
      <c r="J58" s="1">
        <f t="shared" si="51"/>
        <v>29.291484525056642</v>
      </c>
      <c r="K58" s="1">
        <f t="shared" si="51"/>
        <v>29.877314215557774</v>
      </c>
      <c r="L58" s="1">
        <f t="shared" si="51"/>
        <v>30.474860499868932</v>
      </c>
    </row>
    <row r="59" spans="1:13" x14ac:dyDescent="0.2">
      <c r="A59" s="45" t="s">
        <v>143</v>
      </c>
      <c r="B59" s="50">
        <f t="shared" ref="B59:L59" si="52">0.4*B49</f>
        <v>2.4000000000000004</v>
      </c>
      <c r="C59" s="1">
        <f t="shared" si="52"/>
        <v>2.4119999999999999</v>
      </c>
      <c r="D59" s="1">
        <f t="shared" si="52"/>
        <v>2.4240599999999994</v>
      </c>
      <c r="E59" s="1">
        <f t="shared" si="52"/>
        <v>2.4361802999999993</v>
      </c>
      <c r="F59" s="1">
        <f t="shared" si="52"/>
        <v>2.4483612014999991</v>
      </c>
      <c r="G59" s="1">
        <f t="shared" si="52"/>
        <v>2.4606030075074989</v>
      </c>
      <c r="H59" s="1">
        <f t="shared" si="52"/>
        <v>2.4729060225450361</v>
      </c>
      <c r="I59" s="1">
        <f t="shared" si="52"/>
        <v>2.4852705526577612</v>
      </c>
      <c r="J59" s="1">
        <f t="shared" si="52"/>
        <v>2.4976969054210496</v>
      </c>
      <c r="K59" s="1">
        <f t="shared" si="52"/>
        <v>2.5101853899481545</v>
      </c>
      <c r="L59" s="1">
        <f t="shared" si="52"/>
        <v>2.5227363168978951</v>
      </c>
    </row>
    <row r="60" spans="1:13" x14ac:dyDescent="0.2">
      <c r="A60" s="21" t="s">
        <v>147</v>
      </c>
    </row>
    <row r="61" spans="1:13" x14ac:dyDescent="0.2">
      <c r="A61" s="45" t="s">
        <v>140</v>
      </c>
      <c r="B61" s="45"/>
      <c r="C61" s="1">
        <f t="shared" ref="C61:L61" si="53">B56*B41</f>
        <v>7875</v>
      </c>
      <c r="D61" s="1">
        <f t="shared" si="53"/>
        <v>7972.2562499999995</v>
      </c>
      <c r="E61" s="1">
        <f t="shared" si="53"/>
        <v>8070.7136146875009</v>
      </c>
      <c r="F61" s="1">
        <f t="shared" si="53"/>
        <v>8170.3869278288912</v>
      </c>
      <c r="G61" s="1">
        <f t="shared" si="53"/>
        <v>8271.2912063875792</v>
      </c>
      <c r="H61" s="1">
        <f t="shared" si="53"/>
        <v>8373.4416527864651</v>
      </c>
      <c r="I61" s="1">
        <f t="shared" si="53"/>
        <v>8476.8536571983786</v>
      </c>
      <c r="J61" s="1">
        <f t="shared" si="53"/>
        <v>8581.5427998647774</v>
      </c>
      <c r="K61" s="1">
        <f t="shared" si="53"/>
        <v>8687.5248534431103</v>
      </c>
      <c r="L61" s="1">
        <f t="shared" si="53"/>
        <v>8794.8157853831326</v>
      </c>
    </row>
    <row r="62" spans="1:13" x14ac:dyDescent="0.2">
      <c r="A62" s="45" t="s">
        <v>141</v>
      </c>
      <c r="B62" s="45"/>
      <c r="C62" s="1">
        <f t="shared" ref="C62:L62" si="54">B57*B42</f>
        <v>1500</v>
      </c>
      <c r="D62" s="1">
        <f t="shared" si="54"/>
        <v>1560.4499999999998</v>
      </c>
      <c r="E62" s="1">
        <f t="shared" si="54"/>
        <v>1623.3361350000002</v>
      </c>
      <c r="F62" s="1">
        <f t="shared" si="54"/>
        <v>1688.7565812405001</v>
      </c>
      <c r="G62" s="1">
        <f t="shared" si="54"/>
        <v>1756.8134714644923</v>
      </c>
      <c r="H62" s="1">
        <f t="shared" si="54"/>
        <v>1827.6130543645113</v>
      </c>
      <c r="I62" s="1">
        <f t="shared" si="54"/>
        <v>1901.2658604554013</v>
      </c>
      <c r="J62" s="1">
        <f t="shared" si="54"/>
        <v>1977.8868746317542</v>
      </c>
      <c r="K62" s="1">
        <f t="shared" si="54"/>
        <v>2057.5957156794138</v>
      </c>
      <c r="L62" s="1">
        <f t="shared" si="54"/>
        <v>2140.5168230212939</v>
      </c>
    </row>
    <row r="63" spans="1:13" x14ac:dyDescent="0.2">
      <c r="A63" s="45" t="s">
        <v>142</v>
      </c>
      <c r="B63" s="45"/>
      <c r="C63" s="1">
        <f t="shared" ref="C63:L63" si="55">B58*B43</f>
        <v>3125</v>
      </c>
      <c r="D63" s="1">
        <f t="shared" si="55"/>
        <v>3171.5625</v>
      </c>
      <c r="E63" s="1">
        <f t="shared" si="55"/>
        <v>3218.81878125</v>
      </c>
      <c r="F63" s="1">
        <f t="shared" si="55"/>
        <v>3266.7791810906251</v>
      </c>
      <c r="G63" s="1">
        <f t="shared" si="55"/>
        <v>3315.4541908888755</v>
      </c>
      <c r="H63" s="1">
        <f t="shared" si="55"/>
        <v>3364.85445833312</v>
      </c>
      <c r="I63" s="1">
        <f t="shared" si="55"/>
        <v>3414.9907897622834</v>
      </c>
      <c r="J63" s="1">
        <f t="shared" si="55"/>
        <v>3465.874152529741</v>
      </c>
      <c r="K63" s="1">
        <f t="shared" si="55"/>
        <v>3517.5156774024344</v>
      </c>
      <c r="L63" s="1">
        <f t="shared" si="55"/>
        <v>3569.9266609957308</v>
      </c>
    </row>
    <row r="64" spans="1:13" x14ac:dyDescent="0.2">
      <c r="A64" s="45" t="s">
        <v>143</v>
      </c>
      <c r="B64" s="45"/>
      <c r="C64" s="1">
        <f t="shared" ref="C64:L64" si="56">B59*B44</f>
        <v>1680.0000000000002</v>
      </c>
      <c r="D64" s="1">
        <f t="shared" si="56"/>
        <v>1671.5159999999998</v>
      </c>
      <c r="E64" s="1">
        <f t="shared" si="56"/>
        <v>1663.0748441999997</v>
      </c>
      <c r="F64" s="1">
        <f t="shared" si="56"/>
        <v>1654.6763162367897</v>
      </c>
      <c r="G64" s="1">
        <f t="shared" si="56"/>
        <v>1646.3202008397939</v>
      </c>
      <c r="H64" s="1">
        <f t="shared" si="56"/>
        <v>1638.0062838255526</v>
      </c>
      <c r="I64" s="1">
        <f t="shared" si="56"/>
        <v>1629.7343520922336</v>
      </c>
      <c r="J64" s="1">
        <f t="shared" si="56"/>
        <v>1621.5041936141679</v>
      </c>
      <c r="K64" s="1">
        <f t="shared" si="56"/>
        <v>1613.3155974364161</v>
      </c>
      <c r="L64" s="1">
        <f t="shared" si="56"/>
        <v>1605.168353669362</v>
      </c>
    </row>
    <row r="65" spans="1:12" x14ac:dyDescent="0.2">
      <c r="A65" s="21" t="s">
        <v>148</v>
      </c>
    </row>
    <row r="66" spans="1:12" x14ac:dyDescent="0.2">
      <c r="A66" s="45" t="s">
        <v>140</v>
      </c>
      <c r="B66" s="45"/>
      <c r="C66" s="1">
        <f t="shared" ref="C66:L66" si="57">C61/365</f>
        <v>21.575342465753426</v>
      </c>
      <c r="D66" s="1">
        <f t="shared" si="57"/>
        <v>21.841797945205478</v>
      </c>
      <c r="E66" s="1">
        <f t="shared" si="57"/>
        <v>22.11154414982877</v>
      </c>
      <c r="F66" s="1">
        <f t="shared" si="57"/>
        <v>22.384621720079153</v>
      </c>
      <c r="G66" s="1">
        <f t="shared" si="57"/>
        <v>22.661071798322133</v>
      </c>
      <c r="H66" s="1">
        <f t="shared" si="57"/>
        <v>22.94093603503141</v>
      </c>
      <c r="I66" s="1">
        <f t="shared" si="57"/>
        <v>23.224256595064052</v>
      </c>
      <c r="J66" s="1">
        <f t="shared" si="57"/>
        <v>23.51107616401309</v>
      </c>
      <c r="K66" s="1">
        <f t="shared" si="57"/>
        <v>23.801437954638658</v>
      </c>
      <c r="L66" s="1">
        <f t="shared" si="57"/>
        <v>24.095385713378445</v>
      </c>
    </row>
    <row r="67" spans="1:12" x14ac:dyDescent="0.2">
      <c r="A67" s="45" t="s">
        <v>141</v>
      </c>
      <c r="B67" s="45"/>
      <c r="C67" s="1">
        <f t="shared" ref="C67:L67" si="58">C62/365</f>
        <v>4.1095890410958908</v>
      </c>
      <c r="D67" s="1">
        <f t="shared" si="58"/>
        <v>4.2752054794520546</v>
      </c>
      <c r="E67" s="1">
        <f t="shared" si="58"/>
        <v>4.4474962602739732</v>
      </c>
      <c r="F67" s="1">
        <f t="shared" si="58"/>
        <v>4.6267303595630143</v>
      </c>
      <c r="G67" s="1">
        <f t="shared" si="58"/>
        <v>4.8131875930534038</v>
      </c>
      <c r="H67" s="1">
        <f t="shared" si="58"/>
        <v>5.0071590530534555</v>
      </c>
      <c r="I67" s="1">
        <f t="shared" si="58"/>
        <v>5.2089475628915105</v>
      </c>
      <c r="J67" s="1">
        <f t="shared" si="58"/>
        <v>5.4188681496760385</v>
      </c>
      <c r="K67" s="1">
        <f t="shared" si="58"/>
        <v>5.6372485361079834</v>
      </c>
      <c r="L67" s="1">
        <f t="shared" si="58"/>
        <v>5.8644296521131345</v>
      </c>
    </row>
    <row r="68" spans="1:12" x14ac:dyDescent="0.2">
      <c r="A68" s="45" t="s">
        <v>142</v>
      </c>
      <c r="B68" s="45"/>
      <c r="C68" s="1">
        <f t="shared" ref="C68:L68" si="59">C63/365</f>
        <v>8.5616438356164384</v>
      </c>
      <c r="D68" s="1">
        <f t="shared" si="59"/>
        <v>8.6892123287671232</v>
      </c>
      <c r="E68" s="1">
        <f t="shared" si="59"/>
        <v>8.8186815924657527</v>
      </c>
      <c r="F68" s="1">
        <f t="shared" si="59"/>
        <v>8.9500799481934941</v>
      </c>
      <c r="G68" s="1">
        <f t="shared" si="59"/>
        <v>9.0834361394215772</v>
      </c>
      <c r="H68" s="1">
        <f t="shared" si="59"/>
        <v>9.2187793378989582</v>
      </c>
      <c r="I68" s="1">
        <f t="shared" si="59"/>
        <v>9.3561391500336537</v>
      </c>
      <c r="J68" s="1">
        <f t="shared" si="59"/>
        <v>9.4955456233691535</v>
      </c>
      <c r="K68" s="1">
        <f t="shared" si="59"/>
        <v>9.6370292531573547</v>
      </c>
      <c r="L68" s="1">
        <f t="shared" si="59"/>
        <v>9.7806209890293996</v>
      </c>
    </row>
    <row r="69" spans="1:12" x14ac:dyDescent="0.2">
      <c r="A69" s="45" t="s">
        <v>143</v>
      </c>
      <c r="B69" s="45"/>
      <c r="C69" s="1">
        <f t="shared" ref="C69:L69" si="60">C64/365</f>
        <v>4.6027397260273979</v>
      </c>
      <c r="D69" s="1">
        <f t="shared" si="60"/>
        <v>4.5794958904109588</v>
      </c>
      <c r="E69" s="1">
        <f t="shared" si="60"/>
        <v>4.5563694361643829</v>
      </c>
      <c r="F69" s="1">
        <f t="shared" si="60"/>
        <v>4.533359770511753</v>
      </c>
      <c r="G69" s="1">
        <f t="shared" si="60"/>
        <v>4.5104663036706683</v>
      </c>
      <c r="H69" s="1">
        <f t="shared" si="60"/>
        <v>4.4876884488371305</v>
      </c>
      <c r="I69" s="1">
        <f t="shared" si="60"/>
        <v>4.4650256221705034</v>
      </c>
      <c r="J69" s="1">
        <f t="shared" si="60"/>
        <v>4.4424772427785424</v>
      </c>
      <c r="K69" s="1">
        <f t="shared" si="60"/>
        <v>4.4200427327025098</v>
      </c>
      <c r="L69" s="1">
        <f t="shared" si="60"/>
        <v>4.3977215169023616</v>
      </c>
    </row>
    <row r="71" spans="1:12" ht="12.75" customHeight="1" x14ac:dyDescent="0.2">
      <c r="A71" s="87" t="s">
        <v>188</v>
      </c>
    </row>
  </sheetData>
  <mergeCells count="90">
    <mergeCell ref="BE39:BF39"/>
    <mergeCell ref="AQ38:AR38"/>
    <mergeCell ref="AX38:AY38"/>
    <mergeCell ref="BE38:BF38"/>
    <mergeCell ref="BL38:BM38"/>
    <mergeCell ref="BS38:BT38"/>
    <mergeCell ref="H38:I38"/>
    <mergeCell ref="O38:P38"/>
    <mergeCell ref="V38:W38"/>
    <mergeCell ref="AC38:AD38"/>
    <mergeCell ref="AJ38:AK38"/>
    <mergeCell ref="AQ34:AR34"/>
    <mergeCell ref="AX34:AY34"/>
    <mergeCell ref="BE34:BF34"/>
    <mergeCell ref="BL34:BM34"/>
    <mergeCell ref="BS34:BT34"/>
    <mergeCell ref="H34:I34"/>
    <mergeCell ref="O34:P34"/>
    <mergeCell ref="V34:W34"/>
    <mergeCell ref="AC34:AD34"/>
    <mergeCell ref="AJ34:AK34"/>
    <mergeCell ref="AQ33:AR33"/>
    <mergeCell ref="AX33:AY33"/>
    <mergeCell ref="BE33:BF33"/>
    <mergeCell ref="BL33:BM33"/>
    <mergeCell ref="BS33:BT33"/>
    <mergeCell ref="H33:I33"/>
    <mergeCell ref="O33:P33"/>
    <mergeCell ref="V33:W33"/>
    <mergeCell ref="AC33:AD33"/>
    <mergeCell ref="AJ33:AK33"/>
    <mergeCell ref="AL25:AM25"/>
    <mergeCell ref="AS25:AT25"/>
    <mergeCell ref="AZ25:BA25"/>
    <mergeCell ref="BG25:BH25"/>
    <mergeCell ref="BN25:BO25"/>
    <mergeCell ref="C25:D25"/>
    <mergeCell ref="J25:K25"/>
    <mergeCell ref="Q25:R25"/>
    <mergeCell ref="X25:Y25"/>
    <mergeCell ref="AE25:AF25"/>
    <mergeCell ref="BE24:BF24"/>
    <mergeCell ref="BG24:BH24"/>
    <mergeCell ref="BL24:BM24"/>
    <mergeCell ref="BN24:BO24"/>
    <mergeCell ref="BS24:BT24"/>
    <mergeCell ref="AL24:AM24"/>
    <mergeCell ref="AQ24:AR24"/>
    <mergeCell ref="AS24:AT24"/>
    <mergeCell ref="AX24:AY24"/>
    <mergeCell ref="AZ24:BA24"/>
    <mergeCell ref="V24:W24"/>
    <mergeCell ref="X24:Y24"/>
    <mergeCell ref="AC24:AD24"/>
    <mergeCell ref="AE24:AF24"/>
    <mergeCell ref="AJ24:AK24"/>
    <mergeCell ref="C24:D24"/>
    <mergeCell ref="H24:I24"/>
    <mergeCell ref="J24:K24"/>
    <mergeCell ref="O24:P24"/>
    <mergeCell ref="Q24:R24"/>
    <mergeCell ref="BG20:BH20"/>
    <mergeCell ref="BL20:BM20"/>
    <mergeCell ref="BN20:BO20"/>
    <mergeCell ref="BS20:BT20"/>
    <mergeCell ref="H21:I21"/>
    <mergeCell ref="J21:K21"/>
    <mergeCell ref="Q21:R21"/>
    <mergeCell ref="X21:Y21"/>
    <mergeCell ref="AE21:AF21"/>
    <mergeCell ref="AL21:AM21"/>
    <mergeCell ref="AS21:AT21"/>
    <mergeCell ref="AZ21:BA21"/>
    <mergeCell ref="BG21:BH21"/>
    <mergeCell ref="BN21:BO21"/>
    <mergeCell ref="AQ20:AR20"/>
    <mergeCell ref="AS20:AT20"/>
    <mergeCell ref="AX20:AY20"/>
    <mergeCell ref="AZ20:BA20"/>
    <mergeCell ref="BE20:BF20"/>
    <mergeCell ref="X20:Y20"/>
    <mergeCell ref="AC20:AD20"/>
    <mergeCell ref="AE20:AF20"/>
    <mergeCell ref="AJ20:AK20"/>
    <mergeCell ref="AL20:AM20"/>
    <mergeCell ref="H20:I20"/>
    <mergeCell ref="J20:K20"/>
    <mergeCell ref="O20:P20"/>
    <mergeCell ref="Q20:R20"/>
    <mergeCell ref="V20:W20"/>
  </mergeCells>
  <hyperlinks>
    <hyperlink ref="A71" r:id="rId1" display="http://www.google.com/url?q=http://www.thegolfclubatranchocalifornia.com&amp;usd=2&amp;usg=ALhdy29QHZT8csrlRKH62leHLAroG1b-Dw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0"/>
  <sheetViews>
    <sheetView workbookViewId="0"/>
  </sheetViews>
  <sheetFormatPr defaultColWidth="17.140625" defaultRowHeight="12.75" customHeight="1" x14ac:dyDescent="0.2"/>
  <cols>
    <col min="1" max="1" width="11.7109375" customWidth="1"/>
    <col min="2" max="2" width="12.7109375" bestFit="1" customWidth="1"/>
    <col min="6" max="6" width="2.42578125" customWidth="1"/>
    <col min="8" max="12" width="14.28515625" customWidth="1"/>
    <col min="13" max="16" width="6" customWidth="1"/>
    <col min="17" max="17" width="7" customWidth="1"/>
  </cols>
  <sheetData>
    <row r="1" spans="1:21" ht="12.75" customHeight="1" x14ac:dyDescent="0.2">
      <c r="A1" s="14" t="s">
        <v>149</v>
      </c>
      <c r="B1" s="42">
        <f>(Forecast!E40+Forecast!E43)*D1</f>
        <v>2975000</v>
      </c>
      <c r="C1" s="42" t="s">
        <v>150</v>
      </c>
      <c r="D1" s="8">
        <v>0.7</v>
      </c>
      <c r="E1" s="42"/>
      <c r="F1" s="42"/>
      <c r="G1" s="42"/>
      <c r="H1" s="30" t="s">
        <v>0</v>
      </c>
      <c r="I1" s="30" t="s">
        <v>1</v>
      </c>
      <c r="J1" s="30" t="s">
        <v>2</v>
      </c>
      <c r="K1" s="30" t="s">
        <v>3</v>
      </c>
      <c r="L1" s="30" t="s">
        <v>4</v>
      </c>
      <c r="M1" s="42"/>
      <c r="N1" s="42"/>
      <c r="O1" s="42"/>
      <c r="P1" s="42"/>
      <c r="Q1" s="42"/>
      <c r="R1" s="42"/>
      <c r="S1" s="42"/>
      <c r="T1" s="42"/>
      <c r="U1" s="42"/>
    </row>
    <row r="2" spans="1:21" ht="12.75" customHeight="1" x14ac:dyDescent="0.2">
      <c r="A2" s="14" t="s">
        <v>151</v>
      </c>
      <c r="B2" s="24">
        <v>30</v>
      </c>
      <c r="C2" s="42"/>
      <c r="D2" s="42"/>
      <c r="E2" s="42"/>
      <c r="F2" s="42"/>
      <c r="G2" s="20" t="s">
        <v>152</v>
      </c>
      <c r="H2" s="42">
        <f>SUM(D6:D17)</f>
        <v>132893.16153022519</v>
      </c>
      <c r="I2" s="42">
        <f>SUM(D18:D29)</f>
        <v>130688.34880921297</v>
      </c>
      <c r="J2" s="42">
        <f>SUM(D30:D41)</f>
        <v>128382.2473775502</v>
      </c>
      <c r="K2" s="42">
        <f>SUM(D42:D53)</f>
        <v>125970.20404959098</v>
      </c>
      <c r="L2" s="42">
        <f>SUM(D54:D65)</f>
        <v>123447.35187315494</v>
      </c>
      <c r="M2" s="42"/>
      <c r="N2" s="42"/>
      <c r="O2" s="42"/>
      <c r="P2" s="42"/>
      <c r="Q2" s="42"/>
      <c r="R2" s="42"/>
      <c r="S2" s="42"/>
      <c r="T2" s="42"/>
      <c r="U2" s="42"/>
    </row>
    <row r="3" spans="1:21" ht="12.75" customHeight="1" x14ac:dyDescent="0.2">
      <c r="A3" s="14" t="s">
        <v>153</v>
      </c>
      <c r="B3" s="19">
        <v>4.4999999999999998E-2</v>
      </c>
      <c r="C3" s="42"/>
      <c r="D3" s="42"/>
      <c r="E3" s="42"/>
      <c r="F3" s="42"/>
      <c r="G3" s="20" t="s">
        <v>154</v>
      </c>
      <c r="H3" s="42">
        <f>E17</f>
        <v>2927006.505922385</v>
      </c>
      <c r="I3" s="42">
        <f>E29</f>
        <v>2876808.1991237588</v>
      </c>
      <c r="J3" s="42">
        <f>E41</f>
        <v>2824303.7908934695</v>
      </c>
      <c r="K3" s="42">
        <f>E53</f>
        <v>2769387.3393352213</v>
      </c>
      <c r="L3" s="42">
        <f>E65</f>
        <v>2711948.0356005379</v>
      </c>
      <c r="M3" s="42"/>
      <c r="N3" s="42"/>
      <c r="O3" s="42"/>
      <c r="P3" s="42"/>
      <c r="Q3" s="42"/>
      <c r="R3" s="42"/>
      <c r="S3" s="42"/>
      <c r="T3" s="42"/>
      <c r="U3" s="42"/>
    </row>
    <row r="4" spans="1:21" ht="12.75" customHeight="1" x14ac:dyDescent="0.2">
      <c r="A4" s="24"/>
      <c r="B4" s="42"/>
      <c r="C4" s="42"/>
      <c r="D4" s="42"/>
      <c r="E4" s="42"/>
      <c r="F4" s="42"/>
      <c r="G4" s="20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12.75" customHeight="1" x14ac:dyDescent="0.2">
      <c r="A5" s="55" t="s">
        <v>155</v>
      </c>
      <c r="B5" s="13" t="s">
        <v>156</v>
      </c>
      <c r="C5" s="13" t="s">
        <v>157</v>
      </c>
      <c r="D5" s="13" t="s">
        <v>158</v>
      </c>
      <c r="E5" s="13" t="s">
        <v>159</v>
      </c>
      <c r="F5" s="42"/>
      <c r="G5" s="20"/>
      <c r="H5" s="30" t="s">
        <v>5</v>
      </c>
      <c r="I5" s="30" t="s">
        <v>6</v>
      </c>
      <c r="J5" s="30" t="s">
        <v>7</v>
      </c>
      <c r="K5" s="30" t="s">
        <v>8</v>
      </c>
      <c r="L5" s="30" t="s">
        <v>9</v>
      </c>
      <c r="R5" s="42"/>
      <c r="S5" s="42"/>
      <c r="T5" s="42"/>
      <c r="U5" s="42"/>
    </row>
    <row r="6" spans="1:21" ht="12.75" customHeight="1" x14ac:dyDescent="0.2">
      <c r="A6" s="24">
        <v>1</v>
      </c>
      <c r="B6" s="42">
        <f t="shared" ref="B6:B69" si="0">PMT(($B$3/12),($B$2*12),-$B$1)</f>
        <v>15073.88796731995</v>
      </c>
      <c r="C6" s="42">
        <f t="shared" ref="C6:C69" si="1">PPMT(($B$3/12),A6,($B$2*12),-$B$1)</f>
        <v>3917.6379673199503</v>
      </c>
      <c r="D6" s="42">
        <f t="shared" ref="D6:D69" si="2">B6-C6</f>
        <v>11156.25</v>
      </c>
      <c r="E6" s="42">
        <f>B1-C6</f>
        <v>2971082.3620326798</v>
      </c>
      <c r="F6" s="42"/>
      <c r="G6" s="20" t="s">
        <v>152</v>
      </c>
      <c r="H6" s="42">
        <f>SUM(D66:D77)</f>
        <v>120808.60030913021</v>
      </c>
      <c r="I6" s="42">
        <f>SUM(D78:D89)</f>
        <v>118048.62495992861</v>
      </c>
      <c r="J6" s="42">
        <f>SUM(D90:D101)</f>
        <v>115161.85682606831</v>
      </c>
      <c r="K6" s="42">
        <f>SUM(D102:D113)</f>
        <v>112142.4710692057</v>
      </c>
      <c r="L6" s="42">
        <f>SUM(D114:D125)</f>
        <v>108984.37525894282</v>
      </c>
      <c r="M6" s="42"/>
      <c r="N6" s="42"/>
      <c r="O6" s="42"/>
      <c r="P6" s="42"/>
      <c r="Q6" s="42"/>
      <c r="R6" s="42"/>
      <c r="S6" s="42"/>
      <c r="T6" s="42"/>
      <c r="U6" s="42"/>
    </row>
    <row r="7" spans="1:21" ht="12.75" customHeight="1" x14ac:dyDescent="0.2">
      <c r="A7" s="24">
        <v>2</v>
      </c>
      <c r="B7" s="42">
        <f t="shared" si="0"/>
        <v>15073.88796731995</v>
      </c>
      <c r="C7" s="42">
        <f t="shared" si="1"/>
        <v>3932.3291096974012</v>
      </c>
      <c r="D7" s="42">
        <f t="shared" si="2"/>
        <v>11141.558857622549</v>
      </c>
      <c r="E7" s="42">
        <f t="shared" ref="E7:E70" si="3">E6-C7</f>
        <v>2967150.0329229822</v>
      </c>
      <c r="F7" s="42"/>
      <c r="G7" s="20" t="s">
        <v>154</v>
      </c>
      <c r="H7" s="42">
        <f>E77</f>
        <v>2651869.9803018281</v>
      </c>
      <c r="I7" s="42">
        <f>E89</f>
        <v>2589031.949653917</v>
      </c>
      <c r="J7" s="42">
        <f>E101</f>
        <v>2523307.1508721458</v>
      </c>
      <c r="K7" s="42">
        <f>E113</f>
        <v>2454562.9663335118</v>
      </c>
      <c r="L7" s="42">
        <f>E125</f>
        <v>2382660.6859846152</v>
      </c>
      <c r="M7" s="42"/>
      <c r="N7" s="42"/>
      <c r="O7" s="42"/>
      <c r="P7" s="42"/>
      <c r="Q7" s="42"/>
      <c r="R7" s="42"/>
      <c r="S7" s="42"/>
      <c r="T7" s="42"/>
      <c r="U7" s="42"/>
    </row>
    <row r="8" spans="1:21" ht="12.75" customHeight="1" x14ac:dyDescent="0.2">
      <c r="A8" s="24">
        <v>3</v>
      </c>
      <c r="B8" s="42">
        <f t="shared" si="0"/>
        <v>15073.88796731995</v>
      </c>
      <c r="C8" s="42">
        <f t="shared" si="1"/>
        <v>3947.0753438587667</v>
      </c>
      <c r="D8" s="42">
        <f t="shared" si="2"/>
        <v>11126.812623461183</v>
      </c>
      <c r="E8" s="42">
        <f t="shared" si="3"/>
        <v>2963202.9575791233</v>
      </c>
      <c r="F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12.75" customHeight="1" x14ac:dyDescent="0.2">
      <c r="A9" s="24">
        <v>4</v>
      </c>
      <c r="B9" s="42">
        <f t="shared" si="0"/>
        <v>15073.88796731995</v>
      </c>
      <c r="C9" s="42">
        <f t="shared" si="1"/>
        <v>3961.8768763982357</v>
      </c>
      <c r="D9" s="42">
        <f t="shared" si="2"/>
        <v>11112.011090921715</v>
      </c>
      <c r="E9" s="42">
        <f t="shared" si="3"/>
        <v>2959241.0807027249</v>
      </c>
      <c r="F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12.75" customHeight="1" x14ac:dyDescent="0.2">
      <c r="A10" s="24">
        <v>5</v>
      </c>
      <c r="B10" s="42">
        <f t="shared" si="0"/>
        <v>15073.88796731995</v>
      </c>
      <c r="C10" s="42">
        <f t="shared" si="1"/>
        <v>3976.7339146847298</v>
      </c>
      <c r="D10" s="42">
        <f t="shared" si="2"/>
        <v>11097.15405263522</v>
      </c>
      <c r="E10" s="42">
        <f t="shared" si="3"/>
        <v>2955264.3467880404</v>
      </c>
      <c r="F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12.75" customHeight="1" x14ac:dyDescent="0.2">
      <c r="A11" s="24">
        <v>6</v>
      </c>
      <c r="B11" s="42">
        <f t="shared" si="0"/>
        <v>15073.88796731995</v>
      </c>
      <c r="C11" s="42">
        <f t="shared" si="1"/>
        <v>3991.6466668647977</v>
      </c>
      <c r="D11" s="42">
        <f t="shared" si="2"/>
        <v>11082.241300455153</v>
      </c>
      <c r="E11" s="42">
        <f t="shared" si="3"/>
        <v>2951272.7001211755</v>
      </c>
      <c r="F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12.75" customHeight="1" x14ac:dyDescent="0.2">
      <c r="A12" s="24">
        <v>7</v>
      </c>
      <c r="B12" s="42">
        <f t="shared" si="0"/>
        <v>15073.88796731995</v>
      </c>
      <c r="C12" s="42">
        <f t="shared" si="1"/>
        <v>4006.6153418655399</v>
      </c>
      <c r="D12" s="42">
        <f t="shared" si="2"/>
        <v>11067.27262545441</v>
      </c>
      <c r="E12" s="42">
        <f t="shared" si="3"/>
        <v>2947266.08477931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12.75" customHeight="1" x14ac:dyDescent="0.2">
      <c r="A13" s="24">
        <v>8</v>
      </c>
      <c r="B13" s="42">
        <f t="shared" si="0"/>
        <v>15073.88796731995</v>
      </c>
      <c r="C13" s="42">
        <f t="shared" si="1"/>
        <v>4021.6401493975363</v>
      </c>
      <c r="D13" s="42">
        <f t="shared" si="2"/>
        <v>11052.247817922413</v>
      </c>
      <c r="E13" s="42">
        <f t="shared" si="3"/>
        <v>2943244.4446299127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12.75" customHeight="1" x14ac:dyDescent="0.2">
      <c r="A14" s="24">
        <v>9</v>
      </c>
      <c r="B14" s="42">
        <f t="shared" si="0"/>
        <v>15073.88796731995</v>
      </c>
      <c r="C14" s="42">
        <f t="shared" si="1"/>
        <v>4036.7212999577764</v>
      </c>
      <c r="D14" s="42">
        <f t="shared" si="2"/>
        <v>11037.166667362173</v>
      </c>
      <c r="E14" s="42">
        <f t="shared" si="3"/>
        <v>2939207.7233299548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12.75" customHeight="1" x14ac:dyDescent="0.2">
      <c r="A15" s="24">
        <v>10</v>
      </c>
      <c r="B15" s="42">
        <f t="shared" si="0"/>
        <v>15073.88796731995</v>
      </c>
      <c r="C15" s="42">
        <f t="shared" si="1"/>
        <v>4051.8590048326196</v>
      </c>
      <c r="D15" s="42">
        <f t="shared" si="2"/>
        <v>11022.028962487329</v>
      </c>
      <c r="E15" s="42">
        <f t="shared" si="3"/>
        <v>2935155.864325122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12.75" customHeight="1" x14ac:dyDescent="0.2">
      <c r="A16" s="24">
        <v>11</v>
      </c>
      <c r="B16" s="42">
        <f t="shared" si="0"/>
        <v>15073.88796731995</v>
      </c>
      <c r="C16" s="42">
        <f t="shared" si="1"/>
        <v>4067.0534761007416</v>
      </c>
      <c r="D16" s="42">
        <f t="shared" si="2"/>
        <v>11006.834491219208</v>
      </c>
      <c r="E16" s="42">
        <f t="shared" si="3"/>
        <v>2931088.8108490212</v>
      </c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12.75" customHeight="1" x14ac:dyDescent="0.2">
      <c r="A17" s="24">
        <v>12</v>
      </c>
      <c r="B17" s="42">
        <f t="shared" si="0"/>
        <v>15073.88796731995</v>
      </c>
      <c r="C17" s="42">
        <f t="shared" si="1"/>
        <v>4082.3049266361177</v>
      </c>
      <c r="D17" s="42">
        <f t="shared" si="2"/>
        <v>10991.583040683832</v>
      </c>
      <c r="E17" s="42">
        <f t="shared" si="3"/>
        <v>2927006.505922385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12.75" customHeight="1" x14ac:dyDescent="0.2">
      <c r="A18" s="24">
        <v>13</v>
      </c>
      <c r="B18" s="42">
        <f t="shared" si="0"/>
        <v>15073.88796731995</v>
      </c>
      <c r="C18" s="42">
        <f t="shared" si="1"/>
        <v>4097.6135701110043</v>
      </c>
      <c r="D18" s="42">
        <f t="shared" si="2"/>
        <v>10976.274397208945</v>
      </c>
      <c r="E18" s="42">
        <f t="shared" si="3"/>
        <v>2922908.8923522742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12.75" customHeight="1" x14ac:dyDescent="0.2">
      <c r="A19" s="24">
        <v>14</v>
      </c>
      <c r="B19" s="42">
        <f t="shared" si="0"/>
        <v>15073.88796731995</v>
      </c>
      <c r="C19" s="42">
        <f t="shared" si="1"/>
        <v>4112.9796209989199</v>
      </c>
      <c r="D19" s="42">
        <f t="shared" si="2"/>
        <v>10960.90834632103</v>
      </c>
      <c r="E19" s="42">
        <f t="shared" si="3"/>
        <v>2918795.9127312754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12.75" customHeight="1" x14ac:dyDescent="0.2">
      <c r="A20" s="24">
        <v>15</v>
      </c>
      <c r="B20" s="42">
        <f t="shared" si="0"/>
        <v>15073.88796731995</v>
      </c>
      <c r="C20" s="42">
        <f t="shared" si="1"/>
        <v>4128.4032945776671</v>
      </c>
      <c r="D20" s="42">
        <f t="shared" si="2"/>
        <v>10945.484672742283</v>
      </c>
      <c r="E20" s="42">
        <f t="shared" si="3"/>
        <v>2914667.5094366977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12.75" customHeight="1" x14ac:dyDescent="0.2">
      <c r="A21" s="24">
        <v>16</v>
      </c>
      <c r="B21" s="42">
        <f t="shared" si="0"/>
        <v>15073.88796731995</v>
      </c>
      <c r="C21" s="42">
        <f t="shared" si="1"/>
        <v>4143.884806932333</v>
      </c>
      <c r="D21" s="42">
        <f t="shared" si="2"/>
        <v>10930.003160387616</v>
      </c>
      <c r="E21" s="42">
        <f t="shared" si="3"/>
        <v>2910523.6246297653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12.75" customHeight="1" x14ac:dyDescent="0.2">
      <c r="A22" s="24">
        <v>17</v>
      </c>
      <c r="B22" s="42">
        <f t="shared" si="0"/>
        <v>15073.88796731995</v>
      </c>
      <c r="C22" s="42">
        <f t="shared" si="1"/>
        <v>4159.4243749583284</v>
      </c>
      <c r="D22" s="42">
        <f t="shared" si="2"/>
        <v>10914.463592361622</v>
      </c>
      <c r="E22" s="42">
        <f t="shared" si="3"/>
        <v>2906364.2002548068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12.75" customHeight="1" x14ac:dyDescent="0.2">
      <c r="A23" s="24">
        <v>18</v>
      </c>
      <c r="B23" s="42">
        <f t="shared" si="0"/>
        <v>15073.88796731995</v>
      </c>
      <c r="C23" s="42">
        <f t="shared" si="1"/>
        <v>4175.022216364423</v>
      </c>
      <c r="D23" s="42">
        <f t="shared" si="2"/>
        <v>10898.865750955527</v>
      </c>
      <c r="E23" s="42">
        <f t="shared" si="3"/>
        <v>2902189.1780384425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12.75" customHeight="1" x14ac:dyDescent="0.2">
      <c r="A24" s="24">
        <v>19</v>
      </c>
      <c r="B24" s="42">
        <f t="shared" si="0"/>
        <v>15073.88796731995</v>
      </c>
      <c r="C24" s="42">
        <f t="shared" si="1"/>
        <v>4190.6785496757893</v>
      </c>
      <c r="D24" s="42">
        <f t="shared" si="2"/>
        <v>10883.209417644161</v>
      </c>
      <c r="E24" s="42">
        <f t="shared" si="3"/>
        <v>2897998.4994887668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2.75" customHeight="1" x14ac:dyDescent="0.2">
      <c r="A25" s="24">
        <v>20</v>
      </c>
      <c r="B25" s="42">
        <f t="shared" si="0"/>
        <v>15073.88796731995</v>
      </c>
      <c r="C25" s="42">
        <f t="shared" si="1"/>
        <v>4206.3935942370736</v>
      </c>
      <c r="D25" s="42">
        <f t="shared" si="2"/>
        <v>10867.494373082876</v>
      </c>
      <c r="E25" s="42">
        <f t="shared" si="3"/>
        <v>2893792.1058945297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x14ac:dyDescent="0.2">
      <c r="A26" s="24">
        <v>21</v>
      </c>
      <c r="B26" s="42">
        <f t="shared" si="0"/>
        <v>15073.88796731995</v>
      </c>
      <c r="C26" s="42">
        <f t="shared" si="1"/>
        <v>4222.1675702154625</v>
      </c>
      <c r="D26" s="42">
        <f t="shared" si="2"/>
        <v>10851.720397104487</v>
      </c>
      <c r="E26" s="42">
        <f t="shared" si="3"/>
        <v>2889569.9383243141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x14ac:dyDescent="0.2">
      <c r="A27" s="24">
        <v>22</v>
      </c>
      <c r="B27" s="42">
        <f t="shared" si="0"/>
        <v>15073.88796731995</v>
      </c>
      <c r="C27" s="42">
        <f t="shared" si="1"/>
        <v>4238.0006986037706</v>
      </c>
      <c r="D27" s="42">
        <f t="shared" si="2"/>
        <v>10835.887268716178</v>
      </c>
      <c r="E27" s="42">
        <f t="shared" si="3"/>
        <v>2885331.9376257104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x14ac:dyDescent="0.2">
      <c r="A28" s="24">
        <v>23</v>
      </c>
      <c r="B28" s="42">
        <f t="shared" si="0"/>
        <v>15073.88796731995</v>
      </c>
      <c r="C28" s="42">
        <f t="shared" si="1"/>
        <v>4253.8932012235355</v>
      </c>
      <c r="D28" s="42">
        <f t="shared" si="2"/>
        <v>10819.994766096414</v>
      </c>
      <c r="E28" s="42">
        <f t="shared" si="3"/>
        <v>2881078.0444244868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x14ac:dyDescent="0.2">
      <c r="A29" s="24">
        <v>24</v>
      </c>
      <c r="B29" s="42">
        <f t="shared" si="0"/>
        <v>15073.88796731995</v>
      </c>
      <c r="C29" s="42">
        <f t="shared" si="1"/>
        <v>4269.8453007281223</v>
      </c>
      <c r="D29" s="42">
        <f t="shared" si="2"/>
        <v>10804.042666591828</v>
      </c>
      <c r="E29" s="42">
        <f t="shared" si="3"/>
        <v>2876808.1991237588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x14ac:dyDescent="0.2">
      <c r="A30" s="24">
        <v>25</v>
      </c>
      <c r="B30" s="42">
        <f t="shared" si="0"/>
        <v>15073.88796731995</v>
      </c>
      <c r="C30" s="42">
        <f t="shared" si="1"/>
        <v>4285.8572206058525</v>
      </c>
      <c r="D30" s="42">
        <f t="shared" si="2"/>
        <v>10788.030746714097</v>
      </c>
      <c r="E30" s="42">
        <f t="shared" si="3"/>
        <v>2872522.3419031529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x14ac:dyDescent="0.2">
      <c r="A31" s="24">
        <v>26</v>
      </c>
      <c r="B31" s="42">
        <f t="shared" si="0"/>
        <v>15073.88796731995</v>
      </c>
      <c r="C31" s="42">
        <f t="shared" si="1"/>
        <v>4301.9291851831258</v>
      </c>
      <c r="D31" s="42">
        <f t="shared" si="2"/>
        <v>10771.958782136824</v>
      </c>
      <c r="E31" s="42">
        <f t="shared" si="3"/>
        <v>2868220.4127179696</v>
      </c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x14ac:dyDescent="0.2">
      <c r="A32" s="24">
        <v>27</v>
      </c>
      <c r="B32" s="42">
        <f t="shared" si="0"/>
        <v>15073.88796731995</v>
      </c>
      <c r="C32" s="42">
        <f t="shared" si="1"/>
        <v>4318.0614196275619</v>
      </c>
      <c r="D32" s="42">
        <f t="shared" si="2"/>
        <v>10755.826547692388</v>
      </c>
      <c r="E32" s="42">
        <f t="shared" si="3"/>
        <v>2863902.351298342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x14ac:dyDescent="0.2">
      <c r="A33" s="24">
        <v>28</v>
      </c>
      <c r="B33" s="42">
        <f t="shared" si="0"/>
        <v>15073.88796731995</v>
      </c>
      <c r="C33" s="42">
        <f t="shared" si="1"/>
        <v>4334.2541499511644</v>
      </c>
      <c r="D33" s="42">
        <f t="shared" si="2"/>
        <v>10739.633817368785</v>
      </c>
      <c r="E33" s="42">
        <f t="shared" si="3"/>
        <v>2859568.097148391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x14ac:dyDescent="0.2">
      <c r="A34" s="24">
        <v>29</v>
      </c>
      <c r="B34" s="42">
        <f t="shared" si="0"/>
        <v>15073.88796731995</v>
      </c>
      <c r="C34" s="42">
        <f t="shared" si="1"/>
        <v>4350.5076030134824</v>
      </c>
      <c r="D34" s="42">
        <f t="shared" si="2"/>
        <v>10723.380364306468</v>
      </c>
      <c r="E34" s="42">
        <f t="shared" si="3"/>
        <v>2855217.5895453775</v>
      </c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x14ac:dyDescent="0.2">
      <c r="A35" s="24">
        <v>30</v>
      </c>
      <c r="B35" s="42">
        <f t="shared" si="0"/>
        <v>15073.88796731995</v>
      </c>
      <c r="C35" s="42">
        <f t="shared" si="1"/>
        <v>4366.8220065247824</v>
      </c>
      <c r="D35" s="42">
        <f t="shared" si="2"/>
        <v>10707.065960795167</v>
      </c>
      <c r="E35" s="42">
        <f t="shared" si="3"/>
        <v>2850850.7675388525</v>
      </c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x14ac:dyDescent="0.2">
      <c r="A36" s="24">
        <v>31</v>
      </c>
      <c r="B36" s="42">
        <f t="shared" si="0"/>
        <v>15073.88796731995</v>
      </c>
      <c r="C36" s="42">
        <f t="shared" si="1"/>
        <v>4383.1975890492504</v>
      </c>
      <c r="D36" s="42">
        <f t="shared" si="2"/>
        <v>10690.6903782707</v>
      </c>
      <c r="E36" s="42">
        <f t="shared" si="3"/>
        <v>2846467.5699498034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1:21" x14ac:dyDescent="0.2">
      <c r="A37" s="24">
        <v>32</v>
      </c>
      <c r="B37" s="42">
        <f t="shared" si="0"/>
        <v>15073.88796731995</v>
      </c>
      <c r="C37" s="42">
        <f t="shared" si="1"/>
        <v>4399.6345800081854</v>
      </c>
      <c r="D37" s="42">
        <f t="shared" si="2"/>
        <v>10674.253387311765</v>
      </c>
      <c r="E37" s="42">
        <f t="shared" si="3"/>
        <v>2842067.9353697952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:21" x14ac:dyDescent="0.2">
      <c r="A38" s="24">
        <v>33</v>
      </c>
      <c r="B38" s="42">
        <f t="shared" si="0"/>
        <v>15073.88796731995</v>
      </c>
      <c r="C38" s="42">
        <f t="shared" si="1"/>
        <v>4416.1332096832157</v>
      </c>
      <c r="D38" s="42">
        <f t="shared" si="2"/>
        <v>10657.754757636734</v>
      </c>
      <c r="E38" s="42">
        <f t="shared" si="3"/>
        <v>2837651.8021601122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x14ac:dyDescent="0.2">
      <c r="A39" s="24">
        <v>34</v>
      </c>
      <c r="B39" s="42">
        <f t="shared" si="0"/>
        <v>15073.88796731995</v>
      </c>
      <c r="C39" s="42">
        <f t="shared" si="1"/>
        <v>4432.6937092195285</v>
      </c>
      <c r="D39" s="42">
        <f t="shared" si="2"/>
        <v>10641.194258100422</v>
      </c>
      <c r="E39" s="42">
        <f t="shared" si="3"/>
        <v>2833219.1084508928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x14ac:dyDescent="0.2">
      <c r="A40" s="24">
        <v>35</v>
      </c>
      <c r="B40" s="42">
        <f t="shared" si="0"/>
        <v>15073.88796731995</v>
      </c>
      <c r="C40" s="42">
        <f t="shared" si="1"/>
        <v>4449.3163106291013</v>
      </c>
      <c r="D40" s="42">
        <f t="shared" si="2"/>
        <v>10624.571656690849</v>
      </c>
      <c r="E40" s="42">
        <f t="shared" si="3"/>
        <v>2828769.7921402636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:21" x14ac:dyDescent="0.2">
      <c r="A41" s="24">
        <v>36</v>
      </c>
      <c r="B41" s="42">
        <f t="shared" si="0"/>
        <v>15073.88796731995</v>
      </c>
      <c r="C41" s="42">
        <f t="shared" si="1"/>
        <v>4466.0012467939596</v>
      </c>
      <c r="D41" s="42">
        <f t="shared" si="2"/>
        <v>10607.88672052599</v>
      </c>
      <c r="E41" s="42">
        <f t="shared" si="3"/>
        <v>2824303.7908934695</v>
      </c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</row>
    <row r="42" spans="1:21" x14ac:dyDescent="0.2">
      <c r="A42" s="24">
        <v>37</v>
      </c>
      <c r="B42" s="42">
        <f t="shared" si="0"/>
        <v>15073.88796731995</v>
      </c>
      <c r="C42" s="42">
        <f t="shared" si="1"/>
        <v>4482.7487514694385</v>
      </c>
      <c r="D42" s="42">
        <f t="shared" si="2"/>
        <v>10591.139215850511</v>
      </c>
      <c r="E42" s="42">
        <f t="shared" si="3"/>
        <v>2819821.042142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1:21" x14ac:dyDescent="0.2">
      <c r="A43" s="24">
        <v>38</v>
      </c>
      <c r="B43" s="42">
        <f t="shared" si="0"/>
        <v>15073.88796731995</v>
      </c>
      <c r="C43" s="42">
        <f t="shared" si="1"/>
        <v>4499.5590592874478</v>
      </c>
      <c r="D43" s="42">
        <f t="shared" si="2"/>
        <v>10574.328908032501</v>
      </c>
      <c r="E43" s="42">
        <f t="shared" si="3"/>
        <v>2815321.4830827126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1:21" x14ac:dyDescent="0.2">
      <c r="A44" s="24">
        <v>39</v>
      </c>
      <c r="B44" s="42">
        <f t="shared" si="0"/>
        <v>15073.88796731995</v>
      </c>
      <c r="C44" s="42">
        <f t="shared" si="1"/>
        <v>4516.4324057597769</v>
      </c>
      <c r="D44" s="42">
        <f t="shared" si="2"/>
        <v>10557.455561560173</v>
      </c>
      <c r="E44" s="42">
        <f t="shared" si="3"/>
        <v>2810805.050676953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:21" x14ac:dyDescent="0.2">
      <c r="A45" s="24">
        <v>40</v>
      </c>
      <c r="B45" s="42">
        <f t="shared" si="0"/>
        <v>15073.88796731995</v>
      </c>
      <c r="C45" s="42">
        <f t="shared" si="1"/>
        <v>4533.3690272813756</v>
      </c>
      <c r="D45" s="42">
        <f t="shared" si="2"/>
        <v>10540.518940038575</v>
      </c>
      <c r="E45" s="42">
        <f t="shared" si="3"/>
        <v>2806271.6816496719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1:21" x14ac:dyDescent="0.2">
      <c r="A46" s="24">
        <v>41</v>
      </c>
      <c r="B46" s="42">
        <f t="shared" si="0"/>
        <v>15073.88796731995</v>
      </c>
      <c r="C46" s="42">
        <f t="shared" si="1"/>
        <v>4550.3691611336808</v>
      </c>
      <c r="D46" s="42">
        <f t="shared" si="2"/>
        <v>10523.518806186268</v>
      </c>
      <c r="E46" s="42">
        <f t="shared" si="3"/>
        <v>2801721.3124885382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</row>
    <row r="47" spans="1:21" x14ac:dyDescent="0.2">
      <c r="A47" s="24">
        <v>42</v>
      </c>
      <c r="B47" s="42">
        <f t="shared" si="0"/>
        <v>15073.88796731995</v>
      </c>
      <c r="C47" s="42">
        <f t="shared" si="1"/>
        <v>4567.4330454879318</v>
      </c>
      <c r="D47" s="42">
        <f t="shared" si="2"/>
        <v>10506.454921832017</v>
      </c>
      <c r="E47" s="42">
        <f t="shared" si="3"/>
        <v>2797153.8794430504</v>
      </c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x14ac:dyDescent="0.2">
      <c r="A48" s="24">
        <v>43</v>
      </c>
      <c r="B48" s="42">
        <f t="shared" si="0"/>
        <v>15073.88796731995</v>
      </c>
      <c r="C48" s="42">
        <f t="shared" si="1"/>
        <v>4584.5609194085118</v>
      </c>
      <c r="D48" s="42">
        <f t="shared" si="2"/>
        <v>10489.327047911438</v>
      </c>
      <c r="E48" s="42">
        <f t="shared" si="3"/>
        <v>2792569.3185236417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x14ac:dyDescent="0.2">
      <c r="A49" s="24">
        <v>44</v>
      </c>
      <c r="B49" s="42">
        <f t="shared" si="0"/>
        <v>15073.88796731995</v>
      </c>
      <c r="C49" s="42">
        <f t="shared" si="1"/>
        <v>4601.7530228562937</v>
      </c>
      <c r="D49" s="42">
        <f t="shared" si="2"/>
        <v>10472.134944463656</v>
      </c>
      <c r="E49" s="42">
        <f t="shared" si="3"/>
        <v>2787967.5655007856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</row>
    <row r="50" spans="1:21" x14ac:dyDescent="0.2">
      <c r="A50" s="24">
        <v>45</v>
      </c>
      <c r="B50" s="42">
        <f t="shared" si="0"/>
        <v>15073.88796731995</v>
      </c>
      <c r="C50" s="42">
        <f t="shared" si="1"/>
        <v>4619.0095966920044</v>
      </c>
      <c r="D50" s="42">
        <f t="shared" si="2"/>
        <v>10454.878370627946</v>
      </c>
      <c r="E50" s="42">
        <f t="shared" si="3"/>
        <v>2783348.5559040937</v>
      </c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</row>
    <row r="51" spans="1:21" x14ac:dyDescent="0.2">
      <c r="A51" s="24">
        <v>46</v>
      </c>
      <c r="B51" s="42">
        <f t="shared" si="0"/>
        <v>15073.88796731995</v>
      </c>
      <c r="C51" s="42">
        <f t="shared" si="1"/>
        <v>4636.3308826795992</v>
      </c>
      <c r="D51" s="42">
        <f t="shared" si="2"/>
        <v>10437.55708464035</v>
      </c>
      <c r="E51" s="42">
        <f t="shared" si="3"/>
        <v>2778712.225021414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</row>
    <row r="52" spans="1:21" x14ac:dyDescent="0.2">
      <c r="A52" s="24">
        <v>47</v>
      </c>
      <c r="B52" s="42">
        <f t="shared" si="0"/>
        <v>15073.88796731995</v>
      </c>
      <c r="C52" s="42">
        <f t="shared" si="1"/>
        <v>4653.7171234896487</v>
      </c>
      <c r="D52" s="42">
        <f t="shared" si="2"/>
        <v>10420.170843830301</v>
      </c>
      <c r="E52" s="42">
        <f t="shared" si="3"/>
        <v>2774058.5078979242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</row>
    <row r="53" spans="1:21" x14ac:dyDescent="0.2">
      <c r="A53" s="24">
        <v>48</v>
      </c>
      <c r="B53" s="42">
        <f t="shared" si="0"/>
        <v>15073.88796731995</v>
      </c>
      <c r="C53" s="42">
        <f t="shared" si="1"/>
        <v>4671.1685627027346</v>
      </c>
      <c r="D53" s="42">
        <f t="shared" si="2"/>
        <v>10402.719404617215</v>
      </c>
      <c r="E53" s="42">
        <f t="shared" si="3"/>
        <v>2769387.3393352213</v>
      </c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</row>
    <row r="54" spans="1:21" x14ac:dyDescent="0.2">
      <c r="A54" s="24">
        <v>49</v>
      </c>
      <c r="B54" s="42">
        <f t="shared" si="0"/>
        <v>15073.88796731995</v>
      </c>
      <c r="C54" s="42">
        <f t="shared" si="1"/>
        <v>4688.6854448128688</v>
      </c>
      <c r="D54" s="42">
        <f t="shared" si="2"/>
        <v>10385.202522507081</v>
      </c>
      <c r="E54" s="42">
        <f t="shared" si="3"/>
        <v>2764698.6538904086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:21" x14ac:dyDescent="0.2">
      <c r="A55" s="24">
        <v>50</v>
      </c>
      <c r="B55" s="42">
        <f t="shared" si="0"/>
        <v>15073.88796731995</v>
      </c>
      <c r="C55" s="42">
        <f t="shared" si="1"/>
        <v>4706.2680152309176</v>
      </c>
      <c r="D55" s="42">
        <f t="shared" si="2"/>
        <v>10367.619952089033</v>
      </c>
      <c r="E55" s="42">
        <f t="shared" si="3"/>
        <v>2759992.3858751776</v>
      </c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</row>
    <row r="56" spans="1:21" x14ac:dyDescent="0.2">
      <c r="A56" s="24">
        <v>51</v>
      </c>
      <c r="B56" s="42">
        <f t="shared" si="0"/>
        <v>15073.88796731995</v>
      </c>
      <c r="C56" s="42">
        <f t="shared" si="1"/>
        <v>4723.916520288034</v>
      </c>
      <c r="D56" s="42">
        <f t="shared" si="2"/>
        <v>10349.971447031916</v>
      </c>
      <c r="E56" s="42">
        <f t="shared" si="3"/>
        <v>2755268.4693548894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:21" x14ac:dyDescent="0.2">
      <c r="A57" s="24">
        <v>52</v>
      </c>
      <c r="B57" s="42">
        <f t="shared" si="0"/>
        <v>15073.88796731995</v>
      </c>
      <c r="C57" s="42">
        <f t="shared" si="1"/>
        <v>4741.6312072391138</v>
      </c>
      <c r="D57" s="42">
        <f t="shared" si="2"/>
        <v>10332.256760080836</v>
      </c>
      <c r="E57" s="42">
        <f t="shared" si="3"/>
        <v>2750526.8381476505</v>
      </c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</row>
    <row r="58" spans="1:21" x14ac:dyDescent="0.2">
      <c r="A58" s="24">
        <v>53</v>
      </c>
      <c r="B58" s="42">
        <f t="shared" si="0"/>
        <v>15073.88796731995</v>
      </c>
      <c r="C58" s="42">
        <f t="shared" si="1"/>
        <v>4759.4123242662608</v>
      </c>
      <c r="D58" s="42">
        <f t="shared" si="2"/>
        <v>10314.475643053689</v>
      </c>
      <c r="E58" s="42">
        <f t="shared" si="3"/>
        <v>2745767.4258233844</v>
      </c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1:21" x14ac:dyDescent="0.2">
      <c r="A59" s="24">
        <v>54</v>
      </c>
      <c r="B59" s="42">
        <f t="shared" si="0"/>
        <v>15073.88796731995</v>
      </c>
      <c r="C59" s="42">
        <f t="shared" si="1"/>
        <v>4777.2601204822586</v>
      </c>
      <c r="D59" s="42">
        <f t="shared" si="2"/>
        <v>10296.627846837691</v>
      </c>
      <c r="E59" s="42">
        <f t="shared" si="3"/>
        <v>2740990.1657029022</v>
      </c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 x14ac:dyDescent="0.2">
      <c r="A60" s="24">
        <v>55</v>
      </c>
      <c r="B60" s="42">
        <f t="shared" si="0"/>
        <v>15073.88796731995</v>
      </c>
      <c r="C60" s="42">
        <f t="shared" si="1"/>
        <v>4795.174845934067</v>
      </c>
      <c r="D60" s="42">
        <f t="shared" si="2"/>
        <v>10278.713121385883</v>
      </c>
      <c r="E60" s="42">
        <f t="shared" si="3"/>
        <v>2736194.9908569683</v>
      </c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x14ac:dyDescent="0.2">
      <c r="A61" s="24">
        <v>56</v>
      </c>
      <c r="B61" s="42">
        <f t="shared" si="0"/>
        <v>15073.88796731995</v>
      </c>
      <c r="C61" s="42">
        <f t="shared" si="1"/>
        <v>4813.1567516063205</v>
      </c>
      <c r="D61" s="42">
        <f t="shared" si="2"/>
        <v>10260.731215713629</v>
      </c>
      <c r="E61" s="42">
        <f t="shared" si="3"/>
        <v>2731381.8341053622</v>
      </c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x14ac:dyDescent="0.2">
      <c r="A62" s="24">
        <v>57</v>
      </c>
      <c r="B62" s="42">
        <f t="shared" si="0"/>
        <v>15073.88796731995</v>
      </c>
      <c r="C62" s="42">
        <f t="shared" si="1"/>
        <v>4831.2060894248434</v>
      </c>
      <c r="D62" s="42">
        <f t="shared" si="2"/>
        <v>10242.681877895106</v>
      </c>
      <c r="E62" s="42">
        <f t="shared" si="3"/>
        <v>2726550.6280159373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x14ac:dyDescent="0.2">
      <c r="A63" s="24">
        <v>58</v>
      </c>
      <c r="B63" s="42">
        <f t="shared" si="0"/>
        <v>15073.88796731995</v>
      </c>
      <c r="C63" s="42">
        <f t="shared" si="1"/>
        <v>4849.3231122601874</v>
      </c>
      <c r="D63" s="42">
        <f t="shared" si="2"/>
        <v>10224.564855059762</v>
      </c>
      <c r="E63" s="42">
        <f t="shared" si="3"/>
        <v>2721701.3049036772</v>
      </c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x14ac:dyDescent="0.2">
      <c r="A64" s="24">
        <v>59</v>
      </c>
      <c r="B64" s="42">
        <f t="shared" si="0"/>
        <v>15073.88796731995</v>
      </c>
      <c r="C64" s="42">
        <f t="shared" si="1"/>
        <v>4867.5080739311634</v>
      </c>
      <c r="D64" s="42">
        <f t="shared" si="2"/>
        <v>10206.379893388787</v>
      </c>
      <c r="E64" s="42">
        <f t="shared" si="3"/>
        <v>2716833.7968297461</v>
      </c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x14ac:dyDescent="0.2">
      <c r="A65" s="24">
        <v>60</v>
      </c>
      <c r="B65" s="42">
        <f t="shared" si="0"/>
        <v>15073.88796731995</v>
      </c>
      <c r="C65" s="42">
        <f t="shared" si="1"/>
        <v>4885.761229208405</v>
      </c>
      <c r="D65" s="42">
        <f t="shared" si="2"/>
        <v>10188.126738111545</v>
      </c>
      <c r="E65" s="42">
        <f t="shared" si="3"/>
        <v>2711948.0356005379</v>
      </c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x14ac:dyDescent="0.2">
      <c r="A66" s="24">
        <v>61</v>
      </c>
      <c r="B66" s="42">
        <f t="shared" si="0"/>
        <v>15073.88796731995</v>
      </c>
      <c r="C66" s="42">
        <f t="shared" si="1"/>
        <v>4904.0828338179354</v>
      </c>
      <c r="D66" s="42">
        <f t="shared" si="2"/>
        <v>10169.805133502014</v>
      </c>
      <c r="E66" s="42">
        <f t="shared" si="3"/>
        <v>2707043.9527667197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x14ac:dyDescent="0.2">
      <c r="A67" s="24">
        <v>62</v>
      </c>
      <c r="B67" s="42">
        <f t="shared" si="0"/>
        <v>15073.88796731995</v>
      </c>
      <c r="C67" s="42">
        <f t="shared" si="1"/>
        <v>4922.4731444447525</v>
      </c>
      <c r="D67" s="42">
        <f t="shared" si="2"/>
        <v>10151.414822875198</v>
      </c>
      <c r="E67" s="42">
        <f t="shared" si="3"/>
        <v>2702121.4796222751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x14ac:dyDescent="0.2">
      <c r="A68" s="24">
        <v>63</v>
      </c>
      <c r="B68" s="42">
        <f t="shared" si="0"/>
        <v>15073.88796731995</v>
      </c>
      <c r="C68" s="42">
        <f t="shared" si="1"/>
        <v>4940.9324187364209</v>
      </c>
      <c r="D68" s="42">
        <f t="shared" si="2"/>
        <v>10132.95554858353</v>
      </c>
      <c r="E68" s="42">
        <f t="shared" si="3"/>
        <v>2697180.5472035385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x14ac:dyDescent="0.2">
      <c r="A69" s="24">
        <v>64</v>
      </c>
      <c r="B69" s="42">
        <f t="shared" si="0"/>
        <v>15073.88796731995</v>
      </c>
      <c r="C69" s="42">
        <f t="shared" si="1"/>
        <v>4959.4609153066822</v>
      </c>
      <c r="D69" s="42">
        <f t="shared" si="2"/>
        <v>10114.427052013267</v>
      </c>
      <c r="E69" s="42">
        <f t="shared" si="3"/>
        <v>2692221.0862882319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x14ac:dyDescent="0.2">
      <c r="A70" s="24">
        <v>65</v>
      </c>
      <c r="B70" s="42">
        <f t="shared" ref="B70:B133" si="4">PMT(($B$3/12),($B$2*12),-$B$1)</f>
        <v>15073.88796731995</v>
      </c>
      <c r="C70" s="42">
        <f t="shared" ref="C70:C133" si="5">PPMT(($B$3/12),A70,($B$2*12),-$B$1)</f>
        <v>4978.0588937390821</v>
      </c>
      <c r="D70" s="42">
        <f t="shared" ref="D70:D133" si="6">B70-C70</f>
        <v>10095.829073580868</v>
      </c>
      <c r="E70" s="42">
        <f t="shared" si="3"/>
        <v>2687243.0273944926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x14ac:dyDescent="0.2">
      <c r="A71" s="24">
        <v>66</v>
      </c>
      <c r="B71" s="42">
        <f t="shared" si="4"/>
        <v>15073.88796731995</v>
      </c>
      <c r="C71" s="42">
        <f t="shared" si="5"/>
        <v>4996.7266145906051</v>
      </c>
      <c r="D71" s="42">
        <f t="shared" si="6"/>
        <v>10077.161352729345</v>
      </c>
      <c r="E71" s="42">
        <f t="shared" ref="E71:E134" si="7">E70-C71</f>
        <v>2682246.3007799019</v>
      </c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x14ac:dyDescent="0.2">
      <c r="A72" s="24">
        <v>67</v>
      </c>
      <c r="B72" s="42">
        <f t="shared" si="4"/>
        <v>15073.88796731995</v>
      </c>
      <c r="C72" s="42">
        <f t="shared" si="5"/>
        <v>5015.4643393953183</v>
      </c>
      <c r="D72" s="42">
        <f t="shared" si="6"/>
        <v>10058.423627924632</v>
      </c>
      <c r="E72" s="42">
        <f t="shared" si="7"/>
        <v>2677230.8364405064</v>
      </c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x14ac:dyDescent="0.2">
      <c r="A73" s="24">
        <v>68</v>
      </c>
      <c r="B73" s="42">
        <f t="shared" si="4"/>
        <v>15073.88796731995</v>
      </c>
      <c r="C73" s="42">
        <f t="shared" si="5"/>
        <v>5034.2723306680518</v>
      </c>
      <c r="D73" s="42">
        <f t="shared" si="6"/>
        <v>10039.615636651899</v>
      </c>
      <c r="E73" s="42">
        <f t="shared" si="7"/>
        <v>2672196.5641098386</v>
      </c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x14ac:dyDescent="0.2">
      <c r="A74" s="24">
        <v>69</v>
      </c>
      <c r="B74" s="42">
        <f t="shared" si="4"/>
        <v>15073.88796731995</v>
      </c>
      <c r="C74" s="42">
        <f t="shared" si="5"/>
        <v>5053.1508519080571</v>
      </c>
      <c r="D74" s="42">
        <f t="shared" si="6"/>
        <v>10020.737115411892</v>
      </c>
      <c r="E74" s="42">
        <f t="shared" si="7"/>
        <v>2667143.4132579304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x14ac:dyDescent="0.2">
      <c r="A75" s="24">
        <v>70</v>
      </c>
      <c r="B75" s="42">
        <f t="shared" si="4"/>
        <v>15073.88796731995</v>
      </c>
      <c r="C75" s="42">
        <f t="shared" si="5"/>
        <v>5072.1001676027117</v>
      </c>
      <c r="D75" s="42">
        <f t="shared" si="6"/>
        <v>10001.787799717238</v>
      </c>
      <c r="E75" s="42">
        <f t="shared" si="7"/>
        <v>2662071.3130903277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x14ac:dyDescent="0.2">
      <c r="A76" s="24">
        <v>71</v>
      </c>
      <c r="B76" s="42">
        <f t="shared" si="4"/>
        <v>15073.88796731995</v>
      </c>
      <c r="C76" s="42">
        <f t="shared" si="5"/>
        <v>5091.1205432312217</v>
      </c>
      <c r="D76" s="42">
        <f t="shared" si="6"/>
        <v>9982.7674240887281</v>
      </c>
      <c r="E76" s="42">
        <f t="shared" si="7"/>
        <v>2656980.1925470964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x14ac:dyDescent="0.2">
      <c r="A77" s="24">
        <v>72</v>
      </c>
      <c r="B77" s="42">
        <f t="shared" si="4"/>
        <v>15073.88796731995</v>
      </c>
      <c r="C77" s="42">
        <f t="shared" si="5"/>
        <v>5110.2122452683388</v>
      </c>
      <c r="D77" s="42">
        <f t="shared" si="6"/>
        <v>9963.675722051612</v>
      </c>
      <c r="E77" s="42">
        <f t="shared" si="7"/>
        <v>2651869.9803018281</v>
      </c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x14ac:dyDescent="0.2">
      <c r="A78" s="24">
        <v>73</v>
      </c>
      <c r="B78" s="42">
        <f t="shared" si="4"/>
        <v>15073.88796731995</v>
      </c>
      <c r="C78" s="42">
        <f t="shared" si="5"/>
        <v>5129.3755411880957</v>
      </c>
      <c r="D78" s="42">
        <f t="shared" si="6"/>
        <v>9944.5124261318542</v>
      </c>
      <c r="E78" s="42">
        <f t="shared" si="7"/>
        <v>2646740.6047606398</v>
      </c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x14ac:dyDescent="0.2">
      <c r="A79" s="24">
        <v>74</v>
      </c>
      <c r="B79" s="42">
        <f t="shared" si="4"/>
        <v>15073.88796731995</v>
      </c>
      <c r="C79" s="42">
        <f t="shared" si="5"/>
        <v>5148.6106994675511</v>
      </c>
      <c r="D79" s="42">
        <f t="shared" si="6"/>
        <v>9925.2772678523979</v>
      </c>
      <c r="E79" s="42">
        <f t="shared" si="7"/>
        <v>2641591.9940611725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x14ac:dyDescent="0.2">
      <c r="A80" s="24">
        <v>75</v>
      </c>
      <c r="B80" s="42">
        <f t="shared" si="4"/>
        <v>15073.88796731995</v>
      </c>
      <c r="C80" s="42">
        <f t="shared" si="5"/>
        <v>5167.9179895905536</v>
      </c>
      <c r="D80" s="42">
        <f t="shared" si="6"/>
        <v>9905.9699777293972</v>
      </c>
      <c r="E80" s="42">
        <f t="shared" si="7"/>
        <v>2636424.0760715818</v>
      </c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x14ac:dyDescent="0.2">
      <c r="A81" s="24">
        <v>76</v>
      </c>
      <c r="B81" s="42">
        <f t="shared" si="4"/>
        <v>15073.88796731995</v>
      </c>
      <c r="C81" s="42">
        <f t="shared" si="5"/>
        <v>5187.2976820515187</v>
      </c>
      <c r="D81" s="42">
        <f t="shared" si="6"/>
        <v>9886.5902852684303</v>
      </c>
      <c r="E81" s="42">
        <f t="shared" si="7"/>
        <v>2631236.7783895303</v>
      </c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x14ac:dyDescent="0.2">
      <c r="A82" s="24">
        <v>77</v>
      </c>
      <c r="B82" s="42">
        <f t="shared" si="4"/>
        <v>15073.88796731995</v>
      </c>
      <c r="C82" s="42">
        <f t="shared" si="5"/>
        <v>5206.7500483592121</v>
      </c>
      <c r="D82" s="42">
        <f t="shared" si="6"/>
        <v>9867.1379189607378</v>
      </c>
      <c r="E82" s="42">
        <f t="shared" si="7"/>
        <v>2626030.0283411709</v>
      </c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x14ac:dyDescent="0.2">
      <c r="A83" s="24">
        <v>78</v>
      </c>
      <c r="B83" s="42">
        <f t="shared" si="4"/>
        <v>15073.88796731995</v>
      </c>
      <c r="C83" s="42">
        <f t="shared" si="5"/>
        <v>5226.275361040558</v>
      </c>
      <c r="D83" s="42">
        <f t="shared" si="6"/>
        <v>9847.6126062793919</v>
      </c>
      <c r="E83" s="42">
        <f t="shared" si="7"/>
        <v>2620803.7529801303</v>
      </c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x14ac:dyDescent="0.2">
      <c r="A84" s="24">
        <v>79</v>
      </c>
      <c r="B84" s="42">
        <f t="shared" si="4"/>
        <v>15073.88796731995</v>
      </c>
      <c r="C84" s="42">
        <f t="shared" si="5"/>
        <v>5245.8738936444615</v>
      </c>
      <c r="D84" s="42">
        <f t="shared" si="6"/>
        <v>9828.0140736754875</v>
      </c>
      <c r="E84" s="42">
        <f t="shared" si="7"/>
        <v>2615557.8790864856</v>
      </c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x14ac:dyDescent="0.2">
      <c r="A85" s="24">
        <v>80</v>
      </c>
      <c r="B85" s="42">
        <f t="shared" si="4"/>
        <v>15073.88796731995</v>
      </c>
      <c r="C85" s="42">
        <f t="shared" si="5"/>
        <v>5265.5459207456279</v>
      </c>
      <c r="D85" s="42">
        <f t="shared" si="6"/>
        <v>9808.342046574322</v>
      </c>
      <c r="E85" s="42">
        <f t="shared" si="7"/>
        <v>2610292.3331657401</v>
      </c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x14ac:dyDescent="0.2">
      <c r="A86" s="24">
        <v>81</v>
      </c>
      <c r="B86" s="42">
        <f t="shared" si="4"/>
        <v>15073.88796731995</v>
      </c>
      <c r="C86" s="42">
        <f t="shared" si="5"/>
        <v>5285.291717948423</v>
      </c>
      <c r="D86" s="42">
        <f t="shared" si="6"/>
        <v>9788.5962493715269</v>
      </c>
      <c r="E86" s="42">
        <f t="shared" si="7"/>
        <v>2605007.0414477917</v>
      </c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x14ac:dyDescent="0.2">
      <c r="A87" s="24">
        <v>82</v>
      </c>
      <c r="B87" s="42">
        <f t="shared" si="4"/>
        <v>15073.88796731995</v>
      </c>
      <c r="C87" s="42">
        <f t="shared" si="5"/>
        <v>5305.1115618907306</v>
      </c>
      <c r="D87" s="42">
        <f t="shared" si="6"/>
        <v>9768.7764054292202</v>
      </c>
      <c r="E87" s="42">
        <f t="shared" si="7"/>
        <v>2599701.929885901</v>
      </c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x14ac:dyDescent="0.2">
      <c r="A88" s="24">
        <v>83</v>
      </c>
      <c r="B88" s="42">
        <f t="shared" si="4"/>
        <v>15073.88796731995</v>
      </c>
      <c r="C88" s="42">
        <f t="shared" si="5"/>
        <v>5325.0057302478208</v>
      </c>
      <c r="D88" s="42">
        <f t="shared" si="6"/>
        <v>9748.8822370721282</v>
      </c>
      <c r="E88" s="42">
        <f t="shared" si="7"/>
        <v>2594376.9241556535</v>
      </c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x14ac:dyDescent="0.2">
      <c r="A89" s="24">
        <v>84</v>
      </c>
      <c r="B89" s="42">
        <f t="shared" si="4"/>
        <v>15073.88796731995</v>
      </c>
      <c r="C89" s="42">
        <f t="shared" si="5"/>
        <v>5344.9745017362511</v>
      </c>
      <c r="D89" s="42">
        <f t="shared" si="6"/>
        <v>9728.9134655836988</v>
      </c>
      <c r="E89" s="42">
        <f t="shared" si="7"/>
        <v>2589031.949653917</v>
      </c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x14ac:dyDescent="0.2">
      <c r="A90" s="24">
        <v>85</v>
      </c>
      <c r="B90" s="42">
        <f t="shared" si="4"/>
        <v>15073.88796731995</v>
      </c>
      <c r="C90" s="42">
        <f t="shared" si="5"/>
        <v>5365.0181561177615</v>
      </c>
      <c r="D90" s="42">
        <f t="shared" si="6"/>
        <v>9708.8698112021884</v>
      </c>
      <c r="E90" s="42">
        <f t="shared" si="7"/>
        <v>2583666.9314977992</v>
      </c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x14ac:dyDescent="0.2">
      <c r="A91" s="24">
        <v>86</v>
      </c>
      <c r="B91" s="42">
        <f t="shared" si="4"/>
        <v>15073.88796731995</v>
      </c>
      <c r="C91" s="42">
        <f t="shared" si="5"/>
        <v>5385.136974203202</v>
      </c>
      <c r="D91" s="42">
        <f t="shared" si="6"/>
        <v>9688.7509931167478</v>
      </c>
      <c r="E91" s="42">
        <f t="shared" si="7"/>
        <v>2578281.7945235958</v>
      </c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x14ac:dyDescent="0.2">
      <c r="A92" s="24">
        <v>87</v>
      </c>
      <c r="B92" s="42">
        <f t="shared" si="4"/>
        <v>15073.88796731995</v>
      </c>
      <c r="C92" s="42">
        <f t="shared" si="5"/>
        <v>5405.3312378564642</v>
      </c>
      <c r="D92" s="42">
        <f t="shared" si="6"/>
        <v>9668.5567294634857</v>
      </c>
      <c r="E92" s="42">
        <f t="shared" si="7"/>
        <v>2572876.4632857395</v>
      </c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x14ac:dyDescent="0.2">
      <c r="A93" s="24">
        <v>88</v>
      </c>
      <c r="B93" s="42">
        <f t="shared" si="4"/>
        <v>15073.88796731995</v>
      </c>
      <c r="C93" s="42">
        <f t="shared" si="5"/>
        <v>5425.6012299984268</v>
      </c>
      <c r="D93" s="42">
        <f t="shared" si="6"/>
        <v>9648.2867373215231</v>
      </c>
      <c r="E93" s="42">
        <f t="shared" si="7"/>
        <v>2567450.8620557413</v>
      </c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x14ac:dyDescent="0.2">
      <c r="A94" s="24">
        <v>89</v>
      </c>
      <c r="B94" s="42">
        <f t="shared" si="4"/>
        <v>15073.88796731995</v>
      </c>
      <c r="C94" s="42">
        <f t="shared" si="5"/>
        <v>5445.9472346109196</v>
      </c>
      <c r="D94" s="42">
        <f t="shared" si="6"/>
        <v>9627.9407327090303</v>
      </c>
      <c r="E94" s="42">
        <f t="shared" si="7"/>
        <v>2562004.9148211302</v>
      </c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x14ac:dyDescent="0.2">
      <c r="A95" s="24">
        <v>90</v>
      </c>
      <c r="B95" s="42">
        <f t="shared" si="4"/>
        <v>15073.88796731995</v>
      </c>
      <c r="C95" s="42">
        <f t="shared" si="5"/>
        <v>5466.3695367407117</v>
      </c>
      <c r="D95" s="42">
        <f t="shared" si="6"/>
        <v>9607.5184305792391</v>
      </c>
      <c r="E95" s="42">
        <f t="shared" si="7"/>
        <v>2556538.5452843895</v>
      </c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x14ac:dyDescent="0.2">
      <c r="A96" s="24">
        <v>91</v>
      </c>
      <c r="B96" s="42">
        <f t="shared" si="4"/>
        <v>15073.88796731995</v>
      </c>
      <c r="C96" s="42">
        <f t="shared" si="5"/>
        <v>5486.8684225034895</v>
      </c>
      <c r="D96" s="42">
        <f t="shared" si="6"/>
        <v>9587.0195448164595</v>
      </c>
      <c r="E96" s="42">
        <f t="shared" si="7"/>
        <v>2551051.6768618859</v>
      </c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x14ac:dyDescent="0.2">
      <c r="A97" s="24">
        <v>92</v>
      </c>
      <c r="B97" s="42">
        <f t="shared" si="4"/>
        <v>15073.88796731995</v>
      </c>
      <c r="C97" s="42">
        <f t="shared" si="5"/>
        <v>5507.4441790878773</v>
      </c>
      <c r="D97" s="42">
        <f t="shared" si="6"/>
        <v>9566.4437882320726</v>
      </c>
      <c r="E97" s="42">
        <f t="shared" si="7"/>
        <v>2545544.2326827981</v>
      </c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x14ac:dyDescent="0.2">
      <c r="A98" s="24">
        <v>93</v>
      </c>
      <c r="B98" s="42">
        <f t="shared" si="4"/>
        <v>15073.88796731995</v>
      </c>
      <c r="C98" s="42">
        <f t="shared" si="5"/>
        <v>5528.097094759456</v>
      </c>
      <c r="D98" s="42">
        <f t="shared" si="6"/>
        <v>9545.7908725604939</v>
      </c>
      <c r="E98" s="42">
        <f t="shared" si="7"/>
        <v>2540016.1355880387</v>
      </c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x14ac:dyDescent="0.2">
      <c r="A99" s="24">
        <v>94</v>
      </c>
      <c r="B99" s="42">
        <f t="shared" si="4"/>
        <v>15073.88796731995</v>
      </c>
      <c r="C99" s="42">
        <f t="shared" si="5"/>
        <v>5548.8274588648046</v>
      </c>
      <c r="D99" s="42">
        <f t="shared" si="6"/>
        <v>9525.0605084551462</v>
      </c>
      <c r="E99" s="42">
        <f t="shared" si="7"/>
        <v>2534467.3081291737</v>
      </c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x14ac:dyDescent="0.2">
      <c r="A100" s="24">
        <v>95</v>
      </c>
      <c r="B100" s="42">
        <f t="shared" si="4"/>
        <v>15073.88796731995</v>
      </c>
      <c r="C100" s="42">
        <f t="shared" si="5"/>
        <v>5569.6355618355465</v>
      </c>
      <c r="D100" s="42">
        <f t="shared" si="6"/>
        <v>9504.2524054844034</v>
      </c>
      <c r="E100" s="42">
        <f t="shared" si="7"/>
        <v>2528897.6725673382</v>
      </c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x14ac:dyDescent="0.2">
      <c r="A101" s="24">
        <v>96</v>
      </c>
      <c r="B101" s="42">
        <f t="shared" si="4"/>
        <v>15073.88796731995</v>
      </c>
      <c r="C101" s="42">
        <f t="shared" si="5"/>
        <v>5590.5216951924303</v>
      </c>
      <c r="D101" s="42">
        <f t="shared" si="6"/>
        <v>9483.3662721275196</v>
      </c>
      <c r="E101" s="42">
        <f t="shared" si="7"/>
        <v>2523307.1508721458</v>
      </c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x14ac:dyDescent="0.2">
      <c r="A102" s="24">
        <v>97</v>
      </c>
      <c r="B102" s="42">
        <f t="shared" si="4"/>
        <v>15073.88796731995</v>
      </c>
      <c r="C102" s="42">
        <f t="shared" si="5"/>
        <v>5611.4861515494031</v>
      </c>
      <c r="D102" s="42">
        <f t="shared" si="6"/>
        <v>9462.4018157705468</v>
      </c>
      <c r="E102" s="42">
        <f t="shared" si="7"/>
        <v>2517695.6647205963</v>
      </c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x14ac:dyDescent="0.2">
      <c r="A103" s="24">
        <v>98</v>
      </c>
      <c r="B103" s="42">
        <f t="shared" si="4"/>
        <v>15073.88796731995</v>
      </c>
      <c r="C103" s="42">
        <f t="shared" si="5"/>
        <v>5632.5292246177132</v>
      </c>
      <c r="D103" s="42">
        <f t="shared" si="6"/>
        <v>9441.3587427022358</v>
      </c>
      <c r="E103" s="42">
        <f t="shared" si="7"/>
        <v>2512063.1354959784</v>
      </c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x14ac:dyDescent="0.2">
      <c r="A104" s="24">
        <v>99</v>
      </c>
      <c r="B104" s="42">
        <f t="shared" si="4"/>
        <v>15073.88796731995</v>
      </c>
      <c r="C104" s="42">
        <f t="shared" si="5"/>
        <v>5653.6512092100293</v>
      </c>
      <c r="D104" s="42">
        <f t="shared" si="6"/>
        <v>9420.2367581099206</v>
      </c>
      <c r="E104" s="42">
        <f t="shared" si="7"/>
        <v>2506409.4842867684</v>
      </c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x14ac:dyDescent="0.2">
      <c r="A105" s="24">
        <v>100</v>
      </c>
      <c r="B105" s="42">
        <f t="shared" si="4"/>
        <v>15073.88796731995</v>
      </c>
      <c r="C105" s="42">
        <f t="shared" si="5"/>
        <v>5674.8524012445669</v>
      </c>
      <c r="D105" s="42">
        <f t="shared" si="6"/>
        <v>9399.035566075383</v>
      </c>
      <c r="E105" s="42">
        <f t="shared" si="7"/>
        <v>2500734.6318855239</v>
      </c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x14ac:dyDescent="0.2">
      <c r="A106" s="24">
        <v>101</v>
      </c>
      <c r="B106" s="42">
        <f t="shared" si="4"/>
        <v>15073.88796731995</v>
      </c>
      <c r="C106" s="42">
        <f t="shared" si="5"/>
        <v>5696.1330977492335</v>
      </c>
      <c r="D106" s="42">
        <f t="shared" si="6"/>
        <v>9377.7548695707155</v>
      </c>
      <c r="E106" s="42">
        <f t="shared" si="7"/>
        <v>2495038.4987877747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x14ac:dyDescent="0.2">
      <c r="A107" s="24">
        <v>102</v>
      </c>
      <c r="B107" s="42">
        <f t="shared" si="4"/>
        <v>15073.88796731995</v>
      </c>
      <c r="C107" s="42">
        <f t="shared" si="5"/>
        <v>5717.4935968657937</v>
      </c>
      <c r="D107" s="42">
        <f t="shared" si="6"/>
        <v>9356.3943704541562</v>
      </c>
      <c r="E107" s="42">
        <f t="shared" si="7"/>
        <v>2489321.0051909089</v>
      </c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x14ac:dyDescent="0.2">
      <c r="A108" s="24">
        <v>103</v>
      </c>
      <c r="B108" s="42">
        <f t="shared" si="4"/>
        <v>15073.88796731995</v>
      </c>
      <c r="C108" s="42">
        <f t="shared" si="5"/>
        <v>5738.9341978540397</v>
      </c>
      <c r="D108" s="42">
        <f t="shared" si="6"/>
        <v>9334.9537694659102</v>
      </c>
      <c r="E108" s="42">
        <f t="shared" si="7"/>
        <v>2483582.0709930547</v>
      </c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x14ac:dyDescent="0.2">
      <c r="A109" s="24">
        <v>104</v>
      </c>
      <c r="B109" s="42">
        <f t="shared" si="4"/>
        <v>15073.88796731995</v>
      </c>
      <c r="C109" s="42">
        <f t="shared" si="5"/>
        <v>5760.4552010959924</v>
      </c>
      <c r="D109" s="42">
        <f t="shared" si="6"/>
        <v>9313.4327662239575</v>
      </c>
      <c r="E109" s="42">
        <f t="shared" si="7"/>
        <v>2477821.6157919588</v>
      </c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x14ac:dyDescent="0.2">
      <c r="A110" s="24">
        <v>105</v>
      </c>
      <c r="B110" s="42">
        <f t="shared" si="4"/>
        <v>15073.88796731995</v>
      </c>
      <c r="C110" s="42">
        <f t="shared" si="5"/>
        <v>5782.0569081001031</v>
      </c>
      <c r="D110" s="42">
        <f t="shared" si="6"/>
        <v>9291.8310592198468</v>
      </c>
      <c r="E110" s="42">
        <f t="shared" si="7"/>
        <v>2472039.5588838588</v>
      </c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x14ac:dyDescent="0.2">
      <c r="A111" s="24">
        <v>106</v>
      </c>
      <c r="B111" s="42">
        <f t="shared" si="4"/>
        <v>15073.88796731995</v>
      </c>
      <c r="C111" s="42">
        <f t="shared" si="5"/>
        <v>5803.7396215054787</v>
      </c>
      <c r="D111" s="42">
        <f t="shared" si="6"/>
        <v>9270.1483458144721</v>
      </c>
      <c r="E111" s="42">
        <f t="shared" si="7"/>
        <v>2466235.8192623532</v>
      </c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x14ac:dyDescent="0.2">
      <c r="A112" s="24">
        <v>107</v>
      </c>
      <c r="B112" s="42">
        <f t="shared" si="4"/>
        <v>15073.88796731995</v>
      </c>
      <c r="C112" s="42">
        <f t="shared" si="5"/>
        <v>5825.5036450861235</v>
      </c>
      <c r="D112" s="42">
        <f t="shared" si="6"/>
        <v>9248.3843222338255</v>
      </c>
      <c r="E112" s="42">
        <f t="shared" si="7"/>
        <v>2460410.315617267</v>
      </c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x14ac:dyDescent="0.2">
      <c r="A113" s="24">
        <v>108</v>
      </c>
      <c r="B113" s="42">
        <f t="shared" si="4"/>
        <v>15073.88796731995</v>
      </c>
      <c r="C113" s="42">
        <f t="shared" si="5"/>
        <v>5847.3492837551967</v>
      </c>
      <c r="D113" s="42">
        <f t="shared" si="6"/>
        <v>9226.5386835647532</v>
      </c>
      <c r="E113" s="42">
        <f t="shared" si="7"/>
        <v>2454562.9663335118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x14ac:dyDescent="0.2">
      <c r="A114" s="24">
        <v>109</v>
      </c>
      <c r="B114" s="42">
        <f t="shared" si="4"/>
        <v>15073.88796731995</v>
      </c>
      <c r="C114" s="42">
        <f t="shared" si="5"/>
        <v>5869.2768435692778</v>
      </c>
      <c r="D114" s="42">
        <f t="shared" si="6"/>
        <v>9204.611123750672</v>
      </c>
      <c r="E114" s="42">
        <f t="shared" si="7"/>
        <v>2448693.6894899425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x14ac:dyDescent="0.2">
      <c r="A115" s="24">
        <v>110</v>
      </c>
      <c r="B115" s="42">
        <f t="shared" si="4"/>
        <v>15073.88796731995</v>
      </c>
      <c r="C115" s="42">
        <f t="shared" si="5"/>
        <v>5891.2866317326634</v>
      </c>
      <c r="D115" s="42">
        <f t="shared" si="6"/>
        <v>9182.6013355872856</v>
      </c>
      <c r="E115" s="42">
        <f t="shared" si="7"/>
        <v>2442802.4028582098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x14ac:dyDescent="0.2">
      <c r="A116" s="24">
        <v>111</v>
      </c>
      <c r="B116" s="42">
        <f t="shared" si="4"/>
        <v>15073.88796731995</v>
      </c>
      <c r="C116" s="42">
        <f t="shared" si="5"/>
        <v>5913.3789566016612</v>
      </c>
      <c r="D116" s="42">
        <f t="shared" si="6"/>
        <v>9160.5090107182878</v>
      </c>
      <c r="E116" s="42">
        <f t="shared" si="7"/>
        <v>2436889.0239016083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x14ac:dyDescent="0.2">
      <c r="A117" s="24">
        <v>112</v>
      </c>
      <c r="B117" s="42">
        <f t="shared" si="4"/>
        <v>15073.88796731995</v>
      </c>
      <c r="C117" s="42">
        <f t="shared" si="5"/>
        <v>5935.5541276889171</v>
      </c>
      <c r="D117" s="42">
        <f t="shared" si="6"/>
        <v>9138.3338396310319</v>
      </c>
      <c r="E117" s="42">
        <f t="shared" si="7"/>
        <v>2430953.4697739193</v>
      </c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x14ac:dyDescent="0.2">
      <c r="A118" s="24">
        <v>113</v>
      </c>
      <c r="B118" s="42">
        <f t="shared" si="4"/>
        <v>15073.88796731995</v>
      </c>
      <c r="C118" s="42">
        <f t="shared" si="5"/>
        <v>5957.8124556677503</v>
      </c>
      <c r="D118" s="42">
        <f t="shared" si="6"/>
        <v>9116.0755116521996</v>
      </c>
      <c r="E118" s="42">
        <f t="shared" si="7"/>
        <v>2424995.6573182517</v>
      </c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x14ac:dyDescent="0.2">
      <c r="A119" s="24">
        <v>114</v>
      </c>
      <c r="B119" s="42">
        <f t="shared" si="4"/>
        <v>15073.88796731995</v>
      </c>
      <c r="C119" s="42">
        <f t="shared" si="5"/>
        <v>5980.1542523765056</v>
      </c>
      <c r="D119" s="42">
        <f t="shared" si="6"/>
        <v>9093.7337149434443</v>
      </c>
      <c r="E119" s="42">
        <f t="shared" si="7"/>
        <v>2419015.5030658753</v>
      </c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x14ac:dyDescent="0.2">
      <c r="A120" s="24">
        <v>115</v>
      </c>
      <c r="B120" s="42">
        <f t="shared" si="4"/>
        <v>15073.88796731995</v>
      </c>
      <c r="C120" s="42">
        <f t="shared" si="5"/>
        <v>6002.5798308229168</v>
      </c>
      <c r="D120" s="42">
        <f t="shared" si="6"/>
        <v>9071.308136497033</v>
      </c>
      <c r="E120" s="42">
        <f t="shared" si="7"/>
        <v>2413012.9232350523</v>
      </c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x14ac:dyDescent="0.2">
      <c r="A121" s="24">
        <v>116</v>
      </c>
      <c r="B121" s="42">
        <f t="shared" si="4"/>
        <v>15073.88796731995</v>
      </c>
      <c r="C121" s="42">
        <f t="shared" si="5"/>
        <v>6025.0895051885027</v>
      </c>
      <c r="D121" s="42">
        <f t="shared" si="6"/>
        <v>9048.7984621314463</v>
      </c>
      <c r="E121" s="42">
        <f t="shared" si="7"/>
        <v>2406987.8337298636</v>
      </c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x14ac:dyDescent="0.2">
      <c r="A122" s="24">
        <v>117</v>
      </c>
      <c r="B122" s="42">
        <f t="shared" si="4"/>
        <v>15073.88796731995</v>
      </c>
      <c r="C122" s="42">
        <f t="shared" si="5"/>
        <v>6047.6835908329595</v>
      </c>
      <c r="D122" s="42">
        <f t="shared" si="6"/>
        <v>9026.2043764869904</v>
      </c>
      <c r="E122" s="42">
        <f t="shared" si="7"/>
        <v>2400940.1501390305</v>
      </c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x14ac:dyDescent="0.2">
      <c r="A123" s="24">
        <v>118</v>
      </c>
      <c r="B123" s="42">
        <f t="shared" si="4"/>
        <v>15073.88796731995</v>
      </c>
      <c r="C123" s="42">
        <f t="shared" si="5"/>
        <v>6070.362404298583</v>
      </c>
      <c r="D123" s="42">
        <f t="shared" si="6"/>
        <v>9003.5255630213669</v>
      </c>
      <c r="E123" s="42">
        <f t="shared" si="7"/>
        <v>2394869.787734732</v>
      </c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x14ac:dyDescent="0.2">
      <c r="A124" s="24">
        <v>119</v>
      </c>
      <c r="B124" s="42">
        <f t="shared" si="4"/>
        <v>15073.88796731995</v>
      </c>
      <c r="C124" s="42">
        <f t="shared" si="5"/>
        <v>6093.1262633147035</v>
      </c>
      <c r="D124" s="42">
        <f t="shared" si="6"/>
        <v>8980.7617040052464</v>
      </c>
      <c r="E124" s="42">
        <f t="shared" si="7"/>
        <v>2388776.6614714172</v>
      </c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x14ac:dyDescent="0.2">
      <c r="A125" s="24">
        <v>120</v>
      </c>
      <c r="B125" s="42">
        <f t="shared" si="4"/>
        <v>15073.88796731995</v>
      </c>
      <c r="C125" s="42">
        <f t="shared" si="5"/>
        <v>6115.9754868021328</v>
      </c>
      <c r="D125" s="42">
        <f t="shared" si="6"/>
        <v>8957.912480517818</v>
      </c>
      <c r="E125" s="42">
        <f t="shared" si="7"/>
        <v>2382660.6859846152</v>
      </c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x14ac:dyDescent="0.2">
      <c r="A126" s="24">
        <v>121</v>
      </c>
      <c r="B126" s="42">
        <f t="shared" si="4"/>
        <v>15073.88796731995</v>
      </c>
      <c r="C126" s="42">
        <f t="shared" si="5"/>
        <v>6138.910394877641</v>
      </c>
      <c r="D126" s="42">
        <f t="shared" si="6"/>
        <v>8934.9775724423089</v>
      </c>
      <c r="E126" s="42">
        <f t="shared" si="7"/>
        <v>2376521.7755897376</v>
      </c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x14ac:dyDescent="0.2">
      <c r="A127" s="24">
        <v>122</v>
      </c>
      <c r="B127" s="42">
        <f t="shared" si="4"/>
        <v>15073.88796731995</v>
      </c>
      <c r="C127" s="42">
        <f t="shared" si="5"/>
        <v>6161.9313088584322</v>
      </c>
      <c r="D127" s="42">
        <f t="shared" si="6"/>
        <v>8911.9566584615168</v>
      </c>
      <c r="E127" s="42">
        <f t="shared" si="7"/>
        <v>2370359.844280879</v>
      </c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x14ac:dyDescent="0.2">
      <c r="A128" s="24">
        <v>123</v>
      </c>
      <c r="B128" s="42">
        <f t="shared" si="4"/>
        <v>15073.88796731995</v>
      </c>
      <c r="C128" s="42">
        <f t="shared" si="5"/>
        <v>6185.0385512666508</v>
      </c>
      <c r="D128" s="42">
        <f t="shared" si="6"/>
        <v>8888.8494160532991</v>
      </c>
      <c r="E128" s="42">
        <f t="shared" si="7"/>
        <v>2364174.8057296122</v>
      </c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x14ac:dyDescent="0.2">
      <c r="A129" s="24">
        <v>124</v>
      </c>
      <c r="B129" s="42">
        <f t="shared" si="4"/>
        <v>15073.88796731995</v>
      </c>
      <c r="C129" s="42">
        <f t="shared" si="5"/>
        <v>6208.2324458339008</v>
      </c>
      <c r="D129" s="42">
        <f t="shared" si="6"/>
        <v>8865.6555214860491</v>
      </c>
      <c r="E129" s="42">
        <f t="shared" si="7"/>
        <v>2357966.5732837785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x14ac:dyDescent="0.2">
      <c r="A130" s="24">
        <v>125</v>
      </c>
      <c r="B130" s="42">
        <f t="shared" si="4"/>
        <v>15073.88796731995</v>
      </c>
      <c r="C130" s="42">
        <f t="shared" si="5"/>
        <v>6231.5133175057781</v>
      </c>
      <c r="D130" s="42">
        <f t="shared" si="6"/>
        <v>8842.3746498141718</v>
      </c>
      <c r="E130" s="42">
        <f t="shared" si="7"/>
        <v>2351735.0599662727</v>
      </c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x14ac:dyDescent="0.2">
      <c r="A131" s="24">
        <v>126</v>
      </c>
      <c r="B131" s="42">
        <f t="shared" si="4"/>
        <v>15073.88796731995</v>
      </c>
      <c r="C131" s="42">
        <f t="shared" si="5"/>
        <v>6254.8814924464259</v>
      </c>
      <c r="D131" s="42">
        <f t="shared" si="6"/>
        <v>8819.006474873524</v>
      </c>
      <c r="E131" s="42">
        <f t="shared" si="7"/>
        <v>2345480.178473826</v>
      </c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x14ac:dyDescent="0.2">
      <c r="A132" s="24">
        <v>127</v>
      </c>
      <c r="B132" s="42">
        <f t="shared" si="4"/>
        <v>15073.88796731995</v>
      </c>
      <c r="C132" s="42">
        <f t="shared" si="5"/>
        <v>6278.3372980430986</v>
      </c>
      <c r="D132" s="42">
        <f t="shared" si="6"/>
        <v>8795.5506692768504</v>
      </c>
      <c r="E132" s="42">
        <f t="shared" si="7"/>
        <v>2339201.841175783</v>
      </c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x14ac:dyDescent="0.2">
      <c r="A133" s="24">
        <v>128</v>
      </c>
      <c r="B133" s="42">
        <f t="shared" si="4"/>
        <v>15073.88796731995</v>
      </c>
      <c r="C133" s="42">
        <f t="shared" si="5"/>
        <v>6301.8810629107602</v>
      </c>
      <c r="D133" s="42">
        <f t="shared" si="6"/>
        <v>8772.0069044091906</v>
      </c>
      <c r="E133" s="42">
        <f t="shared" si="7"/>
        <v>2332899.9601128721</v>
      </c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x14ac:dyDescent="0.2">
      <c r="A134" s="24">
        <v>129</v>
      </c>
      <c r="B134" s="42">
        <f t="shared" ref="B134:B197" si="8">PMT(($B$3/12),($B$2*12),-$B$1)</f>
        <v>15073.88796731995</v>
      </c>
      <c r="C134" s="42">
        <f t="shared" ref="C134:C197" si="9">PPMT(($B$3/12),A134,($B$2*12),-$B$1)</f>
        <v>6325.5131168966764</v>
      </c>
      <c r="D134" s="42">
        <f t="shared" ref="D134:D197" si="10">B134-C134</f>
        <v>8748.3748504232735</v>
      </c>
      <c r="E134" s="42">
        <f t="shared" si="7"/>
        <v>2326574.4469959754</v>
      </c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x14ac:dyDescent="0.2">
      <c r="A135" s="24">
        <v>130</v>
      </c>
      <c r="B135" s="42">
        <f t="shared" si="8"/>
        <v>15073.88796731995</v>
      </c>
      <c r="C135" s="42">
        <f t="shared" si="9"/>
        <v>6349.2337910850383</v>
      </c>
      <c r="D135" s="42">
        <f t="shared" si="10"/>
        <v>8724.6541762349116</v>
      </c>
      <c r="E135" s="42">
        <f t="shared" ref="E135:E198" si="11">E134-C135</f>
        <v>2320225.2132048905</v>
      </c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x14ac:dyDescent="0.2">
      <c r="A136" s="24">
        <v>131</v>
      </c>
      <c r="B136" s="42">
        <f t="shared" si="8"/>
        <v>15073.88796731995</v>
      </c>
      <c r="C136" s="42">
        <f t="shared" si="9"/>
        <v>6373.0434178016067</v>
      </c>
      <c r="D136" s="42">
        <f t="shared" si="10"/>
        <v>8700.8445495183441</v>
      </c>
      <c r="E136" s="42">
        <f t="shared" si="11"/>
        <v>2313852.1697870889</v>
      </c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x14ac:dyDescent="0.2">
      <c r="A137" s="24">
        <v>132</v>
      </c>
      <c r="B137" s="42">
        <f t="shared" si="8"/>
        <v>15073.88796731995</v>
      </c>
      <c r="C137" s="42">
        <f t="shared" si="9"/>
        <v>6396.9423306183635</v>
      </c>
      <c r="D137" s="42">
        <f t="shared" si="10"/>
        <v>8676.9456367015864</v>
      </c>
      <c r="E137" s="42">
        <f t="shared" si="11"/>
        <v>2307455.2274564705</v>
      </c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x14ac:dyDescent="0.2">
      <c r="A138" s="24">
        <v>133</v>
      </c>
      <c r="B138" s="42">
        <f t="shared" si="8"/>
        <v>15073.88796731995</v>
      </c>
      <c r="C138" s="42">
        <f t="shared" si="9"/>
        <v>6420.9308643581817</v>
      </c>
      <c r="D138" s="42">
        <f t="shared" si="10"/>
        <v>8652.9571029617691</v>
      </c>
      <c r="E138" s="42">
        <f t="shared" si="11"/>
        <v>2301034.2965921122</v>
      </c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x14ac:dyDescent="0.2">
      <c r="A139" s="24">
        <v>134</v>
      </c>
      <c r="B139" s="42">
        <f t="shared" si="8"/>
        <v>15073.88796731995</v>
      </c>
      <c r="C139" s="42">
        <f t="shared" si="9"/>
        <v>6445.0093550995261</v>
      </c>
      <c r="D139" s="42">
        <f t="shared" si="10"/>
        <v>8628.8786122204237</v>
      </c>
      <c r="E139" s="42">
        <f t="shared" si="11"/>
        <v>2294589.2872370128</v>
      </c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x14ac:dyDescent="0.2">
      <c r="A140" s="24">
        <v>135</v>
      </c>
      <c r="B140" s="42">
        <f t="shared" si="8"/>
        <v>15073.88796731995</v>
      </c>
      <c r="C140" s="42">
        <f t="shared" si="9"/>
        <v>6469.1781401811495</v>
      </c>
      <c r="D140" s="42">
        <f t="shared" si="10"/>
        <v>8604.7098271388004</v>
      </c>
      <c r="E140" s="42">
        <f t="shared" si="11"/>
        <v>2288120.1090968316</v>
      </c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x14ac:dyDescent="0.2">
      <c r="A141" s="24">
        <v>136</v>
      </c>
      <c r="B141" s="42">
        <f t="shared" si="8"/>
        <v>15073.88796731995</v>
      </c>
      <c r="C141" s="42">
        <f t="shared" si="9"/>
        <v>6493.4375582068278</v>
      </c>
      <c r="D141" s="42">
        <f t="shared" si="10"/>
        <v>8580.4504091131221</v>
      </c>
      <c r="E141" s="42">
        <f t="shared" si="11"/>
        <v>2281626.6715386249</v>
      </c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x14ac:dyDescent="0.2">
      <c r="A142" s="24">
        <v>137</v>
      </c>
      <c r="B142" s="42">
        <f t="shared" si="8"/>
        <v>15073.88796731995</v>
      </c>
      <c r="C142" s="42">
        <f t="shared" si="9"/>
        <v>6517.7879490501036</v>
      </c>
      <c r="D142" s="42">
        <f t="shared" si="10"/>
        <v>8556.1000182698463</v>
      </c>
      <c r="E142" s="42">
        <f t="shared" si="11"/>
        <v>2275108.8835895746</v>
      </c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x14ac:dyDescent="0.2">
      <c r="A143" s="24">
        <v>138</v>
      </c>
      <c r="B143" s="42">
        <f t="shared" si="8"/>
        <v>15073.88796731995</v>
      </c>
      <c r="C143" s="42">
        <f t="shared" si="9"/>
        <v>6542.2296538590417</v>
      </c>
      <c r="D143" s="42">
        <f t="shared" si="10"/>
        <v>8531.6583134609082</v>
      </c>
      <c r="E143" s="42">
        <f t="shared" si="11"/>
        <v>2268566.6539357156</v>
      </c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x14ac:dyDescent="0.2">
      <c r="A144" s="24">
        <v>139</v>
      </c>
      <c r="B144" s="42">
        <f t="shared" si="8"/>
        <v>15073.88796731995</v>
      </c>
      <c r="C144" s="42">
        <f t="shared" si="9"/>
        <v>6566.763015061013</v>
      </c>
      <c r="D144" s="42">
        <f t="shared" si="10"/>
        <v>8507.1249522589369</v>
      </c>
      <c r="E144" s="42">
        <f t="shared" si="11"/>
        <v>2261999.8909206544</v>
      </c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x14ac:dyDescent="0.2">
      <c r="A145" s="24">
        <v>140</v>
      </c>
      <c r="B145" s="42">
        <f t="shared" si="8"/>
        <v>15073.88796731995</v>
      </c>
      <c r="C145" s="42">
        <f t="shared" si="9"/>
        <v>6591.3883763674912</v>
      </c>
      <c r="D145" s="42">
        <f t="shared" si="10"/>
        <v>8482.4995909524587</v>
      </c>
      <c r="E145" s="42">
        <f t="shared" si="11"/>
        <v>2255408.5025442871</v>
      </c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x14ac:dyDescent="0.2">
      <c r="A146" s="24">
        <v>141</v>
      </c>
      <c r="B146" s="42">
        <f t="shared" si="8"/>
        <v>15073.88796731995</v>
      </c>
      <c r="C146" s="42">
        <f t="shared" si="9"/>
        <v>6616.1060827788697</v>
      </c>
      <c r="D146" s="42">
        <f t="shared" si="10"/>
        <v>8457.7818845410802</v>
      </c>
      <c r="E146" s="42">
        <f t="shared" si="11"/>
        <v>2248792.3964615082</v>
      </c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x14ac:dyDescent="0.2">
      <c r="A147" s="24">
        <v>142</v>
      </c>
      <c r="B147" s="42">
        <f t="shared" si="8"/>
        <v>15073.88796731995</v>
      </c>
      <c r="C147" s="42">
        <f t="shared" si="9"/>
        <v>6640.9164805892915</v>
      </c>
      <c r="D147" s="42">
        <f t="shared" si="10"/>
        <v>8432.9714867306575</v>
      </c>
      <c r="E147" s="42">
        <f t="shared" si="11"/>
        <v>2242151.479980919</v>
      </c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x14ac:dyDescent="0.2">
      <c r="A148" s="24">
        <v>143</v>
      </c>
      <c r="B148" s="42">
        <f t="shared" si="8"/>
        <v>15073.88796731995</v>
      </c>
      <c r="C148" s="42">
        <f t="shared" si="9"/>
        <v>6665.8199173915009</v>
      </c>
      <c r="D148" s="42">
        <f t="shared" si="10"/>
        <v>8408.0680499284499</v>
      </c>
      <c r="E148" s="42">
        <f t="shared" si="11"/>
        <v>2235485.6600635275</v>
      </c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x14ac:dyDescent="0.2">
      <c r="A149" s="24">
        <v>144</v>
      </c>
      <c r="B149" s="42">
        <f t="shared" si="8"/>
        <v>15073.88796731995</v>
      </c>
      <c r="C149" s="42">
        <f t="shared" si="9"/>
        <v>6690.8167420817181</v>
      </c>
      <c r="D149" s="42">
        <f t="shared" si="10"/>
        <v>8383.0712252382327</v>
      </c>
      <c r="E149" s="42">
        <f t="shared" si="11"/>
        <v>2228794.8433214459</v>
      </c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x14ac:dyDescent="0.2">
      <c r="A150" s="24">
        <v>145</v>
      </c>
      <c r="B150" s="42">
        <f t="shared" si="8"/>
        <v>15073.88796731995</v>
      </c>
      <c r="C150" s="42">
        <f t="shared" si="9"/>
        <v>6715.907304864525</v>
      </c>
      <c r="D150" s="42">
        <f t="shared" si="10"/>
        <v>8357.9806624554258</v>
      </c>
      <c r="E150" s="42">
        <f t="shared" si="11"/>
        <v>2222078.9360165815</v>
      </c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x14ac:dyDescent="0.2">
      <c r="A151" s="24">
        <v>146</v>
      </c>
      <c r="B151" s="42">
        <f t="shared" si="8"/>
        <v>15073.88796731995</v>
      </c>
      <c r="C151" s="42">
        <f t="shared" si="9"/>
        <v>6741.0919572577677</v>
      </c>
      <c r="D151" s="42">
        <f t="shared" si="10"/>
        <v>8332.7960100621822</v>
      </c>
      <c r="E151" s="42">
        <f t="shared" si="11"/>
        <v>2215337.8440593239</v>
      </c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x14ac:dyDescent="0.2">
      <c r="A152" s="24">
        <v>147</v>
      </c>
      <c r="B152" s="42">
        <f t="shared" si="8"/>
        <v>15073.88796731995</v>
      </c>
      <c r="C152" s="42">
        <f t="shared" si="9"/>
        <v>6766.3710520974846</v>
      </c>
      <c r="D152" s="42">
        <f t="shared" si="10"/>
        <v>8307.5169152224662</v>
      </c>
      <c r="E152" s="42">
        <f t="shared" si="11"/>
        <v>2208571.4730072264</v>
      </c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x14ac:dyDescent="0.2">
      <c r="A153" s="24">
        <v>148</v>
      </c>
      <c r="B153" s="42">
        <f t="shared" si="8"/>
        <v>15073.88796731995</v>
      </c>
      <c r="C153" s="42">
        <f t="shared" si="9"/>
        <v>6791.7449435428489</v>
      </c>
      <c r="D153" s="42">
        <f t="shared" si="10"/>
        <v>8282.1430237771019</v>
      </c>
      <c r="E153" s="42">
        <f t="shared" si="11"/>
        <v>2201779.7280636835</v>
      </c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x14ac:dyDescent="0.2">
      <c r="A154" s="24">
        <v>149</v>
      </c>
      <c r="B154" s="42">
        <f t="shared" si="8"/>
        <v>15073.88796731995</v>
      </c>
      <c r="C154" s="42">
        <f t="shared" si="9"/>
        <v>6817.2139870811352</v>
      </c>
      <c r="D154" s="42">
        <f t="shared" si="10"/>
        <v>8256.6739802388147</v>
      </c>
      <c r="E154" s="42">
        <f t="shared" si="11"/>
        <v>2194962.5140766022</v>
      </c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x14ac:dyDescent="0.2">
      <c r="A155" s="24">
        <v>150</v>
      </c>
      <c r="B155" s="42">
        <f t="shared" si="8"/>
        <v>15073.88796731995</v>
      </c>
      <c r="C155" s="42">
        <f t="shared" si="9"/>
        <v>6842.7785395326891</v>
      </c>
      <c r="D155" s="42">
        <f t="shared" si="10"/>
        <v>8231.1094277872617</v>
      </c>
      <c r="E155" s="42">
        <f t="shared" si="11"/>
        <v>2188119.7355370694</v>
      </c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x14ac:dyDescent="0.2">
      <c r="A156" s="24">
        <v>151</v>
      </c>
      <c r="B156" s="42">
        <f t="shared" si="8"/>
        <v>15073.88796731995</v>
      </c>
      <c r="C156" s="42">
        <f t="shared" si="9"/>
        <v>6868.4389590559367</v>
      </c>
      <c r="D156" s="42">
        <f t="shared" si="10"/>
        <v>8205.4490082640132</v>
      </c>
      <c r="E156" s="42">
        <f t="shared" si="11"/>
        <v>2181251.2965780133</v>
      </c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x14ac:dyDescent="0.2">
      <c r="A157" s="24">
        <v>152</v>
      </c>
      <c r="B157" s="42">
        <f t="shared" si="8"/>
        <v>15073.88796731995</v>
      </c>
      <c r="C157" s="42">
        <f t="shared" si="9"/>
        <v>6894.1956051523957</v>
      </c>
      <c r="D157" s="42">
        <f t="shared" si="10"/>
        <v>8179.6923621675542</v>
      </c>
      <c r="E157" s="42">
        <f t="shared" si="11"/>
        <v>2174357.1009728611</v>
      </c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x14ac:dyDescent="0.2">
      <c r="A158" s="24">
        <v>153</v>
      </c>
      <c r="B158" s="42">
        <f t="shared" si="8"/>
        <v>15073.88796731995</v>
      </c>
      <c r="C158" s="42">
        <f t="shared" si="9"/>
        <v>6920.048838671717</v>
      </c>
      <c r="D158" s="42">
        <f t="shared" si="10"/>
        <v>8153.8391286482329</v>
      </c>
      <c r="E158" s="42">
        <f t="shared" si="11"/>
        <v>2167437.0521341893</v>
      </c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x14ac:dyDescent="0.2">
      <c r="A159" s="24">
        <v>154</v>
      </c>
      <c r="B159" s="42">
        <f t="shared" si="8"/>
        <v>15073.88796731995</v>
      </c>
      <c r="C159" s="42">
        <f t="shared" si="9"/>
        <v>6945.9990218167368</v>
      </c>
      <c r="D159" s="42">
        <f t="shared" si="10"/>
        <v>8127.8889455032131</v>
      </c>
      <c r="E159" s="42">
        <f t="shared" si="11"/>
        <v>2160491.0531123728</v>
      </c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x14ac:dyDescent="0.2">
      <c r="A160" s="24">
        <v>155</v>
      </c>
      <c r="B160" s="42">
        <f t="shared" si="8"/>
        <v>15073.88796731995</v>
      </c>
      <c r="C160" s="42">
        <f t="shared" si="9"/>
        <v>6972.0465181485497</v>
      </c>
      <c r="D160" s="42">
        <f t="shared" si="10"/>
        <v>8101.8414491714002</v>
      </c>
      <c r="E160" s="42">
        <f t="shared" si="11"/>
        <v>2153519.0065942244</v>
      </c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x14ac:dyDescent="0.2">
      <c r="A161" s="24">
        <v>156</v>
      </c>
      <c r="B161" s="42">
        <f t="shared" si="8"/>
        <v>15073.88796731995</v>
      </c>
      <c r="C161" s="42">
        <f t="shared" si="9"/>
        <v>6998.1916925916057</v>
      </c>
      <c r="D161" s="42">
        <f t="shared" si="10"/>
        <v>8075.6962747283442</v>
      </c>
      <c r="E161" s="42">
        <f t="shared" si="11"/>
        <v>2146520.8149016327</v>
      </c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x14ac:dyDescent="0.2">
      <c r="A162" s="24">
        <v>157</v>
      </c>
      <c r="B162" s="42">
        <f t="shared" si="8"/>
        <v>15073.88796731995</v>
      </c>
      <c r="C162" s="42">
        <f t="shared" si="9"/>
        <v>7024.4349114388242</v>
      </c>
      <c r="D162" s="42">
        <f t="shared" si="10"/>
        <v>8049.4530558811257</v>
      </c>
      <c r="E162" s="42">
        <f t="shared" si="11"/>
        <v>2139496.379990194</v>
      </c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x14ac:dyDescent="0.2">
      <c r="A163" s="24">
        <v>158</v>
      </c>
      <c r="B163" s="42">
        <f t="shared" si="8"/>
        <v>15073.88796731995</v>
      </c>
      <c r="C163" s="42">
        <f t="shared" si="9"/>
        <v>7050.7765423567216</v>
      </c>
      <c r="D163" s="42">
        <f t="shared" si="10"/>
        <v>8023.1114249632283</v>
      </c>
      <c r="E163" s="42">
        <f t="shared" si="11"/>
        <v>2132445.6034478373</v>
      </c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x14ac:dyDescent="0.2">
      <c r="A164" s="24">
        <v>159</v>
      </c>
      <c r="B164" s="42">
        <f t="shared" si="8"/>
        <v>15073.88796731995</v>
      </c>
      <c r="C164" s="42">
        <f t="shared" si="9"/>
        <v>7077.2169543905584</v>
      </c>
      <c r="D164" s="42">
        <f t="shared" si="10"/>
        <v>7996.6710129293915</v>
      </c>
      <c r="E164" s="42">
        <f t="shared" si="11"/>
        <v>2125368.3864934468</v>
      </c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x14ac:dyDescent="0.2">
      <c r="A165" s="24">
        <v>160</v>
      </c>
      <c r="B165" s="42">
        <f t="shared" si="8"/>
        <v>15073.88796731995</v>
      </c>
      <c r="C165" s="42">
        <f t="shared" si="9"/>
        <v>7103.756517969523</v>
      </c>
      <c r="D165" s="42">
        <f t="shared" si="10"/>
        <v>7970.1314493504269</v>
      </c>
      <c r="E165" s="42">
        <f t="shared" si="11"/>
        <v>2118264.6299754772</v>
      </c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x14ac:dyDescent="0.2">
      <c r="A166" s="24">
        <v>161</v>
      </c>
      <c r="B166" s="42">
        <f t="shared" si="8"/>
        <v>15073.88796731995</v>
      </c>
      <c r="C166" s="42">
        <f t="shared" si="9"/>
        <v>7130.3956049119088</v>
      </c>
      <c r="D166" s="42">
        <f t="shared" si="10"/>
        <v>7943.4923624080411</v>
      </c>
      <c r="E166" s="42">
        <f t="shared" si="11"/>
        <v>2111134.2343705655</v>
      </c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x14ac:dyDescent="0.2">
      <c r="A167" s="24">
        <v>162</v>
      </c>
      <c r="B167" s="42">
        <f t="shared" si="8"/>
        <v>15073.88796731995</v>
      </c>
      <c r="C167" s="42">
        <f t="shared" si="9"/>
        <v>7157.1345884303291</v>
      </c>
      <c r="D167" s="42">
        <f t="shared" si="10"/>
        <v>7916.7533788896208</v>
      </c>
      <c r="E167" s="42">
        <f t="shared" si="11"/>
        <v>2103977.0997821353</v>
      </c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x14ac:dyDescent="0.2">
      <c r="A168" s="24">
        <v>163</v>
      </c>
      <c r="B168" s="42">
        <f t="shared" si="8"/>
        <v>15073.88796731995</v>
      </c>
      <c r="C168" s="42">
        <f t="shared" si="9"/>
        <v>7183.9738431369424</v>
      </c>
      <c r="D168" s="42">
        <f t="shared" si="10"/>
        <v>7889.9141241830075</v>
      </c>
      <c r="E168" s="42">
        <f t="shared" si="11"/>
        <v>2096793.1259389983</v>
      </c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x14ac:dyDescent="0.2">
      <c r="A169" s="24">
        <v>164</v>
      </c>
      <c r="B169" s="42">
        <f t="shared" si="8"/>
        <v>15073.88796731995</v>
      </c>
      <c r="C169" s="42">
        <f t="shared" si="9"/>
        <v>7210.9137450487051</v>
      </c>
      <c r="D169" s="42">
        <f t="shared" si="10"/>
        <v>7862.9742222712448</v>
      </c>
      <c r="E169" s="42">
        <f t="shared" si="11"/>
        <v>2089582.2121939496</v>
      </c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x14ac:dyDescent="0.2">
      <c r="A170" s="24">
        <v>165</v>
      </c>
      <c r="B170" s="42">
        <f t="shared" si="8"/>
        <v>15073.88796731995</v>
      </c>
      <c r="C170" s="42">
        <f t="shared" si="9"/>
        <v>7237.9546715926381</v>
      </c>
      <c r="D170" s="42">
        <f t="shared" si="10"/>
        <v>7835.9332957273118</v>
      </c>
      <c r="E170" s="42">
        <f t="shared" si="11"/>
        <v>2082344.2575223569</v>
      </c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x14ac:dyDescent="0.2">
      <c r="A171" s="24">
        <v>166</v>
      </c>
      <c r="B171" s="42">
        <f t="shared" si="8"/>
        <v>15073.88796731995</v>
      </c>
      <c r="C171" s="42">
        <f t="shared" si="9"/>
        <v>7265.0970016111105</v>
      </c>
      <c r="D171" s="42">
        <f t="shared" si="10"/>
        <v>7808.7909657088394</v>
      </c>
      <c r="E171" s="42">
        <f t="shared" si="11"/>
        <v>2075079.1605207459</v>
      </c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x14ac:dyDescent="0.2">
      <c r="A172" s="24">
        <v>167</v>
      </c>
      <c r="B172" s="42">
        <f t="shared" si="8"/>
        <v>15073.88796731995</v>
      </c>
      <c r="C172" s="42">
        <f t="shared" si="9"/>
        <v>7292.3411153671523</v>
      </c>
      <c r="D172" s="42">
        <f t="shared" si="10"/>
        <v>7781.5468519527976</v>
      </c>
      <c r="E172" s="42">
        <f t="shared" si="11"/>
        <v>2067786.8194053788</v>
      </c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x14ac:dyDescent="0.2">
      <c r="A173" s="24">
        <v>168</v>
      </c>
      <c r="B173" s="42">
        <f t="shared" si="8"/>
        <v>15073.88796731995</v>
      </c>
      <c r="C173" s="42">
        <f t="shared" si="9"/>
        <v>7319.6873945497782</v>
      </c>
      <c r="D173" s="42">
        <f t="shared" si="10"/>
        <v>7754.2005727701717</v>
      </c>
      <c r="E173" s="42">
        <f t="shared" si="11"/>
        <v>2060467.1320108289</v>
      </c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x14ac:dyDescent="0.2">
      <c r="A174" s="24">
        <v>169</v>
      </c>
      <c r="B174" s="42">
        <f t="shared" si="8"/>
        <v>15073.88796731995</v>
      </c>
      <c r="C174" s="42">
        <f t="shared" si="9"/>
        <v>7347.1362222793405</v>
      </c>
      <c r="D174" s="42">
        <f t="shared" si="10"/>
        <v>7726.7517450406094</v>
      </c>
      <c r="E174" s="42">
        <f t="shared" si="11"/>
        <v>2053119.9957885495</v>
      </c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x14ac:dyDescent="0.2">
      <c r="A175" s="24">
        <v>170</v>
      </c>
      <c r="B175" s="42">
        <f t="shared" si="8"/>
        <v>15073.88796731995</v>
      </c>
      <c r="C175" s="42">
        <f t="shared" si="9"/>
        <v>7374.6879831128881</v>
      </c>
      <c r="D175" s="42">
        <f t="shared" si="10"/>
        <v>7699.1999842070618</v>
      </c>
      <c r="E175" s="42">
        <f t="shared" si="11"/>
        <v>2045745.3078054367</v>
      </c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x14ac:dyDescent="0.2">
      <c r="A176" s="24">
        <v>171</v>
      </c>
      <c r="B176" s="42">
        <f t="shared" si="8"/>
        <v>15073.88796731995</v>
      </c>
      <c r="C176" s="42">
        <f t="shared" si="9"/>
        <v>7402.3430630495614</v>
      </c>
      <c r="D176" s="42">
        <f t="shared" si="10"/>
        <v>7671.5449042703885</v>
      </c>
      <c r="E176" s="42">
        <f t="shared" si="11"/>
        <v>2038342.9647423872</v>
      </c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x14ac:dyDescent="0.2">
      <c r="A177" s="24">
        <v>172</v>
      </c>
      <c r="B177" s="42">
        <f t="shared" si="8"/>
        <v>15073.88796731995</v>
      </c>
      <c r="C177" s="42">
        <f t="shared" si="9"/>
        <v>7430.1018495359976</v>
      </c>
      <c r="D177" s="42">
        <f t="shared" si="10"/>
        <v>7643.7861177839522</v>
      </c>
      <c r="E177" s="42">
        <f t="shared" si="11"/>
        <v>2030912.8628928512</v>
      </c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x14ac:dyDescent="0.2">
      <c r="A178" s="24">
        <v>173</v>
      </c>
      <c r="B178" s="42">
        <f t="shared" si="8"/>
        <v>15073.88796731995</v>
      </c>
      <c r="C178" s="42">
        <f t="shared" si="9"/>
        <v>7457.9647314717567</v>
      </c>
      <c r="D178" s="42">
        <f t="shared" si="10"/>
        <v>7615.9232358481931</v>
      </c>
      <c r="E178" s="42">
        <f t="shared" si="11"/>
        <v>2023454.8981613794</v>
      </c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x14ac:dyDescent="0.2">
      <c r="A179" s="24">
        <v>174</v>
      </c>
      <c r="B179" s="42">
        <f t="shared" si="8"/>
        <v>15073.88796731995</v>
      </c>
      <c r="C179" s="42">
        <f t="shared" si="9"/>
        <v>7485.9320992147759</v>
      </c>
      <c r="D179" s="42">
        <f t="shared" si="10"/>
        <v>7587.955868105174</v>
      </c>
      <c r="E179" s="42">
        <f t="shared" si="11"/>
        <v>2015968.9660621646</v>
      </c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x14ac:dyDescent="0.2">
      <c r="A180" s="24">
        <v>175</v>
      </c>
      <c r="B180" s="42">
        <f t="shared" si="8"/>
        <v>15073.88796731995</v>
      </c>
      <c r="C180" s="42">
        <f t="shared" si="9"/>
        <v>7514.0043445868323</v>
      </c>
      <c r="D180" s="42">
        <f t="shared" si="10"/>
        <v>7559.8836227331176</v>
      </c>
      <c r="E180" s="42">
        <f t="shared" si="11"/>
        <v>2008454.9617175779</v>
      </c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x14ac:dyDescent="0.2">
      <c r="A181" s="24">
        <v>176</v>
      </c>
      <c r="B181" s="42">
        <f t="shared" si="8"/>
        <v>15073.88796731995</v>
      </c>
      <c r="C181" s="42">
        <f t="shared" si="9"/>
        <v>7542.1818608790318</v>
      </c>
      <c r="D181" s="42">
        <f t="shared" si="10"/>
        <v>7531.7061064409181</v>
      </c>
      <c r="E181" s="42">
        <f t="shared" si="11"/>
        <v>2000912.7798566988</v>
      </c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x14ac:dyDescent="0.2">
      <c r="A182" s="24">
        <v>177</v>
      </c>
      <c r="B182" s="42">
        <f t="shared" si="8"/>
        <v>15073.88796731995</v>
      </c>
      <c r="C182" s="42">
        <f t="shared" si="9"/>
        <v>7570.4650428573286</v>
      </c>
      <c r="D182" s="42">
        <f t="shared" si="10"/>
        <v>7503.4229244626213</v>
      </c>
      <c r="E182" s="42">
        <f t="shared" si="11"/>
        <v>1993342.3148138416</v>
      </c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x14ac:dyDescent="0.2">
      <c r="A183" s="24">
        <v>178</v>
      </c>
      <c r="B183" s="42">
        <f t="shared" si="8"/>
        <v>15073.88796731995</v>
      </c>
      <c r="C183" s="42">
        <f t="shared" si="9"/>
        <v>7598.8542867680435</v>
      </c>
      <c r="D183" s="42">
        <f t="shared" si="10"/>
        <v>7475.0336805519064</v>
      </c>
      <c r="E183" s="42">
        <f t="shared" si="11"/>
        <v>1985743.4605270736</v>
      </c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x14ac:dyDescent="0.2">
      <c r="A184" s="24">
        <v>179</v>
      </c>
      <c r="B184" s="42">
        <f t="shared" si="8"/>
        <v>15073.88796731995</v>
      </c>
      <c r="C184" s="42">
        <f t="shared" si="9"/>
        <v>7627.3499903434249</v>
      </c>
      <c r="D184" s="42">
        <f t="shared" si="10"/>
        <v>7446.537976976525</v>
      </c>
      <c r="E184" s="42">
        <f t="shared" si="11"/>
        <v>1978116.1105367301</v>
      </c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x14ac:dyDescent="0.2">
      <c r="A185" s="24">
        <v>180</v>
      </c>
      <c r="B185" s="42">
        <f t="shared" si="8"/>
        <v>15073.88796731995</v>
      </c>
      <c r="C185" s="42">
        <f t="shared" si="9"/>
        <v>7655.9525528072127</v>
      </c>
      <c r="D185" s="42">
        <f t="shared" si="10"/>
        <v>7417.9354145127372</v>
      </c>
      <c r="E185" s="42">
        <f t="shared" si="11"/>
        <v>1970460.1579839229</v>
      </c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x14ac:dyDescent="0.2">
      <c r="A186" s="24">
        <v>181</v>
      </c>
      <c r="B186" s="42">
        <f t="shared" si="8"/>
        <v>15073.88796731995</v>
      </c>
      <c r="C186" s="42">
        <f t="shared" si="9"/>
        <v>7684.6623748802385</v>
      </c>
      <c r="D186" s="42">
        <f t="shared" si="10"/>
        <v>7389.2255924397114</v>
      </c>
      <c r="E186" s="42">
        <f t="shared" si="11"/>
        <v>1962775.4956090427</v>
      </c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x14ac:dyDescent="0.2">
      <c r="A187" s="24">
        <v>182</v>
      </c>
      <c r="B187" s="42">
        <f t="shared" si="8"/>
        <v>15073.88796731995</v>
      </c>
      <c r="C187" s="42">
        <f t="shared" si="9"/>
        <v>7713.4798587860396</v>
      </c>
      <c r="D187" s="42">
        <f t="shared" si="10"/>
        <v>7360.4081085339103</v>
      </c>
      <c r="E187" s="42">
        <f t="shared" si="11"/>
        <v>1955062.0157502566</v>
      </c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x14ac:dyDescent="0.2">
      <c r="A188" s="24">
        <v>183</v>
      </c>
      <c r="B188" s="42">
        <f t="shared" si="8"/>
        <v>15073.88796731995</v>
      </c>
      <c r="C188" s="42">
        <f t="shared" si="9"/>
        <v>7742.4054082564871</v>
      </c>
      <c r="D188" s="42">
        <f t="shared" si="10"/>
        <v>7331.4825590634628</v>
      </c>
      <c r="E188" s="42">
        <f t="shared" si="11"/>
        <v>1947319.6103420001</v>
      </c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x14ac:dyDescent="0.2">
      <c r="A189" s="24">
        <v>184</v>
      </c>
      <c r="B189" s="42">
        <f t="shared" si="8"/>
        <v>15073.88796731995</v>
      </c>
      <c r="C189" s="42">
        <f t="shared" si="9"/>
        <v>7771.4394285374492</v>
      </c>
      <c r="D189" s="42">
        <f t="shared" si="10"/>
        <v>7302.4485387825007</v>
      </c>
      <c r="E189" s="42">
        <f t="shared" si="11"/>
        <v>1939548.1709134628</v>
      </c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x14ac:dyDescent="0.2">
      <c r="A190" s="24">
        <v>185</v>
      </c>
      <c r="B190" s="42">
        <f t="shared" si="8"/>
        <v>15073.88796731995</v>
      </c>
      <c r="C190" s="42">
        <f t="shared" si="9"/>
        <v>7800.5823263944649</v>
      </c>
      <c r="D190" s="42">
        <f t="shared" si="10"/>
        <v>7273.305640925485</v>
      </c>
      <c r="E190" s="42">
        <f t="shared" si="11"/>
        <v>1931747.5885870683</v>
      </c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x14ac:dyDescent="0.2">
      <c r="A191" s="24">
        <v>186</v>
      </c>
      <c r="B191" s="42">
        <f t="shared" si="8"/>
        <v>15073.88796731995</v>
      </c>
      <c r="C191" s="42">
        <f t="shared" si="9"/>
        <v>7829.8345101184441</v>
      </c>
      <c r="D191" s="42">
        <f t="shared" si="10"/>
        <v>7244.0534572015058</v>
      </c>
      <c r="E191" s="42">
        <f t="shared" si="11"/>
        <v>1923917.7540769498</v>
      </c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x14ac:dyDescent="0.2">
      <c r="A192" s="24">
        <v>187</v>
      </c>
      <c r="B192" s="42">
        <f t="shared" si="8"/>
        <v>15073.88796731995</v>
      </c>
      <c r="C192" s="42">
        <f t="shared" si="9"/>
        <v>7859.1963895313893</v>
      </c>
      <c r="D192" s="42">
        <f t="shared" si="10"/>
        <v>7214.6915777885606</v>
      </c>
      <c r="E192" s="42">
        <f t="shared" si="11"/>
        <v>1916058.5576874183</v>
      </c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x14ac:dyDescent="0.2">
      <c r="A193" s="24">
        <v>188</v>
      </c>
      <c r="B193" s="42">
        <f t="shared" si="8"/>
        <v>15073.88796731995</v>
      </c>
      <c r="C193" s="42">
        <f t="shared" si="9"/>
        <v>7888.6683759921307</v>
      </c>
      <c r="D193" s="42">
        <f t="shared" si="10"/>
        <v>7185.2195913278192</v>
      </c>
      <c r="E193" s="42">
        <f t="shared" si="11"/>
        <v>1908169.8893114261</v>
      </c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x14ac:dyDescent="0.2">
      <c r="A194" s="24">
        <v>189</v>
      </c>
      <c r="B194" s="42">
        <f t="shared" si="8"/>
        <v>15073.88796731995</v>
      </c>
      <c r="C194" s="42">
        <f t="shared" si="9"/>
        <v>7918.2508824021015</v>
      </c>
      <c r="D194" s="42">
        <f t="shared" si="10"/>
        <v>7155.6370849178484</v>
      </c>
      <c r="E194" s="42">
        <f t="shared" si="11"/>
        <v>1900251.638429024</v>
      </c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x14ac:dyDescent="0.2">
      <c r="A195" s="24">
        <v>190</v>
      </c>
      <c r="B195" s="42">
        <f t="shared" si="8"/>
        <v>15073.88796731995</v>
      </c>
      <c r="C195" s="42">
        <f t="shared" si="9"/>
        <v>7947.9443232111089</v>
      </c>
      <c r="D195" s="42">
        <f t="shared" si="10"/>
        <v>7125.943644108841</v>
      </c>
      <c r="E195" s="42">
        <f t="shared" si="11"/>
        <v>1892303.6941058128</v>
      </c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x14ac:dyDescent="0.2">
      <c r="A196" s="24">
        <v>191</v>
      </c>
      <c r="B196" s="42">
        <f t="shared" si="8"/>
        <v>15073.88796731995</v>
      </c>
      <c r="C196" s="42">
        <f t="shared" si="9"/>
        <v>7977.7491144231499</v>
      </c>
      <c r="D196" s="42">
        <f t="shared" si="10"/>
        <v>7096.1388528968</v>
      </c>
      <c r="E196" s="42">
        <f t="shared" si="11"/>
        <v>1884325.9449913898</v>
      </c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x14ac:dyDescent="0.2">
      <c r="A197" s="24">
        <v>192</v>
      </c>
      <c r="B197" s="42">
        <f t="shared" si="8"/>
        <v>15073.88796731995</v>
      </c>
      <c r="C197" s="42">
        <f t="shared" si="9"/>
        <v>8007.6656736022378</v>
      </c>
      <c r="D197" s="42">
        <f t="shared" si="10"/>
        <v>7066.2222937177121</v>
      </c>
      <c r="E197" s="42">
        <f t="shared" si="11"/>
        <v>1876318.2793177876</v>
      </c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x14ac:dyDescent="0.2">
      <c r="A198" s="24">
        <v>193</v>
      </c>
      <c r="B198" s="42">
        <f t="shared" ref="B198:B261" si="12">PMT(($B$3/12),($B$2*12),-$B$1)</f>
        <v>15073.88796731995</v>
      </c>
      <c r="C198" s="42">
        <f t="shared" ref="C198:C261" si="13">PPMT(($B$3/12),A198,($B$2*12),-$B$1)</f>
        <v>8037.6944198782476</v>
      </c>
      <c r="D198" s="42">
        <f t="shared" ref="D198:D261" si="14">B198-C198</f>
        <v>7036.1935474417023</v>
      </c>
      <c r="E198" s="42">
        <f t="shared" si="11"/>
        <v>1868280.5848979093</v>
      </c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x14ac:dyDescent="0.2">
      <c r="A199" s="24">
        <v>194</v>
      </c>
      <c r="B199" s="42">
        <f t="shared" si="12"/>
        <v>15073.88796731995</v>
      </c>
      <c r="C199" s="42">
        <f t="shared" si="13"/>
        <v>8067.8357739527883</v>
      </c>
      <c r="D199" s="42">
        <f t="shared" si="14"/>
        <v>7006.0521933671616</v>
      </c>
      <c r="E199" s="42">
        <f t="shared" ref="E199:E262" si="15">E198-C199</f>
        <v>1860212.7491239565</v>
      </c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x14ac:dyDescent="0.2">
      <c r="A200" s="24">
        <v>195</v>
      </c>
      <c r="B200" s="42">
        <f t="shared" si="12"/>
        <v>15073.88796731995</v>
      </c>
      <c r="C200" s="42">
        <f t="shared" si="13"/>
        <v>8098.090158105113</v>
      </c>
      <c r="D200" s="42">
        <f t="shared" si="14"/>
        <v>6975.7978092148369</v>
      </c>
      <c r="E200" s="42">
        <f t="shared" si="15"/>
        <v>1852114.6589658514</v>
      </c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x14ac:dyDescent="0.2">
      <c r="A201" s="24">
        <v>196</v>
      </c>
      <c r="B201" s="42">
        <f t="shared" si="12"/>
        <v>15073.88796731995</v>
      </c>
      <c r="C201" s="42">
        <f t="shared" si="13"/>
        <v>8128.457996198008</v>
      </c>
      <c r="D201" s="42">
        <f t="shared" si="14"/>
        <v>6945.4299711219419</v>
      </c>
      <c r="E201" s="42">
        <f t="shared" si="15"/>
        <v>1843986.2009696534</v>
      </c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x14ac:dyDescent="0.2">
      <c r="A202" s="24">
        <v>197</v>
      </c>
      <c r="B202" s="42">
        <f t="shared" si="12"/>
        <v>15073.88796731995</v>
      </c>
      <c r="C202" s="42">
        <f t="shared" si="13"/>
        <v>8158.9397136837488</v>
      </c>
      <c r="D202" s="42">
        <f t="shared" si="14"/>
        <v>6914.9482536362011</v>
      </c>
      <c r="E202" s="42">
        <f t="shared" si="15"/>
        <v>1835827.2612559698</v>
      </c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x14ac:dyDescent="0.2">
      <c r="A203" s="24">
        <v>198</v>
      </c>
      <c r="B203" s="42">
        <f t="shared" si="12"/>
        <v>15073.88796731995</v>
      </c>
      <c r="C203" s="42">
        <f t="shared" si="13"/>
        <v>8189.5357376100628</v>
      </c>
      <c r="D203" s="42">
        <f t="shared" si="14"/>
        <v>6884.3522297098871</v>
      </c>
      <c r="E203" s="42">
        <f t="shared" si="15"/>
        <v>1827637.7255183598</v>
      </c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x14ac:dyDescent="0.2">
      <c r="A204" s="24">
        <v>199</v>
      </c>
      <c r="B204" s="42">
        <f t="shared" si="12"/>
        <v>15073.88796731995</v>
      </c>
      <c r="C204" s="42">
        <f t="shared" si="13"/>
        <v>8220.2464966261014</v>
      </c>
      <c r="D204" s="42">
        <f t="shared" si="14"/>
        <v>6853.6414706938485</v>
      </c>
      <c r="E204" s="42">
        <f t="shared" si="15"/>
        <v>1819417.4790217336</v>
      </c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x14ac:dyDescent="0.2">
      <c r="A205" s="24">
        <v>200</v>
      </c>
      <c r="B205" s="42">
        <f t="shared" si="12"/>
        <v>15073.88796731995</v>
      </c>
      <c r="C205" s="42">
        <f t="shared" si="13"/>
        <v>8251.0724209884484</v>
      </c>
      <c r="D205" s="42">
        <f t="shared" si="14"/>
        <v>6822.8155463315015</v>
      </c>
      <c r="E205" s="42">
        <f t="shared" si="15"/>
        <v>1811166.4066007452</v>
      </c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x14ac:dyDescent="0.2">
      <c r="A206" s="24">
        <v>201</v>
      </c>
      <c r="B206" s="42">
        <f t="shared" si="12"/>
        <v>15073.88796731995</v>
      </c>
      <c r="C206" s="42">
        <f t="shared" si="13"/>
        <v>8282.013942567155</v>
      </c>
      <c r="D206" s="42">
        <f t="shared" si="14"/>
        <v>6791.8740247527949</v>
      </c>
      <c r="E206" s="42">
        <f t="shared" si="15"/>
        <v>1802884.392658178</v>
      </c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x14ac:dyDescent="0.2">
      <c r="A207" s="24">
        <v>202</v>
      </c>
      <c r="B207" s="42">
        <f t="shared" si="12"/>
        <v>15073.88796731995</v>
      </c>
      <c r="C207" s="42">
        <f t="shared" si="13"/>
        <v>8313.0714948517816</v>
      </c>
      <c r="D207" s="42">
        <f t="shared" si="14"/>
        <v>6760.8164724681683</v>
      </c>
      <c r="E207" s="42">
        <f t="shared" si="15"/>
        <v>1794571.3211633263</v>
      </c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x14ac:dyDescent="0.2">
      <c r="A208" s="24">
        <v>203</v>
      </c>
      <c r="B208" s="42">
        <f t="shared" si="12"/>
        <v>15073.88796731995</v>
      </c>
      <c r="C208" s="42">
        <f t="shared" si="13"/>
        <v>8344.2455129574755</v>
      </c>
      <c r="D208" s="42">
        <f t="shared" si="14"/>
        <v>6729.6424543624744</v>
      </c>
      <c r="E208" s="42">
        <f t="shared" si="15"/>
        <v>1786227.0756503688</v>
      </c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x14ac:dyDescent="0.2">
      <c r="A209" s="24">
        <v>204</v>
      </c>
      <c r="B209" s="42">
        <f t="shared" si="12"/>
        <v>15073.88796731995</v>
      </c>
      <c r="C209" s="42">
        <f t="shared" si="13"/>
        <v>8375.5364336310668</v>
      </c>
      <c r="D209" s="42">
        <f t="shared" si="14"/>
        <v>6698.3515336888831</v>
      </c>
      <c r="E209" s="42">
        <f t="shared" si="15"/>
        <v>1777851.5392167377</v>
      </c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x14ac:dyDescent="0.2">
      <c r="A210" s="24">
        <v>205</v>
      </c>
      <c r="B210" s="42">
        <f t="shared" si="12"/>
        <v>15073.88796731995</v>
      </c>
      <c r="C210" s="42">
        <f t="shared" si="13"/>
        <v>8406.9446952571834</v>
      </c>
      <c r="D210" s="42">
        <f t="shared" si="14"/>
        <v>6666.9432720627665</v>
      </c>
      <c r="E210" s="42">
        <f t="shared" si="15"/>
        <v>1769444.5945214806</v>
      </c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x14ac:dyDescent="0.2">
      <c r="A211" s="24">
        <v>206</v>
      </c>
      <c r="B211" s="42">
        <f t="shared" si="12"/>
        <v>15073.88796731995</v>
      </c>
      <c r="C211" s="42">
        <f t="shared" si="13"/>
        <v>8438.470737864398</v>
      </c>
      <c r="D211" s="42">
        <f t="shared" si="14"/>
        <v>6635.4172294555519</v>
      </c>
      <c r="E211" s="42">
        <f t="shared" si="15"/>
        <v>1761006.1237836161</v>
      </c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x14ac:dyDescent="0.2">
      <c r="A212" s="24">
        <v>207</v>
      </c>
      <c r="B212" s="42">
        <f t="shared" si="12"/>
        <v>15073.88796731995</v>
      </c>
      <c r="C212" s="42">
        <f t="shared" si="13"/>
        <v>8470.11500313139</v>
      </c>
      <c r="D212" s="42">
        <f t="shared" si="14"/>
        <v>6603.7729641885599</v>
      </c>
      <c r="E212" s="42">
        <f t="shared" si="15"/>
        <v>1752536.0087804848</v>
      </c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x14ac:dyDescent="0.2">
      <c r="A213" s="24">
        <v>208</v>
      </c>
      <c r="B213" s="42">
        <f t="shared" si="12"/>
        <v>15073.88796731995</v>
      </c>
      <c r="C213" s="42">
        <f t="shared" si="13"/>
        <v>8501.8779343931328</v>
      </c>
      <c r="D213" s="42">
        <f t="shared" si="14"/>
        <v>6572.0100329268171</v>
      </c>
      <c r="E213" s="42">
        <f t="shared" si="15"/>
        <v>1744034.1308460915</v>
      </c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x14ac:dyDescent="0.2">
      <c r="A214" s="24">
        <v>209</v>
      </c>
      <c r="B214" s="42">
        <f t="shared" si="12"/>
        <v>15073.88796731995</v>
      </c>
      <c r="C214" s="42">
        <f t="shared" si="13"/>
        <v>8533.7599766471067</v>
      </c>
      <c r="D214" s="42">
        <f t="shared" si="14"/>
        <v>6540.1279906728432</v>
      </c>
      <c r="E214" s="42">
        <f t="shared" si="15"/>
        <v>1735500.3708694445</v>
      </c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x14ac:dyDescent="0.2">
      <c r="A215" s="24">
        <v>210</v>
      </c>
      <c r="B215" s="42">
        <f t="shared" si="12"/>
        <v>15073.88796731995</v>
      </c>
      <c r="C215" s="42">
        <f t="shared" si="13"/>
        <v>8565.7615765595347</v>
      </c>
      <c r="D215" s="42">
        <f t="shared" si="14"/>
        <v>6508.1263907604152</v>
      </c>
      <c r="E215" s="42">
        <f t="shared" si="15"/>
        <v>1726934.6092928848</v>
      </c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x14ac:dyDescent="0.2">
      <c r="A216" s="24">
        <v>211</v>
      </c>
      <c r="B216" s="42">
        <f t="shared" si="12"/>
        <v>15073.88796731995</v>
      </c>
      <c r="C216" s="42">
        <f t="shared" si="13"/>
        <v>8597.8831824716326</v>
      </c>
      <c r="D216" s="42">
        <f t="shared" si="14"/>
        <v>6476.0047848483173</v>
      </c>
      <c r="E216" s="42">
        <f t="shared" si="15"/>
        <v>1718336.7261104132</v>
      </c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x14ac:dyDescent="0.2">
      <c r="A217" s="24">
        <v>212</v>
      </c>
      <c r="B217" s="42">
        <f t="shared" si="12"/>
        <v>15073.88796731995</v>
      </c>
      <c r="C217" s="42">
        <f t="shared" si="13"/>
        <v>8630.125244405901</v>
      </c>
      <c r="D217" s="42">
        <f t="shared" si="14"/>
        <v>6443.7627229140489</v>
      </c>
      <c r="E217" s="42">
        <f t="shared" si="15"/>
        <v>1709706.6008660074</v>
      </c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x14ac:dyDescent="0.2">
      <c r="A218" s="24">
        <v>213</v>
      </c>
      <c r="B218" s="42">
        <f t="shared" si="12"/>
        <v>15073.88796731995</v>
      </c>
      <c r="C218" s="42">
        <f t="shared" si="13"/>
        <v>8662.4882140724221</v>
      </c>
      <c r="D218" s="42">
        <f t="shared" si="14"/>
        <v>6411.3997532475278</v>
      </c>
      <c r="E218" s="42">
        <f t="shared" si="15"/>
        <v>1701044.1126519348</v>
      </c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x14ac:dyDescent="0.2">
      <c r="A219" s="24">
        <v>214</v>
      </c>
      <c r="B219" s="42">
        <f t="shared" si="12"/>
        <v>15073.88796731995</v>
      </c>
      <c r="C219" s="42">
        <f t="shared" si="13"/>
        <v>8694.9725448751942</v>
      </c>
      <c r="D219" s="42">
        <f t="shared" si="14"/>
        <v>6378.9154224447557</v>
      </c>
      <c r="E219" s="42">
        <f t="shared" si="15"/>
        <v>1692349.1401070596</v>
      </c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x14ac:dyDescent="0.2">
      <c r="A220" s="24">
        <v>215</v>
      </c>
      <c r="B220" s="42">
        <f t="shared" si="12"/>
        <v>15073.88796731995</v>
      </c>
      <c r="C220" s="42">
        <f t="shared" si="13"/>
        <v>8727.5786919184757</v>
      </c>
      <c r="D220" s="42">
        <f t="shared" si="14"/>
        <v>6346.3092754014742</v>
      </c>
      <c r="E220" s="42">
        <f t="shared" si="15"/>
        <v>1683621.5614151412</v>
      </c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x14ac:dyDescent="0.2">
      <c r="A221" s="24">
        <v>216</v>
      </c>
      <c r="B221" s="42">
        <f t="shared" si="12"/>
        <v>15073.88796731995</v>
      </c>
      <c r="C221" s="42">
        <f t="shared" si="13"/>
        <v>8760.3071120131717</v>
      </c>
      <c r="D221" s="42">
        <f t="shared" si="14"/>
        <v>6313.5808553067782</v>
      </c>
      <c r="E221" s="42">
        <f t="shared" si="15"/>
        <v>1674861.254303128</v>
      </c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x14ac:dyDescent="0.2">
      <c r="A222" s="24">
        <v>217</v>
      </c>
      <c r="B222" s="42">
        <f t="shared" si="12"/>
        <v>15073.88796731995</v>
      </c>
      <c r="C222" s="42">
        <f t="shared" si="13"/>
        <v>8793.1582636832172</v>
      </c>
      <c r="D222" s="42">
        <f t="shared" si="14"/>
        <v>6280.7297036367327</v>
      </c>
      <c r="E222" s="42">
        <f t="shared" si="15"/>
        <v>1666068.0960394447</v>
      </c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x14ac:dyDescent="0.2">
      <c r="A223" s="24">
        <v>218</v>
      </c>
      <c r="B223" s="42">
        <f t="shared" si="12"/>
        <v>15073.88796731995</v>
      </c>
      <c r="C223" s="42">
        <f t="shared" si="13"/>
        <v>8826.1326071720305</v>
      </c>
      <c r="D223" s="42">
        <f t="shared" si="14"/>
        <v>6247.7553601479194</v>
      </c>
      <c r="E223" s="42">
        <f t="shared" si="15"/>
        <v>1657241.9634322727</v>
      </c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x14ac:dyDescent="0.2">
      <c r="A224" s="24">
        <v>219</v>
      </c>
      <c r="B224" s="42">
        <f t="shared" si="12"/>
        <v>15073.88796731995</v>
      </c>
      <c r="C224" s="42">
        <f t="shared" si="13"/>
        <v>8859.2306044489269</v>
      </c>
      <c r="D224" s="42">
        <f t="shared" si="14"/>
        <v>6214.657362871023</v>
      </c>
      <c r="E224" s="42">
        <f t="shared" si="15"/>
        <v>1648382.7328278238</v>
      </c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x14ac:dyDescent="0.2">
      <c r="A225" s="24">
        <v>220</v>
      </c>
      <c r="B225" s="42">
        <f t="shared" si="12"/>
        <v>15073.88796731995</v>
      </c>
      <c r="C225" s="42">
        <f t="shared" si="13"/>
        <v>8892.4527192156111</v>
      </c>
      <c r="D225" s="42">
        <f t="shared" si="14"/>
        <v>6181.4352481043388</v>
      </c>
      <c r="E225" s="42">
        <f t="shared" si="15"/>
        <v>1639490.2801086083</v>
      </c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x14ac:dyDescent="0.2">
      <c r="A226" s="24">
        <v>221</v>
      </c>
      <c r="B226" s="42">
        <f t="shared" si="12"/>
        <v>15073.88796731995</v>
      </c>
      <c r="C226" s="42">
        <f t="shared" si="13"/>
        <v>8925.7994169126687</v>
      </c>
      <c r="D226" s="42">
        <f t="shared" si="14"/>
        <v>6148.0885504072812</v>
      </c>
      <c r="E226" s="42">
        <f t="shared" si="15"/>
        <v>1630564.4806916956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x14ac:dyDescent="0.2">
      <c r="A227" s="24">
        <v>222</v>
      </c>
      <c r="B227" s="42">
        <f t="shared" si="12"/>
        <v>15073.88796731995</v>
      </c>
      <c r="C227" s="42">
        <f t="shared" si="13"/>
        <v>8959.2711647260912</v>
      </c>
      <c r="D227" s="42">
        <f t="shared" si="14"/>
        <v>6114.6168025938587</v>
      </c>
      <c r="E227" s="42">
        <f t="shared" si="15"/>
        <v>1621605.2095269696</v>
      </c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x14ac:dyDescent="0.2">
      <c r="A228" s="24">
        <v>223</v>
      </c>
      <c r="B228" s="42">
        <f t="shared" si="12"/>
        <v>15073.88796731995</v>
      </c>
      <c r="C228" s="42">
        <f t="shared" si="13"/>
        <v>8992.8684315938135</v>
      </c>
      <c r="D228" s="42">
        <f t="shared" si="14"/>
        <v>6081.0195357261364</v>
      </c>
      <c r="E228" s="42">
        <f t="shared" si="15"/>
        <v>1612612.3410953758</v>
      </c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x14ac:dyDescent="0.2">
      <c r="A229" s="24">
        <v>224</v>
      </c>
      <c r="B229" s="42">
        <f t="shared" si="12"/>
        <v>15073.88796731995</v>
      </c>
      <c r="C229" s="42">
        <f t="shared" si="13"/>
        <v>9026.5916882122929</v>
      </c>
      <c r="D229" s="42">
        <f t="shared" si="14"/>
        <v>6047.296279107657</v>
      </c>
      <c r="E229" s="42">
        <f t="shared" si="15"/>
        <v>1603585.7494071636</v>
      </c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x14ac:dyDescent="0.2">
      <c r="A230" s="24">
        <v>225</v>
      </c>
      <c r="B230" s="42">
        <f t="shared" si="12"/>
        <v>15073.88796731995</v>
      </c>
      <c r="C230" s="42">
        <f t="shared" si="13"/>
        <v>9060.4414070430867</v>
      </c>
      <c r="D230" s="42">
        <f t="shared" si="14"/>
        <v>6013.4465602768632</v>
      </c>
      <c r="E230" s="42">
        <f t="shared" si="15"/>
        <v>1594525.3080001206</v>
      </c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x14ac:dyDescent="0.2">
      <c r="A231" s="24">
        <v>226</v>
      </c>
      <c r="B231" s="42">
        <f t="shared" si="12"/>
        <v>15073.88796731995</v>
      </c>
      <c r="C231" s="42">
        <f t="shared" si="13"/>
        <v>9094.4180623194989</v>
      </c>
      <c r="D231" s="42">
        <f t="shared" si="14"/>
        <v>5979.469905000451</v>
      </c>
      <c r="E231" s="42">
        <f t="shared" si="15"/>
        <v>1585430.8899378011</v>
      </c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x14ac:dyDescent="0.2">
      <c r="A232" s="24">
        <v>227</v>
      </c>
      <c r="B232" s="42">
        <f t="shared" si="12"/>
        <v>15073.88796731995</v>
      </c>
      <c r="C232" s="42">
        <f t="shared" si="13"/>
        <v>9128.5221300531957</v>
      </c>
      <c r="D232" s="42">
        <f t="shared" si="14"/>
        <v>5945.3658372667542</v>
      </c>
      <c r="E232" s="42">
        <f t="shared" si="15"/>
        <v>1576302.3678077478</v>
      </c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x14ac:dyDescent="0.2">
      <c r="A233" s="24">
        <v>228</v>
      </c>
      <c r="B233" s="42">
        <f t="shared" si="12"/>
        <v>15073.88796731995</v>
      </c>
      <c r="C233" s="42">
        <f t="shared" si="13"/>
        <v>9162.754088040896</v>
      </c>
      <c r="D233" s="42">
        <f t="shared" si="14"/>
        <v>5911.1338792790539</v>
      </c>
      <c r="E233" s="42">
        <f t="shared" si="15"/>
        <v>1567139.6137197069</v>
      </c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x14ac:dyDescent="0.2">
      <c r="A234" s="24">
        <v>229</v>
      </c>
      <c r="B234" s="42">
        <f t="shared" si="12"/>
        <v>15073.88796731995</v>
      </c>
      <c r="C234" s="42">
        <f t="shared" si="13"/>
        <v>9197.1144158710485</v>
      </c>
      <c r="D234" s="42">
        <f t="shared" si="14"/>
        <v>5876.7735514489013</v>
      </c>
      <c r="E234" s="42">
        <f t="shared" si="15"/>
        <v>1557942.4993038359</v>
      </c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x14ac:dyDescent="0.2">
      <c r="A235" s="24">
        <v>230</v>
      </c>
      <c r="B235" s="42">
        <f t="shared" si="12"/>
        <v>15073.88796731995</v>
      </c>
      <c r="C235" s="42">
        <f t="shared" si="13"/>
        <v>9231.6035949305642</v>
      </c>
      <c r="D235" s="42">
        <f t="shared" si="14"/>
        <v>5842.2843723893857</v>
      </c>
      <c r="E235" s="42">
        <f t="shared" si="15"/>
        <v>1548710.8957089053</v>
      </c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x14ac:dyDescent="0.2">
      <c r="A236" s="24">
        <v>231</v>
      </c>
      <c r="B236" s="42">
        <f t="shared" si="12"/>
        <v>15073.88796731995</v>
      </c>
      <c r="C236" s="42">
        <f t="shared" si="13"/>
        <v>9266.2221084115536</v>
      </c>
      <c r="D236" s="42">
        <f t="shared" si="14"/>
        <v>5807.6658589083963</v>
      </c>
      <c r="E236" s="42">
        <f t="shared" si="15"/>
        <v>1539444.6736004937</v>
      </c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x14ac:dyDescent="0.2">
      <c r="A237" s="24">
        <v>232</v>
      </c>
      <c r="B237" s="42">
        <f t="shared" si="12"/>
        <v>15073.88796731995</v>
      </c>
      <c r="C237" s="42">
        <f t="shared" si="13"/>
        <v>9300.9704413180989</v>
      </c>
      <c r="D237" s="42">
        <f t="shared" si="14"/>
        <v>5772.917526001851</v>
      </c>
      <c r="E237" s="42">
        <f t="shared" si="15"/>
        <v>1530143.7031591756</v>
      </c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x14ac:dyDescent="0.2">
      <c r="A238" s="24">
        <v>233</v>
      </c>
      <c r="B238" s="42">
        <f t="shared" si="12"/>
        <v>15073.88796731995</v>
      </c>
      <c r="C238" s="42">
        <f t="shared" si="13"/>
        <v>9335.8490804730427</v>
      </c>
      <c r="D238" s="42">
        <f t="shared" si="14"/>
        <v>5738.0388868469072</v>
      </c>
      <c r="E238" s="42">
        <f t="shared" si="15"/>
        <v>1520807.8540787026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x14ac:dyDescent="0.2">
      <c r="A239" s="24">
        <v>234</v>
      </c>
      <c r="B239" s="42">
        <f t="shared" si="12"/>
        <v>15073.88796731995</v>
      </c>
      <c r="C239" s="42">
        <f t="shared" si="13"/>
        <v>9370.8585145248144</v>
      </c>
      <c r="D239" s="42">
        <f t="shared" si="14"/>
        <v>5703.0294527951355</v>
      </c>
      <c r="E239" s="42">
        <f t="shared" si="15"/>
        <v>1511436.9955641779</v>
      </c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x14ac:dyDescent="0.2">
      <c r="A240" s="24">
        <v>235</v>
      </c>
      <c r="B240" s="42">
        <f t="shared" si="12"/>
        <v>15073.88796731995</v>
      </c>
      <c r="C240" s="42">
        <f t="shared" si="13"/>
        <v>9405.9992339542841</v>
      </c>
      <c r="D240" s="42">
        <f t="shared" si="14"/>
        <v>5667.8887333656658</v>
      </c>
      <c r="E240" s="42">
        <f t="shared" si="15"/>
        <v>1502030.9963302235</v>
      </c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x14ac:dyDescent="0.2">
      <c r="A241" s="24">
        <v>236</v>
      </c>
      <c r="B241" s="42">
        <f t="shared" si="12"/>
        <v>15073.88796731995</v>
      </c>
      <c r="C241" s="42">
        <f t="shared" si="13"/>
        <v>9441.2717310816133</v>
      </c>
      <c r="D241" s="42">
        <f t="shared" si="14"/>
        <v>5632.6162362383366</v>
      </c>
      <c r="E241" s="42">
        <f t="shared" si="15"/>
        <v>1492589.7245991419</v>
      </c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x14ac:dyDescent="0.2">
      <c r="A242" s="24">
        <v>237</v>
      </c>
      <c r="B242" s="42">
        <f t="shared" si="12"/>
        <v>15073.88796731995</v>
      </c>
      <c r="C242" s="42">
        <f t="shared" si="13"/>
        <v>9476.6765000731684</v>
      </c>
      <c r="D242" s="42">
        <f t="shared" si="14"/>
        <v>5597.2114672467815</v>
      </c>
      <c r="E242" s="42">
        <f t="shared" si="15"/>
        <v>1483113.0480990687</v>
      </c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x14ac:dyDescent="0.2">
      <c r="A243" s="24">
        <v>238</v>
      </c>
      <c r="B243" s="42">
        <f t="shared" si="12"/>
        <v>15073.88796731995</v>
      </c>
      <c r="C243" s="42">
        <f t="shared" si="13"/>
        <v>9512.2140369484405</v>
      </c>
      <c r="D243" s="42">
        <f t="shared" si="14"/>
        <v>5561.6739303715094</v>
      </c>
      <c r="E243" s="42">
        <f t="shared" si="15"/>
        <v>1473600.8340621202</v>
      </c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x14ac:dyDescent="0.2">
      <c r="A244" s="24">
        <v>239</v>
      </c>
      <c r="B244" s="42">
        <f t="shared" si="12"/>
        <v>15073.88796731995</v>
      </c>
      <c r="C244" s="42">
        <f t="shared" si="13"/>
        <v>9547.8848395869991</v>
      </c>
      <c r="D244" s="42">
        <f t="shared" si="14"/>
        <v>5526.0031277329508</v>
      </c>
      <c r="E244" s="42">
        <f t="shared" si="15"/>
        <v>1464052.9492225333</v>
      </c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x14ac:dyDescent="0.2">
      <c r="A245" s="24">
        <v>240</v>
      </c>
      <c r="B245" s="42">
        <f t="shared" si="12"/>
        <v>15073.88796731995</v>
      </c>
      <c r="C245" s="42">
        <f t="shared" si="13"/>
        <v>9583.68940773545</v>
      </c>
      <c r="D245" s="42">
        <f t="shared" si="14"/>
        <v>5490.1985595844999</v>
      </c>
      <c r="E245" s="42">
        <f t="shared" si="15"/>
        <v>1454469.2598147979</v>
      </c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x14ac:dyDescent="0.2">
      <c r="A246" s="24">
        <v>241</v>
      </c>
      <c r="B246" s="42">
        <f t="shared" si="12"/>
        <v>15073.88796731995</v>
      </c>
      <c r="C246" s="42">
        <f t="shared" si="13"/>
        <v>9619.6282430144583</v>
      </c>
      <c r="D246" s="42">
        <f t="shared" si="14"/>
        <v>5454.2597243054915</v>
      </c>
      <c r="E246" s="42">
        <f t="shared" si="15"/>
        <v>1444849.6315717835</v>
      </c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x14ac:dyDescent="0.2">
      <c r="A247" s="24">
        <v>242</v>
      </c>
      <c r="B247" s="42">
        <f t="shared" si="12"/>
        <v>15073.88796731995</v>
      </c>
      <c r="C247" s="42">
        <f t="shared" si="13"/>
        <v>9655.7018489257625</v>
      </c>
      <c r="D247" s="42">
        <f t="shared" si="14"/>
        <v>5418.1861183941874</v>
      </c>
      <c r="E247" s="42">
        <f t="shared" si="15"/>
        <v>1435193.9297228577</v>
      </c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x14ac:dyDescent="0.2">
      <c r="A248" s="24">
        <v>243</v>
      </c>
      <c r="B248" s="42">
        <f t="shared" si="12"/>
        <v>15073.88796731995</v>
      </c>
      <c r="C248" s="42">
        <f t="shared" si="13"/>
        <v>9691.9107308592338</v>
      </c>
      <c r="D248" s="42">
        <f t="shared" si="14"/>
        <v>5381.9772364607161</v>
      </c>
      <c r="E248" s="42">
        <f t="shared" si="15"/>
        <v>1425502.0189919984</v>
      </c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x14ac:dyDescent="0.2">
      <c r="A249" s="24">
        <v>244</v>
      </c>
      <c r="B249" s="42">
        <f t="shared" si="12"/>
        <v>15073.88796731995</v>
      </c>
      <c r="C249" s="42">
        <f t="shared" si="13"/>
        <v>9728.2553960999558</v>
      </c>
      <c r="D249" s="42">
        <f t="shared" si="14"/>
        <v>5345.6325712199941</v>
      </c>
      <c r="E249" s="42">
        <f t="shared" si="15"/>
        <v>1415773.7635958984</v>
      </c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x14ac:dyDescent="0.2">
      <c r="A250" s="24">
        <v>245</v>
      </c>
      <c r="B250" s="42">
        <f t="shared" si="12"/>
        <v>15073.88796731995</v>
      </c>
      <c r="C250" s="42">
        <f t="shared" si="13"/>
        <v>9764.7363538353311</v>
      </c>
      <c r="D250" s="42">
        <f t="shared" si="14"/>
        <v>5309.1516134846188</v>
      </c>
      <c r="E250" s="42">
        <f t="shared" si="15"/>
        <v>1406009.0272420631</v>
      </c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x14ac:dyDescent="0.2">
      <c r="A251" s="24">
        <v>246</v>
      </c>
      <c r="B251" s="42">
        <f t="shared" si="12"/>
        <v>15073.88796731995</v>
      </c>
      <c r="C251" s="42">
        <f t="shared" si="13"/>
        <v>9801.3541151622139</v>
      </c>
      <c r="D251" s="42">
        <f t="shared" si="14"/>
        <v>5272.533852157736</v>
      </c>
      <c r="E251" s="42">
        <f t="shared" si="15"/>
        <v>1396207.6731269008</v>
      </c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x14ac:dyDescent="0.2">
      <c r="A252" s="24">
        <v>247</v>
      </c>
      <c r="B252" s="42">
        <f t="shared" si="12"/>
        <v>15073.88796731995</v>
      </c>
      <c r="C252" s="42">
        <f t="shared" si="13"/>
        <v>9838.1091930940729</v>
      </c>
      <c r="D252" s="42">
        <f t="shared" si="14"/>
        <v>5235.778774225877</v>
      </c>
      <c r="E252" s="42">
        <f t="shared" si="15"/>
        <v>1386369.5639338067</v>
      </c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x14ac:dyDescent="0.2">
      <c r="A253" s="24">
        <v>248</v>
      </c>
      <c r="B253" s="42">
        <f t="shared" si="12"/>
        <v>15073.88796731995</v>
      </c>
      <c r="C253" s="42">
        <f t="shared" si="13"/>
        <v>9875.0021025681763</v>
      </c>
      <c r="D253" s="42">
        <f t="shared" si="14"/>
        <v>5198.8858647517736</v>
      </c>
      <c r="E253" s="42">
        <f t="shared" si="15"/>
        <v>1376494.5618312384</v>
      </c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x14ac:dyDescent="0.2">
      <c r="A254" s="24">
        <v>249</v>
      </c>
      <c r="B254" s="42">
        <f t="shared" si="12"/>
        <v>15073.88796731995</v>
      </c>
      <c r="C254" s="42">
        <f t="shared" si="13"/>
        <v>9912.0333604528041</v>
      </c>
      <c r="D254" s="42">
        <f t="shared" si="14"/>
        <v>5161.8546068671458</v>
      </c>
      <c r="E254" s="42">
        <f t="shared" si="15"/>
        <v>1366582.5284707856</v>
      </c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x14ac:dyDescent="0.2">
      <c r="A255" s="24">
        <v>250</v>
      </c>
      <c r="B255" s="42">
        <f t="shared" si="12"/>
        <v>15073.88796731995</v>
      </c>
      <c r="C255" s="42">
        <f t="shared" si="13"/>
        <v>9949.2034855545044</v>
      </c>
      <c r="D255" s="42">
        <f t="shared" si="14"/>
        <v>5124.6844817654455</v>
      </c>
      <c r="E255" s="42">
        <f t="shared" si="15"/>
        <v>1356633.324985231</v>
      </c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x14ac:dyDescent="0.2">
      <c r="A256" s="24">
        <v>251</v>
      </c>
      <c r="B256" s="42">
        <f t="shared" si="12"/>
        <v>15073.88796731995</v>
      </c>
      <c r="C256" s="42">
        <f t="shared" si="13"/>
        <v>9986.5129986253323</v>
      </c>
      <c r="D256" s="42">
        <f t="shared" si="14"/>
        <v>5087.3749686946176</v>
      </c>
      <c r="E256" s="42">
        <f t="shared" si="15"/>
        <v>1346646.8119866056</v>
      </c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x14ac:dyDescent="0.2">
      <c r="A257" s="24">
        <v>252</v>
      </c>
      <c r="B257" s="42">
        <f t="shared" si="12"/>
        <v>15073.88796731995</v>
      </c>
      <c r="C257" s="42">
        <f t="shared" si="13"/>
        <v>10023.962422370179</v>
      </c>
      <c r="D257" s="42">
        <f t="shared" si="14"/>
        <v>5049.9255449497705</v>
      </c>
      <c r="E257" s="42">
        <f t="shared" si="15"/>
        <v>1336622.8495642354</v>
      </c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x14ac:dyDescent="0.2">
      <c r="A258" s="24">
        <v>253</v>
      </c>
      <c r="B258" s="42">
        <f t="shared" si="12"/>
        <v>15073.88796731995</v>
      </c>
      <c r="C258" s="42">
        <f t="shared" si="13"/>
        <v>10061.552281454065</v>
      </c>
      <c r="D258" s="42">
        <f t="shared" si="14"/>
        <v>5012.3356858658844</v>
      </c>
      <c r="E258" s="42">
        <f t="shared" si="15"/>
        <v>1326561.2972827815</v>
      </c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x14ac:dyDescent="0.2">
      <c r="A259" s="24">
        <v>254</v>
      </c>
      <c r="B259" s="42">
        <f t="shared" si="12"/>
        <v>15073.88796731995</v>
      </c>
      <c r="C259" s="42">
        <f t="shared" si="13"/>
        <v>10099.283102509518</v>
      </c>
      <c r="D259" s="42">
        <f t="shared" si="14"/>
        <v>4974.6048648104315</v>
      </c>
      <c r="E259" s="42">
        <f t="shared" si="15"/>
        <v>1316462.0141802719</v>
      </c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x14ac:dyDescent="0.2">
      <c r="A260" s="24">
        <v>255</v>
      </c>
      <c r="B260" s="42">
        <f t="shared" si="12"/>
        <v>15073.88796731995</v>
      </c>
      <c r="C260" s="42">
        <f t="shared" si="13"/>
        <v>10137.155414143928</v>
      </c>
      <c r="D260" s="42">
        <f t="shared" si="14"/>
        <v>4936.7325531760216</v>
      </c>
      <c r="E260" s="42">
        <f t="shared" si="15"/>
        <v>1306324.8587661278</v>
      </c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x14ac:dyDescent="0.2">
      <c r="A261" s="24">
        <v>256</v>
      </c>
      <c r="B261" s="42">
        <f t="shared" si="12"/>
        <v>15073.88796731995</v>
      </c>
      <c r="C261" s="42">
        <f t="shared" si="13"/>
        <v>10175.169746946969</v>
      </c>
      <c r="D261" s="42">
        <f t="shared" si="14"/>
        <v>4898.7182203729808</v>
      </c>
      <c r="E261" s="42">
        <f t="shared" si="15"/>
        <v>1296149.6890191808</v>
      </c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x14ac:dyDescent="0.2">
      <c r="A262" s="24">
        <v>257</v>
      </c>
      <c r="B262" s="42">
        <f t="shared" ref="B262:B325" si="16">PMT(($B$3/12),($B$2*12),-$B$1)</f>
        <v>15073.88796731995</v>
      </c>
      <c r="C262" s="42">
        <f t="shared" ref="C262:C325" si="17">PPMT(($B$3/12),A262,($B$2*12),-$B$1)</f>
        <v>10213.32663349802</v>
      </c>
      <c r="D262" s="42">
        <f t="shared" ref="D262:D325" si="18">B262-C262</f>
        <v>4860.56133382193</v>
      </c>
      <c r="E262" s="42">
        <f t="shared" si="15"/>
        <v>1285936.3623856828</v>
      </c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x14ac:dyDescent="0.2">
      <c r="A263" s="24">
        <v>258</v>
      </c>
      <c r="B263" s="42">
        <f t="shared" si="16"/>
        <v>15073.88796731995</v>
      </c>
      <c r="C263" s="42">
        <f t="shared" si="17"/>
        <v>10251.626608373637</v>
      </c>
      <c r="D263" s="42">
        <f t="shared" si="18"/>
        <v>4822.2613589463126</v>
      </c>
      <c r="E263" s="42">
        <f t="shared" ref="E263:E326" si="19">E262-C263</f>
        <v>1275684.7357773092</v>
      </c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x14ac:dyDescent="0.2">
      <c r="A264" s="24">
        <v>259</v>
      </c>
      <c r="B264" s="42">
        <f t="shared" si="16"/>
        <v>15073.88796731995</v>
      </c>
      <c r="C264" s="42">
        <f t="shared" si="17"/>
        <v>10290.070208155039</v>
      </c>
      <c r="D264" s="42">
        <f t="shared" si="18"/>
        <v>4783.817759164911</v>
      </c>
      <c r="E264" s="42">
        <f t="shared" si="19"/>
        <v>1265394.6655691541</v>
      </c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x14ac:dyDescent="0.2">
      <c r="A265" s="24">
        <v>260</v>
      </c>
      <c r="B265" s="42">
        <f t="shared" si="16"/>
        <v>15073.88796731995</v>
      </c>
      <c r="C265" s="42">
        <f t="shared" si="17"/>
        <v>10328.657971435619</v>
      </c>
      <c r="D265" s="42">
        <f t="shared" si="18"/>
        <v>4745.2299958843305</v>
      </c>
      <c r="E265" s="42">
        <f t="shared" si="19"/>
        <v>1255066.0075977184</v>
      </c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x14ac:dyDescent="0.2">
      <c r="A266" s="24">
        <v>261</v>
      </c>
      <c r="B266" s="42">
        <f t="shared" si="16"/>
        <v>15073.88796731995</v>
      </c>
      <c r="C266" s="42">
        <f t="shared" si="17"/>
        <v>10367.390438828505</v>
      </c>
      <c r="D266" s="42">
        <f t="shared" si="18"/>
        <v>4706.4975284914453</v>
      </c>
      <c r="E266" s="42">
        <f t="shared" si="19"/>
        <v>1244698.6171588898</v>
      </c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x14ac:dyDescent="0.2">
      <c r="A267" s="24">
        <v>262</v>
      </c>
      <c r="B267" s="42">
        <f t="shared" si="16"/>
        <v>15073.88796731995</v>
      </c>
      <c r="C267" s="42">
        <f t="shared" si="17"/>
        <v>10406.268152974111</v>
      </c>
      <c r="D267" s="42">
        <f t="shared" si="18"/>
        <v>4667.6198143458387</v>
      </c>
      <c r="E267" s="42">
        <f t="shared" si="19"/>
        <v>1234292.3490059157</v>
      </c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x14ac:dyDescent="0.2">
      <c r="A268" s="24">
        <v>263</v>
      </c>
      <c r="B268" s="42">
        <f t="shared" si="16"/>
        <v>15073.88796731995</v>
      </c>
      <c r="C268" s="42">
        <f t="shared" si="17"/>
        <v>10445.291658547763</v>
      </c>
      <c r="D268" s="42">
        <f t="shared" si="18"/>
        <v>4628.5963087721866</v>
      </c>
      <c r="E268" s="42">
        <f t="shared" si="19"/>
        <v>1223847.057347368</v>
      </c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x14ac:dyDescent="0.2">
      <c r="A269" s="24">
        <v>264</v>
      </c>
      <c r="B269" s="42">
        <f t="shared" si="16"/>
        <v>15073.88796731995</v>
      </c>
      <c r="C269" s="42">
        <f t="shared" si="17"/>
        <v>10484.461502267319</v>
      </c>
      <c r="D269" s="42">
        <f t="shared" si="18"/>
        <v>4589.4264650526311</v>
      </c>
      <c r="E269" s="42">
        <f t="shared" si="19"/>
        <v>1213362.5958451007</v>
      </c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x14ac:dyDescent="0.2">
      <c r="A270" s="24">
        <v>265</v>
      </c>
      <c r="B270" s="42">
        <f t="shared" si="16"/>
        <v>15073.88796731995</v>
      </c>
      <c r="C270" s="42">
        <f t="shared" si="17"/>
        <v>10523.778232900819</v>
      </c>
      <c r="D270" s="42">
        <f t="shared" si="18"/>
        <v>4550.1097344191312</v>
      </c>
      <c r="E270" s="42">
        <f t="shared" si="19"/>
        <v>1202838.8176121998</v>
      </c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x14ac:dyDescent="0.2">
      <c r="A271" s="24">
        <v>266</v>
      </c>
      <c r="B271" s="42">
        <f t="shared" si="16"/>
        <v>15073.88796731995</v>
      </c>
      <c r="C271" s="42">
        <f t="shared" si="17"/>
        <v>10563.242401274198</v>
      </c>
      <c r="D271" s="42">
        <f t="shared" si="18"/>
        <v>4510.6455660457523</v>
      </c>
      <c r="E271" s="42">
        <f t="shared" si="19"/>
        <v>1192275.5752109257</v>
      </c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x14ac:dyDescent="0.2">
      <c r="A272" s="24">
        <v>267</v>
      </c>
      <c r="B272" s="42">
        <f t="shared" si="16"/>
        <v>15073.88796731995</v>
      </c>
      <c r="C272" s="42">
        <f t="shared" si="17"/>
        <v>10602.854560278976</v>
      </c>
      <c r="D272" s="42">
        <f t="shared" si="18"/>
        <v>4471.0334070409735</v>
      </c>
      <c r="E272" s="42">
        <f t="shared" si="19"/>
        <v>1181672.7206506466</v>
      </c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x14ac:dyDescent="0.2">
      <c r="A273" s="24">
        <v>268</v>
      </c>
      <c r="B273" s="42">
        <f t="shared" si="16"/>
        <v>15073.88796731995</v>
      </c>
      <c r="C273" s="42">
        <f t="shared" si="17"/>
        <v>10642.615264880022</v>
      </c>
      <c r="D273" s="42">
        <f t="shared" si="18"/>
        <v>4431.2727024399283</v>
      </c>
      <c r="E273" s="42">
        <f t="shared" si="19"/>
        <v>1171030.1053857666</v>
      </c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x14ac:dyDescent="0.2">
      <c r="A274" s="24">
        <v>269</v>
      </c>
      <c r="B274" s="42">
        <f t="shared" si="16"/>
        <v>15073.88796731995</v>
      </c>
      <c r="C274" s="42">
        <f t="shared" si="17"/>
        <v>10682.525072123322</v>
      </c>
      <c r="D274" s="42">
        <f t="shared" si="18"/>
        <v>4391.3628951966275</v>
      </c>
      <c r="E274" s="42">
        <f t="shared" si="19"/>
        <v>1160347.5803136432</v>
      </c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x14ac:dyDescent="0.2">
      <c r="A275" s="24">
        <v>270</v>
      </c>
      <c r="B275" s="42">
        <f t="shared" si="16"/>
        <v>15073.88796731995</v>
      </c>
      <c r="C275" s="42">
        <f t="shared" si="17"/>
        <v>10722.584541143786</v>
      </c>
      <c r="D275" s="42">
        <f t="shared" si="18"/>
        <v>4351.3034261761641</v>
      </c>
      <c r="E275" s="42">
        <f t="shared" si="19"/>
        <v>1149624.9957724994</v>
      </c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x14ac:dyDescent="0.2">
      <c r="A276" s="24">
        <v>271</v>
      </c>
      <c r="B276" s="42">
        <f t="shared" si="16"/>
        <v>15073.88796731995</v>
      </c>
      <c r="C276" s="42">
        <f t="shared" si="17"/>
        <v>10762.794233173072</v>
      </c>
      <c r="D276" s="42">
        <f t="shared" si="18"/>
        <v>4311.093734146878</v>
      </c>
      <c r="E276" s="42">
        <f t="shared" si="19"/>
        <v>1138862.2015393262</v>
      </c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x14ac:dyDescent="0.2">
      <c r="A277" s="24">
        <v>272</v>
      </c>
      <c r="B277" s="42">
        <f t="shared" si="16"/>
        <v>15073.88796731995</v>
      </c>
      <c r="C277" s="42">
        <f t="shared" si="17"/>
        <v>10803.154711547473</v>
      </c>
      <c r="D277" s="42">
        <f t="shared" si="18"/>
        <v>4270.7332557724767</v>
      </c>
      <c r="E277" s="42">
        <f t="shared" si="19"/>
        <v>1128059.0468277787</v>
      </c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x14ac:dyDescent="0.2">
      <c r="A278" s="24">
        <v>273</v>
      </c>
      <c r="B278" s="42">
        <f t="shared" si="16"/>
        <v>15073.88796731995</v>
      </c>
      <c r="C278" s="42">
        <f t="shared" si="17"/>
        <v>10843.666541715776</v>
      </c>
      <c r="D278" s="42">
        <f t="shared" si="18"/>
        <v>4230.2214256041734</v>
      </c>
      <c r="E278" s="42">
        <f t="shared" si="19"/>
        <v>1117215.3802860628</v>
      </c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x14ac:dyDescent="0.2">
      <c r="A279" s="24">
        <v>274</v>
      </c>
      <c r="B279" s="42">
        <f t="shared" si="16"/>
        <v>15073.88796731995</v>
      </c>
      <c r="C279" s="42">
        <f t="shared" si="17"/>
        <v>10884.33029124721</v>
      </c>
      <c r="D279" s="42">
        <f t="shared" si="18"/>
        <v>4189.5576760727399</v>
      </c>
      <c r="E279" s="42">
        <f t="shared" si="19"/>
        <v>1106331.0499948156</v>
      </c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x14ac:dyDescent="0.2">
      <c r="A280" s="24">
        <v>275</v>
      </c>
      <c r="B280" s="42">
        <f t="shared" si="16"/>
        <v>15073.88796731995</v>
      </c>
      <c r="C280" s="42">
        <f t="shared" si="17"/>
        <v>10925.146529839387</v>
      </c>
      <c r="D280" s="42">
        <f t="shared" si="18"/>
        <v>4148.741437480563</v>
      </c>
      <c r="E280" s="42">
        <f t="shared" si="19"/>
        <v>1095405.9034649762</v>
      </c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x14ac:dyDescent="0.2">
      <c r="A281" s="24">
        <v>276</v>
      </c>
      <c r="B281" s="42">
        <f t="shared" si="16"/>
        <v>15073.88796731995</v>
      </c>
      <c r="C281" s="42">
        <f t="shared" si="17"/>
        <v>10966.115829326285</v>
      </c>
      <c r="D281" s="42">
        <f t="shared" si="18"/>
        <v>4107.7721379936647</v>
      </c>
      <c r="E281" s="42">
        <f t="shared" si="19"/>
        <v>1084439.78763565</v>
      </c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x14ac:dyDescent="0.2">
      <c r="A282" s="24">
        <v>277</v>
      </c>
      <c r="B282" s="42">
        <f t="shared" si="16"/>
        <v>15073.88796731995</v>
      </c>
      <c r="C282" s="42">
        <f t="shared" si="17"/>
        <v>11007.238763686259</v>
      </c>
      <c r="D282" s="42">
        <f t="shared" si="18"/>
        <v>4066.6492036336913</v>
      </c>
      <c r="E282" s="42">
        <f t="shared" si="19"/>
        <v>1073432.5488719638</v>
      </c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x14ac:dyDescent="0.2">
      <c r="A283" s="24">
        <v>278</v>
      </c>
      <c r="B283" s="42">
        <f t="shared" si="16"/>
        <v>15073.88796731995</v>
      </c>
      <c r="C283" s="42">
        <f t="shared" si="17"/>
        <v>11048.515909050082</v>
      </c>
      <c r="D283" s="42">
        <f t="shared" si="18"/>
        <v>4025.3720582698679</v>
      </c>
      <c r="E283" s="42">
        <f t="shared" si="19"/>
        <v>1062384.0329629136</v>
      </c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x14ac:dyDescent="0.2">
      <c r="A284" s="24">
        <v>279</v>
      </c>
      <c r="B284" s="42">
        <f t="shared" si="16"/>
        <v>15073.88796731995</v>
      </c>
      <c r="C284" s="42">
        <f t="shared" si="17"/>
        <v>11089.94784370902</v>
      </c>
      <c r="D284" s="42">
        <f t="shared" si="18"/>
        <v>3983.9401236109297</v>
      </c>
      <c r="E284" s="42">
        <f t="shared" si="19"/>
        <v>1051294.0851192046</v>
      </c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x14ac:dyDescent="0.2">
      <c r="A285" s="24">
        <v>280</v>
      </c>
      <c r="B285" s="42">
        <f t="shared" si="16"/>
        <v>15073.88796731995</v>
      </c>
      <c r="C285" s="42">
        <f t="shared" si="17"/>
        <v>11131.535148122928</v>
      </c>
      <c r="D285" s="42">
        <f t="shared" si="18"/>
        <v>3942.3528191970217</v>
      </c>
      <c r="E285" s="42">
        <f t="shared" si="19"/>
        <v>1040162.5499710817</v>
      </c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x14ac:dyDescent="0.2">
      <c r="A286" s="24">
        <v>281</v>
      </c>
      <c r="B286" s="42">
        <f t="shared" si="16"/>
        <v>15073.88796731995</v>
      </c>
      <c r="C286" s="42">
        <f t="shared" si="17"/>
        <v>11173.278404928389</v>
      </c>
      <c r="D286" s="42">
        <f t="shared" si="18"/>
        <v>3900.6095623915608</v>
      </c>
      <c r="E286" s="42">
        <f t="shared" si="19"/>
        <v>1028989.2715661533</v>
      </c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x14ac:dyDescent="0.2">
      <c r="A287" s="24">
        <v>282</v>
      </c>
      <c r="B287" s="42">
        <f t="shared" si="16"/>
        <v>15073.88796731995</v>
      </c>
      <c r="C287" s="42">
        <f t="shared" si="17"/>
        <v>11215.178198946871</v>
      </c>
      <c r="D287" s="42">
        <f t="shared" si="18"/>
        <v>3858.709768373079</v>
      </c>
      <c r="E287" s="42">
        <f t="shared" si="19"/>
        <v>1017774.0933672064</v>
      </c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x14ac:dyDescent="0.2">
      <c r="A288" s="24">
        <v>283</v>
      </c>
      <c r="B288" s="42">
        <f t="shared" si="16"/>
        <v>15073.88796731995</v>
      </c>
      <c r="C288" s="42">
        <f t="shared" si="17"/>
        <v>11257.23511719292</v>
      </c>
      <c r="D288" s="42">
        <f t="shared" si="18"/>
        <v>3816.6528501270295</v>
      </c>
      <c r="E288" s="42">
        <f t="shared" si="19"/>
        <v>1006516.8582500134</v>
      </c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x14ac:dyDescent="0.2">
      <c r="A289" s="24">
        <v>284</v>
      </c>
      <c r="B289" s="42">
        <f t="shared" si="16"/>
        <v>15073.88796731995</v>
      </c>
      <c r="C289" s="42">
        <f t="shared" si="17"/>
        <v>11299.449748882394</v>
      </c>
      <c r="D289" s="42">
        <f t="shared" si="18"/>
        <v>3774.4382184375554</v>
      </c>
      <c r="E289" s="42">
        <f t="shared" si="19"/>
        <v>995217.40850113099</v>
      </c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x14ac:dyDescent="0.2">
      <c r="A290" s="24">
        <v>285</v>
      </c>
      <c r="B290" s="42">
        <f t="shared" si="16"/>
        <v>15073.88796731995</v>
      </c>
      <c r="C290" s="42">
        <f t="shared" si="17"/>
        <v>11341.822685440706</v>
      </c>
      <c r="D290" s="42">
        <f t="shared" si="18"/>
        <v>3732.0652818792441</v>
      </c>
      <c r="E290" s="42">
        <f t="shared" si="19"/>
        <v>983875.58581569034</v>
      </c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x14ac:dyDescent="0.2">
      <c r="A291" s="24">
        <v>286</v>
      </c>
      <c r="B291" s="42">
        <f t="shared" si="16"/>
        <v>15073.88796731995</v>
      </c>
      <c r="C291" s="42">
        <f t="shared" si="17"/>
        <v>11384.354520511108</v>
      </c>
      <c r="D291" s="42">
        <f t="shared" si="18"/>
        <v>3689.5334468088422</v>
      </c>
      <c r="E291" s="42">
        <f t="shared" si="19"/>
        <v>972491.23129517923</v>
      </c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x14ac:dyDescent="0.2">
      <c r="A292" s="24">
        <v>287</v>
      </c>
      <c r="B292" s="42">
        <f t="shared" si="16"/>
        <v>15073.88796731995</v>
      </c>
      <c r="C292" s="42">
        <f t="shared" si="17"/>
        <v>11427.045849963022</v>
      </c>
      <c r="D292" s="42">
        <f t="shared" si="18"/>
        <v>3646.8421173569277</v>
      </c>
      <c r="E292" s="42">
        <f t="shared" si="19"/>
        <v>961064.18544521625</v>
      </c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x14ac:dyDescent="0.2">
      <c r="A293" s="24">
        <v>288</v>
      </c>
      <c r="B293" s="42">
        <f t="shared" si="16"/>
        <v>15073.88796731995</v>
      </c>
      <c r="C293" s="42">
        <f t="shared" si="17"/>
        <v>11469.897271900385</v>
      </c>
      <c r="D293" s="42">
        <f t="shared" si="18"/>
        <v>3603.9906954195649</v>
      </c>
      <c r="E293" s="42">
        <f t="shared" si="19"/>
        <v>949594.28817331581</v>
      </c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x14ac:dyDescent="0.2">
      <c r="A294" s="24">
        <v>289</v>
      </c>
      <c r="B294" s="42">
        <f t="shared" si="16"/>
        <v>15073.88796731995</v>
      </c>
      <c r="C294" s="42">
        <f t="shared" si="17"/>
        <v>11512.909386670011</v>
      </c>
      <c r="D294" s="42">
        <f t="shared" si="18"/>
        <v>3560.9785806499385</v>
      </c>
      <c r="E294" s="42">
        <f t="shared" si="19"/>
        <v>938081.37878664583</v>
      </c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x14ac:dyDescent="0.2">
      <c r="A295" s="24">
        <v>290</v>
      </c>
      <c r="B295" s="42">
        <f t="shared" si="16"/>
        <v>15073.88796731995</v>
      </c>
      <c r="C295" s="42">
        <f t="shared" si="17"/>
        <v>11556.082796870023</v>
      </c>
      <c r="D295" s="42">
        <f t="shared" si="18"/>
        <v>3517.8051704499267</v>
      </c>
      <c r="E295" s="42">
        <f t="shared" si="19"/>
        <v>926525.2959897758</v>
      </c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x14ac:dyDescent="0.2">
      <c r="A296" s="24">
        <v>291</v>
      </c>
      <c r="B296" s="42">
        <f t="shared" si="16"/>
        <v>15073.88796731995</v>
      </c>
      <c r="C296" s="42">
        <f t="shared" si="17"/>
        <v>11599.418107358286</v>
      </c>
      <c r="D296" s="42">
        <f t="shared" si="18"/>
        <v>3474.469859961664</v>
      </c>
      <c r="E296" s="42">
        <f t="shared" si="19"/>
        <v>914925.87788241752</v>
      </c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x14ac:dyDescent="0.2">
      <c r="A297" s="24">
        <v>292</v>
      </c>
      <c r="B297" s="42">
        <f t="shared" si="16"/>
        <v>15073.88796731995</v>
      </c>
      <c r="C297" s="42">
        <f t="shared" si="17"/>
        <v>11642.915925260879</v>
      </c>
      <c r="D297" s="42">
        <f t="shared" si="18"/>
        <v>3430.9720420590711</v>
      </c>
      <c r="E297" s="42">
        <f t="shared" si="19"/>
        <v>903282.96195715666</v>
      </c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x14ac:dyDescent="0.2">
      <c r="A298" s="24">
        <v>293</v>
      </c>
      <c r="B298" s="42">
        <f t="shared" si="16"/>
        <v>15073.88796731995</v>
      </c>
      <c r="C298" s="42">
        <f t="shared" si="17"/>
        <v>11686.576859980609</v>
      </c>
      <c r="D298" s="42">
        <f t="shared" si="18"/>
        <v>3387.3111073393411</v>
      </c>
      <c r="E298" s="42">
        <f t="shared" si="19"/>
        <v>891596.38509717607</v>
      </c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x14ac:dyDescent="0.2">
      <c r="A299" s="24">
        <v>294</v>
      </c>
      <c r="B299" s="42">
        <f t="shared" si="16"/>
        <v>15073.88796731995</v>
      </c>
      <c r="C299" s="42">
        <f t="shared" si="17"/>
        <v>11730.401523205535</v>
      </c>
      <c r="D299" s="42">
        <f t="shared" si="18"/>
        <v>3343.4864441144146</v>
      </c>
      <c r="E299" s="42">
        <f t="shared" si="19"/>
        <v>879865.9835739705</v>
      </c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x14ac:dyDescent="0.2">
      <c r="A300" s="24">
        <v>295</v>
      </c>
      <c r="B300" s="42">
        <f t="shared" si="16"/>
        <v>15073.88796731995</v>
      </c>
      <c r="C300" s="42">
        <f t="shared" si="17"/>
        <v>11774.390528917556</v>
      </c>
      <c r="D300" s="42">
        <f t="shared" si="18"/>
        <v>3299.4974384023935</v>
      </c>
      <c r="E300" s="42">
        <f t="shared" si="19"/>
        <v>868091.59304505296</v>
      </c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x14ac:dyDescent="0.2">
      <c r="A301" s="24">
        <v>296</v>
      </c>
      <c r="B301" s="42">
        <f t="shared" si="16"/>
        <v>15073.88796731995</v>
      </c>
      <c r="C301" s="42">
        <f t="shared" si="17"/>
        <v>11818.544493400997</v>
      </c>
      <c r="D301" s="42">
        <f t="shared" si="18"/>
        <v>3255.3434739189524</v>
      </c>
      <c r="E301" s="42">
        <f t="shared" si="19"/>
        <v>856273.048551652</v>
      </c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x14ac:dyDescent="0.2">
      <c r="A302" s="24">
        <v>297</v>
      </c>
      <c r="B302" s="42">
        <f t="shared" si="16"/>
        <v>15073.88796731995</v>
      </c>
      <c r="C302" s="42">
        <f t="shared" si="17"/>
        <v>11862.86403525125</v>
      </c>
      <c r="D302" s="42">
        <f t="shared" si="18"/>
        <v>3211.0239320686997</v>
      </c>
      <c r="E302" s="42">
        <f t="shared" si="19"/>
        <v>844410.1845164008</v>
      </c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x14ac:dyDescent="0.2">
      <c r="A303" s="24">
        <v>298</v>
      </c>
      <c r="B303" s="42">
        <f t="shared" si="16"/>
        <v>15073.88796731995</v>
      </c>
      <c r="C303" s="42">
        <f t="shared" si="17"/>
        <v>11907.349775383442</v>
      </c>
      <c r="D303" s="42">
        <f t="shared" si="18"/>
        <v>3166.5381919365082</v>
      </c>
      <c r="E303" s="42">
        <f t="shared" si="19"/>
        <v>832502.83474101732</v>
      </c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x14ac:dyDescent="0.2">
      <c r="A304" s="24">
        <v>299</v>
      </c>
      <c r="B304" s="42">
        <f t="shared" si="16"/>
        <v>15073.88796731995</v>
      </c>
      <c r="C304" s="42">
        <f t="shared" si="17"/>
        <v>11952.002337041131</v>
      </c>
      <c r="D304" s="42">
        <f t="shared" si="18"/>
        <v>3121.885630278819</v>
      </c>
      <c r="E304" s="42">
        <f t="shared" si="19"/>
        <v>820550.83240397624</v>
      </c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x14ac:dyDescent="0.2">
      <c r="A305" s="24">
        <v>300</v>
      </c>
      <c r="B305" s="42">
        <f t="shared" si="16"/>
        <v>15073.88796731995</v>
      </c>
      <c r="C305" s="42">
        <f t="shared" si="17"/>
        <v>11996.822345805034</v>
      </c>
      <c r="D305" s="42">
        <f t="shared" si="18"/>
        <v>3077.0656215149156</v>
      </c>
      <c r="E305" s="42">
        <f t="shared" si="19"/>
        <v>808554.01005817123</v>
      </c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x14ac:dyDescent="0.2">
      <c r="A306" s="24">
        <v>301</v>
      </c>
      <c r="B306" s="42">
        <f t="shared" si="16"/>
        <v>15073.88796731995</v>
      </c>
      <c r="C306" s="42">
        <f t="shared" si="17"/>
        <v>12041.810429601805</v>
      </c>
      <c r="D306" s="42">
        <f t="shared" si="18"/>
        <v>3032.0775377181453</v>
      </c>
      <c r="E306" s="42">
        <f t="shared" si="19"/>
        <v>796512.19962856942</v>
      </c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x14ac:dyDescent="0.2">
      <c r="A307" s="24">
        <v>302</v>
      </c>
      <c r="B307" s="42">
        <f t="shared" si="16"/>
        <v>15073.88796731995</v>
      </c>
      <c r="C307" s="42">
        <f t="shared" si="17"/>
        <v>12086.967218712811</v>
      </c>
      <c r="D307" s="42">
        <f t="shared" si="18"/>
        <v>2986.9207486071391</v>
      </c>
      <c r="E307" s="42">
        <f t="shared" si="19"/>
        <v>784425.23240985663</v>
      </c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x14ac:dyDescent="0.2">
      <c r="A308" s="24">
        <v>303</v>
      </c>
      <c r="B308" s="42">
        <f t="shared" si="16"/>
        <v>15073.88796731995</v>
      </c>
      <c r="C308" s="42">
        <f t="shared" si="17"/>
        <v>12132.293345782984</v>
      </c>
      <c r="D308" s="42">
        <f t="shared" si="18"/>
        <v>2941.5946215369659</v>
      </c>
      <c r="E308" s="42">
        <f t="shared" si="19"/>
        <v>772292.93906407361</v>
      </c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x14ac:dyDescent="0.2">
      <c r="A309" s="24">
        <v>304</v>
      </c>
      <c r="B309" s="42">
        <f t="shared" si="16"/>
        <v>15073.88796731995</v>
      </c>
      <c r="C309" s="42">
        <f t="shared" si="17"/>
        <v>12177.789445829669</v>
      </c>
      <c r="D309" s="42">
        <f t="shared" si="18"/>
        <v>2896.0985214902812</v>
      </c>
      <c r="E309" s="42">
        <f t="shared" si="19"/>
        <v>760115.14961824392</v>
      </c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x14ac:dyDescent="0.2">
      <c r="A310" s="24">
        <v>305</v>
      </c>
      <c r="B310" s="42">
        <f t="shared" si="16"/>
        <v>15073.88796731995</v>
      </c>
      <c r="C310" s="42">
        <f t="shared" si="17"/>
        <v>12223.45615625153</v>
      </c>
      <c r="D310" s="42">
        <f t="shared" si="18"/>
        <v>2850.4318110684198</v>
      </c>
      <c r="E310" s="42">
        <f t="shared" si="19"/>
        <v>747891.69346199243</v>
      </c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x14ac:dyDescent="0.2">
      <c r="A311" s="24">
        <v>306</v>
      </c>
      <c r="B311" s="42">
        <f t="shared" si="16"/>
        <v>15073.88796731995</v>
      </c>
      <c r="C311" s="42">
        <f t="shared" si="17"/>
        <v>12269.294116837473</v>
      </c>
      <c r="D311" s="42">
        <f t="shared" si="18"/>
        <v>2804.5938504824771</v>
      </c>
      <c r="E311" s="42">
        <f t="shared" si="19"/>
        <v>735622.39934515499</v>
      </c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x14ac:dyDescent="0.2">
      <c r="A312" s="24">
        <v>307</v>
      </c>
      <c r="B312" s="42">
        <f t="shared" si="16"/>
        <v>15073.88796731995</v>
      </c>
      <c r="C312" s="42">
        <f t="shared" si="17"/>
        <v>12315.303969775616</v>
      </c>
      <c r="D312" s="42">
        <f t="shared" si="18"/>
        <v>2758.5839975443341</v>
      </c>
      <c r="E312" s="42">
        <f t="shared" si="19"/>
        <v>723307.09537537943</v>
      </c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x14ac:dyDescent="0.2">
      <c r="A313" s="24">
        <v>308</v>
      </c>
      <c r="B313" s="42">
        <f t="shared" si="16"/>
        <v>15073.88796731995</v>
      </c>
      <c r="C313" s="42">
        <f t="shared" si="17"/>
        <v>12361.486359662273</v>
      </c>
      <c r="D313" s="42">
        <f t="shared" si="18"/>
        <v>2712.4016076576772</v>
      </c>
      <c r="E313" s="42">
        <f t="shared" si="19"/>
        <v>710945.60901571717</v>
      </c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x14ac:dyDescent="0.2">
      <c r="A314" s="24">
        <v>309</v>
      </c>
      <c r="B314" s="42">
        <f t="shared" si="16"/>
        <v>15073.88796731995</v>
      </c>
      <c r="C314" s="42">
        <f t="shared" si="17"/>
        <v>12407.841933511007</v>
      </c>
      <c r="D314" s="42">
        <f t="shared" si="18"/>
        <v>2666.0460338089433</v>
      </c>
      <c r="E314" s="42">
        <f t="shared" si="19"/>
        <v>698537.76708220621</v>
      </c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x14ac:dyDescent="0.2">
      <c r="A315" s="24">
        <v>310</v>
      </c>
      <c r="B315" s="42">
        <f t="shared" si="16"/>
        <v>15073.88796731995</v>
      </c>
      <c r="C315" s="42">
        <f t="shared" si="17"/>
        <v>12454.371340761674</v>
      </c>
      <c r="D315" s="42">
        <f t="shared" si="18"/>
        <v>2619.5166265582757</v>
      </c>
      <c r="E315" s="42">
        <f t="shared" si="19"/>
        <v>686083.39574144455</v>
      </c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x14ac:dyDescent="0.2">
      <c r="A316" s="24">
        <v>311</v>
      </c>
      <c r="B316" s="42">
        <f t="shared" si="16"/>
        <v>15073.88796731995</v>
      </c>
      <c r="C316" s="42">
        <f t="shared" si="17"/>
        <v>12501.07523328953</v>
      </c>
      <c r="D316" s="42">
        <f t="shared" si="18"/>
        <v>2572.81273403042</v>
      </c>
      <c r="E316" s="42">
        <f t="shared" si="19"/>
        <v>673582.32050815504</v>
      </c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x14ac:dyDescent="0.2">
      <c r="A317" s="24">
        <v>312</v>
      </c>
      <c r="B317" s="42">
        <f t="shared" si="16"/>
        <v>15073.88796731995</v>
      </c>
      <c r="C317" s="42">
        <f t="shared" si="17"/>
        <v>12547.954265414366</v>
      </c>
      <c r="D317" s="42">
        <f t="shared" si="18"/>
        <v>2525.9337019055838</v>
      </c>
      <c r="E317" s="42">
        <f t="shared" si="19"/>
        <v>661034.36624274065</v>
      </c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x14ac:dyDescent="0.2">
      <c r="A318" s="24">
        <v>313</v>
      </c>
      <c r="B318" s="42">
        <f t="shared" si="16"/>
        <v>15073.88796731995</v>
      </c>
      <c r="C318" s="42">
        <f t="shared" si="17"/>
        <v>12595.00909390967</v>
      </c>
      <c r="D318" s="42">
        <f t="shared" si="18"/>
        <v>2478.87887341028</v>
      </c>
      <c r="E318" s="42">
        <f t="shared" si="19"/>
        <v>648439.35714883101</v>
      </c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x14ac:dyDescent="0.2">
      <c r="A319" s="24">
        <v>314</v>
      </c>
      <c r="B319" s="42">
        <f t="shared" si="16"/>
        <v>15073.88796731995</v>
      </c>
      <c r="C319" s="42">
        <f t="shared" si="17"/>
        <v>12642.240378011831</v>
      </c>
      <c r="D319" s="42">
        <f t="shared" si="18"/>
        <v>2431.6475893081188</v>
      </c>
      <c r="E319" s="42">
        <f t="shared" si="19"/>
        <v>635797.11677081918</v>
      </c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x14ac:dyDescent="0.2">
      <c r="A320" s="24">
        <v>315</v>
      </c>
      <c r="B320" s="42">
        <f t="shared" si="16"/>
        <v>15073.88796731995</v>
      </c>
      <c r="C320" s="42">
        <f t="shared" si="17"/>
        <v>12689.648779429375</v>
      </c>
      <c r="D320" s="42">
        <f t="shared" si="18"/>
        <v>2384.2391878905746</v>
      </c>
      <c r="E320" s="42">
        <f t="shared" si="19"/>
        <v>623107.4679913898</v>
      </c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x14ac:dyDescent="0.2">
      <c r="A321" s="24">
        <v>316</v>
      </c>
      <c r="B321" s="42">
        <f t="shared" si="16"/>
        <v>15073.88796731995</v>
      </c>
      <c r="C321" s="42">
        <f t="shared" si="17"/>
        <v>12737.234962352235</v>
      </c>
      <c r="D321" s="42">
        <f t="shared" si="18"/>
        <v>2336.6530049677149</v>
      </c>
      <c r="E321" s="42">
        <f t="shared" si="19"/>
        <v>610370.2330290376</v>
      </c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x14ac:dyDescent="0.2">
      <c r="A322" s="24">
        <v>317</v>
      </c>
      <c r="B322" s="42">
        <f t="shared" si="16"/>
        <v>15073.88796731995</v>
      </c>
      <c r="C322" s="42">
        <f t="shared" si="17"/>
        <v>12784.999593461056</v>
      </c>
      <c r="D322" s="42">
        <f t="shared" si="18"/>
        <v>2288.8883738588938</v>
      </c>
      <c r="E322" s="42">
        <f t="shared" si="19"/>
        <v>597585.23343557655</v>
      </c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x14ac:dyDescent="0.2">
      <c r="A323" s="24">
        <v>318</v>
      </c>
      <c r="B323" s="42">
        <f t="shared" si="16"/>
        <v>15073.88796731995</v>
      </c>
      <c r="C323" s="42">
        <f t="shared" si="17"/>
        <v>12832.943341936534</v>
      </c>
      <c r="D323" s="42">
        <f t="shared" si="18"/>
        <v>2240.9446253834158</v>
      </c>
      <c r="E323" s="42">
        <f t="shared" si="19"/>
        <v>584752.29009363998</v>
      </c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x14ac:dyDescent="0.2">
      <c r="A324" s="24">
        <v>319</v>
      </c>
      <c r="B324" s="42">
        <f t="shared" si="16"/>
        <v>15073.88796731995</v>
      </c>
      <c r="C324" s="42">
        <f t="shared" si="17"/>
        <v>12881.066879468797</v>
      </c>
      <c r="D324" s="42">
        <f t="shared" si="18"/>
        <v>2192.8210878511527</v>
      </c>
      <c r="E324" s="42">
        <f t="shared" si="19"/>
        <v>571871.22321417113</v>
      </c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x14ac:dyDescent="0.2">
      <c r="A325" s="24">
        <v>320</v>
      </c>
      <c r="B325" s="42">
        <f t="shared" si="16"/>
        <v>15073.88796731995</v>
      </c>
      <c r="C325" s="42">
        <f t="shared" si="17"/>
        <v>12929.370880266806</v>
      </c>
      <c r="D325" s="42">
        <f t="shared" si="18"/>
        <v>2144.5170870531438</v>
      </c>
      <c r="E325" s="42">
        <f t="shared" si="19"/>
        <v>558941.85233390436</v>
      </c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x14ac:dyDescent="0.2">
      <c r="A326" s="24">
        <v>321</v>
      </c>
      <c r="B326" s="42">
        <f t="shared" ref="B326:B365" si="20">PMT(($B$3/12),($B$2*12),-$B$1)</f>
        <v>15073.88796731995</v>
      </c>
      <c r="C326" s="42">
        <f t="shared" ref="C326:C365" si="21">PPMT(($B$3/12),A326,($B$2*12),-$B$1)</f>
        <v>12977.856021067806</v>
      </c>
      <c r="D326" s="42">
        <f t="shared" ref="D326:D365" si="22">B326-C326</f>
        <v>2096.0319462521438</v>
      </c>
      <c r="E326" s="42">
        <f t="shared" si="19"/>
        <v>545963.99631283653</v>
      </c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x14ac:dyDescent="0.2">
      <c r="A327" s="24">
        <v>322</v>
      </c>
      <c r="B327" s="42">
        <f t="shared" si="20"/>
        <v>15073.88796731995</v>
      </c>
      <c r="C327" s="42">
        <f t="shared" si="21"/>
        <v>13026.522981146809</v>
      </c>
      <c r="D327" s="42">
        <f t="shared" si="22"/>
        <v>2047.364986173141</v>
      </c>
      <c r="E327" s="42">
        <f t="shared" ref="E327:E365" si="23">E326-C327</f>
        <v>532937.47333168972</v>
      </c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x14ac:dyDescent="0.2">
      <c r="A328" s="24">
        <v>323</v>
      </c>
      <c r="B328" s="42">
        <f t="shared" si="20"/>
        <v>15073.88796731995</v>
      </c>
      <c r="C328" s="42">
        <f t="shared" si="21"/>
        <v>13075.37244232611</v>
      </c>
      <c r="D328" s="42">
        <f t="shared" si="22"/>
        <v>1998.5155249938398</v>
      </c>
      <c r="E328" s="42">
        <f t="shared" si="23"/>
        <v>519862.10088936362</v>
      </c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x14ac:dyDescent="0.2">
      <c r="A329" s="24">
        <v>324</v>
      </c>
      <c r="B329" s="42">
        <f t="shared" si="20"/>
        <v>15073.88796731995</v>
      </c>
      <c r="C329" s="42">
        <f t="shared" si="21"/>
        <v>13124.405088984833</v>
      </c>
      <c r="D329" s="42">
        <f t="shared" si="22"/>
        <v>1949.4828783351168</v>
      </c>
      <c r="E329" s="42">
        <f t="shared" si="23"/>
        <v>506737.6958003788</v>
      </c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x14ac:dyDescent="0.2">
      <c r="A330" s="24">
        <v>325</v>
      </c>
      <c r="B330" s="42">
        <f t="shared" si="20"/>
        <v>15073.88796731995</v>
      </c>
      <c r="C330" s="42">
        <f t="shared" si="21"/>
        <v>13173.621608068524</v>
      </c>
      <c r="D330" s="42">
        <f t="shared" si="22"/>
        <v>1900.2663592514255</v>
      </c>
      <c r="E330" s="42">
        <f t="shared" si="23"/>
        <v>493564.07419231028</v>
      </c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x14ac:dyDescent="0.2">
      <c r="A331" s="24">
        <v>326</v>
      </c>
      <c r="B331" s="42">
        <f t="shared" si="20"/>
        <v>15073.88796731995</v>
      </c>
      <c r="C331" s="42">
        <f t="shared" si="21"/>
        <v>13223.022689098783</v>
      </c>
      <c r="D331" s="42">
        <f t="shared" si="22"/>
        <v>1850.8652782211666</v>
      </c>
      <c r="E331" s="42">
        <f t="shared" si="23"/>
        <v>480341.05150321149</v>
      </c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x14ac:dyDescent="0.2">
      <c r="A332" s="24">
        <v>327</v>
      </c>
      <c r="B332" s="42">
        <f t="shared" si="20"/>
        <v>15073.88796731995</v>
      </c>
      <c r="C332" s="42">
        <f t="shared" si="21"/>
        <v>13272.609024182902</v>
      </c>
      <c r="D332" s="42">
        <f t="shared" si="22"/>
        <v>1801.2789431370475</v>
      </c>
      <c r="E332" s="42">
        <f t="shared" si="23"/>
        <v>467068.4424790286</v>
      </c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x14ac:dyDescent="0.2">
      <c r="A333" s="24">
        <v>328</v>
      </c>
      <c r="B333" s="42">
        <f t="shared" si="20"/>
        <v>15073.88796731995</v>
      </c>
      <c r="C333" s="42">
        <f t="shared" si="21"/>
        <v>13322.38130802359</v>
      </c>
      <c r="D333" s="42">
        <f t="shared" si="22"/>
        <v>1751.5066592963594</v>
      </c>
      <c r="E333" s="42">
        <f t="shared" si="23"/>
        <v>453746.06117100501</v>
      </c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x14ac:dyDescent="0.2">
      <c r="A334" s="24">
        <v>329</v>
      </c>
      <c r="B334" s="42">
        <f t="shared" si="20"/>
        <v>15073.88796731995</v>
      </c>
      <c r="C334" s="42">
        <f t="shared" si="21"/>
        <v>13372.340237928678</v>
      </c>
      <c r="D334" s="42">
        <f t="shared" si="22"/>
        <v>1701.5477293912718</v>
      </c>
      <c r="E334" s="42">
        <f t="shared" si="23"/>
        <v>440373.72093307634</v>
      </c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x14ac:dyDescent="0.2">
      <c r="A335" s="24">
        <v>330</v>
      </c>
      <c r="B335" s="42">
        <f t="shared" si="20"/>
        <v>15073.88796731995</v>
      </c>
      <c r="C335" s="42">
        <f t="shared" si="21"/>
        <v>13422.486513820912</v>
      </c>
      <c r="D335" s="42">
        <f t="shared" si="22"/>
        <v>1651.4014534990383</v>
      </c>
      <c r="E335" s="42">
        <f t="shared" si="23"/>
        <v>426951.23441925546</v>
      </c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x14ac:dyDescent="0.2">
      <c r="A336" s="24">
        <v>331</v>
      </c>
      <c r="B336" s="42">
        <f t="shared" si="20"/>
        <v>15073.88796731995</v>
      </c>
      <c r="C336" s="42">
        <f t="shared" si="21"/>
        <v>13472.820838247741</v>
      </c>
      <c r="D336" s="42">
        <f t="shared" si="22"/>
        <v>1601.0671290722094</v>
      </c>
      <c r="E336" s="42">
        <f t="shared" si="23"/>
        <v>413478.41358100774</v>
      </c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x14ac:dyDescent="0.2">
      <c r="A337" s="24">
        <v>332</v>
      </c>
      <c r="B337" s="42">
        <f t="shared" si="20"/>
        <v>15073.88796731995</v>
      </c>
      <c r="C337" s="42">
        <f t="shared" si="21"/>
        <v>13523.343916391168</v>
      </c>
      <c r="D337" s="42">
        <f t="shared" si="22"/>
        <v>1550.5440509287819</v>
      </c>
      <c r="E337" s="42">
        <f t="shared" si="23"/>
        <v>399955.0696646166</v>
      </c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x14ac:dyDescent="0.2">
      <c r="A338" s="24">
        <v>333</v>
      </c>
      <c r="B338" s="42">
        <f t="shared" si="20"/>
        <v>15073.88796731995</v>
      </c>
      <c r="C338" s="42">
        <f t="shared" si="21"/>
        <v>13574.056456077635</v>
      </c>
      <c r="D338" s="42">
        <f t="shared" si="22"/>
        <v>1499.8315112423152</v>
      </c>
      <c r="E338" s="42">
        <f t="shared" si="23"/>
        <v>386381.01320853899</v>
      </c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x14ac:dyDescent="0.2">
      <c r="A339" s="24">
        <v>334</v>
      </c>
      <c r="B339" s="42">
        <f t="shared" si="20"/>
        <v>15073.88796731995</v>
      </c>
      <c r="C339" s="42">
        <f t="shared" si="21"/>
        <v>13624.959167787925</v>
      </c>
      <c r="D339" s="42">
        <f t="shared" si="22"/>
        <v>1448.9287995320246</v>
      </c>
      <c r="E339" s="42">
        <f t="shared" si="23"/>
        <v>372756.05404075107</v>
      </c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x14ac:dyDescent="0.2">
      <c r="A340" s="24">
        <v>335</v>
      </c>
      <c r="B340" s="42">
        <f t="shared" si="20"/>
        <v>15073.88796731995</v>
      </c>
      <c r="C340" s="42">
        <f t="shared" si="21"/>
        <v>13676.052764667131</v>
      </c>
      <c r="D340" s="42">
        <f t="shared" si="22"/>
        <v>1397.8352026528191</v>
      </c>
      <c r="E340" s="42">
        <f t="shared" si="23"/>
        <v>359080.00127608393</v>
      </c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x14ac:dyDescent="0.2">
      <c r="A341" s="24">
        <v>336</v>
      </c>
      <c r="B341" s="42">
        <f t="shared" si="20"/>
        <v>15073.88796731995</v>
      </c>
      <c r="C341" s="42">
        <f t="shared" si="21"/>
        <v>13727.337962534632</v>
      </c>
      <c r="D341" s="42">
        <f t="shared" si="22"/>
        <v>1346.5500047853184</v>
      </c>
      <c r="E341" s="42">
        <f t="shared" si="23"/>
        <v>345352.6633135493</v>
      </c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x14ac:dyDescent="0.2">
      <c r="A342" s="24">
        <v>337</v>
      </c>
      <c r="B342" s="42">
        <f t="shared" si="20"/>
        <v>15073.88796731995</v>
      </c>
      <c r="C342" s="42">
        <f t="shared" si="21"/>
        <v>13778.815479894138</v>
      </c>
      <c r="D342" s="42">
        <f t="shared" si="22"/>
        <v>1295.0724874258121</v>
      </c>
      <c r="E342" s="42">
        <f t="shared" si="23"/>
        <v>331573.84783365519</v>
      </c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x14ac:dyDescent="0.2">
      <c r="A343" s="24">
        <v>338</v>
      </c>
      <c r="B343" s="42">
        <f t="shared" si="20"/>
        <v>15073.88796731995</v>
      </c>
      <c r="C343" s="42">
        <f t="shared" si="21"/>
        <v>13830.48603794374</v>
      </c>
      <c r="D343" s="42">
        <f t="shared" si="22"/>
        <v>1243.4019293762103</v>
      </c>
      <c r="E343" s="42">
        <f t="shared" si="23"/>
        <v>317743.36179571145</v>
      </c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x14ac:dyDescent="0.2">
      <c r="A344" s="24">
        <v>339</v>
      </c>
      <c r="B344" s="42">
        <f t="shared" si="20"/>
        <v>15073.88796731995</v>
      </c>
      <c r="C344" s="42">
        <f t="shared" si="21"/>
        <v>13882.35036058603</v>
      </c>
      <c r="D344" s="42">
        <f t="shared" si="22"/>
        <v>1191.5376067339203</v>
      </c>
      <c r="E344" s="42">
        <f t="shared" si="23"/>
        <v>303861.01143512543</v>
      </c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x14ac:dyDescent="0.2">
      <c r="A345" s="24">
        <v>340</v>
      </c>
      <c r="B345" s="42">
        <f t="shared" si="20"/>
        <v>15073.88796731995</v>
      </c>
      <c r="C345" s="42">
        <f t="shared" si="21"/>
        <v>13934.409174438228</v>
      </c>
      <c r="D345" s="42">
        <f t="shared" si="22"/>
        <v>1139.4787928817223</v>
      </c>
      <c r="E345" s="42">
        <f t="shared" si="23"/>
        <v>289926.60226068721</v>
      </c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x14ac:dyDescent="0.2">
      <c r="A346" s="24">
        <v>341</v>
      </c>
      <c r="B346" s="42">
        <f t="shared" si="20"/>
        <v>15073.88796731995</v>
      </c>
      <c r="C346" s="42">
        <f t="shared" si="21"/>
        <v>13986.66320884237</v>
      </c>
      <c r="D346" s="42">
        <f t="shared" si="22"/>
        <v>1087.2247584775796</v>
      </c>
      <c r="E346" s="42">
        <f t="shared" si="23"/>
        <v>275939.93905184482</v>
      </c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x14ac:dyDescent="0.2">
      <c r="A347" s="24">
        <v>342</v>
      </c>
      <c r="B347" s="42">
        <f t="shared" si="20"/>
        <v>15073.88796731995</v>
      </c>
      <c r="C347" s="42">
        <f t="shared" si="21"/>
        <v>14039.113195875529</v>
      </c>
      <c r="D347" s="42">
        <f t="shared" si="22"/>
        <v>1034.7747714444213</v>
      </c>
      <c r="E347" s="42">
        <f t="shared" si="23"/>
        <v>261900.82585596928</v>
      </c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x14ac:dyDescent="0.2">
      <c r="A348" s="24">
        <v>343</v>
      </c>
      <c r="B348" s="42">
        <f t="shared" si="20"/>
        <v>15073.88796731995</v>
      </c>
      <c r="C348" s="42">
        <f t="shared" si="21"/>
        <v>14091.759870360062</v>
      </c>
      <c r="D348" s="42">
        <f t="shared" si="22"/>
        <v>982.12809695988835</v>
      </c>
      <c r="E348" s="42">
        <f t="shared" si="23"/>
        <v>247809.06598560922</v>
      </c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x14ac:dyDescent="0.2">
      <c r="A349" s="24">
        <v>344</v>
      </c>
      <c r="B349" s="42">
        <f t="shared" si="20"/>
        <v>15073.88796731995</v>
      </c>
      <c r="C349" s="42">
        <f t="shared" si="21"/>
        <v>14144.603969873911</v>
      </c>
      <c r="D349" s="42">
        <f t="shared" si="22"/>
        <v>929.28399744603848</v>
      </c>
      <c r="E349" s="42">
        <f t="shared" si="23"/>
        <v>233664.46201573531</v>
      </c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x14ac:dyDescent="0.2">
      <c r="A350" s="24">
        <v>345</v>
      </c>
      <c r="B350" s="42">
        <f t="shared" si="20"/>
        <v>15073.88796731995</v>
      </c>
      <c r="C350" s="42">
        <f t="shared" si="21"/>
        <v>14197.646234760939</v>
      </c>
      <c r="D350" s="42">
        <f t="shared" si="22"/>
        <v>876.24173255901042</v>
      </c>
      <c r="E350" s="42">
        <f t="shared" si="23"/>
        <v>219466.81578097437</v>
      </c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x14ac:dyDescent="0.2">
      <c r="A351" s="24">
        <v>346</v>
      </c>
      <c r="B351" s="42">
        <f t="shared" si="20"/>
        <v>15073.88796731995</v>
      </c>
      <c r="C351" s="42">
        <f t="shared" si="21"/>
        <v>14250.887408141292</v>
      </c>
      <c r="D351" s="42">
        <f t="shared" si="22"/>
        <v>823.00055917865757</v>
      </c>
      <c r="E351" s="42">
        <f t="shared" si="23"/>
        <v>205215.92837283309</v>
      </c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x14ac:dyDescent="0.2">
      <c r="A352" s="24">
        <v>347</v>
      </c>
      <c r="B352" s="42">
        <f t="shared" si="20"/>
        <v>15073.88796731995</v>
      </c>
      <c r="C352" s="42">
        <f t="shared" si="21"/>
        <v>14304.328235921825</v>
      </c>
      <c r="D352" s="42">
        <f t="shared" si="22"/>
        <v>769.55973139812522</v>
      </c>
      <c r="E352" s="42">
        <f t="shared" si="23"/>
        <v>190911.60013691126</v>
      </c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x14ac:dyDescent="0.2">
      <c r="A353" s="24">
        <v>348</v>
      </c>
      <c r="B353" s="42">
        <f t="shared" si="20"/>
        <v>15073.88796731995</v>
      </c>
      <c r="C353" s="42">
        <f t="shared" si="21"/>
        <v>14357.969466806529</v>
      </c>
      <c r="D353" s="42">
        <f t="shared" si="22"/>
        <v>715.91850051342044</v>
      </c>
      <c r="E353" s="42">
        <f t="shared" si="23"/>
        <v>176553.63067010473</v>
      </c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x14ac:dyDescent="0.2">
      <c r="A354" s="24">
        <v>349</v>
      </c>
      <c r="B354" s="42">
        <f t="shared" si="20"/>
        <v>15073.88796731995</v>
      </c>
      <c r="C354" s="42">
        <f t="shared" si="21"/>
        <v>14411.811852307055</v>
      </c>
      <c r="D354" s="42">
        <f t="shared" si="22"/>
        <v>662.07611501289466</v>
      </c>
      <c r="E354" s="42">
        <f t="shared" si="23"/>
        <v>162141.81881779767</v>
      </c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x14ac:dyDescent="0.2">
      <c r="A355" s="24">
        <v>350</v>
      </c>
      <c r="B355" s="42">
        <f t="shared" si="20"/>
        <v>15073.88796731995</v>
      </c>
      <c r="C355" s="42">
        <f t="shared" si="21"/>
        <v>14465.856146753205</v>
      </c>
      <c r="D355" s="42">
        <f t="shared" si="22"/>
        <v>608.0318205667445</v>
      </c>
      <c r="E355" s="42">
        <f t="shared" si="23"/>
        <v>147675.96267104446</v>
      </c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x14ac:dyDescent="0.2">
      <c r="A356" s="24">
        <v>351</v>
      </c>
      <c r="B356" s="42">
        <f t="shared" si="20"/>
        <v>15073.88796731995</v>
      </c>
      <c r="C356" s="42">
        <f t="shared" si="21"/>
        <v>14520.10310730353</v>
      </c>
      <c r="D356" s="42">
        <f t="shared" si="22"/>
        <v>553.78486001641977</v>
      </c>
      <c r="E356" s="42">
        <f t="shared" si="23"/>
        <v>133155.85956374093</v>
      </c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x14ac:dyDescent="0.2">
      <c r="A357" s="24">
        <v>352</v>
      </c>
      <c r="B357" s="42">
        <f t="shared" si="20"/>
        <v>15073.88796731995</v>
      </c>
      <c r="C357" s="42">
        <f t="shared" si="21"/>
        <v>14574.55349395592</v>
      </c>
      <c r="D357" s="42">
        <f t="shared" si="22"/>
        <v>499.33447336402969</v>
      </c>
      <c r="E357" s="42">
        <f t="shared" si="23"/>
        <v>118581.30606978502</v>
      </c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x14ac:dyDescent="0.2">
      <c r="A358" s="24">
        <v>353</v>
      </c>
      <c r="B358" s="42">
        <f t="shared" si="20"/>
        <v>15073.88796731995</v>
      </c>
      <c r="C358" s="42">
        <f t="shared" si="21"/>
        <v>14629.208069558255</v>
      </c>
      <c r="D358" s="42">
        <f t="shared" si="22"/>
        <v>444.67989776169452</v>
      </c>
      <c r="E358" s="42">
        <f t="shared" si="23"/>
        <v>103952.09800022676</v>
      </c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x14ac:dyDescent="0.2">
      <c r="A359" s="24">
        <v>354</v>
      </c>
      <c r="B359" s="42">
        <f t="shared" si="20"/>
        <v>15073.88796731995</v>
      </c>
      <c r="C359" s="42">
        <f t="shared" si="21"/>
        <v>14684.067599819096</v>
      </c>
      <c r="D359" s="42">
        <f t="shared" si="22"/>
        <v>389.82036750085354</v>
      </c>
      <c r="E359" s="42">
        <f t="shared" si="23"/>
        <v>89268.030400407661</v>
      </c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x14ac:dyDescent="0.2">
      <c r="A360" s="24">
        <v>355</v>
      </c>
      <c r="B360" s="42">
        <f t="shared" si="20"/>
        <v>15073.88796731995</v>
      </c>
      <c r="C360" s="42">
        <f t="shared" si="21"/>
        <v>14739.132853318421</v>
      </c>
      <c r="D360" s="42">
        <f t="shared" si="22"/>
        <v>334.75511400152936</v>
      </c>
      <c r="E360" s="42">
        <f t="shared" si="23"/>
        <v>74528.897547089233</v>
      </c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x14ac:dyDescent="0.2">
      <c r="A361" s="24">
        <v>356</v>
      </c>
      <c r="B361" s="42">
        <f t="shared" si="20"/>
        <v>15073.88796731995</v>
      </c>
      <c r="C361" s="42">
        <f t="shared" si="21"/>
        <v>14794.404601518363</v>
      </c>
      <c r="D361" s="42">
        <f t="shared" si="22"/>
        <v>279.48336580158684</v>
      </c>
      <c r="E361" s="42">
        <f t="shared" si="23"/>
        <v>59734.49294557087</v>
      </c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x14ac:dyDescent="0.2">
      <c r="A362" s="24">
        <v>357</v>
      </c>
      <c r="B362" s="42">
        <f t="shared" si="20"/>
        <v>15073.88796731995</v>
      </c>
      <c r="C362" s="42">
        <f t="shared" si="21"/>
        <v>14849.883618774054</v>
      </c>
      <c r="D362" s="42">
        <f t="shared" si="22"/>
        <v>224.00434854589548</v>
      </c>
      <c r="E362" s="42">
        <f t="shared" si="23"/>
        <v>44884.609326796817</v>
      </c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x14ac:dyDescent="0.2">
      <c r="A363" s="24">
        <v>358</v>
      </c>
      <c r="B363" s="42">
        <f t="shared" si="20"/>
        <v>15073.88796731995</v>
      </c>
      <c r="C363" s="42">
        <f t="shared" si="21"/>
        <v>14905.570682344458</v>
      </c>
      <c r="D363" s="42">
        <f t="shared" si="22"/>
        <v>168.31728497549193</v>
      </c>
      <c r="E363" s="42">
        <f t="shared" si="23"/>
        <v>29979.038644452361</v>
      </c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x14ac:dyDescent="0.2">
      <c r="A364" s="24">
        <v>359</v>
      </c>
      <c r="B364" s="42">
        <f t="shared" si="20"/>
        <v>15073.88796731995</v>
      </c>
      <c r="C364" s="42">
        <f t="shared" si="21"/>
        <v>14961.466572403251</v>
      </c>
      <c r="D364" s="42">
        <f t="shared" si="22"/>
        <v>112.42139491669877</v>
      </c>
      <c r="E364" s="42">
        <f t="shared" si="23"/>
        <v>15017.57207204911</v>
      </c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x14ac:dyDescent="0.2">
      <c r="A365" s="24">
        <v>360</v>
      </c>
      <c r="B365" s="42">
        <f t="shared" si="20"/>
        <v>15073.88796731995</v>
      </c>
      <c r="C365" s="42">
        <f t="shared" si="21"/>
        <v>15017.572072049763</v>
      </c>
      <c r="D365" s="42">
        <f t="shared" si="22"/>
        <v>56.315895270186957</v>
      </c>
      <c r="E365" s="42">
        <f t="shared" si="23"/>
        <v>-6.5301719587296247E-10</v>
      </c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x14ac:dyDescent="0.2">
      <c r="A366" s="24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x14ac:dyDescent="0.2">
      <c r="A367" s="24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x14ac:dyDescent="0.2">
      <c r="A368" s="24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x14ac:dyDescent="0.2">
      <c r="A369" s="24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x14ac:dyDescent="0.2">
      <c r="A370" s="24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x14ac:dyDescent="0.2">
      <c r="A371" s="24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x14ac:dyDescent="0.2">
      <c r="A372" s="24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x14ac:dyDescent="0.2">
      <c r="A373" s="24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x14ac:dyDescent="0.2">
      <c r="A374" s="24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x14ac:dyDescent="0.2">
      <c r="A375" s="24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x14ac:dyDescent="0.2">
      <c r="A376" s="24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x14ac:dyDescent="0.2">
      <c r="A377" s="24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x14ac:dyDescent="0.2">
      <c r="A378" s="24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x14ac:dyDescent="0.2">
      <c r="A379" s="24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x14ac:dyDescent="0.2">
      <c r="A380" s="24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x14ac:dyDescent="0.2">
      <c r="A381" s="24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x14ac:dyDescent="0.2">
      <c r="A382" s="24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x14ac:dyDescent="0.2">
      <c r="A383" s="24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x14ac:dyDescent="0.2">
      <c r="A384" s="24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x14ac:dyDescent="0.2">
      <c r="A385" s="24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x14ac:dyDescent="0.2">
      <c r="A386" s="24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x14ac:dyDescent="0.2">
      <c r="A387" s="24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x14ac:dyDescent="0.2">
      <c r="A388" s="24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x14ac:dyDescent="0.2">
      <c r="A389" s="24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x14ac:dyDescent="0.2">
      <c r="A390" s="24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x14ac:dyDescent="0.2">
      <c r="A391" s="24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x14ac:dyDescent="0.2">
      <c r="A392" s="24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x14ac:dyDescent="0.2">
      <c r="A393" s="24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x14ac:dyDescent="0.2">
      <c r="A394" s="24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x14ac:dyDescent="0.2">
      <c r="A395" s="24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x14ac:dyDescent="0.2">
      <c r="A396" s="24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x14ac:dyDescent="0.2">
      <c r="A397" s="24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x14ac:dyDescent="0.2">
      <c r="A398" s="24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x14ac:dyDescent="0.2">
      <c r="A399" s="24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x14ac:dyDescent="0.2">
      <c r="A400" s="24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D14" sqref="D14"/>
    </sheetView>
  </sheetViews>
  <sheetFormatPr defaultRowHeight="12.75" x14ac:dyDescent="0.2"/>
  <cols>
    <col min="2" max="2" width="14.140625" bestFit="1" customWidth="1"/>
  </cols>
  <sheetData>
    <row r="1" spans="1:3" x14ac:dyDescent="0.2">
      <c r="A1" s="63" t="s">
        <v>161</v>
      </c>
      <c r="B1" s="63" t="s">
        <v>162</v>
      </c>
      <c r="C1" s="63">
        <f>1-C2</f>
        <v>0.62250000000000005</v>
      </c>
    </row>
    <row r="2" spans="1:3" x14ac:dyDescent="0.2">
      <c r="A2" s="63"/>
      <c r="B2" s="63" t="s">
        <v>163</v>
      </c>
      <c r="C2" s="63">
        <v>0.3775</v>
      </c>
    </row>
    <row r="3" spans="1:3" x14ac:dyDescent="0.2">
      <c r="A3" s="63"/>
      <c r="B3" s="63" t="s">
        <v>164</v>
      </c>
      <c r="C3" s="63">
        <v>0.2</v>
      </c>
    </row>
    <row r="4" spans="1:3" x14ac:dyDescent="0.2">
      <c r="A4" s="63"/>
      <c r="B4" s="63" t="s">
        <v>62</v>
      </c>
      <c r="C4" s="63">
        <v>1.45</v>
      </c>
    </row>
    <row r="5" spans="1:3" x14ac:dyDescent="0.2">
      <c r="A5" s="63"/>
      <c r="B5" s="63" t="s">
        <v>165</v>
      </c>
      <c r="C5" s="64">
        <f>C4/(1+(1-C3)*(C1/C2))</f>
        <v>0.62521416333523694</v>
      </c>
    </row>
    <row r="6" spans="1:3" x14ac:dyDescent="0.2">
      <c r="A6" s="63" t="s">
        <v>166</v>
      </c>
      <c r="B6" s="63" t="s">
        <v>162</v>
      </c>
      <c r="C6" s="71">
        <f>Forecast!D63</f>
        <v>0.64772110335085353</v>
      </c>
    </row>
    <row r="7" spans="1:3" x14ac:dyDescent="0.2">
      <c r="A7" s="63"/>
      <c r="B7" s="63" t="s">
        <v>163</v>
      </c>
      <c r="C7" s="71">
        <f>Forecast!D64</f>
        <v>0.35227889664914647</v>
      </c>
    </row>
    <row r="8" spans="1:3" x14ac:dyDescent="0.2">
      <c r="A8" s="63"/>
      <c r="B8" s="63" t="s">
        <v>164</v>
      </c>
      <c r="C8" s="63">
        <v>0.35</v>
      </c>
    </row>
    <row r="9" spans="1:3" x14ac:dyDescent="0.2">
      <c r="A9" s="63"/>
      <c r="B9" s="63" t="s">
        <v>167</v>
      </c>
      <c r="C9" s="65">
        <f>(1+(1-C8)*(C6/C7))*C10</f>
        <v>1.3724257264255861</v>
      </c>
    </row>
    <row r="10" spans="1:3" x14ac:dyDescent="0.2">
      <c r="B10" s="66" t="s">
        <v>165</v>
      </c>
      <c r="C10" s="67">
        <f>C5</f>
        <v>0.62521416333523694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3" sqref="C23"/>
    </sheetView>
  </sheetViews>
  <sheetFormatPr defaultRowHeight="12.75" x14ac:dyDescent="0.2"/>
  <cols>
    <col min="1" max="1" width="38" style="63" bestFit="1" customWidth="1"/>
    <col min="2" max="2" width="14.28515625" style="63" bestFit="1" customWidth="1"/>
    <col min="3" max="3" width="12.28515625" style="63" bestFit="1" customWidth="1"/>
    <col min="4" max="4" width="14" style="63" bestFit="1" customWidth="1"/>
    <col min="5" max="11" width="12.42578125" style="63" bestFit="1" customWidth="1"/>
    <col min="12" max="12" width="13.42578125" style="63" bestFit="1" customWidth="1"/>
    <col min="13" max="13" width="11.5703125" style="63" bestFit="1" customWidth="1"/>
    <col min="14" max="14" width="13.28515625" style="63" bestFit="1" customWidth="1"/>
    <col min="15" max="16384" width="9.140625" style="63"/>
  </cols>
  <sheetData>
    <row r="1" spans="1:14" x14ac:dyDescent="0.2">
      <c r="A1" s="72" t="s">
        <v>171</v>
      </c>
      <c r="B1" s="72">
        <v>2013</v>
      </c>
      <c r="C1" s="72">
        <v>2014</v>
      </c>
      <c r="D1" s="72">
        <v>2015</v>
      </c>
      <c r="E1" s="72">
        <v>2016</v>
      </c>
      <c r="F1" s="72">
        <v>2017</v>
      </c>
      <c r="G1" s="72">
        <v>2018</v>
      </c>
      <c r="H1" s="72">
        <v>2019</v>
      </c>
      <c r="I1" s="72">
        <v>2020</v>
      </c>
      <c r="J1" s="72">
        <v>2021</v>
      </c>
      <c r="K1" s="72">
        <v>2022</v>
      </c>
      <c r="L1" s="72">
        <v>2023</v>
      </c>
    </row>
    <row r="2" spans="1:14" x14ac:dyDescent="0.2">
      <c r="A2" s="73" t="s">
        <v>95</v>
      </c>
      <c r="B2" s="73">
        <v>-4635000</v>
      </c>
      <c r="C2" s="73">
        <v>435277.77020547941</v>
      </c>
      <c r="D2" s="73">
        <v>322152.63924692164</v>
      </c>
      <c r="E2" s="73">
        <v>329139.40460013796</v>
      </c>
      <c r="F2" s="73">
        <v>334268.00612741098</v>
      </c>
      <c r="G2" s="73">
        <v>345431.46988701465</v>
      </c>
      <c r="H2" s="73">
        <v>269289.67116207507</v>
      </c>
      <c r="I2" s="73">
        <v>349638.74440977897</v>
      </c>
      <c r="J2" s="73">
        <v>355102.35626692872</v>
      </c>
      <c r="K2" s="73">
        <v>360683.59903124336</v>
      </c>
      <c r="L2" s="73">
        <v>4646184.8421031553</v>
      </c>
    </row>
    <row r="3" spans="1:14" x14ac:dyDescent="0.2">
      <c r="A3" s="73" t="s">
        <v>96</v>
      </c>
      <c r="B3" s="74">
        <v>6.9529999999999995E-2</v>
      </c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4" x14ac:dyDescent="0.2">
      <c r="A4" s="73" t="s">
        <v>97</v>
      </c>
      <c r="B4" s="73">
        <v>-4635000</v>
      </c>
      <c r="C4" s="73">
        <v>406988.03209458484</v>
      </c>
      <c r="D4" s="73">
        <v>281638.48173418525</v>
      </c>
      <c r="E4" s="73">
        <v>269045.250850201</v>
      </c>
      <c r="F4" s="73">
        <v>255479.12049522129</v>
      </c>
      <c r="G4" s="73">
        <v>246852.56971780045</v>
      </c>
      <c r="H4" s="73">
        <v>179932.90775770947</v>
      </c>
      <c r="I4" s="73">
        <v>218436.69889541779</v>
      </c>
      <c r="J4" s="73">
        <v>207431.52353528916</v>
      </c>
      <c r="K4" s="73">
        <v>196998.42230474809</v>
      </c>
      <c r="L4" s="73">
        <v>2372728.1758773937</v>
      </c>
    </row>
    <row r="5" spans="1:14" x14ac:dyDescent="0.2">
      <c r="A5" s="73" t="s">
        <v>98</v>
      </c>
      <c r="B5" s="73">
        <v>531.18326255073771</v>
      </c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4" x14ac:dyDescent="0.2">
      <c r="A6" s="73" t="s">
        <v>58</v>
      </c>
      <c r="B6" s="74">
        <v>6.9510000000000002E-2</v>
      </c>
      <c r="C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8" spans="1:14" x14ac:dyDescent="0.2">
      <c r="A8" s="72" t="s">
        <v>172</v>
      </c>
    </row>
    <row r="10" spans="1:14" x14ac:dyDescent="0.2">
      <c r="A10" s="63" t="s">
        <v>173</v>
      </c>
      <c r="B10" s="75">
        <v>-4635000</v>
      </c>
      <c r="C10" s="75">
        <v>838477.77020547958</v>
      </c>
      <c r="D10" s="75">
        <v>591670.75040087174</v>
      </c>
      <c r="E10" s="75">
        <v>601823.4141043165</v>
      </c>
      <c r="F10" s="75">
        <v>610841.14724816033</v>
      </c>
      <c r="G10" s="75">
        <v>625437.64398799057</v>
      </c>
      <c r="H10" s="75">
        <v>553221.82855971984</v>
      </c>
      <c r="I10" s="75">
        <v>637474.91627513524</v>
      </c>
      <c r="J10" s="75">
        <v>646910.20754066028</v>
      </c>
      <c r="K10" s="75">
        <v>656532.31070527993</v>
      </c>
      <c r="L10" s="75">
        <v>4785809.2682276322</v>
      </c>
    </row>
    <row r="11" spans="1:14" x14ac:dyDescent="0.2">
      <c r="A11" s="63" t="s">
        <v>96</v>
      </c>
      <c r="B11" s="71">
        <f>IRR(B10:L10)</f>
        <v>0.13458193249532657</v>
      </c>
    </row>
    <row r="12" spans="1:14" x14ac:dyDescent="0.2">
      <c r="A12" s="63" t="s">
        <v>58</v>
      </c>
      <c r="B12" s="71">
        <v>6.9699999999999998E-2</v>
      </c>
    </row>
    <row r="13" spans="1:14" x14ac:dyDescent="0.2">
      <c r="A13" s="63" t="s">
        <v>174</v>
      </c>
      <c r="B13" s="73">
        <f>-PV($B$12,B14,,B10,0)</f>
        <v>-4635000</v>
      </c>
      <c r="C13" s="73">
        <f t="shared" ref="C13:L13" si="0">-PV($B$12,C14,,C10,0)</f>
        <v>783843.85360893665</v>
      </c>
      <c r="D13" s="73">
        <f t="shared" si="0"/>
        <v>517078.05745194398</v>
      </c>
      <c r="E13" s="73">
        <f t="shared" si="0"/>
        <v>491680.62239544443</v>
      </c>
      <c r="F13" s="73">
        <f t="shared" si="0"/>
        <v>466530.77864409733</v>
      </c>
      <c r="G13" s="73">
        <f t="shared" si="0"/>
        <v>446554.05571530451</v>
      </c>
      <c r="H13" s="73">
        <f t="shared" si="0"/>
        <v>369255.8062557528</v>
      </c>
      <c r="I13" s="73">
        <f t="shared" si="0"/>
        <v>397767.34812982829</v>
      </c>
      <c r="J13" s="73">
        <f t="shared" si="0"/>
        <v>377353.20021257002</v>
      </c>
      <c r="K13" s="73">
        <f t="shared" si="0"/>
        <v>358012.46032548655</v>
      </c>
      <c r="L13" s="73">
        <f t="shared" si="0"/>
        <v>2439694.3946621143</v>
      </c>
    </row>
    <row r="14" spans="1:14" hidden="1" x14ac:dyDescent="0.2">
      <c r="B14" s="76">
        <v>0</v>
      </c>
      <c r="C14" s="76">
        <v>1</v>
      </c>
      <c r="D14" s="76">
        <v>2</v>
      </c>
      <c r="E14" s="76">
        <v>3</v>
      </c>
      <c r="F14" s="76">
        <v>4</v>
      </c>
      <c r="G14" s="76">
        <v>5</v>
      </c>
      <c r="H14" s="76">
        <v>6</v>
      </c>
      <c r="I14" s="76">
        <v>7</v>
      </c>
      <c r="J14" s="76">
        <v>8</v>
      </c>
      <c r="K14" s="76">
        <v>9</v>
      </c>
      <c r="L14" s="76">
        <v>10</v>
      </c>
    </row>
    <row r="15" spans="1:14" x14ac:dyDescent="0.2">
      <c r="A15" s="63" t="s">
        <v>175</v>
      </c>
      <c r="B15" s="77">
        <f>SUM(B13:L13)</f>
        <v>2012770.5774014788</v>
      </c>
    </row>
    <row r="16" spans="1:14" x14ac:dyDescent="0.2">
      <c r="A16" s="63" t="s">
        <v>176</v>
      </c>
      <c r="B16" s="78">
        <v>0.5</v>
      </c>
    </row>
    <row r="17" spans="1:12" x14ac:dyDescent="0.2">
      <c r="A17" s="63" t="s">
        <v>177</v>
      </c>
      <c r="B17" s="73">
        <f>B15*B16</f>
        <v>1006385.2887007394</v>
      </c>
    </row>
    <row r="18" spans="1:12" x14ac:dyDescent="0.2">
      <c r="B18" s="73"/>
    </row>
    <row r="19" spans="1:12" x14ac:dyDescent="0.2">
      <c r="B19" s="73"/>
    </row>
    <row r="20" spans="1:12" x14ac:dyDescent="0.2">
      <c r="A20" s="72" t="s">
        <v>178</v>
      </c>
    </row>
    <row r="21" spans="1:12" x14ac:dyDescent="0.2">
      <c r="A21" s="63" t="s">
        <v>173</v>
      </c>
      <c r="B21" s="73">
        <v>-4635000</v>
      </c>
      <c r="C21" s="73">
        <v>32077.770205479461</v>
      </c>
      <c r="D21" s="73">
        <v>51653.046356143095</v>
      </c>
      <c r="E21" s="73">
        <v>55326.040546615382</v>
      </c>
      <c r="F21" s="73">
        <v>56216.520774647441</v>
      </c>
      <c r="G21" s="73">
        <v>63739.228476666831</v>
      </c>
      <c r="H21" s="73">
        <v>-10283.950942421397</v>
      </c>
      <c r="I21" s="73">
        <v>63660.150206954415</v>
      </c>
      <c r="J21" s="73">
        <v>64853.660551703004</v>
      </c>
      <c r="K21" s="73">
        <v>66084.107742770997</v>
      </c>
      <c r="L21" s="73">
        <v>4506896.9672401818</v>
      </c>
    </row>
    <row r="22" spans="1:12" x14ac:dyDescent="0.2">
      <c r="A22" s="63" t="s">
        <v>96</v>
      </c>
      <c r="B22" s="71">
        <f>IRR(B21:L21)</f>
        <v>6.8996202289326458E-3</v>
      </c>
    </row>
    <row r="23" spans="1:12" x14ac:dyDescent="0.2">
      <c r="A23" s="63" t="s">
        <v>58</v>
      </c>
      <c r="B23" s="71">
        <v>6.9099999999999995E-2</v>
      </c>
    </row>
    <row r="24" spans="1:12" x14ac:dyDescent="0.2">
      <c r="A24" s="63" t="s">
        <v>174</v>
      </c>
      <c r="B24" s="73">
        <f>-PV($B$23,B25,,B21,0)</f>
        <v>-4635000</v>
      </c>
      <c r="C24" s="73">
        <f t="shared" ref="C24:L24" si="1">-PV($B$23,C25,,C21,0)</f>
        <v>30004.461888952821</v>
      </c>
      <c r="D24" s="73">
        <f t="shared" si="1"/>
        <v>45191.762674229976</v>
      </c>
      <c r="E24" s="73">
        <f t="shared" si="1"/>
        <v>45276.682937918893</v>
      </c>
      <c r="F24" s="73">
        <f t="shared" si="1"/>
        <v>43031.912238141194</v>
      </c>
      <c r="G24" s="73">
        <f t="shared" si="1"/>
        <v>45636.79684664408</v>
      </c>
      <c r="H24" s="73">
        <f t="shared" si="1"/>
        <v>-6887.3161503352931</v>
      </c>
      <c r="I24" s="73">
        <f t="shared" si="1"/>
        <v>39878.549391977736</v>
      </c>
      <c r="J24" s="73">
        <f t="shared" si="1"/>
        <v>38000.372842080134</v>
      </c>
      <c r="K24" s="73">
        <f t="shared" si="1"/>
        <v>36218.633831527222</v>
      </c>
      <c r="L24" s="73">
        <f t="shared" si="1"/>
        <v>2310438.0820588921</v>
      </c>
    </row>
    <row r="25" spans="1:12" x14ac:dyDescent="0.2">
      <c r="B25" s="76">
        <v>0</v>
      </c>
      <c r="C25" s="76">
        <v>1</v>
      </c>
      <c r="D25" s="76">
        <v>2</v>
      </c>
      <c r="E25" s="76">
        <v>3</v>
      </c>
      <c r="F25" s="76">
        <v>4</v>
      </c>
      <c r="G25" s="76">
        <v>5</v>
      </c>
      <c r="H25" s="76">
        <v>6</v>
      </c>
      <c r="I25" s="76">
        <v>7</v>
      </c>
      <c r="J25" s="76">
        <v>8</v>
      </c>
      <c r="K25" s="76">
        <v>9</v>
      </c>
      <c r="L25" s="76">
        <v>10</v>
      </c>
    </row>
    <row r="26" spans="1:12" x14ac:dyDescent="0.2">
      <c r="A26" s="63" t="s">
        <v>175</v>
      </c>
      <c r="B26" s="77">
        <f>SUM(B24:L24)</f>
        <v>-2008210.061439971</v>
      </c>
    </row>
    <row r="27" spans="1:12" x14ac:dyDescent="0.2">
      <c r="A27" s="63" t="s">
        <v>176</v>
      </c>
      <c r="B27" s="78">
        <f>1-B16</f>
        <v>0.5</v>
      </c>
    </row>
    <row r="28" spans="1:12" x14ac:dyDescent="0.2">
      <c r="A28" s="63" t="s">
        <v>177</v>
      </c>
      <c r="B28" s="73">
        <f>B26*B27</f>
        <v>-1004105.0307199855</v>
      </c>
    </row>
    <row r="31" spans="1:12" x14ac:dyDescent="0.2">
      <c r="A31" s="79" t="s">
        <v>179</v>
      </c>
      <c r="B31" s="80">
        <f>B17+B28</f>
        <v>2280.2579807539005</v>
      </c>
    </row>
    <row r="33" spans="1:12" x14ac:dyDescent="0.2">
      <c r="A33" s="63" t="s">
        <v>180</v>
      </c>
      <c r="B33" s="81">
        <f>AVERAGE(B13:L13)</f>
        <v>182979.14340013443</v>
      </c>
      <c r="C33" s="81"/>
    </row>
    <row r="34" spans="1:12" x14ac:dyDescent="0.2">
      <c r="A34" s="63" t="s">
        <v>181</v>
      </c>
      <c r="B34" s="77">
        <f>AVERAGE(B24:L24)</f>
        <v>-182564.55103999737</v>
      </c>
    </row>
    <row r="35" spans="1:12" x14ac:dyDescent="0.2">
      <c r="A35" s="63" t="s">
        <v>182</v>
      </c>
      <c r="B35" s="73">
        <f t="shared" ref="B35:L35" si="2">_xlfn.STDEV.P(B13,B24)</f>
        <v>0</v>
      </c>
      <c r="C35" s="73">
        <f t="shared" si="2"/>
        <v>376919.69585999189</v>
      </c>
      <c r="D35" s="73">
        <f t="shared" si="2"/>
        <v>235943.14738885695</v>
      </c>
      <c r="E35" s="73">
        <f t="shared" si="2"/>
        <v>223201.96972876272</v>
      </c>
      <c r="F35" s="73">
        <f t="shared" si="2"/>
        <v>211749.43320297808</v>
      </c>
      <c r="G35" s="73">
        <f t="shared" si="2"/>
        <v>200458.62943433024</v>
      </c>
      <c r="H35" s="73">
        <f t="shared" si="2"/>
        <v>188071.56120304405</v>
      </c>
      <c r="I35" s="73">
        <f t="shared" si="2"/>
        <v>178944.39936892531</v>
      </c>
      <c r="J35" s="73">
        <f t="shared" si="2"/>
        <v>169676.41368524497</v>
      </c>
      <c r="K35" s="73">
        <f t="shared" si="2"/>
        <v>160896.91324697968</v>
      </c>
      <c r="L35" s="73">
        <f t="shared" si="2"/>
        <v>64628.156301611103</v>
      </c>
    </row>
    <row r="36" spans="1:12" x14ac:dyDescent="0.2">
      <c r="A36" s="63" t="s">
        <v>183</v>
      </c>
      <c r="B36" s="77">
        <f>AVERAGE(B35:L35)</f>
        <v>182771.84722006592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E24" sqref="E24"/>
    </sheetView>
  </sheetViews>
  <sheetFormatPr defaultRowHeight="12.75" x14ac:dyDescent="0.2"/>
  <cols>
    <col min="1" max="1" width="35" style="63" customWidth="1"/>
    <col min="2" max="2" width="13.5703125" style="63" bestFit="1" customWidth="1"/>
    <col min="3" max="6" width="11.28515625" style="63" bestFit="1" customWidth="1"/>
    <col min="7" max="7" width="11.5703125" style="63" bestFit="1" customWidth="1"/>
    <col min="8" max="8" width="11.28515625" style="63" bestFit="1" customWidth="1"/>
    <col min="9" max="11" width="11.5703125" style="63" bestFit="1" customWidth="1"/>
    <col min="12" max="12" width="13.28515625" style="63" bestFit="1" customWidth="1"/>
    <col min="13" max="16384" width="9.140625" style="63"/>
  </cols>
  <sheetData>
    <row r="1" spans="1:12" x14ac:dyDescent="0.2">
      <c r="A1" s="63" t="s">
        <v>184</v>
      </c>
    </row>
    <row r="2" spans="1:12" x14ac:dyDescent="0.2">
      <c r="A2" s="63" t="s">
        <v>185</v>
      </c>
    </row>
    <row r="4" spans="1:12" x14ac:dyDescent="0.2">
      <c r="B4" s="63">
        <v>0</v>
      </c>
      <c r="C4" s="63">
        <v>1</v>
      </c>
      <c r="D4" s="63">
        <v>2</v>
      </c>
      <c r="E4" s="63">
        <v>3</v>
      </c>
      <c r="F4" s="63">
        <v>4</v>
      </c>
      <c r="G4" s="63">
        <v>5</v>
      </c>
      <c r="H4" s="63">
        <v>6</v>
      </c>
      <c r="I4" s="63">
        <v>7</v>
      </c>
      <c r="J4" s="63">
        <v>8</v>
      </c>
      <c r="K4" s="63">
        <v>9</v>
      </c>
      <c r="L4" s="63">
        <v>10</v>
      </c>
    </row>
    <row r="5" spans="1:12" x14ac:dyDescent="0.2">
      <c r="A5" s="72" t="str">
        <f>Probability!A8</f>
        <v>Good Market (120% of Membership goal)</v>
      </c>
      <c r="B5" s="72">
        <v>2013</v>
      </c>
      <c r="C5" s="72">
        <v>2014</v>
      </c>
      <c r="D5" s="72">
        <v>2015</v>
      </c>
      <c r="E5" s="72">
        <v>2016</v>
      </c>
      <c r="F5" s="72">
        <v>2017</v>
      </c>
      <c r="G5" s="82">
        <v>2018</v>
      </c>
      <c r="H5" s="72">
        <v>2019</v>
      </c>
      <c r="I5" s="72">
        <v>2020</v>
      </c>
      <c r="J5" s="72">
        <v>2021</v>
      </c>
      <c r="K5" s="72">
        <v>2022</v>
      </c>
      <c r="L5" s="72">
        <v>2023</v>
      </c>
    </row>
    <row r="6" spans="1:12" x14ac:dyDescent="0.2">
      <c r="A6" s="63" t="s">
        <v>186</v>
      </c>
      <c r="B6" s="83">
        <f>[1]Probability!B10</f>
        <v>-4635000</v>
      </c>
      <c r="C6" s="83">
        <f>[1]Probability!C10</f>
        <v>838477.77020547958</v>
      </c>
      <c r="D6" s="83">
        <f>[1]Probability!D10</f>
        <v>591670.75040087174</v>
      </c>
      <c r="E6" s="83">
        <f>[1]Probability!E10</f>
        <v>601823.4141043165</v>
      </c>
      <c r="F6" s="83">
        <f>[1]Probability!F10</f>
        <v>610841.14724816033</v>
      </c>
      <c r="G6" s="83">
        <f>[1]Probability!G10</f>
        <v>625437.64398799057</v>
      </c>
      <c r="H6" s="73">
        <v>-196778.17144028013</v>
      </c>
      <c r="I6" s="73">
        <v>824514.77095105487</v>
      </c>
      <c r="J6" s="73">
        <v>773331.51162676793</v>
      </c>
      <c r="K6" s="73">
        <v>784130.32783224829</v>
      </c>
      <c r="L6" s="73">
        <v>5524678.4900790118</v>
      </c>
    </row>
    <row r="7" spans="1:12" x14ac:dyDescent="0.2">
      <c r="A7" s="63" t="s">
        <v>96</v>
      </c>
      <c r="B7" s="71">
        <f>IRR(B6:L6)</f>
        <v>0.13546447182031685</v>
      </c>
    </row>
    <row r="8" spans="1:12" x14ac:dyDescent="0.2">
      <c r="A8" s="63" t="s">
        <v>58</v>
      </c>
      <c r="B8" s="71">
        <v>6.9699999999999998E-2</v>
      </c>
    </row>
    <row r="9" spans="1:12" x14ac:dyDescent="0.2">
      <c r="A9" s="63" t="s">
        <v>174</v>
      </c>
      <c r="B9" s="73">
        <f>-PV($B$8,B4,,B6,0)</f>
        <v>-4635000</v>
      </c>
      <c r="C9" s="73">
        <f t="shared" ref="C9:L9" si="0">-PV($B$8,C4,,C6,0)</f>
        <v>783843.85360893665</v>
      </c>
      <c r="D9" s="73">
        <f t="shared" si="0"/>
        <v>517078.05745194398</v>
      </c>
      <c r="E9" s="73">
        <f t="shared" si="0"/>
        <v>491680.62239544443</v>
      </c>
      <c r="F9" s="73">
        <f t="shared" si="0"/>
        <v>466530.77864409733</v>
      </c>
      <c r="G9" s="73">
        <f t="shared" si="0"/>
        <v>446554.05571530451</v>
      </c>
      <c r="H9" s="73">
        <f t="shared" si="0"/>
        <v>-131342.39937329161</v>
      </c>
      <c r="I9" s="73">
        <f t="shared" si="0"/>
        <v>514475.22963166068</v>
      </c>
      <c r="J9" s="73">
        <f t="shared" si="0"/>
        <v>451096.79417022254</v>
      </c>
      <c r="K9" s="73">
        <f t="shared" si="0"/>
        <v>427592.70687147294</v>
      </c>
      <c r="L9" s="73">
        <f t="shared" si="0"/>
        <v>2816352.7606581221</v>
      </c>
    </row>
    <row r="10" spans="1:12" x14ac:dyDescent="0.2">
      <c r="A10" s="63" t="s">
        <v>175</v>
      </c>
      <c r="B10" s="77">
        <f>SUM(B9:L9)</f>
        <v>2148862.4597739135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2" x14ac:dyDescent="0.2">
      <c r="A11" s="63" t="s">
        <v>176</v>
      </c>
      <c r="B11" s="78">
        <v>0.5</v>
      </c>
    </row>
    <row r="12" spans="1:12" x14ac:dyDescent="0.2">
      <c r="A12" s="63" t="s">
        <v>177</v>
      </c>
      <c r="B12" s="84">
        <f>B10*B11</f>
        <v>1074431.2298869567</v>
      </c>
    </row>
    <row r="13" spans="1:12" x14ac:dyDescent="0.2">
      <c r="B13" s="84"/>
    </row>
    <row r="14" spans="1:12" x14ac:dyDescent="0.2">
      <c r="A14" s="72" t="str">
        <f>[1]Probability!A20</f>
        <v>Bad Market (80% of Membership goal)</v>
      </c>
    </row>
    <row r="15" spans="1:12" x14ac:dyDescent="0.2">
      <c r="A15" s="63" t="s">
        <v>173</v>
      </c>
      <c r="B15" s="73">
        <f>[1]Probability!B22</f>
        <v>-4635000</v>
      </c>
      <c r="C15" s="73">
        <f>[1]Probability!C22</f>
        <v>32077.770205479461</v>
      </c>
      <c r="D15" s="73">
        <f>[1]Probability!D22</f>
        <v>51653.046356143095</v>
      </c>
      <c r="E15" s="73">
        <f>[1]Probability!E22</f>
        <v>55326.040546615382</v>
      </c>
      <c r="F15" s="73">
        <f>[1]Probability!F22</f>
        <v>56216.520774647441</v>
      </c>
      <c r="G15" s="73">
        <f>[1]Probability!G22</f>
        <v>63739.228476666831</v>
      </c>
      <c r="H15" s="73">
        <f>[1]Probability!H22</f>
        <v>-10283.950942421397</v>
      </c>
      <c r="I15" s="73">
        <f>[1]Probability!I22</f>
        <v>63660.150206954415</v>
      </c>
      <c r="J15" s="73">
        <f>[1]Probability!J22</f>
        <v>64853.660551703004</v>
      </c>
      <c r="K15" s="73">
        <f>[1]Probability!K22</f>
        <v>66084.107742770997</v>
      </c>
      <c r="L15" s="73">
        <f>[1]Probability!L22</f>
        <v>4506896.9672401818</v>
      </c>
    </row>
    <row r="16" spans="1:12" x14ac:dyDescent="0.2">
      <c r="A16" s="63" t="s">
        <v>96</v>
      </c>
      <c r="B16" s="71">
        <f>IRR(B15:L15)</f>
        <v>6.8996202289326458E-3</v>
      </c>
    </row>
    <row r="17" spans="1:12" x14ac:dyDescent="0.2">
      <c r="A17" s="63" t="s">
        <v>58</v>
      </c>
      <c r="B17" s="71">
        <v>6.9099999999999995E-2</v>
      </c>
    </row>
    <row r="18" spans="1:12" x14ac:dyDescent="0.2">
      <c r="A18" s="63" t="s">
        <v>174</v>
      </c>
      <c r="B18" s="73">
        <f>-PV($B$17,B19,,B15,0)</f>
        <v>-4635000</v>
      </c>
      <c r="C18" s="73">
        <f t="shared" ref="C18:L18" si="1">-PV($B$17,C19,,C15,0)</f>
        <v>30004.461888952821</v>
      </c>
      <c r="D18" s="73">
        <f t="shared" si="1"/>
        <v>45191.762674229976</v>
      </c>
      <c r="E18" s="73">
        <f t="shared" si="1"/>
        <v>45276.682937918893</v>
      </c>
      <c r="F18" s="73">
        <f t="shared" si="1"/>
        <v>43031.912238141194</v>
      </c>
      <c r="G18" s="73">
        <f t="shared" si="1"/>
        <v>45636.79684664408</v>
      </c>
      <c r="H18" s="73">
        <f t="shared" si="1"/>
        <v>-6887.3161503352931</v>
      </c>
      <c r="I18" s="73">
        <f t="shared" si="1"/>
        <v>39878.549391977736</v>
      </c>
      <c r="J18" s="73">
        <f t="shared" si="1"/>
        <v>38000.372842080134</v>
      </c>
      <c r="K18" s="73">
        <f t="shared" si="1"/>
        <v>36218.633831527222</v>
      </c>
      <c r="L18" s="73">
        <f t="shared" si="1"/>
        <v>2310438.0820588921</v>
      </c>
    </row>
    <row r="19" spans="1:12" hidden="1" x14ac:dyDescent="0.2">
      <c r="B19" s="76">
        <v>0</v>
      </c>
      <c r="C19" s="76">
        <v>1</v>
      </c>
      <c r="D19" s="76">
        <v>2</v>
      </c>
      <c r="E19" s="76">
        <v>3</v>
      </c>
      <c r="F19" s="76">
        <v>4</v>
      </c>
      <c r="G19" s="76">
        <v>5</v>
      </c>
      <c r="H19" s="76">
        <v>6</v>
      </c>
      <c r="I19" s="76">
        <v>7</v>
      </c>
      <c r="J19" s="76">
        <v>8</v>
      </c>
      <c r="K19" s="76">
        <v>9</v>
      </c>
      <c r="L19" s="76">
        <v>10</v>
      </c>
    </row>
    <row r="20" spans="1:12" x14ac:dyDescent="0.2">
      <c r="A20" s="63" t="s">
        <v>175</v>
      </c>
      <c r="B20" s="77">
        <f>SUM(B18:L18)</f>
        <v>-2008210.061439971</v>
      </c>
    </row>
    <row r="21" spans="1:12" x14ac:dyDescent="0.2">
      <c r="A21" s="63" t="s">
        <v>176</v>
      </c>
      <c r="B21" s="78">
        <f>1-B11</f>
        <v>0.5</v>
      </c>
    </row>
    <row r="22" spans="1:12" x14ac:dyDescent="0.2">
      <c r="A22" s="63" t="s">
        <v>177</v>
      </c>
      <c r="B22" s="73">
        <f>B20*B21</f>
        <v>-1004105.0307199855</v>
      </c>
    </row>
    <row r="24" spans="1:12" x14ac:dyDescent="0.2">
      <c r="A24" s="79" t="str">
        <f>[1]Probability!A32</f>
        <v>Expected NPV</v>
      </c>
      <c r="B24" s="65">
        <f>B12+B22</f>
        <v>70326.199166971259</v>
      </c>
    </row>
    <row r="26" spans="1:12" x14ac:dyDescent="0.2">
      <c r="A26" s="85" t="s">
        <v>187</v>
      </c>
      <c r="B26" s="86">
        <f>B24-[1]Probability!B32</f>
        <v>68045.941186217358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Forecast</vt:lpstr>
      <vt:lpstr>Assumptions</vt:lpstr>
      <vt:lpstr>Loan Amortization</vt:lpstr>
      <vt:lpstr>Beta Calculations</vt:lpstr>
      <vt:lpstr>Probability</vt:lpstr>
      <vt:lpstr>Real Option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2019-07-25T21:30:19Z</dcterms:created>
  <dcterms:modified xsi:type="dcterms:W3CDTF">2019-08-14T21:49:06Z</dcterms:modified>
</cp:coreProperties>
</file>